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drawings/drawing5.xml" ContentType="application/vnd.openxmlformats-officedocument.drawing+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drawings/drawing6.xml" ContentType="application/vnd.openxmlformats-officedocument.drawing+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drawings/drawing11.xml" ContentType="application/vnd.openxmlformats-officedocument.drawing+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drawings/drawing12.xml" ContentType="application/vnd.openxmlformats-officedocument.drawing+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drawings/drawing13.xml" ContentType="application/vnd.openxmlformats-officedocument.drawing+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drawings/drawing14.xml" ContentType="application/vnd.openxmlformats-officedocument.drawing+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drawings/drawing15.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drawings/drawing16.xml" ContentType="application/vnd.openxmlformats-officedocument.drawing+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drawings/drawing17.xml" ContentType="application/vnd.openxmlformats-officedocument.drawing+xml"/>
  <Override PartName="/xl/ctrlProps/ctrlProp246.xml" ContentType="application/vnd.ms-excel.controlproperties+xml"/>
  <Override PartName="/xl/ctrlProps/ctrlProp247.xml" ContentType="application/vnd.ms-excel.controlproperties+xml"/>
  <Override PartName="/xl/drawings/drawing18.xml" ContentType="application/vnd.openxmlformats-officedocument.drawing+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drawings/drawing19.xml" ContentType="application/vnd.openxmlformats-officedocument.drawing+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drawings/drawing20.xml" ContentType="application/vnd.openxmlformats-officedocument.drawing+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drawings/drawing21.xml" ContentType="application/vnd.openxmlformats-officedocument.drawing+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drawings/drawing22.xml" ContentType="application/vnd.openxmlformats-officedocument.drawing+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drawings/drawing23.xml" ContentType="application/vnd.openxmlformats-officedocument.drawing+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drawings/drawing24.xml" ContentType="application/vnd.openxmlformats-officedocument.drawing+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drawings/drawing25.xml" ContentType="application/vnd.openxmlformats-officedocument.drawing+xml"/>
  <Override PartName="/xl/ctrlProps/ctrlProp470.xml" ContentType="application/vnd.ms-excel.controlproperties+xml"/>
  <Override PartName="/xl/ctrlProps/ctrlProp471.xml" ContentType="application/vnd.ms-excel.controlproperties+xml"/>
  <Override PartName="/xl/drawings/drawing26.xml" ContentType="application/vnd.openxmlformats-officedocument.drawing+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drawings/drawing27.xml" ContentType="application/vnd.openxmlformats-officedocument.drawing+xml"/>
  <Override PartName="/xl/ctrlProps/ctrlProp497.xml" ContentType="application/vnd.ms-excel.controlproperties+xml"/>
  <Override PartName="/xl/drawings/drawing28.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drawings/drawing29.xml" ContentType="application/vnd.openxmlformats-officedocument.drawing+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drawings/drawing30.xml" ContentType="application/vnd.openxmlformats-officedocument.drawing+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drawings/drawing31.xml" ContentType="application/vnd.openxmlformats-officedocument.drawing+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drawings/drawing32.xml" ContentType="application/vnd.openxmlformats-officedocument.drawing+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drawings/drawing33.xml" ContentType="application/vnd.openxmlformats-officedocument.drawing+xml"/>
  <Override PartName="/xl/ctrlProps/ctrlProp761.xml" ContentType="application/vnd.ms-excel.controlproperties+xml"/>
  <Override PartName="/xl/drawings/drawing34.xml" ContentType="application/vnd.openxmlformats-officedocument.drawing+xml"/>
  <Override PartName="/xl/ctrlProps/ctrlProp762.xml" ContentType="application/vnd.ms-excel.controlproperties+xml"/>
  <Override PartName="/xl/drawings/drawing35.xml" ContentType="application/vnd.openxmlformats-officedocument.drawing+xml"/>
  <Override PartName="/xl/ctrlProps/ctrlProp763.xml" ContentType="application/vnd.ms-excel.controlproperties+xml"/>
  <Override PartName="/xl/drawings/drawing36.xml" ContentType="application/vnd.openxmlformats-officedocument.drawing+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6"/>
  <workbookPr updateLinks="never" codeName="ThisWorkbook"/>
  <mc:AlternateContent xmlns:mc="http://schemas.openxmlformats.org/markup-compatibility/2006">
    <mc:Choice Requires="x15">
      <x15ac:absPath xmlns:x15ac="http://schemas.microsoft.com/office/spreadsheetml/2010/11/ac" url="F:\BEIS PCS 2023\"/>
    </mc:Choice>
  </mc:AlternateContent>
  <xr:revisionPtr revIDLastSave="0" documentId="13_ncr:1_{489D704F-9FBA-4694-9B68-085460BF3DAD}" xr6:coauthVersionLast="36" xr6:coauthVersionMax="47" xr10:uidLastSave="{00000000-0000-0000-0000-000000000000}"/>
  <bookViews>
    <workbookView xWindow="-120" yWindow="-120" windowWidth="20730" windowHeight="11040" tabRatio="797" firstSheet="17" activeTab="26" xr2:uid="{00000000-000D-0000-FFFF-FFFF00000000}"/>
  </bookViews>
  <sheets>
    <sheet name="Dropdowns" sheetId="466" state="hidden" r:id="rId1"/>
    <sheet name="list" sheetId="465" state="hidden" r:id="rId2"/>
    <sheet name="activesheet" sheetId="464" state="hidden" r:id="rId3"/>
    <sheet name="List of Tables &amp; Boxes" sheetId="356" r:id="rId4"/>
    <sheet name="SchInfo " sheetId="133" r:id="rId5"/>
    <sheet name="Table1-2" sheetId="336" r:id="rId6"/>
    <sheet name="Table2 cont." sheetId="337" r:id="rId7"/>
    <sheet name="Table3" sheetId="338" r:id="rId8"/>
    <sheet name="Table4" sheetId="339" r:id="rId9"/>
    <sheet name="Table5" sheetId="340" r:id="rId10"/>
    <sheet name="Table6" sheetId="341" r:id="rId11"/>
    <sheet name="Tables7,8,9" sheetId="342" r:id="rId12"/>
    <sheet name="Table10" sheetId="238" r:id="rId13"/>
    <sheet name="Table11 " sheetId="291" r:id="rId14"/>
    <sheet name="Tables12-13" sheetId="110" r:id="rId15"/>
    <sheet name="Tables14-15" sheetId="343" r:id="rId16"/>
    <sheet name="Tables16-17" sheetId="344" r:id="rId17"/>
    <sheet name="Table18-Boxes1-2" sheetId="345" r:id="rId18"/>
    <sheet name="Boxes3-5" sheetId="230" r:id="rId19"/>
    <sheet name="Table19 " sheetId="359" r:id="rId20"/>
    <sheet name="Table20" sheetId="360" r:id="rId21"/>
    <sheet name="Box6-Table21" sheetId="370" r:id="rId22"/>
    <sheet name="Table22" sheetId="383" r:id="rId23"/>
    <sheet name="Table23" sheetId="382" r:id="rId24"/>
    <sheet name="Table24" sheetId="381" r:id="rId25"/>
    <sheet name="Table25" sheetId="380" r:id="rId26"/>
    <sheet name="Table26-Box7" sheetId="379" r:id="rId27"/>
    <sheet name="Table27-Box8" sheetId="124" r:id="rId28"/>
    <sheet name="Box9" sheetId="368" r:id="rId29"/>
    <sheet name="Box9 cont.-Box10" sheetId="148" r:id="rId30"/>
    <sheet name="Table28a-c" sheetId="378" r:id="rId31"/>
    <sheet name="Table28d-Box11" sheetId="348" r:id="rId32"/>
    <sheet name="Box12-Table29" sheetId="386" r:id="rId33"/>
    <sheet name="Tables30.31.32" sheetId="387" r:id="rId34"/>
    <sheet name="Box13" sheetId="388" r:id="rId35"/>
    <sheet name="Box14" sheetId="389" r:id="rId36"/>
    <sheet name="Box15" sheetId="390" r:id="rId37"/>
    <sheet name="Box16" sheetId="391" r:id="rId38"/>
    <sheet name="Boxes17,18,19,20" sheetId="392" r:id="rId39"/>
    <sheet name="Boxes21,22,23" sheetId="393" r:id="rId40"/>
    <sheet name="Boxes24-25" sheetId="298" r:id="rId41"/>
    <sheet name="Box26" sheetId="299" r:id="rId42"/>
    <sheet name="Table33" sheetId="229" r:id="rId43"/>
    <sheet name="Box27" sheetId="228" r:id="rId44"/>
    <sheet name="Table34" sheetId="447" r:id="rId45"/>
    <sheet name="Table34 cont." sheetId="265" r:id="rId46"/>
    <sheet name="Table35" sheetId="280" r:id="rId47"/>
    <sheet name="Table35 cont.-Table36" sheetId="281" r:id="rId48"/>
    <sheet name="Box28_part1 " sheetId="448" r:id="rId49"/>
    <sheet name="Box28_part2_4" sheetId="449" r:id="rId50"/>
    <sheet name="Box28_part5" sheetId="450" r:id="rId51"/>
    <sheet name="Box29_part1" sheetId="451" r:id="rId52"/>
    <sheet name="Box29_part2" sheetId="452" r:id="rId53"/>
    <sheet name="Box30_part1" sheetId="453" r:id="rId54"/>
    <sheet name="Box30_part2" sheetId="454" r:id="rId55"/>
    <sheet name="Box30_part3a" sheetId="455" r:id="rId56"/>
    <sheet name="Box30_part3b " sheetId="463" r:id="rId57"/>
    <sheet name="Box30_part3b cont." sheetId="457" r:id="rId58"/>
    <sheet name="Box31_Parts1-2" sheetId="442" r:id="rId59"/>
    <sheet name="Box31_part3a" sheetId="459" r:id="rId60"/>
    <sheet name="Box31_part3b" sheetId="460" r:id="rId61"/>
    <sheet name="Box31_part3c" sheetId="461" r:id="rId62"/>
    <sheet name="Box31_part3d" sheetId="462" r:id="rId63"/>
    <sheet name="Box32" sheetId="426" r:id="rId64"/>
  </sheets>
  <definedNames>
    <definedName name="_Fill" localSheetId="34" hidden="1">#REF!</definedName>
    <definedName name="_Fill" localSheetId="35" hidden="1">#REF!</definedName>
    <definedName name="_Fill" localSheetId="36" hidden="1">#REF!</definedName>
    <definedName name="_Fill" localSheetId="37" hidden="1">#REF!</definedName>
    <definedName name="_Fill" localSheetId="41" hidden="1">#REF!</definedName>
    <definedName name="_Fill" localSheetId="43"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28" hidden="1">#REF!</definedName>
    <definedName name="_Fill" localSheetId="29" hidden="1">#REF!</definedName>
    <definedName name="_Fill" localSheetId="38" hidden="1">#REF!</definedName>
    <definedName name="_Fill" localSheetId="40" hidden="1">#REF!</definedName>
    <definedName name="_Fill" localSheetId="18" hidden="1">#REF!</definedName>
    <definedName name="_Fill" localSheetId="1" hidden="1">#REF!</definedName>
    <definedName name="_Fill" localSheetId="4" hidden="1">#REF!</definedName>
    <definedName name="_Fill" localSheetId="12" hidden="1">#REF!</definedName>
    <definedName name="_Fill" localSheetId="13" hidden="1">#REF!</definedName>
    <definedName name="_Fill" localSheetId="19" hidden="1">#REF!</definedName>
    <definedName name="_Fill" localSheetId="6" hidden="1">#REF!</definedName>
    <definedName name="_Fill" localSheetId="20" hidden="1">#REF!</definedName>
    <definedName name="_Fill" localSheetId="26" hidden="1">#REF!</definedName>
    <definedName name="_Fill" localSheetId="7" hidden="1">#REF!</definedName>
    <definedName name="_Fill" localSheetId="42" hidden="1">#REF!</definedName>
    <definedName name="_Fill" localSheetId="45" hidden="1">#REF!</definedName>
    <definedName name="_Fill" localSheetId="46" hidden="1">#REF!</definedName>
    <definedName name="_Fill" localSheetId="47" hidden="1">#REF!</definedName>
    <definedName name="_Fill" localSheetId="10" hidden="1">#REF!</definedName>
    <definedName name="_Fill" localSheetId="15" hidden="1">#REF!</definedName>
    <definedName name="_Fill" localSheetId="16" hidden="1">#REF!</definedName>
    <definedName name="_Fill" localSheetId="33" hidden="1">#REF!</definedName>
    <definedName name="_Fill" localSheetId="11" hidden="1">#REF!</definedName>
    <definedName name="_Fill" hidden="1">#REF!</definedName>
    <definedName name="_fill1" localSheetId="1" hidden="1">#REF!</definedName>
    <definedName name="_fill1" hidden="1">#REF!</definedName>
    <definedName name="_xlnm._FilterDatabase" localSheetId="2" hidden="1">activesheet!$A$1:$I$4703</definedName>
    <definedName name="_ref_broadcast_station">Dropdowns!$J$1:$K$6</definedName>
    <definedName name="_ref_cell_serv_provider">Dropdowns!$D$12:$E$20</definedName>
    <definedName name="_ref_cell_wtg">Dropdowns!$G$12:$H$16</definedName>
    <definedName name="_ref_funding_source">Dropdowns!$G$1:$H$9</definedName>
    <definedName name="_ref_internet">Dropdowns!$A$1:$B$5</definedName>
    <definedName name="_ref_purpose">Dropdowns!$J$12:$K$15</definedName>
    <definedName name="_ref_service_provider">Dropdowns!$D$1:$E$9</definedName>
    <definedName name="_ref_stat_partnership">Dropdowns!$G$24:$H$27</definedName>
    <definedName name="_ref_type_printer">Dropdowns!$D$24:$E$31</definedName>
    <definedName name="_ref_type_radio">Dropdowns!$J$24:$K$26</definedName>
    <definedName name="action_research_ongoing">'Table18-Boxes1-2'!$S$29</definedName>
    <definedName name="action_research_prev_sy">'Table18-Boxes1-2'!$S$28</definedName>
    <definedName name="action_research_tobe_conducted">'Table18-Boxes1-2'!$S$30</definedName>
    <definedName name="action_research_yes">'Table18-Boxes1-2'!$R$26</definedName>
    <definedName name="adm_eimpact">Box30_part3a!$Z$41</definedName>
    <definedName name="adm_eimpact_number">Box30_part3a!$AH$41</definedName>
    <definedName name="adm_homeschool">Box30_part3a!$Z$42</definedName>
    <definedName name="adm_homeschool_number">Box30_part3a!$AH$42</definedName>
    <definedName name="adm_misosa">Box30_part3a!$Z$43</definedName>
    <definedName name="adm_misosa_number">Box30_part3a!$AH$43</definedName>
    <definedName name="adm_nighthighschool">Box30_part3a!$Z$44</definedName>
    <definedName name="adm_nighthighschool_number">Box30_part3a!$AH$44</definedName>
    <definedName name="adm_ohsp">Box30_part3a!$Z$45</definedName>
    <definedName name="adm_ohsp_number">Box30_part3a!$AH$45</definedName>
    <definedName name="alive_muslim_f_g1">'Table1-2'!$Y$7</definedName>
    <definedName name="alive_muslim_f_g2">'Table1-2'!$AE$7</definedName>
    <definedName name="alive_muslim_f_g3">'Table1-2'!$AK$7</definedName>
    <definedName name="alive_muslim_f_g4">'Table1-2'!$AQ$7</definedName>
    <definedName name="alive_muslim_f_g5">'Table1-2'!$AW$7</definedName>
    <definedName name="alive_muslim_f_g6">'Table1-2'!$BC$7</definedName>
    <definedName name="alive_muslim_f_k">'Table1-2'!$S$7</definedName>
    <definedName name="alive_muslim_m_g1">'Table1-2'!$V$7</definedName>
    <definedName name="alive_muslim_m_g2">'Table1-2'!$AB$7</definedName>
    <definedName name="alive_muslim_m_g3">'Table1-2'!$AH$7</definedName>
    <definedName name="alive_muslim_m_g4">'Table1-2'!$AN$7</definedName>
    <definedName name="alive_muslim_m_g5">'Table1-2'!$AT$7</definedName>
    <definedName name="alive_muslim_m_g6">'Table1-2'!$AZ$7</definedName>
    <definedName name="alive_muslim_m_k">'Table1-2'!$P$7</definedName>
    <definedName name="alive_nonmuslim_f_g1">'Table1-2'!$Y$8</definedName>
    <definedName name="alive_nonmuslim_f_g2">'Table1-2'!$AE$8</definedName>
    <definedName name="alive_nonmuslim_f_g3">'Table1-2'!$AK$8</definedName>
    <definedName name="alive_nonmuslim_f_g4">'Table1-2'!$AQ$8</definedName>
    <definedName name="alive_nonmuslim_f_g5">'Table1-2'!$AW$8</definedName>
    <definedName name="alive_nonmuslim_f_g6">'Table1-2'!$BC$8</definedName>
    <definedName name="alive_nonmuslim_f_k">'Table1-2'!$S$8</definedName>
    <definedName name="alive_nonmuslim_m_g1">'Table1-2'!$V$8</definedName>
    <definedName name="alive_nonmuslim_m_g2">'Table1-2'!$AB$8</definedName>
    <definedName name="alive_nonmuslim_m_g3">'Table1-2'!$AH$8</definedName>
    <definedName name="alive_nonmuslim_m_g4">'Table1-2'!$AN$8</definedName>
    <definedName name="alive_nonmuslim_m_g5">'Table1-2'!$AT$8</definedName>
    <definedName name="alive_nonmuslim_m_g6">'Table1-2'!$AZ$8</definedName>
    <definedName name="alive_nonmuslim_m_k">'Table1-2'!$P$8</definedName>
    <definedName name="ave_cost_monthly_bills_amount">'Table27-Box8'!$AQ$12</definedName>
    <definedName name="BARMM">list!$O$2:$O$16</definedName>
    <definedName name="broadcast_station_broadcast_date1">Table24!$AF$6</definedName>
    <definedName name="broadcast_station_broadcast_date2">Table24!$AF$7</definedName>
    <definedName name="broadcast_station_broadcast_date3">Table24!$AF$8</definedName>
    <definedName name="broadcast_station_broadcast_date4">Table24!$AF$9</definedName>
    <definedName name="broadcast_station_broadcast_date5">Table24!$AF$10</definedName>
    <definedName name="broadcast_station_broadcast_date6">Table24!$AF$11</definedName>
    <definedName name="broadcast_station_broadcast_date7">Table24!$AF$12</definedName>
    <definedName name="broadcast_station_broadcast_date8">Table24!$AF$13</definedName>
    <definedName name="broadcast_station_broadcast_date9">Table24!$AF$14</definedName>
    <definedName name="broadcast_station_frequency1">Table24!$L$6</definedName>
    <definedName name="broadcast_station_frequency2">Table24!$L$7</definedName>
    <definedName name="broadcast_station_frequency3">Table24!$L$8</definedName>
    <definedName name="broadcast_station_frequency4">Table24!$L$9</definedName>
    <definedName name="broadcast_station_frequency5">Table24!$L$10</definedName>
    <definedName name="broadcast_station_frequency6">Table24!$L$11</definedName>
    <definedName name="broadcast_station_frequency7">Table24!$L$12</definedName>
    <definedName name="broadcast_station_frequency8">Table24!$L$13</definedName>
    <definedName name="broadcast_station_frequency9">Table24!$L$14</definedName>
    <definedName name="broadcast_station_name1">Table24!$G$6</definedName>
    <definedName name="broadcast_station_name2">Table24!$G$7</definedName>
    <definedName name="broadcast_station_name3">Table24!$G$8</definedName>
    <definedName name="broadcast_station_name4">Table24!$G$9</definedName>
    <definedName name="broadcast_station_name5">Table24!$G$10</definedName>
    <definedName name="broadcast_station_name6">Table24!$G$11</definedName>
    <definedName name="broadcast_station_name7">Table24!$G$12</definedName>
    <definedName name="broadcast_station_name8">Table24!$G$13</definedName>
    <definedName name="broadcast_station_name9">Table24!$G$14</definedName>
    <definedName name="broadcast_station_ntc_licensenum1">Table24!$Q$6</definedName>
    <definedName name="broadcast_station_ntc_licensenum2">Table24!$Q$7</definedName>
    <definedName name="broadcast_station_ntc_licensenum3">Table24!$Q$8</definedName>
    <definedName name="broadcast_station_ntc_licensenum4">Table24!$Q$9</definedName>
    <definedName name="broadcast_station_ntc_licensenum5">Table24!$Q$10</definedName>
    <definedName name="broadcast_station_ntc_licensenum6">Table24!$Q$11</definedName>
    <definedName name="broadcast_station_ntc_licensenum7">Table24!$Q$12</definedName>
    <definedName name="broadcast_station_ntc_licensenum8">Table24!$Q$13</definedName>
    <definedName name="broadcast_station_ntc_licensenum9">Table24!$Q$14</definedName>
    <definedName name="broadcast_station_owner1">Table24!$V$6</definedName>
    <definedName name="broadcast_station_owner2">Table24!$V$7</definedName>
    <definedName name="broadcast_station_owner3">Table24!$V$8</definedName>
    <definedName name="broadcast_station_owner4">Table24!$V$9</definedName>
    <definedName name="broadcast_station_owner5">Table24!$V$10</definedName>
    <definedName name="broadcast_station_owner6">Table24!$V$11</definedName>
    <definedName name="broadcast_station_owner7">Table24!$V$12</definedName>
    <definedName name="broadcast_station_owner8">Table24!$V$13</definedName>
    <definedName name="broadcast_station_owner9">Table24!$V$14</definedName>
    <definedName name="broadcast_station_partner_address1">Table24!$AP$6</definedName>
    <definedName name="broadcast_station_partner_address2">Table24!$AP$7</definedName>
    <definedName name="broadcast_station_partner_address3">Table24!$AP$8</definedName>
    <definedName name="broadcast_station_partner_address4">Table24!$AP$9</definedName>
    <definedName name="broadcast_station_partner_address5">Table24!$AP$10</definedName>
    <definedName name="broadcast_station_partner_address6">Table24!$AP$11</definedName>
    <definedName name="broadcast_station_partner_address7">Table24!$AP$12</definedName>
    <definedName name="broadcast_station_partner_address8">Table24!$AP$13</definedName>
    <definedName name="broadcast_station_partner_address9">Table24!$AP$14</definedName>
    <definedName name="broadcast_station_partner_contact1">Table24!$AK$6</definedName>
    <definedName name="broadcast_station_partner_contact2">Table24!$AK$7</definedName>
    <definedName name="broadcast_station_partner_contact3">Table24!$AK$8</definedName>
    <definedName name="broadcast_station_partner_contact4">Table24!$AK$9</definedName>
    <definedName name="broadcast_station_partner_contact5">Table24!$AK$10</definedName>
    <definedName name="broadcast_station_partner_contact6">Table24!$AK$11</definedName>
    <definedName name="broadcast_station_partner_contact7">Table24!$AK$12</definedName>
    <definedName name="broadcast_station_partner_contact8">Table24!$AK$13</definedName>
    <definedName name="broadcast_station_partner_contact9">Table24!$AK$14</definedName>
    <definedName name="broadcast_station_partner_email1">Table24!$AU$6</definedName>
    <definedName name="broadcast_station_partner_email2">Table24!$AU$7</definedName>
    <definedName name="broadcast_station_partner_email3">Table24!$AU$8</definedName>
    <definedName name="broadcast_station_partner_email4">Table24!$AU$9</definedName>
    <definedName name="broadcast_station_partner_email5">Table24!$AU$10</definedName>
    <definedName name="broadcast_station_partner_email6">Table24!$AU$11</definedName>
    <definedName name="broadcast_station_partner_email7">Table24!$AU$12</definedName>
    <definedName name="broadcast_station_partner_email8">Table24!$AU$13</definedName>
    <definedName name="broadcast_station_partner_email9">Table24!$AU$14</definedName>
    <definedName name="broadcast_station_partner_status1">Table24!$AA$6</definedName>
    <definedName name="broadcast_station_partner_status2">Table24!$AA$7</definedName>
    <definedName name="broadcast_station_partner_status3">Table24!$AA$8</definedName>
    <definedName name="broadcast_station_partner_status4">Table24!$AA$9</definedName>
    <definedName name="broadcast_station_partner_status5">Table24!$AA$10</definedName>
    <definedName name="broadcast_station_partner_status6">Table24!$AA$11</definedName>
    <definedName name="broadcast_station_partner_status7">Table24!$AA$12</definedName>
    <definedName name="broadcast_station_partner_status8">Table24!$AA$13</definedName>
    <definedName name="broadcast_station_partner_status9">Table24!$AA$14</definedName>
    <definedName name="broadcast_station_type1">Table24!$B$6</definedName>
    <definedName name="broadcast_station_type2">Table24!$B$7</definedName>
    <definedName name="broadcast_station_type3">Table24!$B$8</definedName>
    <definedName name="broadcast_station_type4">Table24!$B$9</definedName>
    <definedName name="broadcast_station_type5">Table24!$B$10</definedName>
    <definedName name="broadcast_station_type6">Table24!$B$11</definedName>
    <definedName name="broadcast_station_type7">Table24!$B$12</definedName>
    <definedName name="broadcast_station_type8">Table24!$B$13</definedName>
    <definedName name="broadcast_station_type9">Table24!$B$14</definedName>
    <definedName name="CAR">list!$P$2:$P$9</definedName>
    <definedName name="CARAGA">list!$N$2:$N$13</definedName>
    <definedName name="cellcomm_avemonth_expense1">Table22!$AC$7</definedName>
    <definedName name="cellcomm_avemonth_expense2">Table22!$AC$10</definedName>
    <definedName name="cellcomm_avemonth_expense3">Table22!$AC$13</definedName>
    <definedName name="cellcomm_avemonth_expense4">Table22!$AC$16</definedName>
    <definedName name="cellcomm_avemonth_expense5">Table22!$AC$19</definedName>
    <definedName name="cellcomm_avemonth_expense6">Table22!$AC$22</definedName>
    <definedName name="cellcomm_cellserviceprovider1">Table22!$B$7</definedName>
    <definedName name="cellcomm_cellserviceprovider1_call">Table22!$J$8</definedName>
    <definedName name="cellcomm_cellserviceprovider1_image">Table22!$J$9</definedName>
    <definedName name="cellcomm_cellserviceprovider1_nosignal">Table22!$P$8</definedName>
    <definedName name="cellcomm_cellserviceprovider1_text">Table22!$J$7</definedName>
    <definedName name="cellcomm_cellserviceprovider1_vidcall">Table22!$P$7</definedName>
    <definedName name="cellcomm_cellserviceprovider2">Table22!$B$10</definedName>
    <definedName name="cellcomm_cellserviceprovider2_cal">Table22!$J$11</definedName>
    <definedName name="cellcomm_cellserviceprovider2_call">Table22!$J$11</definedName>
    <definedName name="cellcomm_cellserviceprovider2_image">Table22!$J$12</definedName>
    <definedName name="cellcomm_cellserviceprovider2_nosignal">Table22!$P$11</definedName>
    <definedName name="cellcomm_cellserviceprovider2_text">Table22!$J$10</definedName>
    <definedName name="cellcomm_cellserviceprovider2_vidcall">Table22!$P$10</definedName>
    <definedName name="cellcomm_cellserviceprovider3">Table22!$B$13</definedName>
    <definedName name="cellcomm_cellserviceprovider3_call">Table22!$J$14</definedName>
    <definedName name="cellcomm_cellserviceprovider3_image">Table22!$J$15</definedName>
    <definedName name="cellcomm_cellserviceprovider3_nosignal">Table22!$P$14</definedName>
    <definedName name="cellcomm_cellserviceprovider3_text">Table22!$J$13</definedName>
    <definedName name="cellcomm_cellserviceprovider3_vidcall">Table22!$P$13</definedName>
    <definedName name="cellcomm_cellserviceprovider4">Table22!$B$16</definedName>
    <definedName name="cellcomm_cellserviceprovider4_call">Table22!$J$17</definedName>
    <definedName name="cellcomm_cellserviceprovider4_image">Table22!$J$18</definedName>
    <definedName name="cellcomm_cellserviceprovider4_nosignal">Table22!$P$17</definedName>
    <definedName name="cellcomm_cellserviceprovider4_text">Table22!$J$16</definedName>
    <definedName name="cellcomm_cellserviceprovider4_vidcall">Table22!$P$16</definedName>
    <definedName name="cellcomm_cellserviceprovider5">Table22!$B$19</definedName>
    <definedName name="cellcomm_cellserviceprovider5_call">Table22!$J$20</definedName>
    <definedName name="cellcomm_cellserviceprovider5_image">Table22!$J$21</definedName>
    <definedName name="cellcomm_cellserviceprovider5_nosignal">Table22!$P$20</definedName>
    <definedName name="cellcomm_cellserviceprovider5_text">Table22!$J$19</definedName>
    <definedName name="cellcomm_cellserviceprovider5_vidcall">Table22!$P$19</definedName>
    <definedName name="cellcomm_cellserviceprovider6">Table22!$B$22</definedName>
    <definedName name="cellcomm_cellserviceprovider6_call">Table22!$J$23</definedName>
    <definedName name="cellcomm_cellserviceprovider6_image">Table22!$J$24</definedName>
    <definedName name="cellcomm_cellserviceprovider6_nosignal">Table22!$P$23</definedName>
    <definedName name="cellcomm_cellserviceprovider6_text">Table22!$J$22</definedName>
    <definedName name="cellcomm_cellserviceprovider6_vidcall">Table22!$P$22</definedName>
    <definedName name="cellcomm_funding_source1">Table22!$AK$7</definedName>
    <definedName name="cellcomm_funding_source2">Table22!$AK$10</definedName>
    <definedName name="cellcomm_funding_source3">Table22!$AK$13</definedName>
    <definedName name="cellcomm_funding_source4">Table22!$AK$16</definedName>
    <definedName name="cellcomm_funding_source5">Table22!$AK$19</definedName>
    <definedName name="cellcomm_funding_source6">Table22!$AK$22</definedName>
    <definedName name="cellcomm_type_wireless_conn1">Table22!$U$7</definedName>
    <definedName name="cellcomm_type_wireless_conn2">Table22!$U$10</definedName>
    <definedName name="cellcomm_type_wireless_conn3">Table22!$U$13</definedName>
    <definedName name="cellcomm_type_wireless_conn4">Table22!$U$16</definedName>
    <definedName name="cellcomm_type_wireless_conn5">Table22!$U$19</definedName>
    <definedName name="cellcomm_type_wireless_conn6">Table22!$U$22</definedName>
    <definedName name="cid_personnel_name">'Table18-Boxes1-2'!$AA$17</definedName>
    <definedName name="cid_personnel_pos">'Table18-Boxes1-2'!$AE$20</definedName>
    <definedName name="clinic_basiclifesupport_unit">'Table28d-Box11'!$X$31</definedName>
    <definedName name="clinic_bpapparatus_unit">'Table28d-Box11'!$X$30</definedName>
    <definedName name="clinic_designated_teacher_yes">'Table28d-Box11'!$V$14</definedName>
    <definedName name="clinic_designated_yes">'Table28d-Box11'!$V$12</definedName>
    <definedName name="clinic_firstaidkits_unit">'Table28d-Box11'!$X$28</definedName>
    <definedName name="clinic_thermometers_unit">'Table28d-Box11'!$X$29</definedName>
    <definedName name="clinic_tools_microtoise">'Table28d-Box11'!$R$26</definedName>
    <definedName name="clinic_tools_others">'Table28d-Box11'!$AA$26</definedName>
    <definedName name="clinic_tools_others_value">'Table28d-Box11'!$AF$26</definedName>
    <definedName name="clinic_tools_stadiometer">'Table28d-Box11'!$R$27</definedName>
    <definedName name="clinic_tools_steeltape">'Table28d-Box11'!$H$27</definedName>
    <definedName name="clinic_tools_tapemeasure">'Table28d-Box11'!$H$26</definedName>
    <definedName name="clinic_weighing_bathroom_units">'Table28d-Box11'!$S$20</definedName>
    <definedName name="clinic_weighing_beambalance_units">'Table28d-Box11'!$S$21</definedName>
    <definedName name="clinic_weighing_other">'Table28d-Box11'!$K$22</definedName>
    <definedName name="clinic_weighing_other_units">'Table28d-Box11'!$S$22</definedName>
    <definedName name="combo_avemonthlyexpense_fundingsource1">'Box6-Table21'!$AI$26</definedName>
    <definedName name="combo_avemonthlyexpense_fundingsource2">'Box6-Table21'!$AI$27</definedName>
    <definedName name="combo_avemonthlyexpense_fundingsource3">'Box6-Table21'!$AI$28</definedName>
    <definedName name="combo_avemonthlyexpense_fundingsource4">'Box6-Table21'!$AI$29</definedName>
    <definedName name="combo_avemonthlyexpense_fundingsource5">'Box6-Table21'!$AI$30</definedName>
    <definedName name="combo_avemonthlyexpense_internetserviceprovider1">'Box6-Table21'!$M$26</definedName>
    <definedName name="combo_avemonthlyexpense_internetserviceprovider2">'Box6-Table21'!$M$27</definedName>
    <definedName name="combo_avemonthlyexpense_internetserviceprovider3">'Box6-Table21'!$M$28</definedName>
    <definedName name="combo_avemonthlyexpense_internetserviceprovider4">'Box6-Table21'!$M$29</definedName>
    <definedName name="combo_avemonthlyexpense_internetserviceprovider5">'Box6-Table21'!$M$30</definedName>
    <definedName name="combo_avemontlyexpense_typesofinternet1">'Box6-Table21'!$B$26</definedName>
    <definedName name="combo_avemontlyexpense_typesofinternet2">'Box6-Table21'!$B$27</definedName>
    <definedName name="combo_avemontlyexpense_typesofinternet3">'Box6-Table21'!$B$28</definedName>
    <definedName name="combo_avemontlyexpense_typesofinternet4">'Box6-Table21'!$B$29</definedName>
    <definedName name="combo_avemontlyexpense_typesofinternet5">'Box6-Table21'!$B$30</definedName>
    <definedName name="cp_inc_bullying_cyber_lrnrs_f">'Box26'!$P$10</definedName>
    <definedName name="cp_inc_bullying_cyber_lrnrs_m">'Box26'!$J$10</definedName>
    <definedName name="cp_inc_bullying_due_age_g1">'Box26'!$N$34</definedName>
    <definedName name="cp_inc_bullying_due_age_g2">'Box26'!$R$34</definedName>
    <definedName name="cp_inc_bullying_due_age_g3">'Box26'!$V$34</definedName>
    <definedName name="cp_inc_bullying_due_age_g4">'Box26'!$Z$34</definedName>
    <definedName name="cp_inc_bullying_due_age_g5">'Box26'!$AD$34</definedName>
    <definedName name="cp_inc_bullying_due_age_g6">'Box26'!$AH$34</definedName>
    <definedName name="cp_inc_bullying_due_age_k">'Box26'!$J$34</definedName>
    <definedName name="cp_inc_bullying_due_disability_g1">'Box26'!$N$38</definedName>
    <definedName name="cp_inc_bullying_due_disability_g2">'Box26'!$R$38</definedName>
    <definedName name="cp_inc_bullying_due_disability_g3">'Box26'!$V$38</definedName>
    <definedName name="cp_inc_bullying_due_disability_g4">'Box26'!$Z$38</definedName>
    <definedName name="cp_inc_bullying_due_disability_g5">'Box26'!$AD$38</definedName>
    <definedName name="cp_inc_bullying_due_disability_g6">'Box26'!$AH$38</definedName>
    <definedName name="cp_inc_bullying_due_disability_k">'Box26'!$J$38</definedName>
    <definedName name="cp_inc_bullying_due_gender_g1">'Box26'!$N$35</definedName>
    <definedName name="cp_inc_bullying_due_gender_g2">'Box26'!$R$35</definedName>
    <definedName name="cp_inc_bullying_due_gender_g3">'Box26'!$V$35</definedName>
    <definedName name="cp_inc_bullying_due_gender_g4">'Box26'!$Z$35</definedName>
    <definedName name="cp_inc_bullying_due_gender_g5">'Box26'!$AD$35</definedName>
    <definedName name="cp_inc_bullying_due_gender_g6">'Box26'!$AH$35</definedName>
    <definedName name="cp_inc_bullying_due_gender_k">'Box26'!$J$35</definedName>
    <definedName name="cp_inc_bullying_due_others_g1">'Box26'!$N$39</definedName>
    <definedName name="cp_inc_bullying_due_others_g2">'Box26'!$R$39</definedName>
    <definedName name="cp_inc_bullying_due_others_g3">'Box26'!$V$39</definedName>
    <definedName name="cp_inc_bullying_due_others_g4">'Box26'!$Z$39</definedName>
    <definedName name="cp_inc_bullying_due_others_g5">'Box26'!$AD$39</definedName>
    <definedName name="cp_inc_bullying_due_others_g6">'Box26'!$AH$39</definedName>
    <definedName name="cp_inc_bullying_due_others_k">'Box26'!$J$39</definedName>
    <definedName name="cp_inc_bullying_due_physapp_g1">'Box26'!$N$31</definedName>
    <definedName name="cp_inc_bullying_due_physapp_g2">'Box26'!$R$31</definedName>
    <definedName name="cp_inc_bullying_due_physapp_g3">'Box26'!$V$31</definedName>
    <definedName name="cp_inc_bullying_due_physapp_g4">'Box26'!$Z$31</definedName>
    <definedName name="cp_inc_bullying_due_physapp_g5">'Box26'!$AD$31</definedName>
    <definedName name="cp_inc_bullying_due_physapp_g6">'Box26'!$AH$31</definedName>
    <definedName name="cp_inc_bullying_due_physapp_k">'Box26'!$J$31</definedName>
    <definedName name="cp_inc_bullying_due_race_g1">'Box26'!$N$36</definedName>
    <definedName name="cp_inc_bullying_due_race_g2">'Box26'!$R$36</definedName>
    <definedName name="cp_inc_bullying_due_race_g3">'Box26'!$V$36</definedName>
    <definedName name="cp_inc_bullying_due_race_g4">'Box26'!$Z$36</definedName>
    <definedName name="cp_inc_bullying_due_race_g5">'Box26'!$AD$36</definedName>
    <definedName name="cp_inc_bullying_due_race_g6">'Box26'!$AH$36</definedName>
    <definedName name="cp_inc_bullying_due_race_k">'Box26'!$J$36</definedName>
    <definedName name="cp_inc_bullying_due_religion_g1">'Box26'!$N$37</definedName>
    <definedName name="cp_inc_bullying_due_religion_g2">'Box26'!$R$37</definedName>
    <definedName name="cp_inc_bullying_due_religion_g3">'Box26'!$V$37</definedName>
    <definedName name="cp_inc_bullying_due_religion_g4">'Box26'!$Z$37</definedName>
    <definedName name="cp_inc_bullying_due_religion_g5">'Box26'!$AD$37</definedName>
    <definedName name="cp_inc_bullying_due_religion_g6">'Box26'!$AH$37</definedName>
    <definedName name="cp_inc_bullying_due_religion_k">'Box26'!$J$37</definedName>
    <definedName name="cp_inc_bullying_due_skincolor_g1">'Box26'!$N$33</definedName>
    <definedName name="cp_inc_bullying_due_skincolor_g2">'Box26'!$R$33</definedName>
    <definedName name="cp_inc_bullying_due_skincolor_g3">'Box26'!$V$33</definedName>
    <definedName name="cp_inc_bullying_due_skincolor_g4">'Box26'!$Z$33</definedName>
    <definedName name="cp_inc_bullying_due_skincolor_g5">'Box26'!$AD$33</definedName>
    <definedName name="cp_inc_bullying_due_skincolor_g6">'Box26'!$AH$33</definedName>
    <definedName name="cp_inc_bullying_due_skincolor_k">'Box26'!$J$33</definedName>
    <definedName name="cp_inc_bullying_due_statinlife_g1">'Box26'!$N$32</definedName>
    <definedName name="cp_inc_bullying_due_statinlife_g2">'Box26'!$R$32</definedName>
    <definedName name="cp_inc_bullying_due_statinlife_g3">'Box26'!$V$32</definedName>
    <definedName name="cp_inc_bullying_due_statinlife_g4">'Box26'!$Z$32</definedName>
    <definedName name="cp_inc_bullying_due_statinlife_g5">'Box26'!$AD$32</definedName>
    <definedName name="cp_inc_bullying_due_statinlife_g6">'Box26'!$AH$32</definedName>
    <definedName name="cp_inc_bullying_due_statinlife_k">'Box26'!$J$32</definedName>
    <definedName name="cp_inc_bullying_g1_f">'Box26'!$P$19</definedName>
    <definedName name="cp_inc_bullying_g1_m">'Box26'!$J$19</definedName>
    <definedName name="cp_inc_bullying_g2_f">'Box26'!$P$20</definedName>
    <definedName name="cp_inc_bullying_g2_m">'Box26'!$J$20</definedName>
    <definedName name="cp_inc_bullying_g3_f">'Box26'!$P$21</definedName>
    <definedName name="cp_inc_bullying_g3_m">'Box26'!$J$21</definedName>
    <definedName name="cp_inc_bullying_g4_f">'Box26'!$P$22</definedName>
    <definedName name="cp_inc_bullying_g4_m">'Box26'!$J$22</definedName>
    <definedName name="cp_inc_bullying_g5_f">'Box26'!$P$23</definedName>
    <definedName name="cp_inc_bullying_g5_m">'Box26'!$J$23</definedName>
    <definedName name="cp_inc_bullying_g6_f">'Box26'!$P$24</definedName>
    <definedName name="cp_inc_bullying_g6_m">'Box26'!$J$24</definedName>
    <definedName name="cp_inc_bullying_genderbased_lrnrs_f">'Box26'!$P$11</definedName>
    <definedName name="cp_inc_bullying_genderbased_lrnrs_m">'Box26'!$J$11</definedName>
    <definedName name="cp_inc_bullying_k_f">'Box26'!$P$18</definedName>
    <definedName name="cp_inc_bullying_k_m">'Box26'!$J$18</definedName>
    <definedName name="cp_inc_bullying_physical_lrnrs_f">'Box26'!$P$9</definedName>
    <definedName name="cp_inc_bullying_physical_lrnrs_m">'Box26'!$J$9</definedName>
    <definedName name="cp_inc_bullying_social_lrnrs_f">'Box26'!$P$12</definedName>
    <definedName name="cp_inc_bullying_social_lrnrs_m">'Box26'!$J$12</definedName>
    <definedName name="cp_inc_vag_g1_f">'Boxes24-25'!$Q$29</definedName>
    <definedName name="cp_inc_vag_g1_m">'Boxes24-25'!$K$29</definedName>
    <definedName name="cp_inc_vag_g2_f">'Boxes24-25'!$Q$30</definedName>
    <definedName name="cp_inc_vag_g2_m">'Boxes24-25'!$K$30</definedName>
    <definedName name="cp_inc_vag_g3_f">'Boxes24-25'!$Q$31</definedName>
    <definedName name="cp_inc_vag_g3_m">'Boxes24-25'!$K$31</definedName>
    <definedName name="cp_inc_vag_g4_f">'Boxes24-25'!$Q$32</definedName>
    <definedName name="cp_inc_vag_g4_m">'Boxes24-25'!$K$32</definedName>
    <definedName name="cp_inc_vag_g5_f">'Boxes24-25'!$Q$33</definedName>
    <definedName name="cp_inc_vag_g5_m">'Boxes24-25'!$K$33</definedName>
    <definedName name="cp_inc_vag_g6_f">'Boxes24-25'!$Q$34</definedName>
    <definedName name="cp_inc_vag_g6_m">'Boxes24-25'!$K$34</definedName>
    <definedName name="cp_inc_vag_k_f">'Boxes24-25'!$Q$28</definedName>
    <definedName name="cp_inc_vag_k_m">'Boxes24-25'!$K$28</definedName>
    <definedName name="cp_inc_violence_others_lrnrs_f">'Boxes24-25'!$Q$22</definedName>
    <definedName name="cp_inc_violence_others_lrnrs_m">'Boxes24-25'!$K$22</definedName>
    <definedName name="cp_inc_violence_physical_lrnrs_f">'Boxes24-25'!$Q$19</definedName>
    <definedName name="cp_inc_violence_physical_lrnrs_m">'Boxes24-25'!$K$19</definedName>
    <definedName name="cp_inc_violence_psychological_lrnrs_f">'Boxes24-25'!$Q$21</definedName>
    <definedName name="cp_inc_violence_psychological_lrnrs_m">'Boxes24-25'!$K$21</definedName>
    <definedName name="cp_inc_violence_sexual_lrnrs_f">'Boxes24-25'!$Q$20</definedName>
    <definedName name="cp_inc_violence_sexual_lrnrs_m">'Boxes24-25'!$K$20</definedName>
    <definedName name="cp_perp_violence_others_outsider">'Boxes24-25'!$AI$22</definedName>
    <definedName name="cp_perp_violence_others_schpersonnel">'Boxes24-25'!$AC$22</definedName>
    <definedName name="cp_perp_violence_physical_outsider">'Boxes24-25'!$AI$19</definedName>
    <definedName name="cp_perp_violence_physical_schpersonnel">'Boxes24-25'!$AC$19</definedName>
    <definedName name="cp_perp_violence_psychological_outsider">'Boxes24-25'!$AI$21</definedName>
    <definedName name="cp_perp_violence_psychological_schpersonnel">'Boxes24-25'!$AC$21</definedName>
    <definedName name="cp_perp_violence_sexual_outsider">'Boxes24-25'!$AI$20</definedName>
    <definedName name="cp_perp_violence_sexual_schpersonnel">'Boxes24-25'!$AC$20</definedName>
    <definedName name="curri_guide_ccam_als">'Box31_Parts1-2'!$H$32</definedName>
    <definedName name="curri_guide_ccam_contents">'Box31_Parts1-2'!$M$32</definedName>
    <definedName name="curri_guide_ccam_context_lr">'Box31_Parts1-2'!$P$32</definedName>
    <definedName name="curri_guide_ccam_iped">'Box31_Parts1-2'!$F$32</definedName>
    <definedName name="curri_guide_ccam_learningcomp">'Box31_Parts1-2'!$J$32</definedName>
    <definedName name="curri_guide_ccam_sped">'Box31_Parts1-2'!$E$32</definedName>
    <definedName name="curri_guide_drrm_als">'Box31_Parts1-2'!$H$31</definedName>
    <definedName name="curri_guide_drrm_contents">'Box31_Parts1-2'!$M$31</definedName>
    <definedName name="curri_guide_drrm_context_lr">'Box31_Parts1-2'!$P$31</definedName>
    <definedName name="curri_guide_drrm_iped">'Box31_Parts1-2'!$F$31</definedName>
    <definedName name="curri_guide_drrm_learningcomp">'Box31_Parts1-2'!$J$31</definedName>
    <definedName name="curri_guide_drrm_sped">'Box31_Parts1-2'!$E$31</definedName>
    <definedName name="curri_guide_pbuilding_als">'Box31_Parts1-2'!$H$33</definedName>
    <definedName name="curri_guide_pbuilding_contents">'Box31_Parts1-2'!$M$33</definedName>
    <definedName name="curri_guide_pbuilding_context_lr">'Box31_Parts1-2'!$P$33</definedName>
    <definedName name="curri_guide_pbuilding_iped">'Box31_Parts1-2'!$F$33</definedName>
    <definedName name="curri_guide_pbuilding_learningcomp">'Box31_Parts1-2'!$J$33</definedName>
    <definedName name="curri_guide_pbuilding_sped">'Box31_Parts1-2'!$E$33</definedName>
    <definedName name="deps_lrdms">'Table26-Box7'!$V$45</definedName>
    <definedName name="deps_lrdms_pos">'Table26-Box7'!$Z$47</definedName>
    <definedName name="disastercalamities_human_induced_others_specify">Table34!$C$31</definedName>
    <definedName name="div_alive_coor_name">'Tables7,8,9'!$AG$30</definedName>
    <definedName name="div_alive_coor_pos">'Tables7,8,9'!$AK$32</definedName>
    <definedName name="div_hr_personnel_name">Table6!$S$27</definedName>
    <definedName name="div_hr_personnel_pos">Table6!$W$29</definedName>
    <definedName name="div_ito_name">'Table19 '!$S$39</definedName>
    <definedName name="div_yfc_name">'Boxes3-5'!$P$54</definedName>
    <definedName name="div_yfc_pos">'Boxes3-5'!$T$56</definedName>
    <definedName name="do_accountant_name">'Table27-Box8'!$B$25</definedName>
    <definedName name="do_accountant_pos">'Table27-Box8'!$F$27</definedName>
    <definedName name="do_cp_focal_name">'Boxes24-25'!$P$43</definedName>
    <definedName name="do_cp_focal_pos_title">'Boxes24-25'!$T$45</definedName>
    <definedName name="do_iped_focal_name">'Box32'!$T$53</definedName>
    <definedName name="do_iped_focal_pos_title">'Box32'!$X$55</definedName>
    <definedName name="do_sports_coordinator_name">Table33!$O$44</definedName>
    <definedName name="do_sports_coordinator_pos">Table33!$S$46</definedName>
    <definedName name="drrm_cca_policies_dm084_2019">'Box28_part1 '!$D$20</definedName>
    <definedName name="drrm_cca_policies_dm221_2013">'Box28_part1 '!$D$26</definedName>
    <definedName name="drrm_cca_policies_do21_2015">'Box28_part1 '!$D$13</definedName>
    <definedName name="drrm_cca_policies_do23_2015">'Box28_part1 '!$D$14</definedName>
    <definedName name="drrm_cca_policies_do24_2021">'Box28_part1 '!$D$18</definedName>
    <definedName name="drrm_cca_policies_do27_2015">'Box28_part1 '!$D$15</definedName>
    <definedName name="drrm_cca_policies_do28_2016">'Box28_part1 '!$D$17</definedName>
    <definedName name="drrm_cca_policies_do32_2019">'Box28_part1 '!$D$25</definedName>
    <definedName name="drrm_cca_policies_do33_2021">'Box28_part1 '!$D$19</definedName>
    <definedName name="drrm_cca_policies_do37_2015">'Box28_part1 '!$D$16</definedName>
    <definedName name="drrm_cca_policies_do40_2012">'Box28_part1 '!$D$23</definedName>
    <definedName name="drrm_cca_policies_do43_2012">'Box28_part1 '!$D$12</definedName>
    <definedName name="drrm_cca_policies_do44_2005">'Box28_part1 '!$D$22</definedName>
    <definedName name="drrm_cca_policies_do57_2017">'Box28_part1 '!$D$24</definedName>
    <definedName name="drrm_cca_policies_do82_2010">'Box28_part1 '!$D$10</definedName>
    <definedName name="drrm_cca_policies_do83_2011">'Box28_part1 '!$D$11</definedName>
    <definedName name="drrm_ccam_cost_of_ppas">Box28_part2_4!$P$27</definedName>
    <definedName name="drrm_ccam_no_of_ppas">Box28_part2_4!$M$27</definedName>
    <definedName name="drrm_ccam_percent_sch_budget">Box28_part2_4!$S$27</definedName>
    <definedName name="drrm_coordinator_name">Table34!$Q$37</definedName>
    <definedName name="drrm_coordinator_pos">Table34!$U$39</definedName>
    <definedName name="drrm_dim_evidence_based_drrmccampbp">Box28_part2_4!$AB$40</definedName>
    <definedName name="drrm_dim_personnel_trained_nteaching_f">Box28_part2_4!$M$36</definedName>
    <definedName name="drrm_dim_personnel_trained_nteaching_m">Box28_part2_4!$J$36</definedName>
    <definedName name="drrm_dim_personnel_trained_teaching_f">Box28_part2_4!$G$36</definedName>
    <definedName name="drrm_dim_personnel_trained_teaching_m">Box28_part2_4!$D$36</definedName>
    <definedName name="drrm_dim_programs_developed_based_research">Box28_part2_4!$AB$42</definedName>
    <definedName name="drrm_dim_trainings_for_teaching_nteaching_data_mgmt">Box28_part2_4!$AB$38</definedName>
    <definedName name="drrm_dim_used_drrmccampbp_software_datacollect_chk">Box28_part2_4!$D$44</definedName>
    <definedName name="drrm_documented_practices_drrmccam">Box28_part5!$J$12</definedName>
    <definedName name="drrm_documented_practices_pbuilding">Box28_part5!$P$12</definedName>
    <definedName name="drrm_drrm_cost_of_ppas">Box28_part2_4!$G$27</definedName>
    <definedName name="drrm_drrm_no_of_ppas">Box28_part2_4!$D$27</definedName>
    <definedName name="drrm_drrm_percent_sch_budget">Box28_part2_4!$J$27</definedName>
    <definedName name="drrm_learner_participated_drrmccampbp_exclude_f">Box28_part2_4!$G$15</definedName>
    <definedName name="drrm_learner_participated_drrmccampbp_exclude_m">Box28_part2_4!$D$15</definedName>
    <definedName name="drrm_learner_participated_drrmccampbp_ip_f">Box28_part2_4!$M$15</definedName>
    <definedName name="drrm_learner_participated_drrmccampbp_ip_m">Box28_part2_4!$J$15</definedName>
    <definedName name="drrm_learner_participated_drrmccampbp_lwd_f">Box28_part2_4!$Y$15</definedName>
    <definedName name="drrm_learner_participated_drrmccampbp_lwd_m">Box28_part2_4!$V$15</definedName>
    <definedName name="drrm_learner_participated_drrmccampbp_muslim_f">Box28_part2_4!$S$15</definedName>
    <definedName name="drrm_learner_participated_drrmccampbp_muslim_m">Box28_part2_4!$P$15</definedName>
    <definedName name="drrm_number_of_schoollevelpolicy_learners">'Box28_part1 '!$D$37</definedName>
    <definedName name="drrm_number_of_schoollevelpolicy_lgu">'Box28_part1 '!$S$37</definedName>
    <definedName name="drrm_number_of_schoollevelpolicy_ngo">'Box28_part1 '!$X$37</definedName>
    <definedName name="drrm_number_of_schoollevelpolicy_parents">'Box28_part1 '!$N$37</definedName>
    <definedName name="drrm_number_of_schoollevelpolicy_schpersonnel">'Box28_part1 '!$I$37</definedName>
    <definedName name="drrm_pbuild_cost_of_ppas">Box28_part2_4!$Y$27</definedName>
    <definedName name="drrm_pbuild_no_of_ppas">Box28_part2_4!$V$27</definedName>
    <definedName name="drrm_pbuild_percent_sch_budget">Box28_part2_4!$AB$27</definedName>
    <definedName name="drrm_policy_learner_exclude_f">'Box28_part1 '!$G$31</definedName>
    <definedName name="drrm_policy_learner_exclude_m">'Box28_part1 '!$D$31</definedName>
    <definedName name="drrm_policy_learner_ip_f">'Box28_part1 '!$M$31</definedName>
    <definedName name="drrm_policy_learner_ip_m">'Box28_part1 '!$J$31</definedName>
    <definedName name="drrm_policy_learner_lwd_f">'Box28_part1 '!$Y$31</definedName>
    <definedName name="drrm_policy_learner_lwd_m">'Box28_part1 '!$V$31</definedName>
    <definedName name="drrm_policy_learner_muslim_f">'Box28_part1 '!$S$31</definedName>
    <definedName name="drrm_policy_learner_muslim_m">'Box28_part1 '!$P$31</definedName>
    <definedName name="drrm_programs_developed_resultof_monitoring_evaluation_chk">Box28_part5!$AB$14</definedName>
    <definedName name="drrm_sch_compre_drrm_ccam_pbp_chk">Box28_part2_4!$D$4</definedName>
    <definedName name="drrm_sch_compre_drrm_ccam_pbp_chk2">Box28_part2_4!$D$10</definedName>
    <definedName name="drrm_sch_designated_drrm_coor_chk">Box28_part2_4!$D$23</definedName>
    <definedName name="drrm_sch_drrmccampbp_consider_iksp_chk">Box28_part2_4!$D$8</definedName>
    <definedName name="drrm_sch_drrmccampbp_consider_lwd_chk">Box28_part2_4!$D$7</definedName>
    <definedName name="drrm_sch_drrmccampbp_develop_chk_extpartners">Box28_part2_4!$W$6</definedName>
    <definedName name="drrm_sch_drrmccampbp_develop_chk_lgu">Box28_part2_4!$S$6</definedName>
    <definedName name="drrm_sch_drrmccampbp_develop_chk_parents">Box28_part2_4!$N$6</definedName>
    <definedName name="drrm_sch_drrmccampbp_develop_chk_schpersonnel">Box28_part2_4!$G$6</definedName>
    <definedName name="drrm_sch_drrmccampbp_gender_sensitive_chk">Box28_part2_4!$D$9</definedName>
    <definedName name="drrm_sch_functional_drrm_team_chk">Box28_part2_4!$D$22</definedName>
    <definedName name="drrm_sch_monitoring_evaluation_implementing_drrmccampbp_chk">Box28_part5!$D$4</definedName>
    <definedName name="drrm_sch_use_css_monitoring_chk">Box28_part5!$D$6</definedName>
    <definedName name="electrical_funding_source_mooe">'Table27-Box8'!$AB$14</definedName>
    <definedName name="electrical_funding_source_others">'Table27-Box8'!$AH$16</definedName>
    <definedName name="electrical_funding_source_others_specify">'Table27-Box8'!$AM$16</definedName>
    <definedName name="electrical_funding_source_private">'Table27-Box8'!$AH$15</definedName>
    <definedName name="electrical_funding_sources_canteen">'Table27-Box8'!$AH$14</definedName>
    <definedName name="electrical_funding_sources_lgu">'Table27-Box8'!$AB$15</definedName>
    <definedName name="electrical_funding_sources_pta">'Table27-Box8'!$AB$16</definedName>
    <definedName name="electrical_no_sources">'Table27-Box8'!$AB$11</definedName>
    <definedName name="electrical_offgrid_generator">'Table27-Box8'!$AE$9</definedName>
    <definedName name="electrical_offgrid_others">'Table27-Box8'!$AE$10</definedName>
    <definedName name="electrical_offgrid_others_specify">'Table27-Box8'!$AJ$10</definedName>
    <definedName name="electrical_offgrid_solar_power">'Table27-Box8'!$AE$8</definedName>
    <definedName name="electrical_supply_sources_grid">'Table27-Box8'!$AB$6</definedName>
    <definedName name="electrical_supply_sources_offgrid">'Table27-Box8'!$AB$7</definedName>
    <definedName name="electricity_available_inaday_hours">'Table27-Box8'!$AN$17</definedName>
    <definedName name="es_sch_ws_ifyes_chk_natural">'Box12-Table29'!$N$10</definedName>
    <definedName name="es_sped_coordinator_name">'Table1-2'!$AA$50</definedName>
    <definedName name="es_sped_coordinator_pos">'Table1-2'!$AE$52</definedName>
    <definedName name="feeding_agriculture_agicrops">'Boxes17,18,19,20'!$F$36</definedName>
    <definedName name="feeding_agriculture_fishpond">'Boxes17,18,19,20'!$F$35</definedName>
    <definedName name="feeding_agriculture_gulayan">'Boxes17,18,19,20'!$F$33</definedName>
    <definedName name="feeding_agriculture_gulayan_fruits">'Boxes17,18,19,20'!$U$34</definedName>
    <definedName name="feeding_agriculture_gulayan_legumes">'Boxes17,18,19,20'!$I$34</definedName>
    <definedName name="feeding_agriculture_gulayan_rootcrops">'Boxes17,18,19,20'!$AA$34</definedName>
    <definedName name="feeding_agriculture_gulayan_vegetables">'Boxes17,18,19,20'!$N$34</definedName>
    <definedName name="feeding_agriculture_livestock">'Boxes17,18,19,20'!$F$37</definedName>
    <definedName name="feeding_agriculture_none">'Boxes17,18,19,20'!$F$39</definedName>
    <definedName name="feeding_agriculture_others">'Boxes17,18,19,20'!$F$38</definedName>
    <definedName name="feeding_agriculture_others_values">'Boxes17,18,19,20'!$K$38</definedName>
    <definedName name="feeding_agriculture_used_fund_barangay">'Boxes17,18,19,20'!$U$42</definedName>
    <definedName name="feeding_agriculture_used_fund_canteen">'Boxes17,18,19,20'!$F$43</definedName>
    <definedName name="feeding_agriculture_used_fund_lgu">'Boxes17,18,19,20'!$F$45</definedName>
    <definedName name="feeding_agriculture_used_fund_mooe">'Boxes17,18,19,20'!$F$42</definedName>
    <definedName name="feeding_agriculture_used_fund_others">'Boxes17,18,19,20'!$U$45</definedName>
    <definedName name="feeding_agriculture_used_fund_others_value">'Boxes17,18,19,20'!$Z$45</definedName>
    <definedName name="feeding_agriculture_used_fund_privatesector">'Boxes17,18,19,20'!$U$43</definedName>
    <definedName name="feeding_agriculture_used_fund_pta">'Boxes17,18,19,20'!$F$46</definedName>
    <definedName name="feeding_agriculture_used_has_yes">'Boxes17,18,19,20'!$U$40</definedName>
    <definedName name="feeding_school_fund_barangay">'Boxes17,18,19,20'!$U$27</definedName>
    <definedName name="feeding_school_fund_canteen">'Boxes17,18,19,20'!$F$28</definedName>
    <definedName name="feeding_school_fund_lgu">'Boxes17,18,19,20'!$F$30</definedName>
    <definedName name="feeding_school_fund_mooe">'Boxes17,18,19,20'!$F$27</definedName>
    <definedName name="feeding_school_fund_others">'Boxes17,18,19,20'!$U$31</definedName>
    <definedName name="feeding_school_fund_others_value">'Boxes17,18,19,20'!$Z$31</definedName>
    <definedName name="feeding_school_fund_privatesector">'Boxes17,18,19,20'!$U$28</definedName>
    <definedName name="feeding_school_fund_pta">'Boxes17,18,19,20'!$F$31</definedName>
    <definedName name="feeding_school_fund_sbfp">'Boxes17,18,19,20'!$U$30</definedName>
    <definedName name="feeding_school_has_yes">'Boxes17,18,19,20'!$P$25</definedName>
    <definedName name="handling_canteen_others_healthcertificate_yes">'Boxes17,18,19,20'!$AD$60</definedName>
    <definedName name="handling_canteen_school_healthcertificate_yes">'Boxes17,18,19,20'!$AD$55</definedName>
    <definedName name="handling_canteen_teachercoop_healthcertificate_yes">'Boxes17,18,19,20'!$AD$57</definedName>
    <definedName name="handling_school_canteen_has_yes">'Boxes17,18,19,20'!$M$52</definedName>
    <definedName name="handling_school_canteen_managed_others">'Boxes17,18,19,20'!$E$59</definedName>
    <definedName name="handling_school_canteen_managed_others_sanitarypermit">'Boxes17,18,19,20'!$N$60</definedName>
    <definedName name="handling_school_canteen_managed_others_validity">'Boxes17,18,19,20'!$V$60</definedName>
    <definedName name="handling_school_canteen_managed_others_value">'Boxes17,18,19,20'!$F$60</definedName>
    <definedName name="handling_school_canteen_managed_school">'Boxes17,18,19,20'!$E$55</definedName>
    <definedName name="handling_school_canteen_managed_school_sanitarypermit">'Boxes17,18,19,20'!$N$55</definedName>
    <definedName name="handling_school_canteen_managed_school_validity">'Boxes17,18,19,20'!$V$55</definedName>
    <definedName name="handling_school_canteen_managed_teachercoop">'Boxes17,18,19,20'!$E$57</definedName>
    <definedName name="handling_school_canteen_managed_teachercoop_sanitarypermit">'Boxes17,18,19,20'!$N$57</definedName>
    <definedName name="handling_school_canteen_managed_teachercoop_validity">'Boxes17,18,19,20'!$V$57</definedName>
    <definedName name="head_name">'SchInfo '!$F$39</definedName>
    <definedName name="head_pos_title">'SchInfo '!$F$41</definedName>
    <definedName name="I">list!$A$2:$A$15</definedName>
    <definedName name="II">list!$B$2:$B$10</definedName>
    <definedName name="III">list!$C$2:$C$21</definedName>
    <definedName name="implesolidwm_composting">'Boxes21,22,23'!$I$8</definedName>
    <definedName name="implesolidwm_dtcp">'Boxes21,22,23'!$I$9</definedName>
    <definedName name="implesolidwm_pmsmcon">'Boxes21,22,23'!$I$10</definedName>
    <definedName name="implesolidwm_postsign">'Boxes21,22,23'!$U$8</definedName>
    <definedName name="implesolidwm_recyclingpr">'Boxes21,22,23'!$U$9</definedName>
    <definedName name="implesolidwm_urfc">'Boxes21,22,23'!$AG$10</definedName>
    <definedName name="implesolidwm_usppcip">'Boxes21,22,23'!$AG$8</definedName>
    <definedName name="implesolidwm_usrmtt">'Boxes21,22,23'!$AG$9</definedName>
    <definedName name="implesolidwm_wasteseg">'Boxes21,22,23'!$AG$11</definedName>
    <definedName name="implesolidwmes_schrbs">'Boxes21,22,23'!$U$10</definedName>
    <definedName name="implesolidwn_stakeholder_brgy">'Boxes21,22,23'!$I$14</definedName>
    <definedName name="implesolidwn_stakeholder_commulead">'Boxes21,22,23'!$I$15</definedName>
    <definedName name="implesolidwn_stakeholder_localbusp">'Boxes21,22,23'!$U$14</definedName>
    <definedName name="implesolidwn_stakeholder_mun_city">'Boxes21,22,23'!$U$15</definedName>
    <definedName name="implesolidwn_stakeholder_parents">'Boxes21,22,23'!$AG$14</definedName>
    <definedName name="IVA">list!$D$2:$D$23</definedName>
    <definedName name="IVB">list!$E$2:$E$8</definedName>
    <definedName name="IX">list!$J$2:$J$9</definedName>
    <definedName name="lac_session_current_sy">'Table18-Boxes1-2'!$S$20</definedName>
    <definedName name="lac_session_prev_sy">'Table18-Boxes1-2'!$S$19</definedName>
    <definedName name="lac_session_yes">'Table18-Boxes1-2'!$R$17</definedName>
    <definedName name="learners_participated_iec_codevelop_exclude_f">'Box31_Parts1-2'!$F$50</definedName>
    <definedName name="learners_participated_iec_codevelop_exclude_m">'Box31_Parts1-2'!$E$50</definedName>
    <definedName name="learners_participated_iec_codevelop_ip_f">'Box31_Parts1-2'!$J$50</definedName>
    <definedName name="learners_participated_iec_codevelop_ip_m">'Box31_Parts1-2'!$H$50</definedName>
    <definedName name="learners_participated_iec_codevelop_lwd_f">'Box31_Parts1-2'!$R$50</definedName>
    <definedName name="learners_participated_iec_codevelop_lwd_m">'Box31_Parts1-2'!$P$50</definedName>
    <definedName name="learners_participated_iec_codevelop_muslim_f">'Box31_Parts1-2'!$N$50</definedName>
    <definedName name="learners_participated_iec_codevelop_muslim_m">'Box31_Parts1-2'!$L$50</definedName>
    <definedName name="learners_participated_iec_consulted_exclude_f">'Box31_Parts1-2'!$F$49</definedName>
    <definedName name="learners_participated_iec_consulted_exclude_m">'Box31_Parts1-2'!$E$49</definedName>
    <definedName name="learners_participated_iec_consulted_ip_f">'Box31_Parts1-2'!$J$49</definedName>
    <definedName name="learners_participated_iec_consulted_ip_m">'Box31_Parts1-2'!$H$49</definedName>
    <definedName name="learners_participated_iec_consulted_lwd_f">'Box31_Parts1-2'!$R$49</definedName>
    <definedName name="learners_participated_iec_consulted_lwd_m">'Box31_Parts1-2'!$P$49</definedName>
    <definedName name="learners_participated_iec_consulted_muslim_f">'Box31_Parts1-2'!$N$49</definedName>
    <definedName name="learners_participated_iec_consulted_muslim_m">'Box31_Parts1-2'!$L$49</definedName>
    <definedName name="learners_participated_iec_effectiveness_exclude_f">'Box31_Parts1-2'!$F$48</definedName>
    <definedName name="learners_participated_iec_effectiveness_exclude_m">'Box31_Parts1-2'!$E$48</definedName>
    <definedName name="learners_participated_iec_effectiveness_ip_f">'Box31_Parts1-2'!$J$48</definedName>
    <definedName name="learners_participated_iec_effectiveness_ip_m">'Box31_Parts1-2'!$H$48</definedName>
    <definedName name="learners_participated_iec_effectiveness_lwd_f">'Box31_Parts1-2'!$R$48</definedName>
    <definedName name="learners_participated_iec_effectiveness_lwd_m">'Box31_Parts1-2'!$P$48</definedName>
    <definedName name="learners_participated_iec_effectiveness_muslim_f">'Box31_Parts1-2'!$N$48</definedName>
    <definedName name="learners_participated_iec_effectiveness_muslim_m">'Box31_Parts1-2'!$L$48</definedName>
    <definedName name="learners_participated_iec_initiated_exclude_f">'Box31_Parts1-2'!$F$51</definedName>
    <definedName name="learners_participated_iec_initiated_exclude_m">'Box31_Parts1-2'!$E$51</definedName>
    <definedName name="learners_participated_iec_initiated_ip_f">'Box31_Parts1-2'!$J$51</definedName>
    <definedName name="learners_participated_iec_initiated_ip_m">'Box31_Parts1-2'!$H$51</definedName>
    <definedName name="learners_participated_iec_initiated_lwd_f">'Box31_Parts1-2'!$R$51</definedName>
    <definedName name="learners_participated_iec_initiated_lwd_m">'Box31_Parts1-2'!$P$51</definedName>
    <definedName name="learners_participated_iec_initiated_muslim_f">'Box31_Parts1-2'!$N$51</definedName>
    <definedName name="learners_participated_iec_initiated_muslim_m">'Box31_Parts1-2'!$L$51</definedName>
    <definedName name="lwd_resources_apd">Table5!$N$9</definedName>
    <definedName name="lwd_resources_board_slates">Table5!$N$43</definedName>
    <definedName name="lwd_resources_bocce_ball">Table5!$N$47</definedName>
    <definedName name="lwd_resources_braile">Table5!$N$18</definedName>
    <definedName name="lwd_resources_cancer">Table5!$N$15</definedName>
    <definedName name="lwd_resources_cd">Table5!$N$14</definedName>
    <definedName name="lwd_resources_cp">Table5!$N$13</definedName>
    <definedName name="lwd_resources_drawing_kit">Table5!$N$45</definedName>
    <definedName name="lwd_resources_duralex">Table5!$N$50</definedName>
    <definedName name="lwd_resources_eapd">Table5!$N$9</definedName>
    <definedName name="lwd_resources_ebd">Table5!$N$10</definedName>
    <definedName name="lwd_resources_ebook">Table5!$N$19</definedName>
    <definedName name="lwd_resources_goal_ball">Table5!$N$48</definedName>
    <definedName name="lwd_resources_hi">Table5!$N$6</definedName>
    <definedName name="lwd_resources_id">Table5!$N$8</definedName>
    <definedName name="lwd_resources_ld">Table5!$N$7</definedName>
    <definedName name="lwd_resources_lpf_16">Table5!$N$20</definedName>
    <definedName name="lwd_resources_lpf_17">Table5!$N$21</definedName>
    <definedName name="lwd_resources_lpf_18">Table5!$N$22</definedName>
    <definedName name="lwd_resources_lpf_19">Table5!$N$23</definedName>
    <definedName name="lwd_resources_lpf_20">Table5!$N$24</definedName>
    <definedName name="lwd_resources_lpf_21">Table5!$N$25</definedName>
    <definedName name="lwd_resources_lpf_22">Table5!$N$26</definedName>
    <definedName name="lwd_resources_lpf_23">Table5!$N$27</definedName>
    <definedName name="lwd_resources_lpf_24">Table5!$N$28</definedName>
    <definedName name="lwd_resources_lpf_25">Table5!$N$29</definedName>
    <definedName name="lwd_resources_lpf_26">Table5!$N$30</definedName>
    <definedName name="lwd_resources_lpf_27">Table5!$N$31</definedName>
    <definedName name="lwd_resources_lpf_28">Table5!$N$32</definedName>
    <definedName name="lwd_resources_lpf_29">Table5!$N$33</definedName>
    <definedName name="lwd_resources_lpf_30">Table5!$N$34</definedName>
    <definedName name="lwd_resources_md">Table5!$N$16</definedName>
    <definedName name="lwd_resources_ph">Table5!$N$11</definedName>
    <definedName name="lwd_resources_sharpie">Table5!$N$42</definedName>
    <definedName name="lwd_resources_signlanguage_charts">Table5!$N$40</definedName>
    <definedName name="lwd_resources_signlanguage_dictionary">Table5!$N$39</definedName>
    <definedName name="lwd_resources_sld">Table5!$N$12</definedName>
    <definedName name="lwd_resources_tailor_slate">Table5!$N$44</definedName>
    <definedName name="lwd_resources_vi">Table5!$N$5</definedName>
    <definedName name="lwd_resourcs_pencil_large">Table5!$N$38</definedName>
    <definedName name="lwd_resourcs_pencil_medium">Table5!$N$37</definedName>
    <definedName name="lwd_resourcs_pencil_small">Table5!$N$36</definedName>
    <definedName name="mental_cases_attemptsuicide_learners_after_lastsy_aug">Tables30.31.32!$Y$38</definedName>
    <definedName name="mental_cases_attemptsuicide_learners_after_lastsy_jul">Tables30.31.32!$W$38</definedName>
    <definedName name="mental_cases_attemptsuicide_learners_after_lastsy_jun">Tables30.31.32!$U$38</definedName>
    <definedName name="mental_cases_attemptsuicide_learners_currsy_aug">Tables30.31.32!$AA$38</definedName>
    <definedName name="mental_cases_attemptsuicide_learners_currsy_nov">Tables30.31.32!$AG$38</definedName>
    <definedName name="mental_cases_attemptsuicide_learners_currsy_oct">Tables30.31.32!$AE$38</definedName>
    <definedName name="mental_cases_attemptsuicide_learners_currsy_sep">Tables30.31.32!$AC$38</definedName>
    <definedName name="mental_cases_attemptsuicide_learners_lastsy_apr">Tables30.31.32!$O$38</definedName>
    <definedName name="mental_cases_attemptsuicide_learners_lastsy_dec">Tables30.31.32!$G$38</definedName>
    <definedName name="mental_cases_attemptsuicide_learners_lastsy_feb">Tables30.31.32!$K$38</definedName>
    <definedName name="mental_cases_attemptsuicide_learners_lastsy_jan">Tables30.31.32!$I$38</definedName>
    <definedName name="mental_cases_attemptsuicide_learners_lastsy_jun">Tables30.31.32!$S$38</definedName>
    <definedName name="mental_cases_attemptsuicide_learners_lastsy_mar">Tables30.31.32!$M$38</definedName>
    <definedName name="mental_cases_attemptsuicide_learners_lastsy_may">Tables30.31.32!$Q$38</definedName>
    <definedName name="mental_cases_attemptsuicide_personnel_after_lastsy_aug">Tables30.31.32!$BA$38</definedName>
    <definedName name="mental_cases_attemptsuicide_personnel_after_lastsy_jul">Tables30.31.32!$AY$38</definedName>
    <definedName name="mental_cases_attemptsuicide_personnel_after_lastsy_jun">Tables30.31.32!$AW$38</definedName>
    <definedName name="mental_cases_attemptsuicide_personnel_currsy_aug">Tables30.31.32!$BC$38</definedName>
    <definedName name="mental_cases_attemptsuicide_personnel_currsy_nov">Tables30.31.32!$BI$38</definedName>
    <definedName name="mental_cases_attemptsuicide_personnel_currsy_oct">Tables30.31.32!$BG$38</definedName>
    <definedName name="mental_cases_attemptsuicide_personnel_currsy_sep">Tables30.31.32!$BE$38</definedName>
    <definedName name="mental_cases_attemptsuicide_personnel_lastsy_apr">Tables30.31.32!$AQ$38</definedName>
    <definedName name="mental_cases_attemptsuicide_personnel_lastsy_dec">Tables30.31.32!$AI$38</definedName>
    <definedName name="mental_cases_attemptsuicide_personnel_lastsy_feb">Tables30.31.32!$AM$38</definedName>
    <definedName name="mental_cases_attemptsuicide_personnel_lastsy_jan">Tables30.31.32!$AK$38</definedName>
    <definedName name="mental_cases_attemptsuicide_personnel_lastsy_jun">Tables30.31.32!$AU$38</definedName>
    <definedName name="mental_cases_attemptsuicide_personnel_lastsy_mar">Tables30.31.32!$AO$38</definedName>
    <definedName name="mental_cases_attemptsuicide_personnel_lastsy_may">Tables30.31.32!$AS$38</definedName>
    <definedName name="mental_cases_suicide_learners_after_lastsy_aug">Tables30.31.32!$Y$37</definedName>
    <definedName name="mental_cases_suicide_learners_after_lastsy_jul">Tables30.31.32!$W$37</definedName>
    <definedName name="mental_cases_suicide_learners_after_lastsy_jun">Tables30.31.32!$U$37</definedName>
    <definedName name="mental_cases_suicide_learners_currsy_aug">Tables30.31.32!$AA$37</definedName>
    <definedName name="mental_cases_suicide_learners_currsy_nov">Tables30.31.32!$AG$37</definedName>
    <definedName name="mental_cases_suicide_learners_currsy_oct">Tables30.31.32!$AE$37</definedName>
    <definedName name="mental_cases_suicide_learners_currsy_sep">Tables30.31.32!$AC$37</definedName>
    <definedName name="mental_cases_suicide_learners_lastsy_apr">Tables30.31.32!$O$37</definedName>
    <definedName name="mental_cases_suicide_learners_lastsy_dec">Tables30.31.32!$G$37</definedName>
    <definedName name="mental_cases_suicide_learners_lastsy_feb">Tables30.31.32!$K$37</definedName>
    <definedName name="mental_cases_suicide_learners_lastsy_jan">Tables30.31.32!$I$37</definedName>
    <definedName name="mental_cases_suicide_learners_lastsy_jun">Tables30.31.32!$S$37</definedName>
    <definedName name="mental_cases_suicide_learners_lastsy_mar">Tables30.31.32!$M$37</definedName>
    <definedName name="mental_cases_suicide_learners_lastsy_may">Tables30.31.32!$Q$37</definedName>
    <definedName name="mental_cases_suicide_personnel_after_lastsy_aug">Tables30.31.32!$BA$37</definedName>
    <definedName name="mental_cases_suicide_personnel_after_lastsy_jul">Tables30.31.32!$AY$37</definedName>
    <definedName name="mental_cases_suicide_personnel_after_lastsy_jun">Tables30.31.32!$AW$37</definedName>
    <definedName name="mental_cases_suicide_personnel_currsy_aug">Tables30.31.32!$BC$37</definedName>
    <definedName name="mental_cases_suicide_personnel_currsy_nov">Tables30.31.32!$BI$37</definedName>
    <definedName name="mental_cases_suicide_personnel_currsy_oct">Tables30.31.32!$BG$37</definedName>
    <definedName name="mental_cases_suicide_personnel_currsy_sep">Tables30.31.32!$BE$37</definedName>
    <definedName name="mental_cases_suicide_personnel_lastsy_apr">Tables30.31.32!$AQ$37</definedName>
    <definedName name="mental_cases_suicide_personnel_lastsy_dec">Tables30.31.32!$AI$37</definedName>
    <definedName name="mental_cases_suicide_personnel_lastsy_feb">Tables30.31.32!$AM$37</definedName>
    <definedName name="mental_cases_suicide_personnel_lastsy_jan">Tables30.31.32!$AK$37</definedName>
    <definedName name="mental_cases_suicide_personnel_lastsy_jun">Tables30.31.32!$AU$37</definedName>
    <definedName name="mental_cases_suicide_personnel_lastsy_mar">Tables30.31.32!$AO$37</definedName>
    <definedName name="mental_cases_suicide_personnel_lastsy_may">Tables30.31.32!$AS$37</definedName>
    <definedName name="mental_learners_guidance_g1">'Box13'!$L$13</definedName>
    <definedName name="mental_learners_guidance_g2">'Box13'!$L$14</definedName>
    <definedName name="mental_learners_guidance_g3">'Box13'!$L$15</definedName>
    <definedName name="mental_learners_guidance_g4">'Box13'!$L$16</definedName>
    <definedName name="mental_learners_guidance_g5">'Box13'!$L$17</definedName>
    <definedName name="mental_learners_guidance_g6">'Box13'!$L$18</definedName>
    <definedName name="mental_learners_guidance_k">'Box13'!$L$12</definedName>
    <definedName name="mestrualh_avail_sanpads_yes">'Boxes21,22,23'!$X$34</definedName>
    <definedName name="mestrualh_avail_sanpads_yes_guidoff">'Boxes21,22,23'!$U$36</definedName>
    <definedName name="mestrualh_avail_sanpads_yes_others">'Boxes21,22,23'!$U$37</definedName>
    <definedName name="mestrualh_avail_sanpads_yes_others_specify">'Boxes21,22,23'!$Z$37</definedName>
    <definedName name="mestrualh_avail_sanpads_yeses_schcant">'Boxes21,22,23'!$I$36</definedName>
    <definedName name="mestrualh_avail_sanpads_yeses_schclinic">'Boxes21,22,23'!$I$37</definedName>
    <definedName name="mooe_alloc_jantodec_amount">'Table27-Box8'!$J$6</definedName>
    <definedName name="mooe_liqui_jantodec_amount">'Table27-Box8'!$J$8</definedName>
    <definedName name="mooe_utili_jantodec_amount">'Table27-Box8'!$J$7</definedName>
    <definedName name="NCR">list!$Q$2:$Q$17</definedName>
    <definedName name="num_lrnrs_both_smokedtobacco_usedendsennds_g1">'Box16'!$AI$47</definedName>
    <definedName name="num_lrnrs_both_smokedtobacco_usedendsennds_g2">'Box16'!$AI$48</definedName>
    <definedName name="num_lrnrs_both_smokedtobacco_usedendsennds_g3">'Box16'!$AI$49</definedName>
    <definedName name="num_lrnrs_both_smokedtobacco_usedendsennds_g4">'Box16'!$AI$50</definedName>
    <definedName name="num_lrnrs_both_smokedtobacco_usedendsennds_g5">'Box16'!$AI$51</definedName>
    <definedName name="num_lrnrs_both_smokedtobacco_usedendsennds_g6">'Box16'!$AI$52</definedName>
    <definedName name="num_lrnrs_both_smokedtobacco_usedendsennds_k">'Box16'!$AI$46</definedName>
    <definedName name="num_lrnrs_brainspinal_cancerpatients">'Box14'!$M$11</definedName>
    <definedName name="num_lrnrs_brainspinal_cancersurvivor">'Box14'!$AA$11</definedName>
    <definedName name="num_lrnrs_brainspinal_diedtocancer">'Box14'!$AH$11</definedName>
    <definedName name="num_lrnrs_brainspinal_livingwcancer">'Box14'!$T$11</definedName>
    <definedName name="num_lrnrs_catered_teenctr_g4">'Box15'!$AC$28</definedName>
    <definedName name="num_lrnrs_catered_teenctr_g5">'Box15'!$AC$29</definedName>
    <definedName name="num_lrnrs_catered_teenctr_g6">'Box15'!$AC$30</definedName>
    <definedName name="num_lrnrs_impregnator_adm_g4">'Box15'!$Q$18</definedName>
    <definedName name="num_lrnrs_impregnator_adm_g5">'Box15'!$Q$19</definedName>
    <definedName name="num_lrnrs_impregnator_adm_g6">'Box15'!$Q$20</definedName>
    <definedName name="num_lrnrs_impregnator_dropped_g4">'Box15'!$AI$18</definedName>
    <definedName name="num_lrnrs_impregnator_dropped_g5">'Box15'!$AI$19</definedName>
    <definedName name="num_lrnrs_impregnator_dropped_g6">'Box15'!$AI$20</definedName>
    <definedName name="num_lrnrs_impregnator_insch_g4">'Box15'!$K$18</definedName>
    <definedName name="num_lrnrs_impregnator_insch_g5">'Box15'!$K$19</definedName>
    <definedName name="num_lrnrs_impregnator_insch_g6">'Box15'!$K$20</definedName>
    <definedName name="num_lrnrs_impregnator_transin_g4">'Box15'!$W$18</definedName>
    <definedName name="num_lrnrs_impregnator_transin_g5">'Box15'!$W$19</definedName>
    <definedName name="num_lrnrs_impregnator_transin_g6">'Box15'!$W$20</definedName>
    <definedName name="num_lrnrs_impregnator_transout_g4">'Box15'!$AC$18</definedName>
    <definedName name="num_lrnrs_impregnator_transout_g5">'Box15'!$AC$19</definedName>
    <definedName name="num_lrnrs_impregnator_transout_g6">'Box15'!$AC$20</definedName>
    <definedName name="num_lrnrs_leukemia_cancerpatients">'Box14'!$M$10</definedName>
    <definedName name="num_lrnrs_leukemia_cancersurvivor">'Box14'!$AA$10</definedName>
    <definedName name="num_lrnrs_leukemia_diedtocancer">'Box14'!$AH$10</definedName>
    <definedName name="num_lrnrs_leukemia_livingwcancer">'Box14'!$T$10</definedName>
    <definedName name="num_lrnrs_others_cancerpatients">'Box14'!$M$12</definedName>
    <definedName name="num_lrnrs_others_cancersurvivor">'Box14'!$AA$12</definedName>
    <definedName name="num_lrnrs_others_diedtocancer">'Box14'!$AH$12</definedName>
    <definedName name="num_lrnrs_others_livingwcancer">'Box14'!$T$12</definedName>
    <definedName name="num_lrnrs_participate_hivtraining_g4">'Box15'!$K$28</definedName>
    <definedName name="num_lrnrs_participate_hivtraining_g5">'Box15'!$K$29</definedName>
    <definedName name="num_lrnrs_participate_hivtraining_g6">'Box15'!$K$30</definedName>
    <definedName name="num_lrnrs_participate_menttraining_bullying_g1">'Box13'!$I$30</definedName>
    <definedName name="num_lrnrs_participate_menttraining_bullying_g2">'Box13'!$I$31</definedName>
    <definedName name="num_lrnrs_participate_menttraining_bullying_g3">'Box13'!$I$32</definedName>
    <definedName name="num_lrnrs_participate_menttraining_bullying_g4">'Box13'!$I$33</definedName>
    <definedName name="num_lrnrs_participate_menttraining_bullying_g5">'Box13'!$I$34</definedName>
    <definedName name="num_lrnrs_participate_menttraining_bullying_g6">'Box13'!$I$35</definedName>
    <definedName name="num_lrnrs_participate_menttraining_bullying_k">'Box13'!$I$29</definedName>
    <definedName name="num_lrnrs_participate_menttraining_mhpicdepression_g1">'Box13'!$N$30</definedName>
    <definedName name="num_lrnrs_participate_menttraining_mhpicdepression_g2">'Box13'!$N$31</definedName>
    <definedName name="num_lrnrs_participate_menttraining_mhpicdepression_g3">'Box13'!$N$32</definedName>
    <definedName name="num_lrnrs_participate_menttraining_mhpicdepression_g4">'Box13'!$N$33</definedName>
    <definedName name="num_lrnrs_participate_menttraining_mhpicdepression_g5">'Box13'!$N$34</definedName>
    <definedName name="num_lrnrs_participate_menttraining_mhpicdepression_g6">'Box13'!$N$35</definedName>
    <definedName name="num_lrnrs_participate_menttraining_mhpicdepression_k">'Box13'!$N$29</definedName>
    <definedName name="num_lrnrs_participate_menttraining_othertopics_g1">'Box13'!$AH$30</definedName>
    <definedName name="num_lrnrs_participate_menttraining_othertopics_g2">'Box13'!$AH$31</definedName>
    <definedName name="num_lrnrs_participate_menttraining_othertopics_g3">'Box13'!$AH$32</definedName>
    <definedName name="num_lrnrs_participate_menttraining_othertopics_g4">'Box13'!$AH$33</definedName>
    <definedName name="num_lrnrs_participate_menttraining_othertopics_g5">'Box13'!$AH$34</definedName>
    <definedName name="num_lrnrs_participate_menttraining_othertopics_g6">'Box13'!$AH$35</definedName>
    <definedName name="num_lrnrs_participate_menttraining_othertopics_k">'Box13'!$AH$29</definedName>
    <definedName name="num_lrnrs_participate_menttraining_psycfirstaid_g1">'Box13'!$AC$30</definedName>
    <definedName name="num_lrnrs_participate_menttraining_psycfirstaid_g2">'Box13'!$AC$31</definedName>
    <definedName name="num_lrnrs_participate_menttraining_psycfirstaid_g3">'Box13'!$AC$32</definedName>
    <definedName name="num_lrnrs_participate_menttraining_psycfirstaid_g4">'Box13'!$AC$33</definedName>
    <definedName name="num_lrnrs_participate_menttraining_psycfirstaid_g5">'Box13'!$AC$34</definedName>
    <definedName name="num_lrnrs_participate_menttraining_psycfirstaid_g6">'Box13'!$AC$35</definedName>
    <definedName name="num_lrnrs_participate_menttraining_psycfirstaid_k">'Box13'!$AC$29</definedName>
    <definedName name="num_lrnrs_participate_menttraining_selfcare_g1">'Box13'!$X$30</definedName>
    <definedName name="num_lrnrs_participate_menttraining_selfcare_g2">'Box13'!$X$31</definedName>
    <definedName name="num_lrnrs_participate_menttraining_selfcare_g3">'Box13'!$X$32</definedName>
    <definedName name="num_lrnrs_participate_menttraining_selfcare_g4">'Box13'!$X$33</definedName>
    <definedName name="num_lrnrs_participate_menttraining_selfcare_g5">'Box13'!$X$34</definedName>
    <definedName name="num_lrnrs_participate_menttraining_selfcare_g6">'Box13'!$X$35</definedName>
    <definedName name="num_lrnrs_participate_menttraining_selfcare_k">'Box13'!$X$29</definedName>
    <definedName name="num_lrnrs_participate_menttraining_suicideprevention_g1">'Box13'!$S$30</definedName>
    <definedName name="num_lrnrs_participate_menttraining_suicideprevention_g2">'Box13'!$S$31</definedName>
    <definedName name="num_lrnrs_participate_menttraining_suicideprevention_g3">'Box13'!$S$32</definedName>
    <definedName name="num_lrnrs_participate_menttraining_suicideprevention_g4">'Box13'!$S$33</definedName>
    <definedName name="num_lrnrs_participate_menttraining_suicideprevention_g5">'Box13'!$S$34</definedName>
    <definedName name="num_lrnrs_participate_menttraining_suicideprevention_g6">'Box13'!$S$35</definedName>
    <definedName name="num_lrnrs_participate_menttraining_suicideprevention_k">'Box13'!$S$29</definedName>
    <definedName name="num_lrnrs_pregnant_adm_g4">'Box15'!$Q$9</definedName>
    <definedName name="num_lrnrs_pregnant_adm_g5">'Box15'!$Q$10</definedName>
    <definedName name="num_lrnrs_pregnant_adm_g6">'Box15'!$Q$11</definedName>
    <definedName name="num_lrnrs_pregnant_dropped_g4">'Box15'!$AI$9</definedName>
    <definedName name="num_lrnrs_pregnant_dropped_g5">'Box15'!$AI$10</definedName>
    <definedName name="num_lrnrs_pregnant_dropped_g6">'Box15'!$AI$11</definedName>
    <definedName name="num_lrnrs_pregnant_insch_g4">'Box15'!$K$9</definedName>
    <definedName name="num_lrnrs_pregnant_insch_g5">'Box15'!$K$10</definedName>
    <definedName name="num_lrnrs_pregnant_insch_g6">'Box15'!$K$11</definedName>
    <definedName name="num_lrnrs_pregnant_transin_g4">'Box15'!$W$9</definedName>
    <definedName name="num_lrnrs_pregnant_transin_g5">'Box15'!$W$10</definedName>
    <definedName name="num_lrnrs_pregnant_transin_g6">'Box15'!$W$11</definedName>
    <definedName name="num_lrnrs_pregnant_transout_g4">'Box15'!$AC$9</definedName>
    <definedName name="num_lrnrs_pregnant_transout_g5">'Box15'!$AC$10</definedName>
    <definedName name="num_lrnrs_pregnant_transout_g6">'Box15'!$AC$11</definedName>
    <definedName name="num_lrnrs_redcrossyouth_g4">'Box15'!$AI$28</definedName>
    <definedName name="num_lrnrs_redcrossyouth_g5">'Box15'!$AI$29</definedName>
    <definedName name="num_lrnrs_redcrossyouth_g6">'Box15'!$AI$30</definedName>
    <definedName name="num_lrnrs_screen_ashconcern_g4">'Box15'!$W$28</definedName>
    <definedName name="num_lrnrs_screen_ashconcern_g5">'Box15'!$W$29</definedName>
    <definedName name="num_lrnrs_screen_ashconcern_g6">'Box15'!$W$30</definedName>
    <definedName name="num_lrnrs_smokedtobacco_g1">'Box16'!$Q$47</definedName>
    <definedName name="num_lrnrs_smokedtobacco_g2">'Box16'!$Q$48</definedName>
    <definedName name="num_lrnrs_smokedtobacco_g3">'Box16'!$Q$49</definedName>
    <definedName name="num_lrnrs_smokedtobacco_g4">'Box16'!$Q$50</definedName>
    <definedName name="num_lrnrs_smokedtobacco_g5">'Box16'!$Q$51</definedName>
    <definedName name="num_lrnrs_smokedtobacco_g6">'Box16'!$Q$52</definedName>
    <definedName name="num_lrnrs_smokedtobacco_k">'Box16'!$Q$46</definedName>
    <definedName name="num_lrnrs_trained_peered_asrh_g4">'Box15'!$Q$28</definedName>
    <definedName name="num_lrnrs_trained_peered_asrh_g5">'Box15'!$Q$29</definedName>
    <definedName name="num_lrnrs_trained_peered_asrh_g6">'Box15'!$Q$30</definedName>
    <definedName name="num_lrnrs_usedendsennds_g1">'Box16'!$Z$47</definedName>
    <definedName name="num_lrnrs_usedendsennds_g2">'Box16'!$Z$48</definedName>
    <definedName name="num_lrnrs_usedendsennds_g3">'Box16'!$Z$49</definedName>
    <definedName name="num_lrnrs_usedendsennds_g4">'Box16'!$Z$50</definedName>
    <definedName name="num_lrnrs_usedendsennds_g5">'Box16'!$Z$51</definedName>
    <definedName name="num_lrnrs_usedendsennds_g6">'Box16'!$Z$52</definedName>
    <definedName name="num_lrnrs_usedendsennds_k">'Box16'!$Z$46</definedName>
    <definedName name="num_schpersonnel_breast_cancerpatients">'Box14'!$M$20</definedName>
    <definedName name="num_schpersonnel_breast_cancersurvivor">'Box14'!$AA$20</definedName>
    <definedName name="num_schpersonnel_breast_diedtocancer">'Box14'!$AH$20</definedName>
    <definedName name="num_schpersonnel_breast_livingwcancer">'Box14'!$T$20</definedName>
    <definedName name="num_schpersonnel_lung_cancerpatients">'Box14'!$M$21</definedName>
    <definedName name="num_schpersonnel_lung_cancersurvivor">'Box14'!$AA$21</definedName>
    <definedName name="num_schpersonnel_lung_diedtocancer">'Box14'!$AH$21</definedName>
    <definedName name="num_schpersonnel_lung_livingwcancer">'Box14'!$T$21</definedName>
    <definedName name="num_schpersonnel_others_cancerpatients">'Box14'!$M$22</definedName>
    <definedName name="num_schpersonnel_others_cancersurvivor">'Box14'!$AA$22</definedName>
    <definedName name="num_schpersonnel_others_diedtocancer">'Box14'!$AH$22</definedName>
    <definedName name="num_schpersonnel_others_livingwcancer">'Box14'!$T$22</definedName>
    <definedName name="num_teacher_attended_iped_orientation_f">'Box32'!$J$33</definedName>
    <definedName name="num_teacher_attended_iped_orientation_m">'Box32'!$D$33</definedName>
    <definedName name="num_teacher_attended_iped_orientation_outside_deped_f">'Box32'!$J$36</definedName>
    <definedName name="num_teacher_attended_iped_orientation_outside_deped_m">'Box32'!$D$36</definedName>
    <definedName name="num_teachers_both_tobaccosmoker_endsennds_user_g1">'Box16'!$AI$32</definedName>
    <definedName name="num_teachers_both_tobaccosmoker_endsennds_user_g2">'Box16'!$AI$33</definedName>
    <definedName name="num_teachers_both_tobaccosmoker_endsennds_user_g3">'Box16'!$AI$34</definedName>
    <definedName name="num_teachers_both_tobaccosmoker_endsennds_user_g4">'Box16'!$AI$35</definedName>
    <definedName name="num_teachers_both_tobaccosmoker_endsennds_user_g5">'Box16'!$AI$36</definedName>
    <definedName name="num_teachers_both_tobaccosmoker_endsennds_user_g6">'Box16'!$AI$37</definedName>
    <definedName name="num_teachers_both_tobaccosmoker_endsennds_user_k">'Box16'!$AI$31</definedName>
    <definedName name="num_teachers_endsennds_user_g1">'Box16'!$Z$32</definedName>
    <definedName name="num_teachers_endsennds_user_g2">'Box16'!$Z$33</definedName>
    <definedName name="num_teachers_endsennds_user_g3">'Box16'!$Z$34</definedName>
    <definedName name="num_teachers_endsennds_user_g4">'Box16'!$Z$35</definedName>
    <definedName name="num_teachers_endsennds_user_g5">'Box16'!$Z$36</definedName>
    <definedName name="num_teachers_endsennds_user_g6">'Box16'!$Z$37</definedName>
    <definedName name="num_teachers_endsennds_user_k">'Box16'!$Z$31</definedName>
    <definedName name="num_teachers_hivtraining_g4">'Box15'!$W$36</definedName>
    <definedName name="num_teachers_hivtraining_g5">'Box15'!$W$37</definedName>
    <definedName name="num_teachers_hivtraining_g6">'Box15'!$W$38</definedName>
    <definedName name="num_teachers_ip_g1_f">'Box32'!$J$30</definedName>
    <definedName name="num_teachers_ip_g1_m">'Box32'!$H$30</definedName>
    <definedName name="num_teachers_ip_g2_f">'Box32'!$N$30</definedName>
    <definedName name="num_teachers_ip_g2_m">'Box32'!$L$30</definedName>
    <definedName name="num_teachers_ip_g3_f">'Box32'!$R$30</definedName>
    <definedName name="num_teachers_ip_g3_m">'Box32'!$P$30</definedName>
    <definedName name="num_teachers_ip_g4_f">'Box32'!$V$30</definedName>
    <definedName name="num_teachers_ip_g4_m">'Box32'!$T$30</definedName>
    <definedName name="num_teachers_ip_g5_f">'Box32'!$Z$30</definedName>
    <definedName name="num_teachers_ip_g5_m">'Box32'!$X$30</definedName>
    <definedName name="num_teachers_ip_g6_f">'Box32'!$AD$30</definedName>
    <definedName name="num_teachers_ip_g6_m">'Box32'!$AB$30</definedName>
    <definedName name="num_teachers_ip_k_f">'Box32'!$F$30</definedName>
    <definedName name="num_teachers_ip_k_m">'Box32'!$D$30</definedName>
    <definedName name="num_teachers_participate_menttraining_bullying_g1">'Box13'!$I$43</definedName>
    <definedName name="num_teachers_participate_menttraining_bullying_g2">'Box13'!$I$44</definedName>
    <definedName name="num_teachers_participate_menttraining_bullying_g3">'Box13'!$I$45</definedName>
    <definedName name="num_teachers_participate_menttraining_bullying_g4">'Box13'!$I$46</definedName>
    <definedName name="num_teachers_participate_menttraining_bullying_g5">'Box13'!$I$47</definedName>
    <definedName name="num_teachers_participate_menttraining_bullying_g6">'Box13'!$I$48</definedName>
    <definedName name="num_teachers_participate_menttraining_bullying_k">'Box13'!$I$42</definedName>
    <definedName name="num_teachers_participate_menttraining_mhpicdepression_g1">'Box13'!$N$43</definedName>
    <definedName name="num_teachers_participate_menttraining_mhpicdepression_g2">'Box13'!$N$44</definedName>
    <definedName name="num_teachers_participate_menttraining_mhpicdepression_g3">'Box13'!$N$45</definedName>
    <definedName name="num_teachers_participate_menttraining_mhpicdepression_g4">'Box13'!$N$46</definedName>
    <definedName name="num_teachers_participate_menttraining_mhpicdepression_g5">'Box13'!$N$47</definedName>
    <definedName name="num_teachers_participate_menttraining_mhpicdepression_g6">'Box13'!$N$48</definedName>
    <definedName name="num_teachers_participate_menttraining_mhpicdepression_k">'Box13'!$N$42</definedName>
    <definedName name="num_teachers_participate_menttraining_othertopics_g1">'Box13'!$AH$43</definedName>
    <definedName name="num_teachers_participate_menttraining_othertopics_g2">'Box13'!$AH$44</definedName>
    <definedName name="num_teachers_participate_menttraining_othertopics_g3">'Box13'!$AH$45</definedName>
    <definedName name="num_teachers_participate_menttraining_othertopics_g4">'Box13'!$AH$46</definedName>
    <definedName name="num_teachers_participate_menttraining_othertopics_g5">'Box13'!$AH$47</definedName>
    <definedName name="num_teachers_participate_menttraining_othertopics_g6">'Box13'!$AH$48</definedName>
    <definedName name="num_teachers_participate_menttraining_othertopics_k">'Box13'!$AH$42</definedName>
    <definedName name="num_teachers_participate_menttraining_psycfirstaid_g1">'Box13'!$AC$43</definedName>
    <definedName name="num_teachers_participate_menttraining_psycfirstaid_g2">'Box13'!$AC$44</definedName>
    <definedName name="num_teachers_participate_menttraining_psycfirstaid_g3">'Box13'!$AC$45</definedName>
    <definedName name="num_teachers_participate_menttraining_psycfirstaid_g4">'Box13'!$AC$46</definedName>
    <definedName name="num_teachers_participate_menttraining_psycfirstaid_g5">'Box13'!$AC$47</definedName>
    <definedName name="num_teachers_participate_menttraining_psycfirstaid_g6">'Box13'!$AC$48</definedName>
    <definedName name="num_teachers_participate_menttraining_psycfirstaid_k">'Box13'!$AC$42</definedName>
    <definedName name="num_teachers_participate_menttraining_selfcare_g1">'Box13'!$X$43</definedName>
    <definedName name="num_teachers_participate_menttraining_selfcare_g2">'Box13'!$X$44</definedName>
    <definedName name="num_teachers_participate_menttraining_selfcare_g3">'Box13'!$X$45</definedName>
    <definedName name="num_teachers_participate_menttraining_selfcare_g4">'Box13'!$X$46</definedName>
    <definedName name="num_teachers_participate_menttraining_selfcare_g5">'Box13'!$X$47</definedName>
    <definedName name="num_teachers_participate_menttraining_selfcare_g6">'Box13'!$X$48</definedName>
    <definedName name="num_teachers_participate_menttraining_selfcare_k">'Box13'!$X$42</definedName>
    <definedName name="num_teachers_participate_menttraining_suicideprevention_g1">'Box13'!$S$43</definedName>
    <definedName name="num_teachers_participate_menttraining_suicideprevention_g2">'Box13'!$S$44</definedName>
    <definedName name="num_teachers_participate_menttraining_suicideprevention_g3">'Box13'!$S$45</definedName>
    <definedName name="num_teachers_participate_menttraining_suicideprevention_g4">'Box13'!$S$46</definedName>
    <definedName name="num_teachers_participate_menttraining_suicideprevention_g5">'Box13'!$S$47</definedName>
    <definedName name="num_teachers_participate_menttraining_suicideprevention_g6">'Box13'!$S$48</definedName>
    <definedName name="num_teachers_participate_menttraining_suicideprevention_k">'Box13'!$S$42</definedName>
    <definedName name="num_teachers_reside_outsideschmun_g1_f">'Box32'!$S$18</definedName>
    <definedName name="num_teachers_reside_outsideschmun_g1_m">'Box32'!$Q$18</definedName>
    <definedName name="num_teachers_reside_outsideschmun_g2_f">'Box32'!$W$18</definedName>
    <definedName name="num_teachers_reside_outsideschmun_g2_m">'Box32'!$U$18</definedName>
    <definedName name="num_teachers_reside_outsideschmun_g3_f">'Box32'!$AA$18</definedName>
    <definedName name="num_teachers_reside_outsideschmun_g3_m">'Box32'!$Y$18</definedName>
    <definedName name="num_teachers_reside_outsideschmun_g4_f">'Box32'!$AE$18</definedName>
    <definedName name="num_teachers_reside_outsideschmun_g4_m">'Box32'!$AC$18</definedName>
    <definedName name="num_teachers_reside_outsideschmun_g5_f">'Box32'!$AI$18</definedName>
    <definedName name="num_teachers_reside_outsideschmun_g5_m">'Box32'!$AG$18</definedName>
    <definedName name="num_teachers_reside_outsideschmun_g6_f">'Box32'!$AM$18</definedName>
    <definedName name="num_teachers_reside_outsideschmun_g6_m">'Box32'!$AK$18</definedName>
    <definedName name="num_teachers_reside_outsideschmun_k_f">'Box32'!$O$18</definedName>
    <definedName name="num_teachers_reside_outsideschmun_k_m">'Box32'!$M$18</definedName>
    <definedName name="num_teachers_reside_withinschmun_g1_f">'Box32'!$S$17</definedName>
    <definedName name="num_teachers_reside_withinschmun_g1_m">'Box32'!$Q$17</definedName>
    <definedName name="num_teachers_reside_withinschmun_g2_f">'Box32'!$W$17</definedName>
    <definedName name="num_teachers_reside_withinschmun_g2_m">'Box32'!$U$17</definedName>
    <definedName name="num_teachers_reside_withinschmun_g3_f">'Box32'!$AA$17</definedName>
    <definedName name="num_teachers_reside_withinschmun_g3_m">'Box32'!$Y$17</definedName>
    <definedName name="num_teachers_reside_withinschmun_g4_f">'Box32'!$AE$17</definedName>
    <definedName name="num_teachers_reside_withinschmun_g4_m">'Box32'!$AC$17</definedName>
    <definedName name="num_teachers_reside_withinschmun_g5_f">'Box32'!$AI$17</definedName>
    <definedName name="num_teachers_reside_withinschmun_g5_m">'Box32'!$AG$17</definedName>
    <definedName name="num_teachers_reside_withinschmun_g6_f">'Box32'!$AM$17</definedName>
    <definedName name="num_teachers_reside_withinschmun_g6_m">'Box32'!$AK$17</definedName>
    <definedName name="num_teachers_reside_withinschmun_k_f">'Box32'!$O$17</definedName>
    <definedName name="num_teachers_reside_withinschmun_k_m">'Box32'!$M$17</definedName>
    <definedName name="num_teachers_tobaccosmoker_g1">'Box16'!$Q$32</definedName>
    <definedName name="num_teachers_tobaccosmoker_g2">'Box16'!$Q$33</definedName>
    <definedName name="num_teachers_tobaccosmoker_g3">'Box16'!$Q$34</definedName>
    <definedName name="num_teachers_tobaccosmoker_g4">'Box16'!$Q$35</definedName>
    <definedName name="num_teachers_tobaccosmoker_g5">'Box16'!$Q$36</definedName>
    <definedName name="num_teachers_tobaccosmoker_g6">'Box16'!$Q$37</definedName>
    <definedName name="num_teachers_tobaccosmoker_k">'Box16'!$Q$31</definedName>
    <definedName name="num_teachers_trained_adept_g4">'Box15'!$Q$36</definedName>
    <definedName name="num_teachers_trained_adept_g5">'Box15'!$Q$37</definedName>
    <definedName name="num_teachers_trained_adept_g6">'Box15'!$Q$38</definedName>
    <definedName name="num_teachers_trained_aja_g4">'Box15'!$K$36</definedName>
    <definedName name="num_teachers_trained_aja_g5">'Box15'!$K$37</definedName>
    <definedName name="num_teachers_trained_aja_g6">'Box15'!$K$38</definedName>
    <definedName name="number_classroom_risk_instructional_safe">Box29_part1!$K$10</definedName>
    <definedName name="number_classroom_risk_instructional_unsafe">Box29_part1!$Q$10</definedName>
    <definedName name="number_classroom_risk_noninstructional_safe">Box29_part1!$K$11</definedName>
    <definedName name="number_classroom_risk_noninstructional_unsafe">Box29_part1!$Q$11</definedName>
    <definedName name="number_completed_trng_drrmccampbp_nonteaching_f">Box31_part3d!$M$10</definedName>
    <definedName name="number_completed_trng_drrmccampbp_nonteaching_m">Box31_part3d!$J$10</definedName>
    <definedName name="number_completed_trng_drrmccampbp_teaching_f">Box31_part3d!$G$10</definedName>
    <definedName name="number_completed_trng_drrmccampbp_teaching_m">Box31_part3d!$D$10</definedName>
    <definedName name="number_drrm_ccam_pbp_conducted_teaching_nonteaching">Box30_part1!$AD$62</definedName>
    <definedName name="number_drrm_ccam_pbpppa_imple_withpartners">Box30_part1!$AD$60</definedName>
    <definedName name="number_emergency_supplies_equip_cadaver_deped">Box30_part2!$N$12</definedName>
    <definedName name="number_emergency_supplies_equip_cadaver_partner">Box30_part2!$Q$12</definedName>
    <definedName name="number_emergency_supplies_equip_ccollar_deped">Box30_part2!$N$13</definedName>
    <definedName name="number_emergency_supplies_equip_ccollar_partner">Box30_part2!$Q$13</definedName>
    <definedName name="number_emergency_supplies_equip_cot_deped">Box30_part2!$N$14</definedName>
    <definedName name="number_emergency_supplies_equip_cot_partner">Box30_part2!$Q$14</definedName>
    <definedName name="number_emergency_supplies_equip_cprboard_deped">Box30_part2!$N$15</definedName>
    <definedName name="number_emergency_supplies_equip_cprboard_partner">Box30_part2!$Q$15</definedName>
    <definedName name="number_emergency_supplies_equip_fak_learner_deped">Box30_part2!$N$19</definedName>
    <definedName name="number_emergency_supplies_equip_fak_learner_partner">Box30_part2!$Q$19</definedName>
    <definedName name="number_emergency_supplies_equip_fak_personnel_deped">Box30_part2!$N$20</definedName>
    <definedName name="number_emergency_supplies_equip_fak_personnel_partner">Box30_part2!$Q$20</definedName>
    <definedName name="number_emergency_supplies_equip_fireextinguisher_deped">Box30_part2!$N$18</definedName>
    <definedName name="number_emergency_supplies_equip_fireextinguisher_partner">Box30_part2!$Q$18</definedName>
    <definedName name="number_emergency_supplies_equip_foldstretch_deped">Box30_part2!$N$11</definedName>
    <definedName name="number_emergency_supplies_equip_foldstretch_partner">Box30_part2!$Q$11</definedName>
    <definedName name="number_emergency_supplies_equip_gobag_learner_deped">Box30_part2!$N$22</definedName>
    <definedName name="number_emergency_supplies_equip_gobag_learner_partner">Box30_part2!$Q$22</definedName>
    <definedName name="number_emergency_supplies_equip_gobag_personnel_deped">Box30_part2!$N$24</definedName>
    <definedName name="number_emergency_supplies_equip_gobag_personnel_partner">Box30_part2!$Q$24</definedName>
    <definedName name="number_emergency_supplies_equip_headimmobilizer_deped">Box30_part2!$N$44</definedName>
    <definedName name="number_emergency_supplies_equip_headimmobilizer_partner">Box30_part2!$Q$44</definedName>
    <definedName name="number_emergency_supplies_equip_headlamp_deped">Box30_part2!$N$16</definedName>
    <definedName name="number_emergency_supplies_equip_headlamp_partner">Box30_part2!$Q$16</definedName>
    <definedName name="number_emergency_supplies_equip_ledflashlight_deped">Box30_part2!$N$27</definedName>
    <definedName name="number_emergency_supplies_equip_ledflashlight_partner">Box30_part2!$Q$27</definedName>
    <definedName name="number_emergency_supplies_equip_ledsearchlight_deped">Box30_part2!$N$28</definedName>
    <definedName name="number_emergency_supplies_equip_ledsearchlight_partner">Box30_part2!$Q$28</definedName>
    <definedName name="number_emergency_supplies_equip_lifevest_deped">Box30_part2!$N$29</definedName>
    <definedName name="number_emergency_supplies_equip_lifevest_partner">Box30_part2!$Q$29</definedName>
    <definedName name="number_emergency_supplies_equip_mediccushion_deped">Box30_part2!$N$30</definedName>
    <definedName name="number_emergency_supplies_equip_mediccushion_partner">Box30_part2!$Q$30</definedName>
    <definedName name="number_emergency_supplies_equip_pasystem_deped">Box30_part2!$N$33</definedName>
    <definedName name="number_emergency_supplies_equip_pasystem_partner">Box30_part2!$Q$33</definedName>
    <definedName name="number_emergency_supplies_equip_radio_deped">Box30_part2!$N$26</definedName>
    <definedName name="number_emergency_supplies_equip_radio_partner">Box30_part2!$Q$26</definedName>
    <definedName name="number_emergency_supplies_equip_safetycoat_deped">Box30_part2!$N$34</definedName>
    <definedName name="number_emergency_supplies_equip_safetycoat_partner">Box30_part2!$Q$34</definedName>
    <definedName name="number_emergency_supplies_equip_safetyhelmet_deped">Box30_part2!$N$35</definedName>
    <definedName name="number_emergency_supplies_equip_safetyhelmet_partner">Box30_part2!$Q$35</definedName>
    <definedName name="number_emergency_supplies_equip_safetyshoes_deped">Box30_part2!$N$36</definedName>
    <definedName name="number_emergency_supplies_equip_safetyshoes_partner">Box30_part2!$Q$36</definedName>
    <definedName name="number_emergency_supplies_equip_spineboard_deped">Box30_part2!$N$31</definedName>
    <definedName name="number_emergency_supplies_equip_spineboard_partner">Box30_part2!$Q$31</definedName>
    <definedName name="number_emergency_supplies_equip_splinter_deped">Box30_part2!$N$37</definedName>
    <definedName name="number_emergency_supplies_equip_splinter_partner">Box30_part2!$Q$37</definedName>
    <definedName name="number_emergency_supplies_equip_steelbox_deped">Box30_part2!$N$38</definedName>
    <definedName name="number_emergency_supplies_equip_steelbox_partner">Box30_part2!$Q$38</definedName>
    <definedName name="number_emergency_supplies_equip_steelcabinet_deped">Box30_part2!$N$39</definedName>
    <definedName name="number_emergency_supplies_equip_steelcabinet_partner">Box30_part2!$Q$39</definedName>
    <definedName name="number_emergency_supplies_equip_trafficvest_deped">Box30_part2!$N$40</definedName>
    <definedName name="number_emergency_supplies_equip_trafficvest_partner">Box30_part2!$Q$40</definedName>
    <definedName name="number_emergency_supplies_equip_transpobag_deped">Box30_part2!$N$41</definedName>
    <definedName name="number_emergency_supplies_equip_transpobag_partner">Box30_part2!$Q$41</definedName>
    <definedName name="number_emergency_supplies_equip_traumabag_deped">Box30_part2!$N$42</definedName>
    <definedName name="number_emergency_supplies_equip_traumabag_partner">Box30_part2!$Q$42</definedName>
    <definedName name="number_emergency_supplies_equip_whistle_deped">Box30_part2!$N$17</definedName>
    <definedName name="number_emergency_supplies_equip_whistle_partner">Box30_part2!$Q$17</definedName>
    <definedName name="number_instruct_spaces_constructed_inclusive_resilient_design">Box29_part1!$AB$17</definedName>
    <definedName name="number_instruct_spaces_retrofitted">Box29_part1!$AB$13</definedName>
    <definedName name="number_learner_drrmccampbp_coled_ppa_exclude_f">Box31_part3c!$R$10</definedName>
    <definedName name="number_learner_drrmccampbp_coled_ppa_exclude_m">Box31_part3c!$O$10</definedName>
    <definedName name="number_learner_drrmccampbp_coled_ppa_ip_f">Box31_part3c!$X$10</definedName>
    <definedName name="number_learner_drrmccampbp_coled_ppa_ip_m">Box31_part3c!$U$10</definedName>
    <definedName name="number_learner_drrmccampbp_coled_ppa_lwd_f">Box31_part3c!$AJ$10</definedName>
    <definedName name="number_learner_drrmccampbp_coled_ppa_lwd_m">Box31_part3c!$AG$10</definedName>
    <definedName name="number_learner_drrmccampbp_coled_ppa_muslim_f">Box31_part3c!$AD$10</definedName>
    <definedName name="number_learner_drrmccampbp_coled_ppa_muslim_m">Box31_part3c!$AA$10</definedName>
    <definedName name="number_learner_drrmccampbp_completed_exclude_f">Box31_part3c!$R$8</definedName>
    <definedName name="number_learner_drrmccampbp_completed_exclude_m">Box31_part3c!$O$8</definedName>
    <definedName name="number_learner_drrmccampbp_completed_ip_f">Box31_part3c!$X$8</definedName>
    <definedName name="number_learner_drrmccampbp_completed_ip_m">Box31_part3c!$U$8</definedName>
    <definedName name="number_learner_drrmccampbp_completed_lwd_f">Box31_part3c!$AJ$8</definedName>
    <definedName name="number_learner_drrmccampbp_completed_lwd_m">Box31_part3c!$AG$8</definedName>
    <definedName name="number_learner_drrmccampbp_completed_muslim_f">Box31_part3c!$AD$8</definedName>
    <definedName name="number_learner_drrmccampbp_completed_muslim_m">Box31_part3c!$AA$8</definedName>
    <definedName name="number_learner_drrmccampbp_led_ppa_exclude_f">Box31_part3c!$R$11</definedName>
    <definedName name="number_learner_drrmccampbp_led_ppa_exclude_m">Box31_part3c!$O$11</definedName>
    <definedName name="number_learner_drrmccampbp_led_ppa_ip_f">Box31_part3c!$X$11</definedName>
    <definedName name="number_learner_drrmccampbp_led_ppa_ip_m">Box31_part3c!$U$11</definedName>
    <definedName name="number_learner_drrmccampbp_led_ppa_lwd_f">Box31_part3c!$AJ$11</definedName>
    <definedName name="number_learner_drrmccampbp_led_ppa_lwd_m">Box31_part3c!$AG$11</definedName>
    <definedName name="number_learner_drrmccampbp_led_ppa_muslim_f">Box31_part3c!$AD$11</definedName>
    <definedName name="number_learner_drrmccampbp_led_ppa_muslim_m">Box31_part3c!$AA$11</definedName>
    <definedName name="number_learner_drrmccampbp_trained_exclude_f">Box31_part3c!$R$9</definedName>
    <definedName name="number_learner_drrmccampbp_trained_exclude_m">Box31_part3c!$O$9</definedName>
    <definedName name="number_learner_drrmccampbp_trained_ip_f">Box31_part3c!$X$9</definedName>
    <definedName name="number_learner_drrmccampbp_trained_ip_m">Box31_part3c!$U$9</definedName>
    <definedName name="number_learner_drrmccampbp_trained_lwd_f">Box31_part3c!$AJ$9</definedName>
    <definedName name="number_learner_drrmccampbp_trained_lwd_m">Box31_part3c!$AG$9</definedName>
    <definedName name="number_learner_drrmccampbp_trained_muslim_f">Box31_part3c!$AD$9</definedName>
    <definedName name="number_learner_drrmccampbp_trained_muslim_m">Box31_part3c!$AA$9</definedName>
    <definedName name="number_learner_p2p_mhpss_exclude_f">Box31_part3d!#REF!</definedName>
    <definedName name="number_learner_p2p_mhpss_exclude_m">Box31_part3d!#REF!</definedName>
    <definedName name="number_learner_p2p_mhpss_ip_f">Box31_part3d!#REF!</definedName>
    <definedName name="number_learner_p2p_mhpss_ip_m">Box31_part3d!#REF!</definedName>
    <definedName name="number_learner_p2p_mhpss_lwd_f">Box31_part3d!#REF!</definedName>
    <definedName name="number_learner_p2p_mhpss_lwd_m">Box31_part3d!#REF!</definedName>
    <definedName name="number_learner_p2p_mhpss_muslim_f">Box31_part3d!#REF!</definedName>
    <definedName name="number_learner_p2p_mhpss_muslim_m">Box31_part3d!#REF!</definedName>
    <definedName name="number_learners_affect_learning_session_exclude_f">Box30_part3a!$R$53</definedName>
    <definedName name="number_learners_affect_learning_session_exclude_m">Box30_part3a!$O$53</definedName>
    <definedName name="number_learners_affect_learning_session_ip_f">Box30_part3a!$X$53</definedName>
    <definedName name="number_learners_affect_learning_session_ip_m">Box30_part3a!$U$53</definedName>
    <definedName name="number_learners_affect_learning_session_lwd_f">Box30_part3a!$AJ$53</definedName>
    <definedName name="number_learners_affect_learning_session_lwd_m">Box30_part3a!$AG$53</definedName>
    <definedName name="number_learners_affect_learning_session_muslim_f">Box30_part3a!$AD$53</definedName>
    <definedName name="number_learners_affect_learning_session_muslim_m">Box30_part3a!$AA$53</definedName>
    <definedName name="number_learners_affect_mhpss_exclude_f">Box30_part3a!$R$54</definedName>
    <definedName name="number_learners_affect_mhpss_exclude_m">Box30_part3a!$O$54</definedName>
    <definedName name="number_learners_affect_mhpss_ip_f">Box30_part3a!$X$54</definedName>
    <definedName name="number_learners_affect_mhpss_ip_m">Box30_part3a!$U$54</definedName>
    <definedName name="number_learners_affect_mhpss_lwd_f">Box30_part3a!$AJ$54</definedName>
    <definedName name="number_learners_affect_mhpss_lwd_m">Box30_part3a!$AG$54</definedName>
    <definedName name="number_learners_affect_mhpss_muslim_f">Box30_part3a!$AD$54</definedName>
    <definedName name="number_learners_affect_mhpss_muslim_m">Box30_part3a!$AA$54</definedName>
    <definedName name="number_learners_affect_need_pss_exclude_f">Box30_part3a!$R$55</definedName>
    <definedName name="number_learners_affect_need_pss_exclude_m">Box30_part3a!$O$55</definedName>
    <definedName name="number_learners_affect_need_pss_ip_f">Box30_part3a!$X$55</definedName>
    <definedName name="number_learners_affect_need_pss_ip_m">Box30_part3a!$U$55</definedName>
    <definedName name="number_learners_affect_need_pss_lwd_f">Box30_part3a!$AJ$55</definedName>
    <definedName name="number_learners_affect_need_pss_lwd_m">Box30_part3a!$AG$55</definedName>
    <definedName name="number_learners_affect_need_pss_muslim_f">Box30_part3a!$AD$55</definedName>
    <definedName name="number_learners_affect_need_pss_muslim_m">Box30_part3a!$AA$55</definedName>
    <definedName name="number_learners_affect_ref_mechanism_exclude_f">Box30_part3a!$R$56</definedName>
    <definedName name="number_learners_affect_ref_mechanism_exclude_m">Box30_part3a!$O$56</definedName>
    <definedName name="number_learners_affect_ref_mechanism_ip_f">Box30_part3a!$X$56</definedName>
    <definedName name="number_learners_affect_ref_mechanism_ip_m">Box30_part3a!$U$56</definedName>
    <definedName name="number_learners_affect_ref_mechanism_lwd_f">Box30_part3a!$AJ$56</definedName>
    <definedName name="number_learners_affect_ref_mechanism_lwd_m">Box30_part3a!$AG$56</definedName>
    <definedName name="number_learners_affect_ref_mechanism_muslim_f">Box30_part3a!$AD$56</definedName>
    <definedName name="number_learners_affect_ref_mechanism_muslim_m">Box30_part3a!$AA$56</definedName>
    <definedName name="number_led_bylearner_ccam">Box31_part3c!$K$20</definedName>
    <definedName name="number_led_bylearner_drrm">Box31_part3c!$K$19</definedName>
    <definedName name="number_led_bylearner_pbuilding">Box31_part3c!$K$21</definedName>
    <definedName name="number_localgroups_mobilized_for_response">'Box30_part3b '!$AW$7</definedName>
    <definedName name="number_mhpss_intervention_learner_personnel_bypartners">'Box30_part3b '!$AW$4</definedName>
    <definedName name="number_mhpss_training_ccam_learner">Box31_part3d!$I$19</definedName>
    <definedName name="number_mhpss_training_ccam_personnel">Box31_part3d!$N$19</definedName>
    <definedName name="number_mhpss_training_drrm_learner">Box31_part3d!$I$18</definedName>
    <definedName name="number_mhpss_training_drrm_personnel">Box31_part3d!$N$18</definedName>
    <definedName name="number_mhpss_training_pbp_learner">Box31_part3d!$I$20</definedName>
    <definedName name="number_mhpss_training_pbp_personnel">Box31_part3d!$N$20</definedName>
    <definedName name="number_noninstruct_spaces_constructed_inclusive_resilient_design">Box29_part1!$AB$19</definedName>
    <definedName name="number_noninstruct_spaces_retrofitted">Box29_part1!$AB$15</definedName>
    <definedName name="number_partners_support_drrm_ccamppa_activities">Box30_part1!$AD$56</definedName>
    <definedName name="number_partners_support_pbuilding_activities">Box30_part1!$AD$58</definedName>
    <definedName name="number_personnel_mhpss_psychfirstaid_nonteaching_f">Box31_part3d!$AH$20</definedName>
    <definedName name="number_personnel_mhpss_psychfirstaid_nonteaching_m">Box31_part3d!$AE$20</definedName>
    <definedName name="number_personnel_mhpss_psychfirstaid_teaching_f">Box31_part3d!$AB$20</definedName>
    <definedName name="number_personnel_mhpss_psychfirstaid_teaching_m">Box31_part3d!$Y$20</definedName>
    <definedName name="number_personnel_trained_adm_aftermath_teaching_f">Box30_part3a!$R$32</definedName>
    <definedName name="number_personnel_trained_adm_aftermath_teaching_m">Box30_part3a!$O$32</definedName>
    <definedName name="number_personnel_trained_adm_partofresponse_teaching_f">Box30_part3a!$R$31</definedName>
    <definedName name="number_personnel_trained_adm_partofresponse_teaching_m">Box30_part3a!$O$31</definedName>
    <definedName name="number_personnel_trained_drrmccampbp_bypartners_nonteaching_f">Box31_part3a!$O$8</definedName>
    <definedName name="number_personnel_trained_drrmccampbp_bypartners_nonteaching_m">Box31_part3a!$L$8</definedName>
    <definedName name="number_personnel_trained_drrmccampbp_bypartners_teaching_f">Box31_part3a!$I$8</definedName>
    <definedName name="number_personnel_trained_drrmccampbp_bypartners_teaching_m">Box31_part3a!$F$8</definedName>
    <definedName name="number_response_rescue_equip_bicycle_deped">Box30_part2!$AF$11</definedName>
    <definedName name="number_response_rescue_equip_bicycle_partner">Box30_part2!$AI$11</definedName>
    <definedName name="number_response_rescue_equip_firecabinet_deped">Box30_part2!$AF$12</definedName>
    <definedName name="number_response_rescue_equip_firecabinet_partner">Box30_part2!$AI$12</definedName>
    <definedName name="number_response_rescue_equip_fireextinguisher_deped">Box30_part2!$AF$13</definedName>
    <definedName name="number_response_rescue_equip_fireextinguisher_partner">Box30_part2!$AI$13</definedName>
    <definedName name="number_response_rescue_equip_firehose_deped">Box30_part2!$AF$14</definedName>
    <definedName name="number_response_rescue_equip_firehose_partner">Box30_part2!$AI$14</definedName>
    <definedName name="number_response_rescue_equip_lifevest_deped">Box30_part2!$AF$15</definedName>
    <definedName name="number_response_rescue_equip_lifevest_partner">Box30_part2!$AI$15</definedName>
    <definedName name="number_response_rescue_equip_motorbanca_deped">Box30_part2!$AF$17</definedName>
    <definedName name="number_response_rescue_equip_motorbanca_partner">Box30_part2!$AI$17</definedName>
    <definedName name="number_response_rescue_equip_powersprayer_deped">Box30_part2!$AF$19</definedName>
    <definedName name="number_response_rescue_equip_powersprayer_partner">Box30_part2!$AI$19</definedName>
    <definedName name="number_stakeholder_ccam_art_climatechange_nonteaching_f">Box31_part3a!$AI$31</definedName>
    <definedName name="number_stakeholder_ccam_art_climatechange_nonteaching_m">Box31_part3a!$AF$31</definedName>
    <definedName name="number_stakeholder_ccam_art_climatechange_teaching_f">Box31_part3a!$AC$31</definedName>
    <definedName name="number_stakeholder_ccam_art_climatechange_teaching_m">Box31_part3a!$Z$31</definedName>
    <definedName name="number_stakeholder_ccam_art_contests_exclude_f">Box31_part3b!$S$22</definedName>
    <definedName name="number_stakeholder_ccam_art_contests_exclude_m">Box31_part3b!$P$22</definedName>
    <definedName name="number_stakeholder_ccam_art_contests_ip_f">Box31_part3b!$Y$22</definedName>
    <definedName name="number_stakeholder_ccam_art_contests_ip_m">Box31_part3b!$V$22</definedName>
    <definedName name="number_stakeholder_ccam_art_contests_lwd_f">Box31_part3b!$AK$22</definedName>
    <definedName name="number_stakeholder_ccam_art_contests_lwd_m">Box31_part3b!$AH$22</definedName>
    <definedName name="number_stakeholder_ccam_art_contests_muslim_f">Box31_part3b!$AE$22</definedName>
    <definedName name="number_stakeholder_ccam_art_contests_muslim_m">Box31_part3b!$AB$22</definedName>
    <definedName name="number_stakeholder_ccam_celebration_events_exclude_f">Box31_part3b!$S$32</definedName>
    <definedName name="number_stakeholder_ccam_celebration_events_exclude_m">Box31_part3b!$P$32</definedName>
    <definedName name="number_stakeholder_ccam_celebration_events_ip_f">Box31_part3b!$Y$32</definedName>
    <definedName name="number_stakeholder_ccam_celebration_events_ip_m">Box31_part3b!$V$32</definedName>
    <definedName name="number_stakeholder_ccam_celebration_events_lwd_f">Box31_part3b!$AK$32</definedName>
    <definedName name="number_stakeholder_ccam_celebration_events_lwd_m">Box31_part3b!$AH$32</definedName>
    <definedName name="number_stakeholder_ccam_celebration_events_muslim_f">Box31_part3b!$AE$32</definedName>
    <definedName name="number_stakeholder_ccam_celebration_events_muslim_m">Box31_part3b!$AB$32</definedName>
    <definedName name="number_stakeholder_ccam_celebration_events_nonteaching_f">Box31_part3a!$AI$43</definedName>
    <definedName name="number_stakeholder_ccam_celebration_events_nonteaching_m">Box31_part3a!$AF$43</definedName>
    <definedName name="number_stakeholder_ccam_celebration_events_teaching_f">Box31_part3a!$AC$43</definedName>
    <definedName name="number_stakeholder_ccam_celebration_events_teaching_m">Box31_part3a!$Z$43</definedName>
    <definedName name="number_stakeholder_ccam_change_current_exclude_f">Box31_part3b!$S$23</definedName>
    <definedName name="number_stakeholder_ccam_change_current_exclude_m">Box31_part3b!$P$23</definedName>
    <definedName name="number_stakeholder_ccam_change_current_ip_f">Box31_part3b!$Y$23</definedName>
    <definedName name="number_stakeholder_ccam_change_current_ip_m">Box31_part3b!$V$23</definedName>
    <definedName name="number_stakeholder_ccam_change_current_lwd_f">Box31_part3b!$AK$23</definedName>
    <definedName name="number_stakeholder_ccam_change_current_lwd_m">Box31_part3b!$AH$23</definedName>
    <definedName name="number_stakeholder_ccam_change_current_muslim_f">Box31_part3b!$AE$23</definedName>
    <definedName name="number_stakeholder_ccam_change_current_muslim_m">Box31_part3b!$AB$23</definedName>
    <definedName name="number_stakeholder_ccam_change_current_nonteaching_f">Box31_part3a!$AI$32</definedName>
    <definedName name="number_stakeholder_ccam_change_current_nonteaching_m">Box31_part3a!$AF$32</definedName>
    <definedName name="number_stakeholder_ccam_change_current_teaching_f">Box31_part3a!$AC$32</definedName>
    <definedName name="number_stakeholder_ccam_change_current_teaching_m">Box31_part3a!$Z$32</definedName>
    <definedName name="number_stakeholder_ccam_climate_adapt_exclude_f">Box31_part3b!$S$24</definedName>
    <definedName name="number_stakeholder_ccam_climate_adapt_exclude_m">Box31_part3b!$P$24</definedName>
    <definedName name="number_stakeholder_ccam_climate_adapt_ip_f">Box31_part3b!$Y$24</definedName>
    <definedName name="number_stakeholder_ccam_climate_adapt_ip_m">Box31_part3b!$V$24</definedName>
    <definedName name="number_stakeholder_ccam_climate_adapt_lwd_f">Box31_part3b!$AK$24</definedName>
    <definedName name="number_stakeholder_ccam_climate_adapt_lwd_m">Box31_part3b!$AH$24</definedName>
    <definedName name="number_stakeholder_ccam_climate_adapt_muslim_f">Box31_part3b!$AE$24</definedName>
    <definedName name="number_stakeholder_ccam_climate_adapt_muslim_m">Box31_part3b!$AB$24</definedName>
    <definedName name="number_stakeholder_ccam_climate_adaptation_nonteaching_f">Box31_part3a!$AI$33</definedName>
    <definedName name="number_stakeholder_ccam_climate_adaptation_nonteaching_m">Box31_part3a!$AF$33</definedName>
    <definedName name="number_stakeholder_ccam_climate_adaptation_teaching_f">Box31_part3a!$AC$33</definedName>
    <definedName name="number_stakeholder_ccam_climate_adaptation_teaching_m">Box31_part3a!$Z$33</definedName>
    <definedName name="number_stakeholder_ccam_climate_changemaker_nonteaching_f">Box31_part3a!$AI$34</definedName>
    <definedName name="number_stakeholder_ccam_climate_changemaker_nonteaching_m">Box31_part3a!$AF$34</definedName>
    <definedName name="number_stakeholder_ccam_climate_changemaker_teaching_f">Box31_part3a!$AC$34</definedName>
    <definedName name="number_stakeholder_ccam_climate_changemaker_teaching_m">Box31_part3a!$Z$34</definedName>
    <definedName name="number_stakeholder_ccam_envi_journalism_exclude_f">Box31_part3b!$S$25</definedName>
    <definedName name="number_stakeholder_ccam_envi_journalism_exclude_m">Box31_part3b!$P$25</definedName>
    <definedName name="number_stakeholder_ccam_envi_journalism_ip_f">Box31_part3b!$Y$25</definedName>
    <definedName name="number_stakeholder_ccam_envi_journalism_ip_m">Box31_part3b!$V$25</definedName>
    <definedName name="number_stakeholder_ccam_envi_journalism_lwd_f">Box31_part3b!$AK$25</definedName>
    <definedName name="number_stakeholder_ccam_envi_journalism_lwd_m">Box31_part3b!$AH$25</definedName>
    <definedName name="number_stakeholder_ccam_envi_journalism_muslim_f">Box31_part3b!$AE$25</definedName>
    <definedName name="number_stakeholder_ccam_envi_journalism_muslim_m">Box31_part3b!$AB$25</definedName>
    <definedName name="number_stakeholder_ccam_envi_journalism_nonteaching_f">Box31_part3a!$AI$35</definedName>
    <definedName name="number_stakeholder_ccam_envi_journalism_nonteaching_m">Box31_part3a!$AF$35</definedName>
    <definedName name="number_stakeholder_ccam_envi_journalism_teaching_f">Box31_part3a!$AC$35</definedName>
    <definedName name="number_stakeholder_ccam_envi_journalism_teaching_m">Box31_part3a!$Z$35</definedName>
    <definedName name="number_stakeholder_ccam_gulayan_paaralan_exclude_f">Box31_part3b!$S$26</definedName>
    <definedName name="number_stakeholder_ccam_gulayan_paaralan_exclude_m">Box31_part3b!$P$26</definedName>
    <definedName name="number_stakeholder_ccam_gulayan_paaralan_ip_f">Box31_part3b!$Y$26</definedName>
    <definedName name="number_stakeholder_ccam_gulayan_paaralan_ip_m">Box31_part3b!$V$26</definedName>
    <definedName name="number_stakeholder_ccam_gulayan_paaralan_lwd_f">Box31_part3b!$AK$26</definedName>
    <definedName name="number_stakeholder_ccam_gulayan_paaralan_lwd_m">Box31_part3b!$AH$26</definedName>
    <definedName name="number_stakeholder_ccam_gulayan_paaralan_muslim_f">Box31_part3b!$AE$26</definedName>
    <definedName name="number_stakeholder_ccam_gulayan_paaralan_muslim_m">Box31_part3b!$AB$26</definedName>
    <definedName name="number_stakeholder_ccam_gulayan_paaralan_nonteaching_f">Box31_part3a!$AI$36</definedName>
    <definedName name="number_stakeholder_ccam_gulayan_paaralan_nonteaching_m">Box31_part3a!$AF$36</definedName>
    <definedName name="number_stakeholder_ccam_gulayan_paaralan_teaching_f">Box31_part3a!$AC$36</definedName>
    <definedName name="number_stakeholder_ccam_gulayan_paaralan_teaching_m">Box31_part3a!$Z$36</definedName>
    <definedName name="number_stakeholder_ccam_kalikhasan_exclude_f">Box31_part3b!$S$27</definedName>
    <definedName name="number_stakeholder_ccam_kalikhasan_exclude_m">Box31_part3b!$P$27</definedName>
    <definedName name="number_stakeholder_ccam_kalikhasan_ip_f">Box31_part3b!$Y$27</definedName>
    <definedName name="number_stakeholder_ccam_kalikhasan_ip_m">Box31_part3b!$V$27</definedName>
    <definedName name="number_stakeholder_ccam_kalikhasan_lwd_f">Box31_part3b!$AK$27</definedName>
    <definedName name="number_stakeholder_ccam_kalikhasan_lwd_m">Box31_part3b!$AH$27</definedName>
    <definedName name="number_stakeholder_ccam_kalikhasan_muslim_f">Box31_part3b!$AE$27</definedName>
    <definedName name="number_stakeholder_ccam_kalikhasan_muslim_m">Box31_part3b!$AB$27</definedName>
    <definedName name="number_stakeholder_ccam_kalikhasan_nonteaching_f">Box31_part3a!$AI$38</definedName>
    <definedName name="number_stakeholder_ccam_kalikhasan_nonteaching_m">Box31_part3a!$AF$38</definedName>
    <definedName name="number_stakeholder_ccam_kalikhasan_teaching_f">Box31_part3a!$AC$38</definedName>
    <definedName name="number_stakeholder_ccam_kalikhasan_teaching_m">Box31_part3a!$Z$38</definedName>
    <definedName name="number_stakeholder_ccam_learner_others_specify">Box31_part3b!$E$34</definedName>
    <definedName name="number_stakeholder_ccam_material_recovery_nonteaching_f">Box31_part3a!$AI$37</definedName>
    <definedName name="number_stakeholder_ccam_material_recovery_nonteaching_m">Box31_part3a!$AF$37</definedName>
    <definedName name="number_stakeholder_ccam_material_recovery_teaching_f">Box31_part3a!$AC$37</definedName>
    <definedName name="number_stakeholder_ccam_material_recovery_teaching_m">Box31_part3a!$Z$37</definedName>
    <definedName name="number_stakeholder_ccam_others_exclude_f">Box31_part3b!$S$33</definedName>
    <definedName name="number_stakeholder_ccam_others_exclude_m">Box31_part3b!$P$33</definedName>
    <definedName name="number_stakeholder_ccam_others_ip_f">Box31_part3b!$Y$33</definedName>
    <definedName name="number_stakeholder_ccam_others_ip_m">Box31_part3b!$V$33</definedName>
    <definedName name="number_stakeholder_ccam_others_lwd_f">Box31_part3b!$AK$33</definedName>
    <definedName name="number_stakeholder_ccam_others_lwd_m">Box31_part3b!$AH$33</definedName>
    <definedName name="number_stakeholder_ccam_others_muslim_f">Box31_part3b!$AE$33</definedName>
    <definedName name="number_stakeholder_ccam_others_muslim_m">Box31_part3b!$AB$33</definedName>
    <definedName name="number_stakeholder_ccam_others_nonteaching_f">Box31_part3a!$AI$44</definedName>
    <definedName name="number_stakeholder_ccam_others_nonteaching_m">Box31_part3a!$AF$44</definedName>
    <definedName name="number_stakeholder_ccam_others_specify">Box31_part3a!$K$44</definedName>
    <definedName name="number_stakeholder_ccam_others_teaching_f">Box31_part3a!$AC$44</definedName>
    <definedName name="number_stakeholder_ccam_others_teaching_m">Box31_part3a!$Z$44</definedName>
    <definedName name="number_stakeholder_ccam_recycling_exclude_f">Box31_part3b!$S$29</definedName>
    <definedName name="number_stakeholder_ccam_recycling_exclude_m">Box31_part3b!$P$29</definedName>
    <definedName name="number_stakeholder_ccam_recycling_ip_f">Box31_part3b!$Y$29</definedName>
    <definedName name="number_stakeholder_ccam_recycling_ip_m">Box31_part3b!$V$29</definedName>
    <definedName name="number_stakeholder_ccam_recycling_lwd_f">Box31_part3b!$AK$29</definedName>
    <definedName name="number_stakeholder_ccam_recycling_lwd_m">Box31_part3b!$AH$29</definedName>
    <definedName name="number_stakeholder_ccam_recycling_muslim_f">Box31_part3b!$AE$29</definedName>
    <definedName name="number_stakeholder_ccam_recycling_muslim_m">Box31_part3b!$AB$29</definedName>
    <definedName name="number_stakeholder_ccam_recycling_nonteaching_f">Box31_part3a!$AI$40</definedName>
    <definedName name="number_stakeholder_ccam_recycling_nonteaching_m">Box31_part3a!$AF$40</definedName>
    <definedName name="number_stakeholder_ccam_recycling_teaching_f">Box31_part3a!$AC$40</definedName>
    <definedName name="number_stakeholder_ccam_recycling_teaching_m">Box31_part3a!$Z$40</definedName>
    <definedName name="number_stakeholder_ccam_solidwaste_mgmt_exclude_f">Box31_part3b!$S$28</definedName>
    <definedName name="number_stakeholder_ccam_solidwaste_mgmt_exclude_m">Box31_part3b!$P$28</definedName>
    <definedName name="number_stakeholder_ccam_solidwaste_mgmt_ip_f">Box31_part3b!$Y$28</definedName>
    <definedName name="number_stakeholder_ccam_solidwaste_mgmt_ip_m">Box31_part3b!$V$28</definedName>
    <definedName name="number_stakeholder_ccam_solidwaste_mgmt_lwd_f">Box31_part3b!$AK$28</definedName>
    <definedName name="number_stakeholder_ccam_solidwaste_mgmt_lwd_m">Box31_part3b!$AH$28</definedName>
    <definedName name="number_stakeholder_ccam_solidwaste_mgmt_muslim_f">Box31_part3b!$AE$28</definedName>
    <definedName name="number_stakeholder_ccam_solidwaste_mgmt_muslim_m">Box31_part3b!$AB$28</definedName>
    <definedName name="number_stakeholder_ccam_solidwaste_mgmt_nonteaching_f">Box31_part3a!$AI$39</definedName>
    <definedName name="number_stakeholder_ccam_solidwaste_mgmt_nonteaching_m">Box31_part3a!$AF$39</definedName>
    <definedName name="number_stakeholder_ccam_solidwaste_mgmt_teaching_f">Box31_part3a!$AC$39</definedName>
    <definedName name="number_stakeholder_ccam_solidwaste_mgmt_teaching_m">Box31_part3a!$Z$39</definedName>
    <definedName name="number_stakeholder_ccam_tree_planting_exclude_f">Box31_part3b!$S$30</definedName>
    <definedName name="number_stakeholder_ccam_tree_planting_exclude_m">Box31_part3b!$P$30</definedName>
    <definedName name="number_stakeholder_ccam_tree_planting_ip_f">Box31_part3b!$Y$30</definedName>
    <definedName name="number_stakeholder_ccam_tree_planting_ip_m">Box31_part3b!$V$30</definedName>
    <definedName name="number_stakeholder_ccam_tree_planting_lwd_f">Box31_part3b!$AK$30</definedName>
    <definedName name="number_stakeholder_ccam_tree_planting_lwd_m">Box31_part3b!$AH$30</definedName>
    <definedName name="number_stakeholder_ccam_tree_planting_muslim_f">Box31_part3b!$AE$30</definedName>
    <definedName name="number_stakeholder_ccam_tree_planting_muslim_m">Box31_part3b!$AB$30</definedName>
    <definedName name="number_stakeholder_ccam_tree_planting_nonteaching_f">Box31_part3a!$AI$41</definedName>
    <definedName name="number_stakeholder_ccam_tree_planting_nonteaching_m">Box31_part3a!$AF$41</definedName>
    <definedName name="number_stakeholder_ccam_tree_planting_teaching_f">Box31_part3a!$AC$41</definedName>
    <definedName name="number_stakeholder_ccam_tree_planting_teaching_m">Box31_part3a!$Z$41</definedName>
    <definedName name="number_stakeholder_ccam_youth_strike_exclude_f">Box31_part3b!$S$31</definedName>
    <definedName name="number_stakeholder_ccam_youth_strike_exclude_m">Box31_part3b!$P$31</definedName>
    <definedName name="number_stakeholder_ccam_youth_strike_ip_f">Box31_part3b!$Y$31</definedName>
    <definedName name="number_stakeholder_ccam_youth_strike_ip_m">Box31_part3b!$V$31</definedName>
    <definedName name="number_stakeholder_ccam_youth_strike_lwd_f">Box31_part3b!$AK$31</definedName>
    <definedName name="number_stakeholder_ccam_youth_strike_lwd_m">Box31_part3b!$AH$31</definedName>
    <definedName name="number_stakeholder_ccam_youth_strike_muslim_f">Box31_part3b!$AE$31</definedName>
    <definedName name="number_stakeholder_ccam_youth_strike_muslim_m">Box31_part3b!$AB$31</definedName>
    <definedName name="number_stakeholder_ccam_youth_strike_nonteaching_f">Box31_part3a!$AI$42</definedName>
    <definedName name="number_stakeholder_ccam_youth_strike_nonteaching_m">Box31_part3a!$AF$42</definedName>
    <definedName name="number_stakeholder_ccam_youth_strike_teaching_f">Box31_part3a!$AC$42</definedName>
    <definedName name="number_stakeholder_ccam_youth_strike_teaching_m">Box31_part3a!$Z$42</definedName>
    <definedName name="number_stakeholder_drrm_campusjourn_exclude_f">Box31_part3b!$S$17</definedName>
    <definedName name="number_stakeholder_drrm_campusjourn_exclude_m">Box31_part3b!$P$17</definedName>
    <definedName name="number_stakeholder_drrm_campusjourn_ip_f">Box31_part3b!$Y$17</definedName>
    <definedName name="number_stakeholder_drrm_campusjourn_ip_m">Box31_part3b!$V$17</definedName>
    <definedName name="number_stakeholder_drrm_campusjourn_lwd_f">Box31_part3b!$AK$17</definedName>
    <definedName name="number_stakeholder_drrm_campusjourn_lwd_m">Box31_part3b!$AH$17</definedName>
    <definedName name="number_stakeholder_drrm_campusjourn_muslim_f">Box31_part3b!$AE$17</definedName>
    <definedName name="number_stakeholder_drrm_campusjourn_muslim_m">Box31_part3b!$AB$17</definedName>
    <definedName name="number_stakeholder_drrm_campusjourn_nonteaching_f">Box31_part3a!$AI$27</definedName>
    <definedName name="number_stakeholder_drrm_campusjourn_nonteaching_m">Box31_part3a!$AF$27</definedName>
    <definedName name="number_stakeholder_drrm_campusjourn_teaching_f">Box31_part3a!$AC$27</definedName>
    <definedName name="number_stakeholder_drrm_campusjourn_teaching_m">Box31_part3a!$Z$27</definedName>
    <definedName name="number_stakeholder_drrm_celebration_events_exclude_f">Box31_part3b!$S$13</definedName>
    <definedName name="number_stakeholder_drrm_celebration_events_exclude_m">Box31_part3b!$P$13</definedName>
    <definedName name="number_stakeholder_drrm_celebration_events_ip_f">Box31_part3b!$Y$13</definedName>
    <definedName name="number_stakeholder_drrm_celebration_events_ip_m">Box31_part3b!$V$13</definedName>
    <definedName name="number_stakeholder_drrm_celebration_events_lwd_f">Box31_part3b!$AK$13</definedName>
    <definedName name="number_stakeholder_drrm_celebration_events_lwd_m">Box31_part3b!$AH$13</definedName>
    <definedName name="number_stakeholder_drrm_celebration_events_muslim_f">Box31_part3b!$AE$13</definedName>
    <definedName name="number_stakeholder_drrm_celebration_events_muslim_m">Box31_part3b!$AB$13</definedName>
    <definedName name="number_stakeholder_drrm_celebration_events_nonteaching_f">Box31_part3a!$AI$23</definedName>
    <definedName name="number_stakeholder_drrm_celebration_events_nonteaching_m">Box31_part3a!$AF$23</definedName>
    <definedName name="number_stakeholder_drrm_celebration_events_teaching_f">Box31_part3a!$AC$23</definedName>
    <definedName name="number_stakeholder_drrm_celebration_events_teaching_m">Box31_part3a!$Z$23</definedName>
    <definedName name="number_stakeholder_drrm_drrmcamp_exclude_f">Box31_part3b!$S$14</definedName>
    <definedName name="number_stakeholder_drrm_drrmcamp_exclude_m">Box31_part3b!$P$14</definedName>
    <definedName name="number_stakeholder_drrm_drrmcamp_ip_f">Box31_part3b!$Y$14</definedName>
    <definedName name="number_stakeholder_drrm_drrmcamp_ip_m">Box31_part3b!$V$14</definedName>
    <definedName name="number_stakeholder_drrm_drrmcamp_lwd_f">Box31_part3b!$AK$14</definedName>
    <definedName name="number_stakeholder_drrm_drrmcamp_lwd_m">Box31_part3b!$AH$14</definedName>
    <definedName name="number_stakeholder_drrm_drrmcamp_muslim_f">Box31_part3b!$AE$14</definedName>
    <definedName name="number_stakeholder_drrm_drrmcamp_muslim_m">Box31_part3b!$AB$14</definedName>
    <definedName name="number_stakeholder_drrm_drrmcamp_nonteaching_f">Box31_part3a!$AI$24</definedName>
    <definedName name="number_stakeholder_drrm_drrmcamp_nonteaching_m">Box31_part3a!$AF$24</definedName>
    <definedName name="number_stakeholder_drrm_drrmcamp_teaching_f">Box31_part3a!$AC$24</definedName>
    <definedName name="number_stakeholder_drrm_drrmcamp_teaching_m">Box31_part3a!$Z$24</definedName>
    <definedName name="number_stakeholder_drrm_earthquake_prepare_exclude_f">Box31_part3b!$S$10</definedName>
    <definedName name="number_stakeholder_drrm_earthquake_prepare_exclude_m">Box31_part3b!$P$10</definedName>
    <definedName name="number_stakeholder_drrm_earthquake_prepare_ip_f">Box31_part3b!$Y$10</definedName>
    <definedName name="number_stakeholder_drrm_earthquake_prepare_ip_m">Box31_part3b!$V$10</definedName>
    <definedName name="number_stakeholder_drrm_earthquake_prepare_lwd_f">Box31_part3b!$AK$10</definedName>
    <definedName name="number_stakeholder_drrm_earthquake_prepare_lwd_m">Box31_part3b!$AH$10</definedName>
    <definedName name="number_stakeholder_drrm_earthquake_prepare_muslim_f">Box31_part3b!$AE$10</definedName>
    <definedName name="number_stakeholder_drrm_earthquake_prepare_muslim_m">Box31_part3b!$AB$10</definedName>
    <definedName name="number_stakeholder_drrm_earthquake_prepare_nonteaching_f">Box31_part3a!$AI$21</definedName>
    <definedName name="number_stakeholder_drrm_earthquake_prepare_nonteaching_m">Box31_part3a!$AF$21</definedName>
    <definedName name="number_stakeholder_drrm_earthquake_prepare_teaching_f">Box31_part3a!$AC$21</definedName>
    <definedName name="number_stakeholder_drrm_earthquake_prepare_teaching_m">Box31_part3a!$Z$21</definedName>
    <definedName name="number_stakeholder_drrm_firstaid_exclude_f">Box31_part3b!$S$9</definedName>
    <definedName name="number_stakeholder_drrm_firstaid_exclude_m">Box31_part3b!$P$9</definedName>
    <definedName name="number_stakeholder_drrm_firstaid_ip_f">Box31_part3b!$Y$9</definedName>
    <definedName name="number_stakeholder_drrm_firstaid_ip_m">Box31_part3b!$V$9</definedName>
    <definedName name="number_stakeholder_drrm_firstaid_lwd_f">Box31_part3b!$AK$9</definedName>
    <definedName name="number_stakeholder_drrm_firstaid_lwd_m">Box31_part3b!$AH$9</definedName>
    <definedName name="number_stakeholder_drrm_firstaid_muslim_f">Box31_part3b!$AE$9</definedName>
    <definedName name="number_stakeholder_drrm_firstaid_muslim_m">Box31_part3b!$AB$9</definedName>
    <definedName name="number_stakeholder_drrm_firstaid_nonteaching_f">Box31_part3a!$AI$20</definedName>
    <definedName name="number_stakeholder_drrm_firstaid_nonteaching_m">Box31_part3a!$AF$20</definedName>
    <definedName name="number_stakeholder_drrm_firstaid_teaching_f">Box31_part3a!$AC$20</definedName>
    <definedName name="number_stakeholder_drrm_firstaid_teaching_m">Box31_part3a!$Z$20</definedName>
    <definedName name="number_stakeholder_drrm_learner_others_specify">Box31_part3b!$E$19</definedName>
    <definedName name="number_stakeholder_drrm_online_mhpss_exclude_f">Box31_part3b!$S$12</definedName>
    <definedName name="number_stakeholder_drrm_online_mhpss_exclude_m">Box31_part3b!$P$12</definedName>
    <definedName name="number_stakeholder_drrm_online_mhpss_ip_f">Box31_part3b!$Y$12</definedName>
    <definedName name="number_stakeholder_drrm_online_mhpss_ip_m">Box31_part3b!$V$12</definedName>
    <definedName name="number_stakeholder_drrm_online_mhpss_lwd_f">Box31_part3b!$AK$12</definedName>
    <definedName name="number_stakeholder_drrm_online_mhpss_lwd_m">Box31_part3b!$AH$12</definedName>
    <definedName name="number_stakeholder_drrm_online_mhpss_muslim_f">Box31_part3b!$AE$12</definedName>
    <definedName name="number_stakeholder_drrm_online_mhpss_muslim_m">Box31_part3b!$AB$12</definedName>
    <definedName name="number_stakeholder_drrm_others_exclude_f">Box31_part3b!$S$18</definedName>
    <definedName name="number_stakeholder_drrm_others_exclude_m">Box31_part3b!$P$18</definedName>
    <definedName name="number_stakeholder_drrm_others_ip_f">Box31_part3b!$Y$18</definedName>
    <definedName name="number_stakeholder_drrm_others_ip_m">Box31_part3b!$V$18</definedName>
    <definedName name="number_stakeholder_drrm_others_lwd_f">Box31_part3b!$AK$18</definedName>
    <definedName name="number_stakeholder_drrm_others_lwd_m">Box31_part3b!$AH$18</definedName>
    <definedName name="number_stakeholder_drrm_others_muslim_f">Box31_part3b!$AE$18</definedName>
    <definedName name="number_stakeholder_drrm_others_muslim_m">Box31_part3b!$AB$18</definedName>
    <definedName name="number_stakeholder_drrm_others_nonteaching_f">Box31_part3a!$AI$28</definedName>
    <definedName name="number_stakeholder_drrm_others_nonteaching_m">Box31_part3a!$AF$28</definedName>
    <definedName name="number_stakeholder_drrm_others_specify">Box31_part3a!$K$28</definedName>
    <definedName name="number_stakeholder_drrm_others_teaching_f">Box31_part3a!$AC$28</definedName>
    <definedName name="number_stakeholder_drrm_others_teaching_m">Box31_part3a!$Z$28</definedName>
    <definedName name="number_stakeholder_drrm_swhm_exclude_f">Box31_part3b!$S$11</definedName>
    <definedName name="number_stakeholder_drrm_swhm_exclude_m">Box31_part3b!$P$11</definedName>
    <definedName name="number_stakeholder_drrm_swhm_ip_f">Box31_part3b!$Y$11</definedName>
    <definedName name="number_stakeholder_drrm_swhm_ip_m">Box31_part3b!$V$11</definedName>
    <definedName name="number_stakeholder_drrm_swhm_lwd_f">Box31_part3b!$AK$11</definedName>
    <definedName name="number_stakeholder_drrm_swhm_lwd_m">Box31_part3b!$AH$11</definedName>
    <definedName name="number_stakeholder_drrm_swhm_muslim_f">Box31_part3b!$AE$11</definedName>
    <definedName name="number_stakeholder_drrm_swhm_muslim_m">Box31_part3b!$AB$11</definedName>
    <definedName name="number_stakeholder_drrm_swhm_nonteaching_f">Box31_part3a!$AI$22</definedName>
    <definedName name="number_stakeholder_drrm_swhm_nonteaching_m">Box31_part3a!$AF$22</definedName>
    <definedName name="number_stakeholder_drrm_swhm_teaching_f">Box31_part3a!$AC$22</definedName>
    <definedName name="number_stakeholder_drrm_swhm_teaching_m">Box31_part3a!$Z$22</definedName>
    <definedName name="number_stakeholder_drrm_youth_action_exclude_f">Box31_part3b!$S$16</definedName>
    <definedName name="number_stakeholder_drrm_youth_action_exclude_m">Box31_part3b!$P$16</definedName>
    <definedName name="number_stakeholder_drrm_youth_action_ip_f">Box31_part3b!$Y$16</definedName>
    <definedName name="number_stakeholder_drrm_youth_action_ip_m">Box31_part3b!$V$16</definedName>
    <definedName name="number_stakeholder_drrm_youth_action_lwd_f">Box31_part3b!$AK$16</definedName>
    <definedName name="number_stakeholder_drrm_youth_action_lwd_m">Box31_part3b!$AH$16</definedName>
    <definedName name="number_stakeholder_drrm_youth_action_muslim_f">Box31_part3b!$AE$16</definedName>
    <definedName name="number_stakeholder_drrm_youth_action_muslim_m">Box31_part3b!$AB$16</definedName>
    <definedName name="number_stakeholder_drrm_youth_action_nonteaching_f">Box31_part3a!$AI$26</definedName>
    <definedName name="number_stakeholder_drrm_youth_action_nonteaching_m">Box31_part3a!$AF$26</definedName>
    <definedName name="number_stakeholder_drrm_youth_action_teaching_f">Box31_part3a!$AC$26</definedName>
    <definedName name="number_stakeholder_drrm_youth_action_teaching_m">Box31_part3a!$Z$26</definedName>
    <definedName name="number_stakeholder_drrm_youth_council_exclude_f">Box31_part3b!$S$15</definedName>
    <definedName name="number_stakeholder_drrm_youth_council_exclude_m">Box31_part3b!$P$15</definedName>
    <definedName name="number_stakeholder_drrm_youth_council_ip_f">Box31_part3b!$Y$15</definedName>
    <definedName name="number_stakeholder_drrm_youth_council_ip_m">Box31_part3b!$V$15</definedName>
    <definedName name="number_stakeholder_drrm_youth_council_lwd_f">Box31_part3b!$AK$15</definedName>
    <definedName name="number_stakeholder_drrm_youth_council_lwd_m">Box31_part3b!$AH$15</definedName>
    <definedName name="number_stakeholder_drrm_youth_council_muslim_f">Box31_part3b!$AE$15</definedName>
    <definedName name="number_stakeholder_drrm_youth_council_muslim_m">Box31_part3b!$AB$15</definedName>
    <definedName name="number_stakeholder_drrm_youth_council_nonteaching_f">Box31_part3a!$AI$25</definedName>
    <definedName name="number_stakeholder_drrm_youth_council_nonteaching_m">Box31_part3a!$AF$25</definedName>
    <definedName name="number_stakeholder_drrm_youth_council_teaching_f">Box31_part3a!$AC$25</definedName>
    <definedName name="number_stakeholder_drrm_youth_council_teaching_m">Box31_part3a!$Z$25</definedName>
    <definedName name="number_stakeholder_pbp_art_contests_exclude_f">Box31_part3b!$S$39</definedName>
    <definedName name="number_stakeholder_pbp_art_contests_exclude_m">Box31_part3b!$P$39</definedName>
    <definedName name="number_stakeholder_pbp_art_contests_ip_f">Box31_part3b!$Y$39</definedName>
    <definedName name="number_stakeholder_pbp_art_contests_ip_m">Box31_part3b!$V$39</definedName>
    <definedName name="number_stakeholder_pbp_art_contests_lwd_f">Box31_part3b!$AK$39</definedName>
    <definedName name="number_stakeholder_pbp_art_contests_lwd_m">Box31_part3b!$AH$39</definedName>
    <definedName name="number_stakeholder_pbp_art_contests_muslim_f">Box31_part3b!$AE$39</definedName>
    <definedName name="number_stakeholder_pbp_art_contests_muslim_m">Box31_part3b!$AB$39</definedName>
    <definedName name="number_stakeholder_pbp_art_contests_nonteaching_f">Box31_part3a!$AI$49</definedName>
    <definedName name="number_stakeholder_pbp_art_contests_nonteaching_m">Box31_part3a!$AF$49</definedName>
    <definedName name="number_stakeholder_pbp_art_contests_teaching_f">Box31_part3a!$AC$49</definedName>
    <definedName name="number_stakeholder_pbp_art_contests_teaching_m">Box31_part3a!$Z$49</definedName>
    <definedName name="number_stakeholder_pbp_celebration_events_exclude_f">Box31_part3b!$S$40</definedName>
    <definedName name="number_stakeholder_pbp_celebration_events_exclude_m">Box31_part3b!$P$40</definedName>
    <definedName name="number_stakeholder_pbp_celebration_events_ip_f">Box31_part3b!$Y$40</definedName>
    <definedName name="number_stakeholder_pbp_celebration_events_ip_m">Box31_part3b!$V$40</definedName>
    <definedName name="number_stakeholder_pbp_celebration_events_lwd_f">Box31_part3b!$AK$40</definedName>
    <definedName name="number_stakeholder_pbp_celebration_events_lwd_m">Box31_part3b!$AH$40</definedName>
    <definedName name="number_stakeholder_pbp_celebration_events_muslim_f">Box31_part3b!$AE$40</definedName>
    <definedName name="number_stakeholder_pbp_celebration_events_muslim_m">Box31_part3b!$AB$40</definedName>
    <definedName name="number_stakeholder_pbp_celebration_events_nonteaching_f">Box31_part3a!$AI$50</definedName>
    <definedName name="number_stakeholder_pbp_celebration_events_nonteaching_m">Box31_part3a!$AF$50</definedName>
    <definedName name="number_stakeholder_pbp_celebration_events_teaching_f">Box31_part3a!$AC$50</definedName>
    <definedName name="number_stakeholder_pbp_celebration_events_teaching_m">Box31_part3a!$Z$50</definedName>
    <definedName name="number_stakeholder_pbp_learner_others_specify">Box31_part3b!$E$42</definedName>
    <definedName name="number_stakeholder_pbp_others_exclude_f">Box31_part3b!$S$41</definedName>
    <definedName name="number_stakeholder_pbp_others_exclude_m">Box31_part3b!$P$41</definedName>
    <definedName name="number_stakeholder_pbp_others_ip_f">Box31_part3b!$Y$41</definedName>
    <definedName name="number_stakeholder_pbp_others_ip_m">Box31_part3b!$V$41</definedName>
    <definedName name="number_stakeholder_pbp_others_lwd_f">Box31_part3b!$AK$41</definedName>
    <definedName name="number_stakeholder_pbp_others_lwd_m">Box31_part3b!$AH$41</definedName>
    <definedName name="number_stakeholder_pbp_others_muslim_f">Box31_part3b!$AE$41</definedName>
    <definedName name="number_stakeholder_pbp_others_muslim_m">Box31_part3b!$AB$41</definedName>
    <definedName name="number_stakeholder_pbp_others_nonteaching_f">Box31_part3a!$AI$51</definedName>
    <definedName name="number_stakeholder_pbp_others_nonteaching_m">Box31_part3a!$AF$51</definedName>
    <definedName name="number_stakeholder_pbp_others_specify">Box31_part3a!$K$51</definedName>
    <definedName name="number_stakeholder_pbp_others_teaching_f">Box31_part3a!$AC$51</definedName>
    <definedName name="number_stakeholder_pbp_others_teaching_m">Box31_part3a!$Z$51</definedName>
    <definedName name="number_stakeholder_pbp_peaceconfe_exclude_f">Box31_part3b!$S$37</definedName>
    <definedName name="number_stakeholder_pbp_peaceconfe_exclude_m">Box31_part3b!$P$37</definedName>
    <definedName name="number_stakeholder_pbp_peaceconfe_ip_f">Box31_part3b!$Y$37</definedName>
    <definedName name="number_stakeholder_pbp_peaceconfe_ip_m">Box31_part3b!$V$37</definedName>
    <definedName name="number_stakeholder_pbp_peaceconfe_lwd_f">Box31_part3b!$AK$37</definedName>
    <definedName name="number_stakeholder_pbp_peaceconfe_lwd_m">Box31_part3b!$AH$37</definedName>
    <definedName name="number_stakeholder_pbp_peaceconfe_muslim_f">Box31_part3b!$AE$37</definedName>
    <definedName name="number_stakeholder_pbp_peaceconfe_muslim_m">Box31_part3b!$AB$37</definedName>
    <definedName name="number_stakeholder_pbp_peaceconfe_nonteaching_f">Box31_part3a!$AI$47</definedName>
    <definedName name="number_stakeholder_pbp_peaceconfe_nonteaching_m">Box31_part3a!$AF$47</definedName>
    <definedName name="number_stakeholder_pbp_peaceconfe_teaching_f">Box31_part3a!$AC$47</definedName>
    <definedName name="number_stakeholder_pbp_peaceconfe_teaching_m">Box31_part3a!$Z$47</definedName>
    <definedName name="number_stakeholder_pbp_youth_networks_exclude_f">Box31_part3b!$S$38</definedName>
    <definedName name="number_stakeholder_pbp_youth_networks_exclude_m">Box31_part3b!$P$38</definedName>
    <definedName name="number_stakeholder_pbp_youth_networks_ip_f">Box31_part3b!$Y$38</definedName>
    <definedName name="number_stakeholder_pbp_youth_networks_ip_m">Box31_part3b!$V$38</definedName>
    <definedName name="number_stakeholder_pbp_youth_networks_lwd_f">Box31_part3b!$AK$38</definedName>
    <definedName name="number_stakeholder_pbp_youth_networks_lwd_m">Box31_part3b!$AH$38</definedName>
    <definedName name="number_stakeholder_pbp_youth_networks_muslim_f">Box31_part3b!$AE$38</definedName>
    <definedName name="number_stakeholder_pbp_youth_networks_muslim_m">Box31_part3b!$AB$38</definedName>
    <definedName name="number_stakeholder_pbp_youth_networks_nonteaching_f">Box31_part3a!$AI$48</definedName>
    <definedName name="number_stakeholder_pbp_youth_networks_nonteaching_m">Box31_part3a!$AF$48</definedName>
    <definedName name="number_stakeholder_pbp_youth_networks_teaching_f">Box31_part3a!$AC$48</definedName>
    <definedName name="number_stakeholder_pbp_youth_networks_teaching_m">Box31_part3a!$Z$48</definedName>
    <definedName name="number_stakeholders_participated_drrmccampbp_learner">Box31_part3a!$F$13</definedName>
    <definedName name="number_stakeholders_participated_drrmccampbp_lgu">Box31_part3a!$U$13</definedName>
    <definedName name="number_stakeholders_participated_drrmccampbp_ngo">Box31_part3a!$Z$13</definedName>
    <definedName name="number_stakeholders_participated_drrmccampbp_parent">Box31_part3a!$P$13</definedName>
    <definedName name="number_stakeholders_participated_drrmccampbp_personnel">Box31_part3a!$K$13</definedName>
    <definedName name="number_teachers_trained_integ_drrmccampbp_daily_f">Box31_part3d!$AB$10</definedName>
    <definedName name="number_teachers_trained_integ_drrmccampbp_daily_m">Box31_part3d!$X$10</definedName>
    <definedName name="number_trained_module_adm_nonteaching_f">Box31_part3c!$AH$34</definedName>
    <definedName name="number_trained_module_adm_nonteaching_m">Box31_part3c!$AE$34</definedName>
    <definedName name="number_trained_module_adm_teaching_f">Box31_part3c!$AB$34</definedName>
    <definedName name="number_trained_module_adm_teaching_m">Box31_part3c!$Y$34</definedName>
    <definedName name="number_trained_module_beie_nonteaching_f">Box31_part3c!$AH$39</definedName>
    <definedName name="number_trained_module_beie_nonteaching_m">Box31_part3c!$AE$39</definedName>
    <definedName name="number_trained_module_beie_teaching_f">Box31_part3c!$AB$39</definedName>
    <definedName name="number_trained_module_beie_teaching_m">Box31_part3c!$Y$39</definedName>
    <definedName name="number_trained_module_camp_mgmt_nonteaching_f">Box31_part3c!$AH$37</definedName>
    <definedName name="number_trained_module_camp_mgmt_nonteaching_m">Box31_part3c!$AE$37</definedName>
    <definedName name="number_trained_module_camp_mgmt_teaching_f">Box31_part3c!$AB$37</definedName>
    <definedName name="number_trained_module_camp_mgmt_teaching_m">Box31_part3c!$Y$37</definedName>
    <definedName name="number_trained_module_cchange_global_nonteaching_f">Box31_part3c!$AH$45</definedName>
    <definedName name="number_trained_module_cchange_global_nonteaching_m">Box31_part3c!$AE$45</definedName>
    <definedName name="number_trained_module_cchange_global_teaching_f">Box31_part3c!$AB$45</definedName>
    <definedName name="number_trained_module_cchange_global_teaching_m">Box31_part3c!$Y$45</definedName>
    <definedName name="number_trained_module_cdrrmef_nonteaching_f">Box31_part3c!$AH$31</definedName>
    <definedName name="number_trained_module_cdrrmef_nonteaching_m">Box31_part3c!$AE$31</definedName>
    <definedName name="number_trained_module_cdrrmef_teaching_f">Box31_part3c!$AB$31</definedName>
    <definedName name="number_trained_module_cdrrmef_teaching_m">Box31_part3c!$Y$31</definedName>
    <definedName name="number_trained_module_common_hazards_nonteaching_f">Box31_part3c!$AH$42</definedName>
    <definedName name="number_trained_module_common_hazards_nonteaching_m">Box31_part3c!$AE$42</definedName>
    <definedName name="number_trained_module_common_hazards_teaching_f">Box31_part3c!$AB$42</definedName>
    <definedName name="number_trained_module_common_hazards_teaching_m">Box31_part3c!$Y$42</definedName>
    <definedName name="number_trained_module_contingency_nonteaching_f">Box31_part3c!$AH$41</definedName>
    <definedName name="number_trained_module_contingency_nonteaching_m">Box31_part3c!$AE$41</definedName>
    <definedName name="number_trained_module_contingency_teaching_f">Box31_part3c!$AB$41</definedName>
    <definedName name="number_trained_module_contingency_teaching_m">Box31_part3c!$Y$41</definedName>
    <definedName name="number_trained_module_eie_nonteaching_f">Box31_part3c!$AH$33</definedName>
    <definedName name="number_trained_module_eie_nonteaching_m">Box31_part3c!$AE$33</definedName>
    <definedName name="number_trained_module_eie_teaching_f">Box31_part3c!$AB$33</definedName>
    <definedName name="number_trained_module_eie_teaching_m">Box31_part3c!$Y$33</definedName>
    <definedName name="number_trained_module_im_nonteaching_f">Box31_part3c!$AH$35</definedName>
    <definedName name="number_trained_module_im_nonteaching_m">Box31_part3c!$AE$35</definedName>
    <definedName name="number_trained_module_im_teaching_f">Box31_part3c!$AB$35</definedName>
    <definedName name="number_trained_module_im_teaching_m">Box31_part3c!$Y$35</definedName>
    <definedName name="number_trained_module_inclusive_childcenter_nonteaching_f">Box31_part3c!$AH$32</definedName>
    <definedName name="number_trained_module_inclusive_childcenter_nonteaching_m">Box31_part3c!$AE$32</definedName>
    <definedName name="number_trained_module_inclusive_childcenter_teaching_f">Box31_part3c!$AB$32</definedName>
    <definedName name="number_trained_module_inclusive_childcenter_teaching_m">Box31_part3c!$Y$32</definedName>
    <definedName name="number_trained_module_intl_ntl_foundations_nonteaching_f">Box31_part3c!$AH$30</definedName>
    <definedName name="number_trained_module_intl_ntl_foundations_nonteaching_m">Box31_part3c!$AE$30</definedName>
    <definedName name="number_trained_module_intl_ntl_foundations_teaching_f">Box31_part3c!$AB$30</definedName>
    <definedName name="number_trained_module_intl_ntl_foundations_teaching_m">Box31_part3c!$Y$30</definedName>
    <definedName name="number_trained_module_life_support_nonteaching_f">Box31_part3c!$AH$49</definedName>
    <definedName name="number_trained_module_life_support_nonteaching_m">Box31_part3c!$AE$49</definedName>
    <definedName name="number_trained_module_life_support_teaching_f">Box31_part3c!$AB$49</definedName>
    <definedName name="number_trained_module_life_support_teaching_m">Box31_part3c!$Y$49</definedName>
    <definedName name="number_trained_module_mainstream_planning_nonteaching_f">Box31_part3c!$AH$43</definedName>
    <definedName name="number_trained_module_mainstream_planning_nonteaching_m">Box31_part3c!$AE$43</definedName>
    <definedName name="number_trained_module_mainstream_planning_teaching_f">Box31_part3c!$AB$43</definedName>
    <definedName name="number_trained_module_mainstream_planning_teaching_m">Box31_part3c!$Y$43</definedName>
    <definedName name="number_trained_module_mhpss_nonteaching_f">Box31_part3c!$AH$48</definedName>
    <definedName name="number_trained_module_mhpss_nonteaching_m">Box31_part3c!$AE$48</definedName>
    <definedName name="number_trained_module_mhpss_teaching_f">Box31_part3c!$AB$48</definedName>
    <definedName name="number_trained_module_mhpss_teaching_m">Box31_part3c!$Y$48</definedName>
    <definedName name="number_trained_module_others_nonteaching_f">Box31_part3c!$AH$51</definedName>
    <definedName name="number_trained_module_others_nonteaching_m">Box31_part3c!$AE$51</definedName>
    <definedName name="number_trained_module_others_specify">Box31_part3c!$F$52</definedName>
    <definedName name="number_trained_module_others_teaching_f">Box31_part3c!$AB$51</definedName>
    <definedName name="number_trained_module_others_teaching_m">Box31_part3c!$Y$51</definedName>
    <definedName name="number_trained_module_peace_conflict_nonteaching_f">Box31_part3c!$AH$46</definedName>
    <definedName name="number_trained_module_peace_conflict_nonteaching_m">Box31_part3c!$AE$46</definedName>
    <definedName name="number_trained_module_peace_conflict_teaching_f">Box31_part3c!$AB$46</definedName>
    <definedName name="number_trained_module_peace_conflict_teaching_m">Box31_part3c!$Y$46</definedName>
    <definedName name="number_trained_module_resource_mobil_nonteaching_f">Box31_part3c!$AH$40</definedName>
    <definedName name="number_trained_module_resource_mobil_nonteaching_m">Box31_part3c!$AE$40</definedName>
    <definedName name="number_trained_module_resource_mobil_teaching_f">Box31_part3c!$AB$40</definedName>
    <definedName name="number_trained_module_resource_mobil_teaching_m">Box31_part3c!$Y$40</definedName>
    <definedName name="number_trained_module_schoolbased_nonteaching_f">Box31_part3c!$AH$36</definedName>
    <definedName name="number_trained_module_schoolbased_nonteaching_m">Box31_part3c!$AE$36</definedName>
    <definedName name="number_trained_module_schoolbased_teaching_f">Box31_part3c!$AB$36</definedName>
    <definedName name="number_trained_module_schoolbased_teaching_m">Box31_part3c!$Y$36</definedName>
    <definedName name="number_trained_module_sensitive_educ_nonteaching_f">Box31_part3c!$AH$47</definedName>
    <definedName name="number_trained_module_sensitive_educ_nonteaching_m">Box31_part3c!$AE$47</definedName>
    <definedName name="number_trained_module_sensitive_educ_teaching_f">Box31_part3c!$AB$47</definedName>
    <definedName name="number_trained_module_sensitive_educ_teaching_m">Box31_part3c!$Y$47</definedName>
    <definedName name="number_trained_module_staff_safety_nonteaching_f">Box31_part3c!$AH$50</definedName>
    <definedName name="number_trained_module_staff_safety_nonteaching_m">Box31_part3c!$AE$50</definedName>
    <definedName name="number_trained_module_staff_safety_teaching_f">Box31_part3c!$AB$50</definedName>
    <definedName name="number_trained_module_staff_safety_teaching_m">Box31_part3c!$Y$50</definedName>
    <definedName name="number_trained_module_terminologies_nonteaching_f">Box31_part3c!$AH$29</definedName>
    <definedName name="number_trained_module_terminologies_nonteaching_m">Box31_part3c!$AE$29</definedName>
    <definedName name="number_trained_module_terminologies_teaching_f">Box31_part3c!$AB$29</definedName>
    <definedName name="number_trained_module_terminologies_teaching_m">Box31_part3c!$Y$29</definedName>
    <definedName name="number_trained_module_tls_nonteaching_f">Box31_part3c!$AH$38</definedName>
    <definedName name="number_trained_module_tls_nonteaching_m">Box31_part3c!$AE$38</definedName>
    <definedName name="number_trained_module_tls_teaching_f">Box31_part3c!$AB$38</definedName>
    <definedName name="number_trained_module_tls_teaching_m">Box31_part3c!$Y$38</definedName>
    <definedName name="number_trained_module_understand_cchange_nonteaching_f">Box31_part3c!$AH$44</definedName>
    <definedName name="number_trained_module_understand_cchange_nonteaching_m">Box31_part3c!$AE$44</definedName>
    <definedName name="number_trained_module_understand_cchange_teaching_f">Box31_part3c!$AB$44</definedName>
    <definedName name="number_trained_module_understand_cchange_teaching_m">Box31_part3c!$Y$44</definedName>
    <definedName name="number_training_conducted_learner_ccam">Box31_part3b!$J$53</definedName>
    <definedName name="number_training_conducted_learner_drrm">Box31_part3b!$J$52</definedName>
    <definedName name="number_training_conducted_learner_pbuilding">Box31_part3b!$J$54</definedName>
    <definedName name="numteach_assign_ap_g4_f">'Tables16-17'!$AT$11</definedName>
    <definedName name="numteach_assign_ap_g4_m">'Tables16-17'!$AQ$11</definedName>
    <definedName name="numteach_assign_ap_g5_f">'Tables16-17'!$BC$11</definedName>
    <definedName name="numteach_assign_ap_g5_m">'Tables16-17'!$AZ$11</definedName>
    <definedName name="numteach_assign_ap_g6_f">'Tables16-17'!$BL$11</definedName>
    <definedName name="numteach_assign_ap_g6_m">'Tables16-17'!$BI$11</definedName>
    <definedName name="numteach_assign_eng_g4_f">'Tables16-17'!$AT$7</definedName>
    <definedName name="numteach_assign_eng_g4_m">'Tables16-17'!$AQ$7</definedName>
    <definedName name="numteach_assign_eng_g5_f">'Tables16-17'!$BC$7</definedName>
    <definedName name="numteach_assign_eng_g5_m">'Tables16-17'!$AZ$7</definedName>
    <definedName name="numteach_assign_eng_g6_f">'Tables16-17'!$BL$7</definedName>
    <definedName name="numteach_assign_eng_g6_m">'Tables16-17'!$BI$7</definedName>
    <definedName name="numteach_assign_epp_tle_g4_f">'Tables16-17'!$AT$12</definedName>
    <definedName name="numteach_assign_epp_tle_g4_m">'Tables16-17'!$AQ$12</definedName>
    <definedName name="numteach_assign_epp_tle_g5_f">'Tables16-17'!$BC$12</definedName>
    <definedName name="numteach_assign_epp_tle_g5_m">'Tables16-17'!$AZ$12</definedName>
    <definedName name="numteach_assign_epp_tle_g6_f">'Tables16-17'!$BL$12</definedName>
    <definedName name="numteach_assign_epp_tle_g6_m">'Tables16-17'!$BI$12</definedName>
    <definedName name="numteach_assign_esp_g4_f">'Tables16-17'!$AT$14</definedName>
    <definedName name="numteach_assign_esp_g4_m">'Tables16-17'!$AQ$14</definedName>
    <definedName name="numteach_assign_esp_g5_f">'Tables16-17'!$BC$14</definedName>
    <definedName name="numteach_assign_esp_g5_m">'Tables16-17'!$AZ$14</definedName>
    <definedName name="numteach_assign_esp_g6_f">'Tables16-17'!$BL$14</definedName>
    <definedName name="numteach_assign_esp_g6_m">'Tables16-17'!$BI$14</definedName>
    <definedName name="numteach_assign_fil_g4_f">'Tables16-17'!$AT$9</definedName>
    <definedName name="numteach_assign_fil_g4_m">'Tables16-17'!$AQ$9</definedName>
    <definedName name="numteach_assign_fil_g5_f">'Tables16-17'!$BC$9</definedName>
    <definedName name="numteach_assign_fil_g5_m">'Tables16-17'!$AZ$9</definedName>
    <definedName name="numteach_assign_fil_g6_f">'Tables16-17'!$BL$9</definedName>
    <definedName name="numteach_assign_fil_g6_m">'Tables16-17'!$BI$9</definedName>
    <definedName name="numteach_assign_mapeh_g4_f">'Tables16-17'!$AT$13</definedName>
    <definedName name="numteach_assign_mapeh_g4_m">'Tables16-17'!$AQ$13</definedName>
    <definedName name="numteach_assign_mapeh_g5_f">'Tables16-17'!$BC$13</definedName>
    <definedName name="numteach_assign_mapeh_g5_m">'Tables16-17'!$AZ$13</definedName>
    <definedName name="numteach_assign_mapeh_g6_f">'Tables16-17'!$BL$13</definedName>
    <definedName name="numteach_assign_mapeh_g6_m">'Tables16-17'!$BI$13</definedName>
    <definedName name="numteach_assign_math_g4_f">'Tables16-17'!$AT$8</definedName>
    <definedName name="numteach_assign_math_g4_m">'Tables16-17'!$AQ$8</definedName>
    <definedName name="numteach_assign_math_g5_f">'Tables16-17'!$BC$8</definedName>
    <definedName name="numteach_assign_math_g5_m">'Tables16-17'!$AZ$8</definedName>
    <definedName name="numteach_assign_math_g6_f">'Tables16-17'!$BL$8</definedName>
    <definedName name="numteach_assign_math_g6_m">'Tables16-17'!$BI$8</definedName>
    <definedName name="numteach_assign_sci_g4_f">'Tables16-17'!$AT$10</definedName>
    <definedName name="numteach_assign_sci_g4_m">'Tables16-17'!$AQ$10</definedName>
    <definedName name="numteach_assign_sci_g5_f">'Tables16-17'!$BC$10</definedName>
    <definedName name="numteach_assign_sci_g5_m">'Tables16-17'!$AZ$10</definedName>
    <definedName name="numteach_assign_sci_g6_f">'Tables16-17'!$BL$10</definedName>
    <definedName name="numteach_assign_sci_g6_m">'Tables16-17'!$BI$10</definedName>
    <definedName name="numteach_g1_F">'Tables16-17'!$M$8</definedName>
    <definedName name="numteach_g1_m">'Tables16-17'!$J$8</definedName>
    <definedName name="numteach_g2_f">'Tables16-17'!$M$9</definedName>
    <definedName name="numteach_g2_m">'Tables16-17'!$J$9</definedName>
    <definedName name="numteach_g3_f">'Tables16-17'!$M$10</definedName>
    <definedName name="numteach_g3_m">'Tables16-17'!$J$10</definedName>
    <definedName name="numteach_g4_f">'Tables16-17'!$M$11</definedName>
    <definedName name="numteach_g4_m">'Tables16-17'!$J$11</definedName>
    <definedName name="numteach_g5_f">'Tables16-17'!$M$12</definedName>
    <definedName name="numteach_g5_m">'Tables16-17'!$J$12</definedName>
    <definedName name="numteach_g6_f">'Tables16-17'!$M$13</definedName>
    <definedName name="numteach_g6_m">'Tables16-17'!$J$13</definedName>
    <definedName name="numteach_highest_educ_attainment_bachelor_f">'Table18-Boxes1-2'!$P$6</definedName>
    <definedName name="numteach_highest_educ_attainment_bachelor_m">'Table18-Boxes1-2'!$K$6</definedName>
    <definedName name="numteach_highest_educ_attainment_doctor_f">'Table18-Boxes1-2'!$P$10</definedName>
    <definedName name="numteach_highest_educ_attainment_doctor_m">'Table18-Boxes1-2'!$K$10</definedName>
    <definedName name="numteach_highest_educ_attainment_doctor_units_f">'Table18-Boxes1-2'!$P$9</definedName>
    <definedName name="numteach_highest_educ_attainment_doctor_units_m">'Table18-Boxes1-2'!$K$9</definedName>
    <definedName name="numteach_highest_educ_attainment_master_f">'Table18-Boxes1-2'!$P$8</definedName>
    <definedName name="numteach_highest_educ_attainment_master_m">'Table18-Boxes1-2'!$K$8</definedName>
    <definedName name="numteach_highest_educ_attainment_master_units_f">'Table18-Boxes1-2'!$P$7</definedName>
    <definedName name="numteach_highest_educ_attainment_master_units_m">'Table18-Boxes1-2'!$K$7</definedName>
    <definedName name="numteach_kinder_F">'Tables16-17'!$M$7</definedName>
    <definedName name="numteach_kinder_m">'Tables16-17'!$J$7</definedName>
    <definedName name="numteach_morethance_g1_f">'Tables16-17'!$V$8</definedName>
    <definedName name="numteach_morethance_g1_m">'Tables16-17'!$S$8</definedName>
    <definedName name="numteach_morethance_g2_f">'Tables16-17'!$V$9</definedName>
    <definedName name="numteach_morethance_g2_m">'Tables16-17'!$S$9</definedName>
    <definedName name="numteach_morethance_g3_f">'Tables16-17'!$V$10</definedName>
    <definedName name="numteach_morethance_g3_m">'Tables16-17'!$S$10</definedName>
    <definedName name="numteach_morethance_g4_f">'Tables16-17'!$V$11</definedName>
    <definedName name="numteach_morethance_g4_m">'Tables16-17'!$S$11</definedName>
    <definedName name="numteach_morethance_g5_f">'Tables16-17'!$V$12</definedName>
    <definedName name="numteach_morethance_g5_m">'Tables16-17'!$S$12</definedName>
    <definedName name="numteach_morethance_g6_f">'Tables16-17'!$V$13</definedName>
    <definedName name="numteach_morethance_g6_m">'Tables16-17'!$S$13</definedName>
    <definedName name="numteach_morethance_kinder_F">'Tables16-17'!$V$7</definedName>
    <definedName name="numteach_morethance_kinder_m">'Tables16-17'!$S$7</definedName>
    <definedName name="numteach_morethance_sped_f">'Tables16-17'!$V$14</definedName>
    <definedName name="numteach_morethance_sped_m">'Tables16-17'!$S$14</definedName>
    <definedName name="numteach_sped_f">'Tables16-17'!$M$14</definedName>
    <definedName name="numteach_sped_m">'Tables16-17'!$J$14</definedName>
    <definedName name="numteach_sped_mt1_asd_diff_pas">Table6!$T$11</definedName>
    <definedName name="numteach_sped_mt1_cd_diff_com">Table6!$AD$11</definedName>
    <definedName name="numteach_sped_mt1_ebd_diff_dib">Table6!$W$11</definedName>
    <definedName name="numteach_sped_mt1_hi_diff_hearing">Table6!$J$11</definedName>
    <definedName name="numteach_sped_mt1_id_diff_rcpau">Table6!$P$11</definedName>
    <definedName name="numteach_sped_mt1_ld_diff_ak">Table6!$M$11</definedName>
    <definedName name="numteach_sped_mt1_md">Table6!$AH$11</definedName>
    <definedName name="numteach_sped_mt1_md_combi_2mor_disabilities">Table6!$AK$11</definedName>
    <definedName name="numteach_sped_mt1_oh_diff_mob">Table6!$AA$11</definedName>
    <definedName name="numteach_sped_mt1_vi_diff_seeing">Table6!$G$11</definedName>
    <definedName name="numteach_sped_mt1_yrs_serv_0to3">Table6!$AN$11</definedName>
    <definedName name="numteach_sped_mt1_yrs_serv_10to12">Table6!$AT$11</definedName>
    <definedName name="numteach_sped_mt1_yrs_serv_13to15">Table6!$AV$11</definedName>
    <definedName name="numteach_sped_mt1_yrs_serv_16nabove">Table6!$AX$11</definedName>
    <definedName name="numteach_sped_mt1_yrs_serv_4to6">Table6!$AP$11</definedName>
    <definedName name="numteach_sped_mt1_yrs_serv_7to9">Table6!$AR$11</definedName>
    <definedName name="numteach_sped_mt1_yrs_teach_0to3">Table6!$AZ$11</definedName>
    <definedName name="numteach_sped_mt1_yrs_teach_10to12">Table6!$BF$11</definedName>
    <definedName name="numteach_sped_mt1_yrs_teach_13nabove">Table6!$BH$11</definedName>
    <definedName name="numteach_sped_mt1_yrs_teach_4to6">Table6!$BB$11</definedName>
    <definedName name="numteach_sped_mt1_yrs_teach_7to9">Table6!$BD$11</definedName>
    <definedName name="numteach_sped_mt2_asd_diff_pas">Table6!$T$10</definedName>
    <definedName name="numteach_sped_mt2_cd_diff_com">Table6!$AD$10</definedName>
    <definedName name="numteach_sped_mt2_ebd_diff_dib">Table6!$W$10</definedName>
    <definedName name="numteach_sped_mt2_hi_diff_hearing">Table6!$J$10</definedName>
    <definedName name="numteach_sped_mt2_id_diff_rcpau">Table6!$P$10</definedName>
    <definedName name="numteach_sped_mt2_ld_diff_ak">Table6!$M$10</definedName>
    <definedName name="numteach_sped_mt2_md">Table6!$AH$10</definedName>
    <definedName name="numteach_sped_mt2_md_combi_2mor_disabilities">Table6!$AK$10</definedName>
    <definedName name="numteach_sped_mt2_oh_diff_mob">Table6!$AA$10</definedName>
    <definedName name="numteach_sped_mt2_vi_diff_seeing">Table6!$G$10</definedName>
    <definedName name="numteach_sped_mt2_yrs_serv_0to3">Table6!$AN$10</definedName>
    <definedName name="numteach_sped_mt2_yrs_serv_10to12">Table6!$AT$10</definedName>
    <definedName name="numteach_sped_mt2_yrs_serv_13to15">Table6!$AV$10</definedName>
    <definedName name="numteach_sped_mt2_yrs_serv_16nabove">Table6!$AX$10</definedName>
    <definedName name="numteach_sped_mt2_yrs_serv_4to6">Table6!$AP$10</definedName>
    <definedName name="numteach_sped_mt2_yrs_serv_7to9">Table6!$AR$10</definedName>
    <definedName name="numteach_sped_mt2_yrs_teach_0to3">Table6!$AZ$10</definedName>
    <definedName name="numteach_sped_mt2_yrs_teach_10to12">Table6!$BF$10</definedName>
    <definedName name="numteach_sped_mt2_yrs_teach_13nabove">Table6!$BH$10</definedName>
    <definedName name="numteach_sped_mt2_yrs_teach_4to6">Table6!$BB$10</definedName>
    <definedName name="numteach_sped_mt2_yrs_teach_7to9">Table6!$BD$10</definedName>
    <definedName name="numteach_sped_mt3_asd_diff_pas">Table6!$T$9</definedName>
    <definedName name="numteach_sped_mt3_cd_diff_com">Table6!$AD$9</definedName>
    <definedName name="numteach_sped_mt3_ebd_diff_dib">Table6!$W$9</definedName>
    <definedName name="numteach_sped_mt3_hi_diff_hearing">Table6!$J$9</definedName>
    <definedName name="numteach_sped_mt3_id_diff_rcpau">Table6!$P$9</definedName>
    <definedName name="numteach_sped_mt3_ld_diff_ak">Table6!$M$9</definedName>
    <definedName name="numteach_sped_mt3_md">Table6!$AH$9</definedName>
    <definedName name="numteach_sped_mt3_md_combi_2mor_disabilities">Table6!$AK$9</definedName>
    <definedName name="numteach_sped_mt3_oh_diff_mob">Table6!$AA$9</definedName>
    <definedName name="numteach_sped_mt3_vi_diff_seeing">Table6!$G$9</definedName>
    <definedName name="numteach_sped_mt3_yrs_serv_0to3">Table6!$AN$9</definedName>
    <definedName name="numteach_sped_mt3_yrs_serv_10to12">Table6!$AT$9</definedName>
    <definedName name="numteach_sped_mt3_yrs_serv_13to15">Table6!$AV$9</definedName>
    <definedName name="numteach_sped_mt3_yrs_serv_16nabove">Table6!$AX$9</definedName>
    <definedName name="numteach_sped_mt3_yrs_serv_4to6">Table6!$AP$9</definedName>
    <definedName name="numteach_sped_mt3_yrs_serv_7to9">Table6!$AR$9</definedName>
    <definedName name="numteach_sped_mt3_yrs_teach_0to3">Table6!$AZ$9</definedName>
    <definedName name="numteach_sped_mt3_yrs_teach_10to12">Table6!$BF$9</definedName>
    <definedName name="numteach_sped_mt3_yrs_teach_13nabove">Table6!$BH$9</definedName>
    <definedName name="numteach_sped_mt3_yrs_teach_4to6">Table6!$BB$9</definedName>
    <definedName name="numteach_sped_mt3_yrs_teach_7to9">Table6!$BD$9</definedName>
    <definedName name="numteach_sped_mt4_asd_diff_pas">Table6!$T$8</definedName>
    <definedName name="numteach_sped_mt4_cd_diff_com">Table6!$AD$8</definedName>
    <definedName name="numteach_sped_mt4_ebd_diff_dib">Table6!$W$8</definedName>
    <definedName name="numteach_sped_mt4_hi_diff_hearing">Table6!$J$8</definedName>
    <definedName name="numteach_sped_mt4_id_diff_rcpau">Table6!$P$8</definedName>
    <definedName name="numteach_sped_mt4_ld_diff_ak">Table6!$M$8</definedName>
    <definedName name="numteach_sped_mt4_md">Table6!$AH$8</definedName>
    <definedName name="numteach_sped_mt4_md_combi_2mor_disabilities">Table6!$AK$8</definedName>
    <definedName name="numteach_sped_mt4_oh_diff_mob">Table6!$AA$8</definedName>
    <definedName name="numteach_sped_mt4_vi_diff_seeing">Table6!$G$8</definedName>
    <definedName name="numteach_sped_mt4_yrs_serv_0to3">Table6!$AN$8</definedName>
    <definedName name="numteach_sped_mt4_yrs_serv_10to12">Table6!$AT$8</definedName>
    <definedName name="numteach_sped_mt4_yrs_serv_13to15">Table6!$AV$8</definedName>
    <definedName name="numteach_sped_mt4_yrs_serv_16nabove">Table6!$AX$8</definedName>
    <definedName name="numteach_sped_mt4_yrs_serv_4to6">Table6!$AP$8</definedName>
    <definedName name="numteach_sped_mt4_yrs_serv_7to9">Table6!$AR$8</definedName>
    <definedName name="numteach_sped_mt4_yrs_teach_0to3">Table6!$AZ$8</definedName>
    <definedName name="numteach_sped_mt4_yrs_teach_10to12">Table6!$BF$8</definedName>
    <definedName name="numteach_sped_mt4_yrs_teach_13nabove">Table6!$BH$8</definedName>
    <definedName name="numteach_sped_mt4_yrs_teach_4to6">Table6!$BB$8</definedName>
    <definedName name="numteach_sped_mt4_yrs_teach_7to9">Table6!$BD$8</definedName>
    <definedName name="numteach_sped_t1_asd_diff_pas">Table6!$T$14</definedName>
    <definedName name="numteach_sped_t1_cd_diff_com">Table6!$AD$14</definedName>
    <definedName name="numteach_sped_t1_ebd_diff_dib">Table6!$W$14</definedName>
    <definedName name="numteach_sped_t1_hi_diff_hearing">Table6!$J$14</definedName>
    <definedName name="numteach_sped_t1_id_diff_rcpau">Table6!$P$14</definedName>
    <definedName name="numteach_sped_t1_ld_diff_ak">Table6!$M$14</definedName>
    <definedName name="numteach_sped_t1_md">Table6!$AH$14</definedName>
    <definedName name="numteach_sped_t1_md_combi_2mor_disabilities">Table6!$AK$14</definedName>
    <definedName name="numteach_sped_t1_oh_diff_mob">Table6!$AA$14</definedName>
    <definedName name="numteach_sped_t1_vi_diff_seeing">Table6!$G$14</definedName>
    <definedName name="numteach_sped_t1_yrs_serv_0to3">Table6!$AN$14</definedName>
    <definedName name="numteach_sped_t1_yrs_serv_10to12">Table6!$AT$14</definedName>
    <definedName name="numteach_sped_t1_yrs_serv_13to15">Table6!$AV$14</definedName>
    <definedName name="numteach_sped_t1_yrs_serv_16nabove">Table6!$AX$14</definedName>
    <definedName name="numteach_sped_t1_yrs_serv_4to6">Table6!$AP$14</definedName>
    <definedName name="numteach_sped_t1_yrs_serv_7to9">Table6!$AR$14</definedName>
    <definedName name="numteach_sped_t1_yrs_teach_0to3">Table6!$AZ$14</definedName>
    <definedName name="numteach_sped_t1_yrs_teach_10to12">Table6!$BF$14</definedName>
    <definedName name="numteach_sped_t1_yrs_teach_13nabove">Table6!$BH$14</definedName>
    <definedName name="numteach_sped_t1_yrs_teach_4to6">Table6!$BB$14</definedName>
    <definedName name="numteach_sped_t1_yrs_teach_7to9">Table6!$BD$14</definedName>
    <definedName name="numteach_sped_t2_asd_diff_pas">Table6!$T$13</definedName>
    <definedName name="numteach_sped_t2_cd_diff_com">Table6!$AD$13</definedName>
    <definedName name="numteach_sped_t2_ebd_diff_dib">Table6!$W$13</definedName>
    <definedName name="numteach_sped_t2_hi_diff_hearing">Table6!$J$13</definedName>
    <definedName name="numteach_sped_t2_id_diff_rcpau">Table6!$P$13</definedName>
    <definedName name="numteach_sped_t2_ld_diff_ak">Table6!$M$13</definedName>
    <definedName name="numteach_sped_t2_md">Table6!$AH$13</definedName>
    <definedName name="numteach_sped_t2_md_combi_2mor_disabilities">Table6!$AK$13</definedName>
    <definedName name="numteach_sped_t2_oh_diff_mob">Table6!$AA$13</definedName>
    <definedName name="numteach_sped_t2_vi_diff_seeing">Table6!$G$13</definedName>
    <definedName name="numteach_sped_t2_yrs_serv_0to3">Table6!$AN$13</definedName>
    <definedName name="numteach_sped_t2_yrs_serv_10to12">Table6!$AT$13</definedName>
    <definedName name="numteach_sped_t2_yrs_serv_13to15">Table6!$AV$13</definedName>
    <definedName name="numteach_sped_t2_yrs_serv_16nabove">Table6!$AX$13</definedName>
    <definedName name="numteach_sped_t2_yrs_serv_4to6">Table6!$AP$13</definedName>
    <definedName name="numteach_sped_t2_yrs_serv_7to9">Table6!$AR$13</definedName>
    <definedName name="numteach_sped_t2_yrs_teach_0to3">Table6!$AZ$13</definedName>
    <definedName name="numteach_sped_t2_yrs_teach_10to12">Table6!$BF$13</definedName>
    <definedName name="numteach_sped_t2_yrs_teach_13nabove">Table6!$BH$13</definedName>
    <definedName name="numteach_sped_t2_yrs_teach_4to6">Table6!$BB$13</definedName>
    <definedName name="numteach_sped_t2_yrs_teach_7to9">Table6!$BD$13</definedName>
    <definedName name="numteach_sped_t3_asd_diff_pas">Table6!$T$12</definedName>
    <definedName name="numteach_sped_t3_cd_diff_com">Table6!$AD$12</definedName>
    <definedName name="numteach_sped_t3_ebd_diff_dib">Table6!$W$12</definedName>
    <definedName name="numteach_sped_t3_hi_diff_hearing">Table6!$J$12</definedName>
    <definedName name="numteach_sped_t3_id_diff_rcpau">Table6!$P$12</definedName>
    <definedName name="numteach_sped_t3_ld_diff_ak">Table6!$M$12</definedName>
    <definedName name="numteach_sped_t3_md">Table6!$AH$12</definedName>
    <definedName name="numteach_sped_t3_md_combi_2mor_disabilities">Table6!$AK$12</definedName>
    <definedName name="numteach_sped_t3_oh_diff_mob">Table6!$AA$12</definedName>
    <definedName name="numteach_sped_t3_vi_diff_seeing">Table6!$G$12</definedName>
    <definedName name="numteach_sped_t3_yrs_serv_0to3">Table6!$AN$12</definedName>
    <definedName name="numteach_sped_t3_yrs_serv_10to12">Table6!$AT$12</definedName>
    <definedName name="numteach_sped_t3_yrs_serv_13to15">Table6!$AV$12</definedName>
    <definedName name="numteach_sped_t3_yrs_serv_16nabove">Table6!$AX$12</definedName>
    <definedName name="numteach_sped_t3_yrs_serv_4to6">Table6!$AP$12</definedName>
    <definedName name="numteach_sped_t3_yrs_serv_7to9">Table6!$AR$12</definedName>
    <definedName name="numteach_sped_t3_yrs_teach_0to3">Table6!$AZ$12</definedName>
    <definedName name="numteach_sped_t3_yrs_teach_10to12">Table6!$BF$12</definedName>
    <definedName name="numteach_sped_t3_yrs_teach_13nabove">Table6!$BH$12</definedName>
    <definedName name="numteach_sped_t3_yrs_teach_4to6">Table6!$BB$12</definedName>
    <definedName name="numteach_sped_t3_yrs_teach_7to9">Table6!$BD$12</definedName>
    <definedName name="oer_edited_remix_reuse_work_grade1_quarter1">'Table26-Box7'!$V$8</definedName>
    <definedName name="oer_edited_remix_reuse_work_grade1_quarter2">'Table26-Box7'!$Y$8</definedName>
    <definedName name="oer_edited_remix_reuse_work_grade1_quarter3">'Table26-Box7'!$AB$8</definedName>
    <definedName name="oer_edited_remix_reuse_work_grade1_quarter4">'Table26-Box7'!$AE$8</definedName>
    <definedName name="oer_edited_remix_reuse_work_grade2_quarter1">'Table26-Box7'!$V$9</definedName>
    <definedName name="oer_edited_remix_reuse_work_grade2_quarter2">'Table26-Box7'!$Y$9</definedName>
    <definedName name="oer_edited_remix_reuse_work_grade2_quarter3">'Table26-Box7'!$AB$9</definedName>
    <definedName name="oer_edited_remix_reuse_work_grade2_quarter4">'Table26-Box7'!$AE$9</definedName>
    <definedName name="oer_edited_remix_reuse_work_grade3_quarter1">'Table26-Box7'!$V$10</definedName>
    <definedName name="oer_edited_remix_reuse_work_grade3_quarter2">'Table26-Box7'!$Y$10</definedName>
    <definedName name="oer_edited_remix_reuse_work_grade3_quarter3">'Table26-Box7'!$AB$10</definedName>
    <definedName name="oer_edited_remix_reuse_work_grade3_quarter4">'Table26-Box7'!$AE$10</definedName>
    <definedName name="oer_edited_remix_reuse_work_grade4_quarter1">'Table26-Box7'!$V$11</definedName>
    <definedName name="oer_edited_remix_reuse_work_grade4_quarter2">'Table26-Box7'!$Y$11</definedName>
    <definedName name="oer_edited_remix_reuse_work_grade4_quarter3">'Table26-Box7'!$AB$11</definedName>
    <definedName name="oer_edited_remix_reuse_work_grade4_quarter4">'Table26-Box7'!$AE$11</definedName>
    <definedName name="oer_edited_remix_reuse_work_grade5_quarter1">'Table26-Box7'!$V$12</definedName>
    <definedName name="oer_edited_remix_reuse_work_grade5_quarter2">'Table26-Box7'!$Y$12</definedName>
    <definedName name="oer_edited_remix_reuse_work_grade5_quarter3">'Table26-Box7'!$AB$12</definedName>
    <definedName name="oer_edited_remix_reuse_work_grade5_quarter4">'Table26-Box7'!$AE$12</definedName>
    <definedName name="oer_edited_remix_reuse_work_grade6_quarter1">'Table26-Box7'!$V$13</definedName>
    <definedName name="oer_edited_remix_reuse_work_grade6_quarter2">'Table26-Box7'!$Y$13</definedName>
    <definedName name="oer_edited_remix_reuse_work_grade6_quarter3">'Table26-Box7'!$AB$13</definedName>
    <definedName name="oer_edited_remix_reuse_work_grade6_quarter4">'Table26-Box7'!$AE$13</definedName>
    <definedName name="oer_edited_remix_reuse_work_kinder_quarter1">'Table26-Box7'!$V$7</definedName>
    <definedName name="oer_edited_remix_reuse_work_kinder_quarter2">'Table26-Box7'!$Y$7</definedName>
    <definedName name="oer_edited_remix_reuse_work_kinder_quarter3">'Table26-Box7'!$AB$7</definedName>
    <definedName name="oer_edited_remix_reuse_work_kinder_quarter4">'Table26-Box7'!$AE$7</definedName>
    <definedName name="oer_original_work_grade1_quarter1">'Table26-Box7'!$G$8</definedName>
    <definedName name="oer_original_work_grade1_quarter2">'Table26-Box7'!$J$8</definedName>
    <definedName name="oer_original_work_grade1_quarter3">'Table26-Box7'!$M$8</definedName>
    <definedName name="oer_original_work_grade1_quarter4">'Table26-Box7'!$P$8</definedName>
    <definedName name="oer_original_work_grade2_quarter1">'Table26-Box7'!$G$9</definedName>
    <definedName name="oer_original_work_grade2_quarter2">'Table26-Box7'!$J$9</definedName>
    <definedName name="oer_original_work_grade2_quarter3">'Table26-Box7'!$M$9</definedName>
    <definedName name="oer_original_work_grade2_quarter4">'Table26-Box7'!$P$9</definedName>
    <definedName name="oer_original_work_grade3_quarter1">'Table26-Box7'!$G$10</definedName>
    <definedName name="oer_original_work_grade3_quarter2">'Table26-Box7'!$J$10</definedName>
    <definedName name="oer_original_work_grade3_quarter3">'Table26-Box7'!$M$10</definedName>
    <definedName name="oer_original_work_grade3_quarter4">'Table26-Box7'!$P$10</definedName>
    <definedName name="oer_original_work_grade4_quarter1">'Table26-Box7'!$G$11</definedName>
    <definedName name="oer_original_work_grade4_quarter2">'Table26-Box7'!$J$11</definedName>
    <definedName name="oer_original_work_grade4_quarter3">'Table26-Box7'!$M$11</definedName>
    <definedName name="oer_original_work_grade4_quarter4">'Table26-Box7'!$P$11</definedName>
    <definedName name="oer_original_work_grade5_quarter1">'Table26-Box7'!$G$12</definedName>
    <definedName name="oer_original_work_grade5_quarter2">'Table26-Box7'!$J$12</definedName>
    <definedName name="oer_original_work_grade5_quarter3">'Table26-Box7'!$M$12</definedName>
    <definedName name="oer_original_work_grade5_quarter4">'Table26-Box7'!$P$12</definedName>
    <definedName name="oer_original_work_grade6_quarter1">'Table26-Box7'!$G$13</definedName>
    <definedName name="oer_original_work_grade6_quarter2">'Table26-Box7'!$J$13</definedName>
    <definedName name="oer_original_work_grade6_quarter3">'Table26-Box7'!$M$13</definedName>
    <definedName name="oer_original_work_grade6_quarter4">'Table26-Box7'!$P$13</definedName>
    <definedName name="oer_original_work_kinder_quarter1">'Table26-Box7'!$G$7</definedName>
    <definedName name="oer_original_work_kinder_quarter2">'Table26-Box7'!$J$7</definedName>
    <definedName name="oer_original_work_kinder_quarter3">'Table26-Box7'!$M$7</definedName>
    <definedName name="oer_original_work_kinder_quarter4">'Table26-Box7'!$P$7</definedName>
    <definedName name="opmainsanf_sanfclean_attwiceawk">'Boxes21,22,23'!$I$23</definedName>
    <definedName name="opmainsanf_sanfclean_avecos_monbm_amount">'Boxes21,22,23'!$Z$24</definedName>
    <definedName name="opmainsanf_sanfclean_daily">'Boxes21,22,23'!$I$22</definedName>
    <definedName name="opmainsanf_sanfclean_lessonceawk">'Boxes21,22,23'!$U$23</definedName>
    <definedName name="opmainsanf_sanfclean_onceawk">'Boxes21,22,23'!$U$22</definedName>
    <definedName name="opmainsanf_sanfclean_payavecos_monbm_lgu">'Boxes21,22,23'!$I$27</definedName>
    <definedName name="opmainsanf_sanfclean_payavecos_monbm_other_specify">'Boxes21,22,23'!$Z$28</definedName>
    <definedName name="opmainsanf_sanfclean_payavecos_monbm_others">'Boxes21,22,23'!$U$28</definedName>
    <definedName name="opmainsanf_sanfclean_payavecos_monbm_privinds">'Boxes21,22,23'!$U$27</definedName>
    <definedName name="opmainsanf_sanfclean_payavecos_monbm_pta">'Boxes21,22,23'!$I$28</definedName>
    <definedName name="opmainsanf_sanfclean_payavecos_monbmes_schcantf">'Boxes21,22,23'!$U$26</definedName>
    <definedName name="opmainsanf_sanfclean_payavecos_monbmes_schmooe">'Boxes21,22,23'!$I$26</definedName>
    <definedName name="personnel_affected_need_pss_nonteaching_f">'Box30_part3b '!$W$12</definedName>
    <definedName name="personnel_affected_need_pss_nonteaching_m">'Box30_part3b '!$T$12</definedName>
    <definedName name="personnel_affected_need_pss_teaching_f">'Box30_part3b '!$Q$12</definedName>
    <definedName name="personnel_affected_need_pss_teaching_m">'Box30_part3b '!$N$12</definedName>
    <definedName name="personnel_affected_provided_mhpss_nonteaching_f">'Box30_part3b '!$W$9</definedName>
    <definedName name="personnel_affected_provided_mhpss_nonteaching_m">'Box30_part3b '!$T$9</definedName>
    <definedName name="personnel_affected_provided_mhpss_teaching_f">'Box30_part3b '!$Q$9</definedName>
    <definedName name="personnel_affected_provided_mhpss_teaching_m">'Box30_part3b '!$N$9</definedName>
    <definedName name="personnel_affected_ref_mechanism_nonteaching_f">'Box30_part3b '!$W$15</definedName>
    <definedName name="personnel_affected_ref_mechanism_nonteaching_m">'Box30_part3b '!$T$15</definedName>
    <definedName name="personnel_affected_ref_mechanism_teaching_f">'Box30_part3b '!$Q$15</definedName>
    <definedName name="personnel_affected_ref_mechanism_teaching_m">'Box30_part3b '!$N$15</definedName>
    <definedName name="personnel_deped_subsi_cont_serv_cos_f">'Tables7,8,9'!$I$31</definedName>
    <definedName name="personnel_deped_subsi_cont_serv_cos_m">'Tables7,8,9'!$B$31</definedName>
    <definedName name="personnel_elem_alive_qualified_f">'Tables7,8,9'!$Q$21</definedName>
    <definedName name="personnel_elem_alive_qualified_m">'Tables7,8,9'!$N$21</definedName>
    <definedName name="personnel_elem_alive_trained_f">'Tables7,8,9'!$Z$21</definedName>
    <definedName name="personnel_elem_alive_trained_m">'Tables7,8,9'!$W$21</definedName>
    <definedName name="personnel_elem_lgu">'Tables7,8,9'!$Z$7</definedName>
    <definedName name="personnel_elem_others">'Tables7,8,9'!$AF$7</definedName>
    <definedName name="personnel_elem_sef_mun_city">'Tables7,8,9'!$T$7</definedName>
    <definedName name="personnel_elem_sef_prov">'Tables7,8,9'!$N$7</definedName>
    <definedName name="personnel_kinder_lgu">'Tables7,8,9'!$Z$6</definedName>
    <definedName name="personnel_kinder_others">'Tables7,8,9'!$AF$6</definedName>
    <definedName name="personnel_kinder_qualified_f">'Tables7,8,9'!$Q$20</definedName>
    <definedName name="personnel_kinder_qualified_m">'Tables7,8,9'!$N$20</definedName>
    <definedName name="personnel_kinder_sef_mun_city">'Tables7,8,9'!$T$6</definedName>
    <definedName name="personnel_kinder_sef_prov">'Tables7,8,9'!$N$6</definedName>
    <definedName name="personnel_kinder_trained_f">'Tables7,8,9'!$Z$20</definedName>
    <definedName name="personnel_kinder_trained_m">'Tables7,8,9'!$W$20</definedName>
    <definedName name="personnel_nonteach_disbofficer_actual_f">Table10!$R$27</definedName>
    <definedName name="personnel_nonteach_disbofficer_actual_m">Table10!$O$27</definedName>
    <definedName name="personnel_nonteach_disbofficer_detailed_depedoffice">Table10!$AD$27</definedName>
    <definedName name="personnel_nonteach_disbofficer_detailed_hs">Table10!$AG$27</definedName>
    <definedName name="personnel_nonteach_disbofficer_detailed_othersch_f">Table10!$AW$27</definedName>
    <definedName name="personnel_nonteach_disbofficer_detailed_othersch_m">Table10!$AT$27</definedName>
    <definedName name="personnel_nonteach_disbofficer_detailed_outdiv">Table10!$AJ$27</definedName>
    <definedName name="personnel_nonteach_disbofficer_onleave">Table10!$X$27</definedName>
    <definedName name="personnel_nonteach_disbofficer_psipop">Table10!$L$27</definedName>
    <definedName name="personnel_nonteach_disbofficer_vacant">Table10!$AA$27</definedName>
    <definedName name="personnel_nonteach_guidancecoor_I_actual_f">Table10!$R$22</definedName>
    <definedName name="personnel_nonteach_guidancecoor_I_actual_m">Table10!$O$22</definedName>
    <definedName name="personnel_nonteach_guidancecoor_I_detailed_depedoffice">Table10!$AD$22</definedName>
    <definedName name="personnel_nonteach_guidancecoor_I_detailed_hs">Table10!$AG$22</definedName>
    <definedName name="personnel_nonteach_guidancecoor_I_detailed_othersch_f">Table10!$AW$22</definedName>
    <definedName name="personnel_nonteach_guidancecoor_I_detailed_othersch_m">Table10!$AT$22</definedName>
    <definedName name="personnel_nonteach_guidancecoor_I_detailed_outdiv">Table10!$AJ$22</definedName>
    <definedName name="personnel_nonteach_guidancecoor_I_onleave">Table10!$X$22</definedName>
    <definedName name="personnel_nonteach_guidancecoor_I_psipop">Table10!$L$22</definedName>
    <definedName name="personnel_nonteach_guidancecoor_I_vacant">Table10!$AA$22</definedName>
    <definedName name="personnel_nonteach_guidancecoor_II_actual_f">Table10!$R$21</definedName>
    <definedName name="personnel_nonteach_guidancecoor_II_actual_m">Table10!$O$21</definedName>
    <definedName name="personnel_nonteach_guidancecoor_II_detailed_depedoffice">Table10!$AD$21</definedName>
    <definedName name="personnel_nonteach_guidancecoor_II_detailed_hs">Table10!$AG$21</definedName>
    <definedName name="personnel_nonteach_guidancecoor_II_detailed_othersch_f">Table10!$AW$21</definedName>
    <definedName name="personnel_nonteach_guidancecoor_II_detailed_othersch_m">Table10!$AT$21</definedName>
    <definedName name="personnel_nonteach_guidancecoor_II_detailed_outdiv">Table10!$AJ$21</definedName>
    <definedName name="personnel_nonteach_guidancecoor_II_onleave">Table10!$X$21</definedName>
    <definedName name="personnel_nonteach_guidancecoor_II_psipop">Table10!$L$21</definedName>
    <definedName name="personnel_nonteach_guidancecoor_II_vacant">Table10!$AA$21</definedName>
    <definedName name="personnel_nonteach_guidancecoor_III_actual_f">Table10!$R$20</definedName>
    <definedName name="personnel_nonteach_guidancecoor_III_actual_m">Table10!$O$20</definedName>
    <definedName name="personnel_nonteach_guidancecoor_III_detailed_depedoffice">Table10!$AD$20</definedName>
    <definedName name="personnel_nonteach_guidancecoor_III_detailed_hs">Table10!$AG$20</definedName>
    <definedName name="personnel_nonteach_guidancecoor_III_detailed_othersch_f">Table10!$AW$20</definedName>
    <definedName name="personnel_nonteach_guidancecoor_III_detailed_othersch_m">Table10!$AT$20</definedName>
    <definedName name="personnel_nonteach_guidancecoor_III_detailed_outdiv">Table10!$AJ$20</definedName>
    <definedName name="personnel_nonteach_guidancecoor_III_onleave">Table10!$X$20</definedName>
    <definedName name="personnel_nonteach_guidancecoor_III_psipop">Table10!$L$20</definedName>
    <definedName name="personnel_nonteach_guidancecoor_III_vacant">Table10!$AA$20</definedName>
    <definedName name="personnel_nonteach_guidancecounsel_I_actual_f">Table10!$R$25</definedName>
    <definedName name="personnel_nonteach_guidancecounsel_I_actual_m">Table10!$O$25</definedName>
    <definedName name="personnel_nonteach_guidancecounsel_I_detailed_depedoffice">Table10!$AD$25</definedName>
    <definedName name="personnel_nonteach_guidancecounsel_I_detailed_hs">Table10!$AG$25</definedName>
    <definedName name="personnel_nonteach_guidancecounsel_I_detailed_othersch_F">Table10!$AW$25</definedName>
    <definedName name="personnel_nonteach_guidancecounsel_I_detailed_othersch_m">Table10!$AT$25</definedName>
    <definedName name="personnel_nonteach_guidancecounsel_I_detailed_outdiv">Table10!$AJ$25</definedName>
    <definedName name="personnel_nonteach_guidancecounsel_I_onleave">Table10!$X$25</definedName>
    <definedName name="personnel_nonteach_guidancecounsel_I_psipop">Table10!$L$25</definedName>
    <definedName name="personnel_nonteach_guidancecounsel_I_vacant">Table10!$AA$25</definedName>
    <definedName name="personnel_nonteach_guidancecounsel_II_actual_f">Table10!$R$24</definedName>
    <definedName name="personnel_nonteach_guidancecounsel_II_actual_m">Table10!$O$24</definedName>
    <definedName name="personnel_nonteach_guidancecounsel_II_detailed_depedoffice">Table10!$AD$24</definedName>
    <definedName name="personnel_nonteach_guidancecounsel_II_detailed_hs">Table10!$AG$24</definedName>
    <definedName name="personnel_nonteach_guidancecounsel_II_detailed_othersch_f">Table10!$AW$24</definedName>
    <definedName name="personnel_nonteach_guidancecounsel_II_detailed_othersch_m">Table10!$AT$24</definedName>
    <definedName name="personnel_nonteach_guidancecounsel_II_detailed_outdiv">Table10!$AJ$24</definedName>
    <definedName name="personnel_nonteach_guidancecounsel_II_onleave">Table10!$X$24</definedName>
    <definedName name="personnel_nonteach_guidancecounsel_II_psipop">Table10!$L$24</definedName>
    <definedName name="personnel_nonteach_guidancecounsel_II_vacant">Table10!$AA$24</definedName>
    <definedName name="personnel_nonteach_guidancecounsel_III_actual_f">Table10!$R$23</definedName>
    <definedName name="personnel_nonteach_guidancecounsel_III_actual_m">Table10!$O$23</definedName>
    <definedName name="personnel_nonteach_guidancecounsel_III_actual_m\">Table10!$O$23</definedName>
    <definedName name="personnel_nonteach_guidancecounsel_III_detailed_depedoffice">Table10!$AD$23</definedName>
    <definedName name="personnel_nonteach_guidancecounsel_III_detailed_hs">Table10!$AG$23</definedName>
    <definedName name="personnel_nonteach_guidancecounsel_III_detailed_othersch_f">Table10!$AW$23</definedName>
    <definedName name="personnel_nonteach_guidancecounsel_III_detailed_othersch_m">Table10!$AT$23</definedName>
    <definedName name="personnel_nonteach_guidancecounsel_III_detailed_outdiv">Table10!$AJ$23</definedName>
    <definedName name="personnel_nonteach_guidancecounsel_III_onleave">Table10!$X$23</definedName>
    <definedName name="personnel_nonteach_guidancecounsel_III_psipop">Table10!$L$23</definedName>
    <definedName name="personnel_nonteach_guidancecounsel_III_vacant">Table10!$AA$23</definedName>
    <definedName name="personnel_nonteach_ht1_actual_f">Table10!$R$19</definedName>
    <definedName name="personnel_nonteach_ht1_actual_m">Table10!$O$19</definedName>
    <definedName name="personnel_nonteach_ht1_detailed_depedoffice">Table10!$AD$19</definedName>
    <definedName name="personnel_nonteach_ht1_detailed_hs">Table10!$AG$19</definedName>
    <definedName name="personnel_nonteach_ht1_detailed_othersch_f">Table10!$AW$19</definedName>
    <definedName name="personnel_nonteach_ht1_detailed_othersch_m">Table10!$AT$19</definedName>
    <definedName name="personnel_nonteach_ht1_detailed_outdiv">Table10!$AJ$19</definedName>
    <definedName name="personnel_nonteach_ht1_onleave">Table10!$X$19</definedName>
    <definedName name="personnel_nonteach_ht1_psipop">Table10!$L$19</definedName>
    <definedName name="personnel_nonteach_ht1_vacant">Table10!$AA$19</definedName>
    <definedName name="personnel_nonteach_ht2_actual_f">Table10!$R$18</definedName>
    <definedName name="personnel_nonteach_ht2_actual_m">Table10!$O$18</definedName>
    <definedName name="personnel_nonteach_ht2_detailed_depedoffice">Table10!$AD$18</definedName>
    <definedName name="personnel_nonteach_ht2_detailed_hs">Table10!$AG$18</definedName>
    <definedName name="personnel_nonteach_ht2_detailed_othersch_f">Table10!$AW$18</definedName>
    <definedName name="personnel_nonteach_ht2_detailed_othersch_m">Table10!$AT$18</definedName>
    <definedName name="personnel_nonteach_ht2_detailed_outdiv">Table10!$AJ$18</definedName>
    <definedName name="personnel_nonteach_ht2_onleave">Table10!$X$18</definedName>
    <definedName name="personnel_nonteach_ht2_psipop">Table10!$L$18</definedName>
    <definedName name="personnel_nonteach_ht2_vacant">Table10!$AA$18</definedName>
    <definedName name="personnel_nonteach_ht3_actual_f">Table10!$R$17</definedName>
    <definedName name="personnel_nonteach_ht3_actual_m">Table10!$O$17</definedName>
    <definedName name="personnel_nonteach_ht3_detailed_depedoffice">Table10!$AD$17</definedName>
    <definedName name="personnel_nonteach_ht3_detailed_hs">Table10!$AG$17</definedName>
    <definedName name="personnel_nonteach_ht3_detailed_othersch_f">Table10!$AW$17</definedName>
    <definedName name="personnel_nonteach_ht3_detailed_othersch_m">Table10!$AT$17</definedName>
    <definedName name="personnel_nonteach_ht3_detailed_outdiv">Table10!$AJ$17</definedName>
    <definedName name="personnel_nonteach_ht3_onleave">Table10!$X$17</definedName>
    <definedName name="personnel_nonteach_ht3_psipop">Table10!$L$17</definedName>
    <definedName name="personnel_nonteach_ht3_vacant">Table10!$AA$17</definedName>
    <definedName name="personnel_nonteach_ht4_actual_f">Table10!$R$16</definedName>
    <definedName name="personnel_nonteach_ht4_actual_m">Table10!$O$16</definedName>
    <definedName name="personnel_nonteach_ht4_detailed_depedoffice">Table10!$AD$16</definedName>
    <definedName name="personnel_nonteach_ht4_detailed_hs">Table10!$AG$16</definedName>
    <definedName name="personnel_nonteach_ht4_detailed_othersch_f">Table10!$AW$16</definedName>
    <definedName name="personnel_nonteach_ht4_detailed_othersch_m">Table10!$AT$16</definedName>
    <definedName name="personnel_nonteach_ht4_detailed_outdiv">Table10!$AJ$16</definedName>
    <definedName name="personnel_nonteach_ht4_onleave">Table10!$X$16</definedName>
    <definedName name="personnel_nonteach_ht4_psipop">Table10!$L$16</definedName>
    <definedName name="personnel_nonteach_ht4_vacant">Table10!$AA$16</definedName>
    <definedName name="personnel_nonteach_ht5_actual_f">Table10!$R$15</definedName>
    <definedName name="personnel_nonteach_ht5_actual_m">Table10!$O$15</definedName>
    <definedName name="personnel_nonteach_ht5_detailed_depedoffice">Table10!$AD$15</definedName>
    <definedName name="personnel_nonteach_ht5_detailed_hs">Table10!$AG$15</definedName>
    <definedName name="personnel_nonteach_ht5_detailed_othersch_f">Table10!$AW$15</definedName>
    <definedName name="personnel_nonteach_ht5_detailed_othersch_m">Table10!$AT$15</definedName>
    <definedName name="personnel_nonteach_ht5_detailed_outdiv">Table10!$AJ$15</definedName>
    <definedName name="personnel_nonteach_ht5_onleave">Table10!$X$15</definedName>
    <definedName name="personnel_nonteach_ht5_psipop">Table10!$L$15</definedName>
    <definedName name="personnel_nonteach_ht5_vacant">Table10!$AA$15</definedName>
    <definedName name="personnel_nonteach_ht6_actual_f">Table10!$R$14</definedName>
    <definedName name="personnel_nonteach_ht6_actual_m">Table10!$O$14</definedName>
    <definedName name="personnel_nonteach_ht6_detailed_depedoffice">Table10!$AD$14</definedName>
    <definedName name="personnel_nonteach_ht6_detailed_hs">Table10!$AG$14</definedName>
    <definedName name="personnel_nonteach_ht6_detailed_othersch_f">Table10!$AW$14</definedName>
    <definedName name="personnel_nonteach_ht6_detailed_othersch_m">Table10!$AT$14</definedName>
    <definedName name="personnel_nonteach_ht6_detailed_outdiv">Table10!$AJ$14</definedName>
    <definedName name="personnel_nonteach_ht6_onleave">Table10!$X$14</definedName>
    <definedName name="personnel_nonteach_ht6_psipop">Table10!$L$14</definedName>
    <definedName name="personnel_nonteach_ht6_vacant">Table10!$AA$14</definedName>
    <definedName name="personnel_nonteach_securityguard_actual_f">Table10!$R$28</definedName>
    <definedName name="personnel_nonteach_securityguard_actual_m">Table10!$O$28</definedName>
    <definedName name="personnel_nonteach_securityguard_detailed_depedoffice">Table10!$AD$28</definedName>
    <definedName name="personnel_nonteach_securityguard_detailed_hs">Table10!$AG$28</definedName>
    <definedName name="personnel_nonteach_securityguard_detailed_othersch_f">Table10!$AW$28</definedName>
    <definedName name="personnel_nonteach_securityguard_detailed_othersch_m">Table10!$AT$28</definedName>
    <definedName name="personnel_nonteach_securityguard_detailed_outdiv">Table10!$AJ$28</definedName>
    <definedName name="personnel_nonteach_securityguard_onleave">Table10!$X$28</definedName>
    <definedName name="personnel_nonteach_securityguard_psipop">Table10!$L$28</definedName>
    <definedName name="personnel_nonteach_securityguard_vacant">Table10!$AA$28</definedName>
    <definedName name="personnel_nonteach_seniorbk_actual_f">Table10!$R$26</definedName>
    <definedName name="personnel_nonteach_seniorbk_actual_m">Table10!$O$26</definedName>
    <definedName name="personnel_nonteach_seniorbk_detailed_depedoffice">Table10!$AD$26</definedName>
    <definedName name="personnel_nonteach_seniorbk_detailed_hs">Table10!$AG$26</definedName>
    <definedName name="personnel_nonteach_seniorbk_detailed_othersch_f">Table10!$AW$26</definedName>
    <definedName name="personnel_nonteach_seniorbk_detailed_othersch_m">Table10!$AT$26</definedName>
    <definedName name="personnel_nonteach_seniorbk_detailed_outdiv">Table10!$AJ$26</definedName>
    <definedName name="personnel_nonteach_seniorbk_onleave">Table10!$X$26</definedName>
    <definedName name="personnel_nonteach_seniorbk_psipop">Table10!$L$26</definedName>
    <definedName name="personnel_nonteach_seniorbk_vacant">Table10!$AA$26</definedName>
    <definedName name="personnel_nonteach_sp1_actual_f">Table10!$R$13</definedName>
    <definedName name="personnel_nonteach_sp1_actual_m">Table10!$O$13</definedName>
    <definedName name="personnel_nonteach_sp1_detailed_depedoffice">Table10!$AD$13</definedName>
    <definedName name="personnel_nonteach_sp1_detailed_hs">Table10!$AG$13</definedName>
    <definedName name="personnel_nonteach_sp1_detailed_othersch_f">Table10!$AW$13</definedName>
    <definedName name="personnel_nonteach_sp1_detailed_othersch_m">Table10!$AT$13</definedName>
    <definedName name="personnel_nonteach_sp1_detailed_outdiv">Table10!$AJ$13</definedName>
    <definedName name="personnel_nonteach_sp1_onleave">Table10!$X$13</definedName>
    <definedName name="personnel_nonteach_sp1_psipop">Table10!$L$13</definedName>
    <definedName name="personnel_nonteach_sp1_vacant">Table10!$AA$13</definedName>
    <definedName name="personnel_nonteach_sp2_actual_f">Table10!$R$12</definedName>
    <definedName name="personnel_nonteach_sp2_actual_m">Table10!$O$12</definedName>
    <definedName name="personnel_nonteach_sp2_detailed_depedoffice">Table10!$AD$12</definedName>
    <definedName name="personnel_nonteach_sp2_detailed_hs">Table10!$AG$12</definedName>
    <definedName name="personnel_nonteach_sp2_detailed_othersch_f">Table10!$AW$12</definedName>
    <definedName name="personnel_nonteach_sp2_detailed_othersch_m">Table10!$AT$12</definedName>
    <definedName name="personnel_nonteach_sp2_detailed_outdiv">Table10!$AJ$12</definedName>
    <definedName name="personnel_nonteach_sp2_onleave">Table10!$X$12</definedName>
    <definedName name="personnel_nonteach_sp2_psipop">Table10!$L$12</definedName>
    <definedName name="personnel_nonteach_sp2_vacant">Table10!$AA$12</definedName>
    <definedName name="personnel_nonteach_sp3_actual_f">Table10!$R$11</definedName>
    <definedName name="personnel_nonteach_sp3_actual_m">Table10!$O$11</definedName>
    <definedName name="personnel_nonteach_sp3_detailed_depedoffice">Table10!$AD$11</definedName>
    <definedName name="personnel_nonteach_sp3_detailed_hs">Table10!$AG$11</definedName>
    <definedName name="personnel_nonteach_sp3_detailed_othersch_f">Table10!$AW$11</definedName>
    <definedName name="personnel_nonteach_sp3_detailed_othersch_m">Table10!$AT$11</definedName>
    <definedName name="personnel_nonteach_sp3_detailed_outdiv">Table10!$AJ$11</definedName>
    <definedName name="personnel_nonteach_sp3_onleave">Table10!$X$11</definedName>
    <definedName name="personnel_nonteach_sp3_psipop">Table10!$L$11</definedName>
    <definedName name="personnel_nonteach_sp3_vacant">Table10!$AA$11</definedName>
    <definedName name="personnel_nonteach_sp4_actual_f">Table10!$R$10</definedName>
    <definedName name="personnel_nonteach_sp4_actual_m">Table10!$O$10</definedName>
    <definedName name="personnel_nonteach_sp4_detailed_depedoffice">Table10!$AD$10</definedName>
    <definedName name="personnel_nonteach_sp4_detailed_hs">Table10!$AG$10</definedName>
    <definedName name="personnel_nonteach_sp4_detailed_othersch_f">Table10!$AW$10</definedName>
    <definedName name="personnel_nonteach_sp4_detailed_othersch_m">Table10!$AT$10</definedName>
    <definedName name="personnel_nonteach_sp4_detailed_outdiv">Table10!$AJ$10</definedName>
    <definedName name="personnel_nonteach_sp4_onleave">Table10!$X$10</definedName>
    <definedName name="personnel_nonteach_sp4_psipop">Table10!$L$10</definedName>
    <definedName name="personnel_nonteach_sp4_vacant">Table10!$AA$10</definedName>
    <definedName name="personnel_nonteach_utilityworkerI_actual_f">Table10!$R$29</definedName>
    <definedName name="personnel_nonteach_utilityworkerI_actual_m">Table10!$O$29</definedName>
    <definedName name="personnel_nonteach_utilityworkerI_detailed_depedoffice">Table10!$AD$29</definedName>
    <definedName name="personnel_nonteach_utilityworkerI_detailed_hs">Table10!$AG$29</definedName>
    <definedName name="personnel_nonteach_utilityworkerI_detailed_othersch_f">Table10!$AW$29</definedName>
    <definedName name="personnel_nonteach_utilityworkerI_detailed_othersch_m">Table10!$AT$29</definedName>
    <definedName name="personnel_nonteach_utilityworkerI_detailed_outdiv">Table10!$AJ$29</definedName>
    <definedName name="personnel_nonteach_utilityworkerI_onleave">Table10!$X$29</definedName>
    <definedName name="personnel_nonteach_utilityworkerI_psipop">Table10!$L$29</definedName>
    <definedName name="personnel_nonteach_utilityworkerI_vacant">Table10!$AA$29</definedName>
    <definedName name="personnel_participated_survey_iec_nonteaching_f">'Box31_Parts1-2'!$M$44</definedName>
    <definedName name="personnel_participated_survey_iec_nonteaching_m">'Box31_Parts1-2'!$J$44</definedName>
    <definedName name="personnel_participated_survey_iec_teaching_f">'Box31_Parts1-2'!$G$44</definedName>
    <definedName name="personnel_participated_survey_iec_teaching_m">'Box31_Parts1-2'!$E$44</definedName>
    <definedName name="personnel_teach_handling_alivecl_detailed_othersch_f">'Table11 '!$AW$27</definedName>
    <definedName name="personnel_teach_handling_alivecl_detailed_othersch_m">'Table11 '!$AT$27</definedName>
    <definedName name="personnel_teach_handling_alivecl_f">'Table11 '!$R$27</definedName>
    <definedName name="personnel_teach_handling_alivecl_m">'Table11 '!$O$27</definedName>
    <definedName name="personnel_teach_handling_alscl_detailed_othersch_f">'Table11 '!$AW$29</definedName>
    <definedName name="personnel_teach_handling_alscl_detailed_othersch_m">'Table11 '!$AT$29</definedName>
    <definedName name="personnel_teach_handling_alscl_f">'Table11 '!$R$29</definedName>
    <definedName name="personnel_teach_handling_alscl_m">'Table11 '!$O$29</definedName>
    <definedName name="personnel_teach_handling_ancilliary_detailed_othersch_f">'Table11 '!$AW$32</definedName>
    <definedName name="personnel_teach_handling_ancilliary_detailed_othersch_m">'Table11 '!$AT$32</definedName>
    <definedName name="personnel_teach_handling_ancilliary_f">'Table11 '!$R$32</definedName>
    <definedName name="personnel_teach_handling_ancilliary_m">'Table11 '!$O$32</definedName>
    <definedName name="personnel_teach_handling_dalsc_detailed_othersch_f">'Table11 '!$AW$30</definedName>
    <definedName name="personnel_teach_handling_dalsc_detailed_othersch_m">'Table11 '!$AT$30</definedName>
    <definedName name="personnel_teach_handling_dalsc_f">'Table11 '!$R$30</definedName>
    <definedName name="personnel_teach_handling_dalsc_m">'Table11 '!$O$30</definedName>
    <definedName name="personnel_teach_handling_g1to6_detailed_othersch_f">'Table11 '!$AW$26</definedName>
    <definedName name="personnel_teach_handling_g1to6_detailed_othersch_m">'Table11 '!$AT$26</definedName>
    <definedName name="personnel_teach_handling_g1to6_f">'Table11 '!$R$26</definedName>
    <definedName name="personnel_teach_handling_g1to6_m">'Table11 '!$O$26</definedName>
    <definedName name="personnel_teach_handling_kinder_detailed_othersch_f">'Table11 '!$AW$25</definedName>
    <definedName name="personnel_teach_handling_kinder_detailed_othersch_m">'Table11 '!$AT$25</definedName>
    <definedName name="personnel_teach_handling_kinder_f">'Table11 '!$R$25</definedName>
    <definedName name="personnel_teach_handling_kinder_m">'Table11 '!$O$25</definedName>
    <definedName name="personnel_teach_handling_sch_als_detailed_othersch_f">'Table11 '!$AW$31</definedName>
    <definedName name="personnel_teach_handling_sch_als_detailed_othersch_m">'Table11 '!$AT$31</definedName>
    <definedName name="personnel_teach_handling_sch_als_f">'Table11 '!$R$31</definedName>
    <definedName name="personnel_teach_handling_sch_als_m">'Table11 '!$O$31</definedName>
    <definedName name="personnel_teach_handling_spedcl_detailed_othersch_f">'Table11 '!$AW$28</definedName>
    <definedName name="personnel_teach_handling_spedcl_detailed_othersch_m">'Table11 '!$AT$28</definedName>
    <definedName name="personnel_teach_handling_spedcl_f">'Table11 '!$R$28</definedName>
    <definedName name="personnel_teach_handling_spedcl_m">'Table11 '!$O$28</definedName>
    <definedName name="personnel_teach_mt1_actual_f">'Table11 '!$R$14</definedName>
    <definedName name="personnel_teach_mt1_actual_m">'Table11 '!$O$14</definedName>
    <definedName name="personnel_teach_mt1_detailed_office_withind">'Table11 '!$AD$14</definedName>
    <definedName name="personnel_teach_mt1_detailed_othersch_f">'Table11 '!$AW$14</definedName>
    <definedName name="personnel_teach_mt1_detailed_othersch_m">'Table11 '!$AT$14</definedName>
    <definedName name="personnel_teach_mt1_detailed_outdiv">'Table11 '!$AJ$14</definedName>
    <definedName name="personnel_teach_mt1_detailed_secsch_withind">'Table11 '!$AG$14</definedName>
    <definedName name="personnel_teach_mt1_onleave">'Table11 '!$X$14</definedName>
    <definedName name="personnel_teach_mt1_psipop">'Table11 '!$L$14</definedName>
    <definedName name="personnel_teach_mt1_vacant">'Table11 '!$AA$14</definedName>
    <definedName name="personnel_teach_mt2_actual_f">'Table11 '!$R$13</definedName>
    <definedName name="personnel_teach_mt2_actual_m">'Table11 '!$O$13</definedName>
    <definedName name="personnel_teach_mt2_detailed_office_withind">'Table11 '!$AD$13</definedName>
    <definedName name="personnel_teach_mt2_detailed_othersch_f">'Table11 '!$AW$13</definedName>
    <definedName name="personnel_teach_mt2_detailed_othersch_m">'Table11 '!$AT$13</definedName>
    <definedName name="personnel_teach_mt2_detailed_outdiv">'Table11 '!$AJ$13</definedName>
    <definedName name="personnel_teach_mt2_detailed_secsch_withind">'Table11 '!$AG$13</definedName>
    <definedName name="personnel_teach_mt2_onleave">'Table11 '!$X$13</definedName>
    <definedName name="personnel_teach_mt2_psipop">'Table11 '!$L$13</definedName>
    <definedName name="personnel_teach_mt2_vacant">'Table11 '!$AA$13</definedName>
    <definedName name="personnel_teach_mt3_actual_f">'Table11 '!$R$12</definedName>
    <definedName name="personnel_teach_mt3_actual_m">'Table11 '!$O$12</definedName>
    <definedName name="personnel_teach_mt3_detailed_office_withind">'Table11 '!$AD$12</definedName>
    <definedName name="personnel_teach_mt3_detailed_othersch_f">'Table11 '!$AW$12</definedName>
    <definedName name="personnel_teach_mt3_detailed_othersch_m">'Table11 '!$AT$12</definedName>
    <definedName name="personnel_teach_mt3_detailed_outdiv">'Table11 '!$AJ$12</definedName>
    <definedName name="personnel_teach_mt3_detailed_secsch_withind">'Table11 '!$AG$12</definedName>
    <definedName name="personnel_teach_mt3_onleave">'Table11 '!$X$12</definedName>
    <definedName name="personnel_teach_mt3_psipop">'Table11 '!$L$12</definedName>
    <definedName name="personnel_teach_mt3_vacant">'Table11 '!$AA$12</definedName>
    <definedName name="personnel_teach_mt4_actual_f">'Table11 '!$R$11</definedName>
    <definedName name="personnel_teach_mt4_actual_m">'Table11 '!$O$11</definedName>
    <definedName name="personnel_teach_mt4_detailed_office_withind">'Table11 '!$AD$11</definedName>
    <definedName name="personnel_teach_mt4_detailed_othersch_f">'Table11 '!$AW$11</definedName>
    <definedName name="personnel_teach_mt4_detailed_othersch_m">'Table11 '!$AT$11</definedName>
    <definedName name="personnel_teach_mt4_detailed_outdiv">'Table11 '!$AJ$11</definedName>
    <definedName name="personnel_teach_mt4_detailed_secsch_withind">'Table11 '!$AG$11</definedName>
    <definedName name="personnel_teach_mt4_onleave">'Table11 '!$X$11</definedName>
    <definedName name="personnel_teach_mt4_psipop">'Table11 '!$L$11</definedName>
    <definedName name="personnel_teach_mt4_vacant">'Table11 '!$AA$11</definedName>
    <definedName name="personnel_teach_spedt1_actual_f">'Table11 '!$R$22</definedName>
    <definedName name="personnel_teach_spedt1_actual_m">'Table11 '!$O$22</definedName>
    <definedName name="personnel_teach_spedt1_detailed_office_withind">'Table11 '!$AD$22</definedName>
    <definedName name="personnel_teach_spedt1_detailed_othersch_f">'Table11 '!$AW$22</definedName>
    <definedName name="personnel_teach_spedt1_detailed_othersch_m">'Table11 '!$AT$22</definedName>
    <definedName name="personnel_teach_spedt1_detailed_outdiv">'Table11 '!$AJ$22</definedName>
    <definedName name="personnel_teach_spedt1_detailed_secsch_withind">'Table11 '!$AG$22</definedName>
    <definedName name="personnel_teach_spedt1_onleave">'Table11 '!$X$22</definedName>
    <definedName name="personnel_teach_spedt1_psipop">'Table11 '!$L$22</definedName>
    <definedName name="personnel_teach_spedt1_vacant">'Table11 '!$AA$22</definedName>
    <definedName name="personnel_teach_spedt2_actual_f">'Table11 '!$R$21</definedName>
    <definedName name="personnel_teach_spedt2_actual_m">'Table11 '!$O$21</definedName>
    <definedName name="personnel_teach_spedt2_detailed_office_withind">'Table11 '!$AD$21</definedName>
    <definedName name="personnel_teach_spedt2_detailed_othersch_f">'Table11 '!$AW$21</definedName>
    <definedName name="personnel_teach_spedt2_detailed_othersch_m">'Table11 '!$AT$21</definedName>
    <definedName name="personnel_teach_spedt2_detailed_outdiv">'Table11 '!$AJ$21</definedName>
    <definedName name="personnel_teach_spedt2_detailed_secsch_withind">'Table11 '!$AG$21</definedName>
    <definedName name="personnel_teach_spedt2_onleave">'Table11 '!$X$21</definedName>
    <definedName name="personnel_teach_spedt2_psipop">'Table11 '!$L$21</definedName>
    <definedName name="personnel_teach_spedt2_vacant">'Table11 '!$AA$21</definedName>
    <definedName name="personnel_teach_spedt3_actual_f">'Table11 '!$R$20</definedName>
    <definedName name="personnel_teach_spedt3_actual_m">'Table11 '!$O$20</definedName>
    <definedName name="personnel_teach_spedt3_detailed_office_withind">'Table11 '!$AD$20</definedName>
    <definedName name="personnel_teach_spedt3_detailed_othersch_f">'Table11 '!$AW$20</definedName>
    <definedName name="personnel_teach_spedt3_detailed_othersch_m">'Table11 '!$AT$20</definedName>
    <definedName name="personnel_teach_spedt3_detailed_outdiv">'Table11 '!$AJ$20</definedName>
    <definedName name="personnel_teach_spedt3_detailed_secsch_withind">'Table11 '!$AG$20</definedName>
    <definedName name="personnel_teach_spedt3_onleave">'Table11 '!$X$20</definedName>
    <definedName name="personnel_teach_spedt3_psipop">'Table11 '!$L$20</definedName>
    <definedName name="personnel_teach_spedt3_vacant">'Table11 '!$AA$20</definedName>
    <definedName name="personnel_teach_spedt4_actual_f">'Table11 '!$R$19</definedName>
    <definedName name="personnel_teach_spedt4_actual_m">'Table11 '!$O$19</definedName>
    <definedName name="personnel_teach_spedt4_detailed_office_withind">'Table11 '!$AD$19</definedName>
    <definedName name="personnel_teach_spedt4_detailed_othersch_f">'Table11 '!$AW$19</definedName>
    <definedName name="personnel_teach_spedt4_detailed_othersch_m">'Table11 '!$AT$19</definedName>
    <definedName name="personnel_teach_spedt4_detailed_outdiv">'Table11 '!$AJ$19</definedName>
    <definedName name="personnel_teach_spedt4_detailed_secsch_withind">'Table11 '!$AG$19</definedName>
    <definedName name="personnel_teach_spedt4_onleave">'Table11 '!$X$19</definedName>
    <definedName name="personnel_teach_spedt4_psipop">'Table11 '!$L$19</definedName>
    <definedName name="personnel_teach_spedt4_vacant">'Table11 '!$AA$19</definedName>
    <definedName name="personnel_teach_spedt5_actual_f">'Table11 '!$R$18</definedName>
    <definedName name="personnel_teach_spedt5_actual_m">'Table11 '!$O$18</definedName>
    <definedName name="personnel_teach_spedt5_detailed_office_withind">'Table11 '!$AD$18</definedName>
    <definedName name="personnel_teach_spedt5_detailed_othersch_f">'Table11 '!$AW$18</definedName>
    <definedName name="personnel_teach_spedt5_detailed_othersch_m">'Table11 '!$AT$18</definedName>
    <definedName name="personnel_teach_spedt5_detailed_outdiv">'Table11 '!$AJ$18</definedName>
    <definedName name="personnel_teach_spedt5_detailed_secsch_withind">'Table11 '!$AG$18</definedName>
    <definedName name="personnel_teach_spedt5_onleave">'Table11 '!$X$18</definedName>
    <definedName name="personnel_teach_spedt5_psipop">'Table11 '!$L$18</definedName>
    <definedName name="personnel_teach_spedt5_vacant">'Table11 '!$AA$18</definedName>
    <definedName name="personnel_teach_t1_actual_f">'Table11 '!$R$17</definedName>
    <definedName name="personnel_teach_t1_actual_m">'Table11 '!$O$17</definedName>
    <definedName name="personnel_teach_t1_detailed_office_withind">'Table11 '!$AD$17</definedName>
    <definedName name="personnel_teach_t1_detailed_othersch_f">'Table11 '!$AW$17</definedName>
    <definedName name="personnel_teach_t1_detailed_othersch_m">'Table11 '!$AT$17</definedName>
    <definedName name="personnel_teach_t1_detailed_outdiv">'Table11 '!$AJ$17</definedName>
    <definedName name="personnel_teach_t1_detailed_secsch_withind">'Table11 '!$AG$17</definedName>
    <definedName name="personnel_teach_t1_onleave">'Table11 '!$X$17</definedName>
    <definedName name="personnel_teach_t1_psipop">'Table11 '!$L$17</definedName>
    <definedName name="personnel_teach_t1_vacant">'Table11 '!$AA$17</definedName>
    <definedName name="personnel_teach_t2_actual_f">'Table11 '!$R$16</definedName>
    <definedName name="personnel_teach_t2_actual_m">'Table11 '!$O$16</definedName>
    <definedName name="personnel_teach_t2_detailed_office_withind">'Table11 '!$AD$16</definedName>
    <definedName name="personnel_teach_t2_detailed_othersch_f">'Table11 '!$AW$16</definedName>
    <definedName name="personnel_teach_t2_detailed_othersch_m">'Table11 '!$AT$16</definedName>
    <definedName name="personnel_teach_t2_detailed_outdiv">'Table11 '!$AJ$16</definedName>
    <definedName name="personnel_teach_t2_detailed_secsch_withind">'Table11 '!$AG$16</definedName>
    <definedName name="personnel_teach_t2_onleave">'Table11 '!$X$16</definedName>
    <definedName name="personnel_teach_t2_psipop">'Table11 '!$L$16</definedName>
    <definedName name="personnel_teach_t2_vacant">'Table11 '!$AA$16</definedName>
    <definedName name="personnel_teach_t3_actual_f">'Table11 '!$R$15</definedName>
    <definedName name="personnel_teach_t3_actual_m">'Table11 '!$O$15</definedName>
    <definedName name="personnel_teach_t3_detailed_office_withind">'Table11 '!$AD$15</definedName>
    <definedName name="personnel_teach_t3_detailed_othersch_f">'Table11 '!$AW$15</definedName>
    <definedName name="personnel_teach_t3_detailed_othersch_m">'Table11 '!$AT$15</definedName>
    <definedName name="personnel_teach_t3_detailed_outdiv">'Table11 '!$AJ$15</definedName>
    <definedName name="personnel_teach_t3_detailed_secsch_withind">'Table11 '!$AG$15</definedName>
    <definedName name="personnel_teach_t3_onleave">'Table11 '!$X$15</definedName>
    <definedName name="personnel_teach_t3_psipop">'Table11 '!$L$15</definedName>
    <definedName name="personnel_teach_t3_vacant">'Table11 '!$AA$15</definedName>
    <definedName name="phyfacoor_doengr_name">'Table27-Box8'!$AJ$25</definedName>
    <definedName name="phyfacoor_doengr_pos">'Table27-Box8'!$AN$27</definedName>
    <definedName name="po_name">'SchInfo '!$R$39</definedName>
    <definedName name="printer_photocpy_avemonth_expense1">Table23!$R$7</definedName>
    <definedName name="printer_photocpy_avemonth_expense10">Table23!$R$16</definedName>
    <definedName name="printer_photocpy_avemonth_expense2">Table23!$R$8</definedName>
    <definedName name="printer_photocpy_avemonth_expense3">Table23!$R$9</definedName>
    <definedName name="printer_photocpy_avemonth_expense4">Table23!$R$10</definedName>
    <definedName name="printer_photocpy_avemonth_expense5">Table23!$R$11</definedName>
    <definedName name="printer_photocpy_avemonth_expense6">Table23!$R$12</definedName>
    <definedName name="printer_photocpy_avemonth_expense7">Table23!$R$13</definedName>
    <definedName name="printer_photocpy_avemonth_expense8">Table23!$R$14</definedName>
    <definedName name="printer_photocpy_avemonth_expense9">Table23!$R$15</definedName>
    <definedName name="printer_photocpy_brand1">Table23!$J$7</definedName>
    <definedName name="printer_photocpy_brand10">Table23!$J$16</definedName>
    <definedName name="printer_photocpy_brand2">Table23!$J$8</definedName>
    <definedName name="printer_photocpy_brand3">Table23!$J$9</definedName>
    <definedName name="printer_photocpy_brand4">Table23!$J$10</definedName>
    <definedName name="printer_photocpy_brand5">Table23!$J$11</definedName>
    <definedName name="printer_photocpy_brand6">Table23!$J$12</definedName>
    <definedName name="printer_photocpy_brand7">Table23!$J$13</definedName>
    <definedName name="printer_photocpy_brand8">Table23!$J$14</definedName>
    <definedName name="printer_photocpy_brand9">Table23!$J$15</definedName>
    <definedName name="printer_photocpy_funding_source1">Table23!$Z$7</definedName>
    <definedName name="printer_photocpy_funding_source10">Table23!$Z$16</definedName>
    <definedName name="printer_photocpy_funding_source2">Table23!$Z$8</definedName>
    <definedName name="printer_photocpy_funding_source3">Table23!$Z$9</definedName>
    <definedName name="printer_photocpy_funding_source4">Table23!$Z$10</definedName>
    <definedName name="printer_photocpy_funding_source5">Table23!$Z$11</definedName>
    <definedName name="printer_photocpy_funding_source6">Table23!$Z$12</definedName>
    <definedName name="printer_photocpy_funding_source7">Table23!$Z$13</definedName>
    <definedName name="printer_photocpy_funding_source8">Table23!$Z$14</definedName>
    <definedName name="printer_photocpy_funding_source9">Table23!$Z$15</definedName>
    <definedName name="printer_photocpy_purpose1">Table23!$AH$7</definedName>
    <definedName name="printer_photocpy_purpose10">Table23!$AH$16</definedName>
    <definedName name="printer_photocpy_purpose2">Table23!$AH$8</definedName>
    <definedName name="printer_photocpy_purpose3">Table23!$AH$9</definedName>
    <definedName name="printer_photocpy_purpose4">Table23!$AH$10</definedName>
    <definedName name="printer_photocpy_purpose5">Table23!$AH$11</definedName>
    <definedName name="printer_photocpy_purpose6">Table23!$AH$12</definedName>
    <definedName name="printer_photocpy_purpose7">Table23!$AH$13</definedName>
    <definedName name="printer_photocpy_purpose8">Table23!$AH$14</definedName>
    <definedName name="printer_photocpy_purpose9">Table23!$AH$15</definedName>
    <definedName name="printer_photocpy_type1">Table23!$B$7</definedName>
    <definedName name="printer_photocpy_type10">Table23!$B$16</definedName>
    <definedName name="printer_photocpy_type2">Table23!$B$8</definedName>
    <definedName name="printer_photocpy_type3">Table23!$B$9</definedName>
    <definedName name="printer_photocpy_type4">Table23!$B$10</definedName>
    <definedName name="printer_photocpy_type5">Table23!$B$11</definedName>
    <definedName name="printer_photocpy_type6">Table23!$B$12</definedName>
    <definedName name="printer_photocpy_type7">Table23!$B$13</definedName>
    <definedName name="printer_photocpy_type8">Table23!$B$14</definedName>
    <definedName name="printer_photocpy_type9">Table23!$B$15</definedName>
    <definedName name="radio_frequency1">Table25!$R$7</definedName>
    <definedName name="radio_frequency10">Table25!$R$16</definedName>
    <definedName name="radio_frequency2">Table25!$R$8</definedName>
    <definedName name="radio_frequency3">Table25!$R$9</definedName>
    <definedName name="radio_frequency4">Table25!$R$10</definedName>
    <definedName name="radio_frequency5">Table25!$R$11</definedName>
    <definedName name="radio_frequency6">Table25!$R$12</definedName>
    <definedName name="radio_frequency7">Table25!$R$13</definedName>
    <definedName name="radio_frequency8">Table25!$R$14</definedName>
    <definedName name="radio_frequency9">Table25!$R$15</definedName>
    <definedName name="radio_no_of_units1">Table25!$AH$7</definedName>
    <definedName name="radio_no_of_units10">Table25!$AH$16</definedName>
    <definedName name="radio_no_of_units2">Table25!$AH$8</definedName>
    <definedName name="radio_no_of_units3">Table25!$AH$9</definedName>
    <definedName name="radio_no_of_units4">Table25!$AH$10</definedName>
    <definedName name="radio_no_of_units5">Table25!$AH$11</definedName>
    <definedName name="radio_no_of_units6">Table25!$AH$12</definedName>
    <definedName name="radio_no_of_units7">Table25!$AH$13</definedName>
    <definedName name="radio_no_of_units8">Table25!$AH$14</definedName>
    <definedName name="radio_no_of_units9">Table25!$AH$15</definedName>
    <definedName name="radio_ntc_licensenum1">Table25!$Z$7</definedName>
    <definedName name="radio_ntc_licensenum10">Table25!$Z$16</definedName>
    <definedName name="radio_ntc_licensenum2">Table25!$Z$8</definedName>
    <definedName name="radio_ntc_licensenum3">Table25!$Z$9</definedName>
    <definedName name="radio_ntc_licensenum4">Table25!$Z$10</definedName>
    <definedName name="radio_ntc_licensenum5">Table25!$Z$11</definedName>
    <definedName name="radio_ntc_licensenum6">Table25!$Z$12</definedName>
    <definedName name="radio_ntc_licensenum7">Table25!$Z$13</definedName>
    <definedName name="radio_ntc_licensenum8">Table25!$Z$14</definedName>
    <definedName name="radio_ntc_licensenum9">Table25!$Z$15</definedName>
    <definedName name="radio_purpose1">Table25!$J$7</definedName>
    <definedName name="radio_purpose10">Table25!$J$16</definedName>
    <definedName name="radio_purpose2">Table25!$J$8</definedName>
    <definedName name="radio_purpose3">Table25!$J$9</definedName>
    <definedName name="radio_purpose4">Table25!$J$10</definedName>
    <definedName name="radio_purpose5">Table25!$J$11</definedName>
    <definedName name="radio_purpose6">Table25!$J$12</definedName>
    <definedName name="radio_purpose7">Table25!$J$13</definedName>
    <definedName name="radio_purpose8">Table25!$J$14</definedName>
    <definedName name="radio_purpose9">Table25!$J$15</definedName>
    <definedName name="radio_type1">Table25!$B$7</definedName>
    <definedName name="radio_type10">Table25!$B$16</definedName>
    <definedName name="radio_type2">Table25!$B$8</definedName>
    <definedName name="radio_type3">Table25!$B$9</definedName>
    <definedName name="radio_type4">Table25!$B$10</definedName>
    <definedName name="radio_type5">Table25!$B$11</definedName>
    <definedName name="radio_type6">Table25!$B$12</definedName>
    <definedName name="radio_type7">Table25!$B$13</definedName>
    <definedName name="radio_type8">Table25!$B$14</definedName>
    <definedName name="radio_type9">Table25!$B$15</definedName>
    <definedName name="response_interv_drrms_fundsupport_cleanup_date">Box30_part3a!$Q$13</definedName>
    <definedName name="response_interv_drrms_fundsupport_cleanup_number">Box30_part3a!$M$13</definedName>
    <definedName name="response_interv_drrms_fundsupport_emerfeeding_date">Box30_part3a!$Q$19</definedName>
    <definedName name="response_interv_drrms_fundsupport_emerfeeding_number">Box30_part3a!$M$19</definedName>
    <definedName name="response_interv_drrms_fundsupport_tempspace_date">Box30_part3a!$Q$15</definedName>
    <definedName name="response_interv_drrms_fundsupport_tempspace_number">Box30_part3a!$M$15</definedName>
    <definedName name="response_interv_drrms_fundsupport_tempwash_date">Box30_part3a!$Q$17</definedName>
    <definedName name="response_interv_drrms_fundsupport_tempwash_number">Box30_part3a!$M$17</definedName>
    <definedName name="response_interv_drrms_hygienekit_date">Box30_part3a!$Q$21</definedName>
    <definedName name="response_interv_drrms_hygienekit_number">Box30_part3a!$M$21</definedName>
    <definedName name="response_interv_drrms_learnerkit_date">Box30_part3a!$Q$22</definedName>
    <definedName name="response_interv_drrms_learnerkit_number">Box30_part3a!$M$22</definedName>
    <definedName name="response_interv_drrms_material_adm_date">Box30_part3a!$Q$24</definedName>
    <definedName name="response_interv_drrms_material_adm_number">Box30_part3a!$M$24</definedName>
    <definedName name="response_interv_drrms_teacherkit_date">Box30_part3a!$Q$23</definedName>
    <definedName name="response_interv_drrms_teacherkit_number">Box30_part3a!$M$23</definedName>
    <definedName name="response_interv_partner_donation_number">Box30_part3a!$AH$13</definedName>
    <definedName name="response_interv_partner_emerfeeding_number">Box30_part3a!$AH$14</definedName>
    <definedName name="response_interv_partner_hygienekit_number">Box30_part3a!$AH$15</definedName>
    <definedName name="response_interv_partner_learnerkit_number">Box30_part3a!$AH$16</definedName>
    <definedName name="response_interv_partner_material_adm_number">Box30_part3a!$AH$18</definedName>
    <definedName name="response_interv_partner_material_mhpss_number">Box30_part3a!$AH$20</definedName>
    <definedName name="response_interv_partner_teacherkit_number">Box30_part3a!$AH$17</definedName>
    <definedName name="response_interv_partner_temp_learningspace_number">Box30_part3a!$AH$21</definedName>
    <definedName name="response_interv_partner_temp_wash_number">Box30_part3a!$AH$23</definedName>
    <definedName name="resump_strat_class_shift">Box30_part3a!$E$41</definedName>
    <definedName name="resump_strat_class_shift_number">Box30_part3a!$M$41</definedName>
    <definedName name="resump_strat_makeup_class">Box30_part3a!$E$42</definedName>
    <definedName name="resump_strat_makeup_class_number">Box30_part3a!$M$42</definedName>
    <definedName name="resump_strat_modular_learning">Box30_part3a!$E$43</definedName>
    <definedName name="resump_strat_modular_learning_number">Box30_part3a!$M$43</definedName>
    <definedName name="resump_strat_online_learning">Box30_part3a!$E$44</definedName>
    <definedName name="resump_strat_online_learning_number">Box30_part3a!$M$44</definedName>
    <definedName name="resump_strat_peer_learning">Box30_part3a!$E$45</definedName>
    <definedName name="resump_strat_peer_learning_number">Box30_part3a!$M$45</definedName>
    <definedName name="resump_strat_prog_teaching">Box30_part3a!$E$46</definedName>
    <definedName name="resump_strat_prog_teaching_number">Box30_part3a!$M$46</definedName>
    <definedName name="sch_add_brgy">'SchInfo '!$N$25</definedName>
    <definedName name="sch_add_mun_city">'SchInfo '!$G$27</definedName>
    <definedName name="sch_add_no">'SchInfo '!$G$25</definedName>
    <definedName name="sch_add_prov">'SchInfo '!$N$27</definedName>
    <definedName name="sch_add_street">'SchInfo '!$I$25</definedName>
    <definedName name="sch_add_zip">'SchInfo '!$T$27</definedName>
    <definedName name="sch_annex_extension_mother_sch_id">'SchInfo '!$R$35</definedName>
    <definedName name="sch_annex_extension_school">'SchInfo '!$C$35</definedName>
    <definedName name="sch_assess_drrmccampbp_competencies">'Box31_Parts1-2'!$C$35</definedName>
    <definedName name="sch_avail_sp_sportsclub_aerogymn">'Box27'!$R$18</definedName>
    <definedName name="sch_avail_sp_sportsclub_arch">'Box27'!$R$5</definedName>
    <definedName name="sch_avail_sp_sportsclub_arnis">'Box27'!$R$6</definedName>
    <definedName name="sch_avail_sp_sportsclub_athlrun">'Box27'!$R$8</definedName>
    <definedName name="sch_avail_sp_sportsclub_athlthrow">'Box27'!$R$7</definedName>
    <definedName name="sch_avail_sp_sportsclub_badm">'Box27'!$R$9</definedName>
    <definedName name="sch_avail_sp_sportsclub_baseball">'Box27'!$R$11</definedName>
    <definedName name="sch_avail_sp_sportsclub_basket">'Box27'!$R$10</definedName>
    <definedName name="sch_avail_sp_sportsclub_billard">'Box27'!$R$12</definedName>
    <definedName name="sch_avail_sp_sportsclub_bocce">'Box27'!$AK$17</definedName>
    <definedName name="sch_avail_sp_sportsclub_boxing">'Box27'!$R$13</definedName>
    <definedName name="sch_avail_sp_sportsclub_chess">'Box27'!$R$14</definedName>
    <definedName name="sch_avail_sp_sportsclub_dancesports">'Box27'!$R$15</definedName>
    <definedName name="sch_avail_sp_sportsclub_football">'Box27'!$R$16</definedName>
    <definedName name="sch_avail_sp_sportsclub_futsal">'Box27'!$R$17</definedName>
    <definedName name="sch_avail_sp_sportsclub_goalball">'Box27'!$AK$18</definedName>
    <definedName name="sch_avail_sp_sportsclub_mag">'Box27'!$R$19</definedName>
    <definedName name="sch_avail_sp_sportsclub_pencak">'Box27'!$AK$7</definedName>
    <definedName name="sch_avail_sp_sportsclub_rg">'Box27'!$AK$6</definedName>
    <definedName name="sch_avail_sp_sportsclub_sepaktakraw">'Box27'!$AK$8</definedName>
    <definedName name="sch_avail_sp_sportsclub_softball">'Box27'!$AK$9</definedName>
    <definedName name="sch_avail_sp_sportsclub_swimming">'Box27'!$AK$10</definedName>
    <definedName name="sch_avail_sp_sportsclub_tabletennis">'Box27'!$AK$11</definedName>
    <definedName name="sch_avail_sp_sportsclub_taekwondo">'Box27'!$AK$12</definedName>
    <definedName name="sch_avail_sp_sportsclub_tennis">'Box27'!$AK$13</definedName>
    <definedName name="sch_avail_sp_sportsclub_volleyball">'Box27'!$AK$14</definedName>
    <definedName name="sch_avail_sp_sportsclub_wag">'Box27'!$AK$5</definedName>
    <definedName name="sch_avail_sp_sportsclub_wrestling">'Box27'!$AK$15</definedName>
    <definedName name="sch_avail_sp_sportsclub_wushu">'Box27'!$AK$16</definedName>
    <definedName name="sch_avail_sp_sportsevent_aerogymn">'Box27'!$O$18</definedName>
    <definedName name="sch_avail_sp_sportsevent_arch">'Box27'!$O$5</definedName>
    <definedName name="sch_avail_sp_sportsevent_arnis">'Box27'!$O$6</definedName>
    <definedName name="sch_avail_sp_sportsevent_athlrun">'Box27'!$O$8</definedName>
    <definedName name="sch_avail_sp_sportsevent_athlthrow">'Box27'!$O$7</definedName>
    <definedName name="sch_avail_sp_sportsevent_badm">'Box27'!$O$9</definedName>
    <definedName name="sch_avail_sp_sportsevent_baseball">'Box27'!$O$11</definedName>
    <definedName name="sch_avail_sp_sportsevent_basket">'Box27'!$O$10</definedName>
    <definedName name="sch_avail_sp_sportsevent_billard">'Box27'!$O$12</definedName>
    <definedName name="sch_avail_sp_sportsevent_bocce">'Box27'!$AH$17</definedName>
    <definedName name="sch_avail_sp_sportsevent_boxing">'Box27'!$O$13</definedName>
    <definedName name="sch_avail_sp_sportsevent_chess">'Box27'!$O$14</definedName>
    <definedName name="sch_avail_sp_sportsevent_dancesports">'Box27'!$O$15</definedName>
    <definedName name="sch_avail_sp_sportsevent_football">'Box27'!$O$16</definedName>
    <definedName name="sch_avail_sp_sportsevent_futsal">'Box27'!$O$17</definedName>
    <definedName name="sch_avail_sp_sportsevent_goalball">'Box27'!$AH$18</definedName>
    <definedName name="sch_avail_sp_sportsevent_mag">'Box27'!$O$19</definedName>
    <definedName name="sch_avail_sp_sportsevent_pencak">'Box27'!$AH$7</definedName>
    <definedName name="sch_avail_sp_sportsevent_rg">'Box27'!$AH$6</definedName>
    <definedName name="sch_avail_sp_sportsevent_sepaktakraw">'Box27'!$AH$8</definedName>
    <definedName name="sch_avail_sp_sportsevent_softball">'Box27'!$AH$9</definedName>
    <definedName name="sch_avail_sp_sportsevent_swimming">'Box27'!$AH$10</definedName>
    <definedName name="sch_avail_sp_sportsevent_tabletennis">'Box27'!$AH$11</definedName>
    <definedName name="sch_avail_sp_sportsevent_taekwondo">'Box27'!$AH$12</definedName>
    <definedName name="sch_avail_sp_sportsevent_tennis">'Box27'!$AH$13</definedName>
    <definedName name="sch_avail_sp_sportsevent_volleyball">'Box27'!$AH$14</definedName>
    <definedName name="sch_avail_sp_sportsevent_wag">'Box27'!$AH$5</definedName>
    <definedName name="sch_avail_sp_sportsevent_wrestling">'Box27'!$AH$15</definedName>
    <definedName name="sch_avail_sp_sportsevent_wushu">'Box27'!$AH$16</definedName>
    <definedName name="sch_avail_sp_sportssportsfac_aerogymn">'Box27'!$U$18</definedName>
    <definedName name="sch_avail_sp_sportssportsfac_arch">'Box27'!$U$5</definedName>
    <definedName name="sch_avail_sp_sportssportsfac_arnis">'Box27'!$U$6</definedName>
    <definedName name="sch_avail_sp_sportssportsfac_athlrun">'Box27'!$U$8</definedName>
    <definedName name="sch_avail_sp_sportssportsfac_athlthrow">'Box27'!$U$7</definedName>
    <definedName name="sch_avail_sp_sportssportsfac_badm">'Box27'!$U$9</definedName>
    <definedName name="sch_avail_sp_sportssportsfac_baseball">'Box27'!$U$11</definedName>
    <definedName name="sch_avail_sp_sportssportsfac_basket">'Box27'!$U$10</definedName>
    <definedName name="sch_avail_sp_sportssportsfac_billard">'Box27'!$U$12</definedName>
    <definedName name="sch_avail_sp_sportssportsfac_bocce">'Box27'!$AN$17</definedName>
    <definedName name="sch_avail_sp_sportssportsfac_boxing">'Box27'!$U$13</definedName>
    <definedName name="sch_avail_sp_sportssportsfac_chess">'Box27'!$U$14</definedName>
    <definedName name="sch_avail_sp_sportssportsfac_dancesports">'Box27'!$U$15</definedName>
    <definedName name="sch_avail_sp_sportssportsfac_football">'Box27'!$U$16</definedName>
    <definedName name="sch_avail_sp_sportssportsfac_futsal">'Box27'!$U$17</definedName>
    <definedName name="sch_avail_sp_sportssportsfac_goalball">'Box27'!$AN$18</definedName>
    <definedName name="sch_avail_sp_sportssportsfac_mag">'Box27'!$U$19</definedName>
    <definedName name="sch_avail_sp_sportssportsfac_pencak">'Box27'!$AN$7</definedName>
    <definedName name="sch_avail_sp_sportssportsfac_rg">'Box27'!$AN$6</definedName>
    <definedName name="sch_avail_sp_sportssportsfac_sepaktakraw">'Box27'!$AN$8</definedName>
    <definedName name="sch_avail_sp_sportssportsfac_softball">'Box27'!$AN$9</definedName>
    <definedName name="sch_avail_sp_sportssportsfac_swimming">'Box27'!$AN$10</definedName>
    <definedName name="sch_avail_sp_sportssportsfac_tabletennis">'Box27'!$AN$11</definedName>
    <definedName name="sch_avail_sp_sportssportsfac_taekwondo">'Box27'!$AN$12</definedName>
    <definedName name="sch_avail_sp_sportssportsfac_tennis">'Box27'!$AN$13</definedName>
    <definedName name="sch_avail_sp_sportssportsfac_volleyball">'Box27'!$AN$14</definedName>
    <definedName name="sch_avail_sp_sportssportsfac_wag">'Box27'!$AN$5</definedName>
    <definedName name="sch_avail_sp_sportssportsfac_wrestling">'Box27'!$AN$15</definedName>
    <definedName name="sch_avail_sp_sportssportsfac_wushu">'Box27'!$AN$16</definedName>
    <definedName name="sch_avemonthlyexpense_others1">'Box6-Table21'!$X$26</definedName>
    <definedName name="sch_avemonthlyexpense_others2">'Box6-Table21'!$X$27</definedName>
    <definedName name="sch_avemonthlyexpense_others3">'Box6-Table21'!$X$28</definedName>
    <definedName name="sch_avemonthlyexpense_others4">'Box6-Table21'!$X$29</definedName>
    <definedName name="sch_avemonthlyexpense_others5">'Box6-Table21'!$X$30</definedName>
    <definedName name="sch_celeb_natlmentalhealthwk_oct_ifyes">'Box13'!$AA$23</definedName>
    <definedName name="sch_celebrate_ip_day">'Box32'!$M$23</definedName>
    <definedName name="sch_celebrate_ip_month">'Box32'!$M$24</definedName>
    <definedName name="sch_central_school">'SchInfo '!$C$32</definedName>
    <definedName name="sch_cgp_cond_careerguidact_yes">'Boxes3-5'!$AA$48</definedName>
    <definedName name="sch_cgp_fcareerguidact_yes">'Boxes3-5'!$AA$49</definedName>
    <definedName name="sch_cgp_guidadv_numyrs">'Boxes3-5'!$AA$47</definedName>
    <definedName name="sch_cgp_guidadv_yes">'Boxes3-5'!$AA$46</definedName>
    <definedName name="sch_cgp_guidancecounsel_numyrs_ass">'Boxes3-5'!$AA$45</definedName>
    <definedName name="sch_cgp_guidancecounsel_yes">'Boxes3-5'!$AA$43</definedName>
    <definedName name="sch_cgp_guidoffc_yes">'Boxes3-5'!$AA$50</definedName>
    <definedName name="sch_coc_k1to6">'SchInfo '!$AB$34</definedName>
    <definedName name="sch_coc_kinder">'SchInfo '!$AB$33</definedName>
    <definedName name="sch_cond_cant_reach_regcars_regpuv">'Box32'!$D$8</definedName>
    <definedName name="sch_cond_occ_danger_geo_challenges">'Box32'!$D$10</definedName>
    <definedName name="sch_cond_peaceandordertensions_past5yrs">'Box32'!$D$6</definedName>
    <definedName name="sch_conduct_brigada_aftermath_disaster">Box30_part3a!$E$4</definedName>
    <definedName name="sch_conduct_menttraining_learners_ifyes">'Box13'!$AF$25</definedName>
    <definedName name="sch_conduct_menttraining_teachers_ifyes">'Box13'!$AF$38</definedName>
    <definedName name="sch_conducted_brigada_eskwela_ensure_school_safety">Box30_part2!$F$4</definedName>
    <definedName name="sch_conducts_regular_inspect_instruct_noninstruct_spaces">Box29_part1!$D$29</definedName>
    <definedName name="sch_cont_plan_conducted_with_learners">Box30_part1!$G$45</definedName>
    <definedName name="sch_cont_plan_conducted_with_lgu">Box30_part1!$W$45</definedName>
    <definedName name="sch_cont_plan_conducted_with_parents">Box30_part1!$R$45</definedName>
    <definedName name="sch_cont_plan_conducted_with_partners">Box30_part1!$AB$45</definedName>
    <definedName name="sch_cont_plan_conducted_with_personnel">Box30_part1!$L$45</definedName>
    <definedName name="sch_cont_plan_covid_avail_ppe">Box30_part1!$T$39</definedName>
    <definedName name="sch_cont_plan_covid_health_safety_protocol">Box30_part1!$D$42</definedName>
    <definedName name="sch_cont_plan_covid_mgmt_covid_cases">Box30_part1!$T$41</definedName>
    <definedName name="sch_cont_plan_covid_space_quaratine_facility">Box30_part1!$D$39</definedName>
    <definedName name="sch_cont_plan_standard_classresump_strat">Box30_part1!$T$29</definedName>
    <definedName name="sch_cont_plan_standard_established_drrm_team">Box30_part1!$T$34</definedName>
    <definedName name="sch_cont_plan_standard_evacplan">Box30_part1!$D$28</definedName>
    <definedName name="sch_cont_plan_standard_hazard_vulne_assess">Box30_part1!$D$26</definedName>
    <definedName name="sch_cont_plan_standard_list_emersupplies">Box30_part1!$T$30</definedName>
    <definedName name="sch_cont_plan_standard_list_partners_event_disaster_emergency">Box30_part1!$T$32</definedName>
    <definedName name="sch_cont_plan_standard_lockdown_protocol">Box30_part1!$T$36</definedName>
    <definedName name="sch_cont_plan_standard_pre_evaccenter">Box30_part1!$D$36</definedName>
    <definedName name="sch_cont_plan_standard_response_earlyrecov">Box30_part1!$D$33</definedName>
    <definedName name="sch_cont_plan_standard_sfrp">Box30_part1!$D$29</definedName>
    <definedName name="sch_cont_plan_standard_space_temp_evaccenter">Box30_part1!$T$26</definedName>
    <definedName name="sch_cont_plan_standard_tls_wash">Box30_part1!$D$34</definedName>
    <definedName name="sch_cont_plan_standard_tracksystem">Box30_part1!$D$31</definedName>
    <definedName name="sch_cpc_fmeet_annually">'Boxes24-25'!$X$6</definedName>
    <definedName name="sch_cpc_fmeet_monthly">'Boxes24-25'!$P$6</definedName>
    <definedName name="sch_cpc_fmeet_others">'Boxes24-25'!$AB$6</definedName>
    <definedName name="sch_cpc_fmeet_others_specify">'Boxes24-25'!$AG$6</definedName>
    <definedName name="sch_cpc_fmeet_quarterly">'Boxes24-25'!$T$6</definedName>
    <definedName name="sch_cpc_yes">'Boxes24-25'!$AB$5</definedName>
    <definedName name="sch_date_est">'SchInfo '!$AH$30</definedName>
    <definedName name="sch_dcnh_dr_01">Table34!$AI$7</definedName>
    <definedName name="sch_dcnh_dr_02">Table34!$AK$7</definedName>
    <definedName name="sch_dcnh_dr_03">Table34!$AM$7</definedName>
    <definedName name="sch_dcnh_dr_04">Table34!$AO$7</definedName>
    <definedName name="sch_dcnh_dr_05">Table34!$AQ$7</definedName>
    <definedName name="sch_dcnh_dr_06">Table34!$U$7</definedName>
    <definedName name="sch_dcnh_dr_07">Table34!$W$7</definedName>
    <definedName name="sch_dcnh_dr_08">Table34!$Y$7</definedName>
    <definedName name="sch_dcnh_dr_09">Table34!$AA$7</definedName>
    <definedName name="sch_dcnh_dr_10">Table34!$AC$7</definedName>
    <definedName name="sch_dcnh_dr_11">Table34!$AE$7</definedName>
    <definedName name="sch_dcnh_dr_12">Table34!$AG$7</definedName>
    <definedName name="sch_dcnh_ea_01">Table34!$AI$8</definedName>
    <definedName name="sch_dcnh_ea_02">Table34!$AK$8</definedName>
    <definedName name="sch_dcnh_ea_03">Table34!$AM$8</definedName>
    <definedName name="sch_dcnh_ea_04">Table34!$AO$8</definedName>
    <definedName name="sch_dcnh_ea_05">Table34!$AQ$8</definedName>
    <definedName name="sch_dcnh_ea_06">Table34!$U$8</definedName>
    <definedName name="sch_dcnh_ea_07">Table34!$W$8</definedName>
    <definedName name="sch_dcnh_ea_08">Table34!$Y$8</definedName>
    <definedName name="sch_dcnh_ea_09">Table34!$AA$8</definedName>
    <definedName name="sch_dcnh_ea_10">Table34!$AC$8</definedName>
    <definedName name="sch_dcnh_ea_11">Table34!$AE$8</definedName>
    <definedName name="sch_dcnh_ea_12">Table34!$AG$8</definedName>
    <definedName name="sch_dcnh_fi_01">Table34!$AI$9</definedName>
    <definedName name="sch_dcnh_fi_02">Table34!$AK$9</definedName>
    <definedName name="sch_dcnh_fi_03">Table34!$AM$9</definedName>
    <definedName name="sch_dcnh_fi_04">Table34!$AO$9</definedName>
    <definedName name="sch_dcnh_fi_05">Table34!$AQ$9</definedName>
    <definedName name="sch_dcnh_fi_06">Table34!$U$9</definedName>
    <definedName name="sch_dcnh_fi_07">Table34!$W$9</definedName>
    <definedName name="sch_dcnh_fi_08">Table34!$Y$9</definedName>
    <definedName name="sch_dcnh_fi_09">Table34!$AA$9</definedName>
    <definedName name="sch_dcnh_fi_10">Table34!$AC$9</definedName>
    <definedName name="sch_dcnh_fi_11">Table34!$AE$9</definedName>
    <definedName name="sch_dcnh_fi_12">Table34!$AG$9</definedName>
    <definedName name="sch_dcnh_fl_01">Table34!$AI$10</definedName>
    <definedName name="sch_dcnh_fl_02">Table34!$AK$10</definedName>
    <definedName name="sch_dcnh_fl_03">Table34!$AM$10</definedName>
    <definedName name="sch_dcnh_fl_04">Table34!$AO$10</definedName>
    <definedName name="sch_dcnh_fl_05">Table34!$AQ$10</definedName>
    <definedName name="sch_dcnh_fl_06">Table34!$U$10</definedName>
    <definedName name="sch_dcnh_fl_07">Table34!$W$10</definedName>
    <definedName name="sch_dcnh_fl_08">Table34!$Y$10</definedName>
    <definedName name="sch_dcnh_fl_09">Table34!$AA$10</definedName>
    <definedName name="sch_dcnh_fl_10">Table34!$AC$10</definedName>
    <definedName name="sch_dcnh_fl_11">Table34!$AE$10</definedName>
    <definedName name="sch_dcnh_fl_12">Table34!$AG$10</definedName>
    <definedName name="sch_dcnh_ls_01">Table34!$AI$11</definedName>
    <definedName name="sch_dcnh_ls_02">Table34!$AK$11</definedName>
    <definedName name="sch_dcnh_ls_03">Table34!$AM$11</definedName>
    <definedName name="sch_dcnh_ls_04">Table34!$AO$11</definedName>
    <definedName name="sch_dcnh_ls_05">Table34!$AQ$11</definedName>
    <definedName name="sch_dcnh_ls_06">Table34!$U$11</definedName>
    <definedName name="sch_dcnh_ls_07">Table34!$W$11</definedName>
    <definedName name="sch_dcnh_ls_08">Table34!$Y$11</definedName>
    <definedName name="sch_dcnh_ls_09">Table34!$AA$11</definedName>
    <definedName name="sch_dcnh_ls_10">Table34!$AC$11</definedName>
    <definedName name="sch_dcnh_ls_11">Table34!$AE$11</definedName>
    <definedName name="sch_dcnh_ls_12">Table34!$AG$11</definedName>
    <definedName name="sch_dcnh_ss_01">Table34!$AI$12</definedName>
    <definedName name="sch_dcnh_ss_02">Table34!$AK$12</definedName>
    <definedName name="sch_dcnh_ss_03">Table34!$AM$12</definedName>
    <definedName name="sch_dcnh_ss_04">Table34!$AO$12</definedName>
    <definedName name="sch_dcnh_ss_05">Table34!$AQ$12</definedName>
    <definedName name="sch_dcnh_ss_06">Table34!$U$12</definedName>
    <definedName name="sch_dcnh_ss_07">Table34!$W$12</definedName>
    <definedName name="sch_dcnh_ss_08">Table34!$Y$12</definedName>
    <definedName name="sch_dcnh_ss_09">Table34!$AA$12</definedName>
    <definedName name="sch_dcnh_ss_10">Table34!$AC$12</definedName>
    <definedName name="sch_dcnh_ss_11">Table34!$AE$12</definedName>
    <definedName name="sch_dcnh_ss_12">Table34!$AG$12</definedName>
    <definedName name="sch_dcnh_tc_01">Table34!$AI$13</definedName>
    <definedName name="sch_dcnh_tc_02">Table34!$AK$13</definedName>
    <definedName name="sch_dcnh_tc_03">Table34!$AM$13</definedName>
    <definedName name="sch_dcnh_tc_04">Table34!$AO$13</definedName>
    <definedName name="sch_dcnh_tc_05">Table34!$AQ$13</definedName>
    <definedName name="sch_dcnh_tc_06">Table34!$U$13</definedName>
    <definedName name="sch_dcnh_tc_07">Table34!$W$13</definedName>
    <definedName name="sch_dcnh_tc_08">Table34!$Y$13</definedName>
    <definedName name="sch_dcnh_tc_09">Table34!$AA$13</definedName>
    <definedName name="sch_dcnh_tc_10">Table34!$AC$13</definedName>
    <definedName name="sch_dcnh_tc_11">Table34!$AE$13</definedName>
    <definedName name="sch_dcnh_tc_12">Table34!$AG$13</definedName>
    <definedName name="sch_dcnh_ts_01">Table34!$AI$14</definedName>
    <definedName name="sch_dcnh_ts_02">Table34!$AK$14</definedName>
    <definedName name="sch_dcnh_ts_03">Table34!$AM$14</definedName>
    <definedName name="sch_dcnh_ts_04">Table34!$AO$14</definedName>
    <definedName name="sch_dcnh_ts_05">Table34!$AQ$14</definedName>
    <definedName name="sch_dcnh_ts_06">Table34!$U$14</definedName>
    <definedName name="sch_dcnh_ts_07">Table34!$W$14</definedName>
    <definedName name="sch_dcnh_ts_08">Table34!$Y$14</definedName>
    <definedName name="sch_dcnh_ts_09">Table34!$AA$14</definedName>
    <definedName name="sch_dcnh_ts_10">Table34!$AC$14</definedName>
    <definedName name="sch_dcnh_ts_11">Table34!$AE$14</definedName>
    <definedName name="sch_dcnh_ts_12">Table34!$AG$14</definedName>
    <definedName name="sch_dcnh_ve_01">Table34!$AI$15</definedName>
    <definedName name="sch_dcnh_ve_02">Table34!$AK$15</definedName>
    <definedName name="sch_dcnh_ve_03">Table34!$AM$15</definedName>
    <definedName name="sch_dcnh_ve_04">Table34!$AO$15</definedName>
    <definedName name="sch_dcnh_ve_05">Table34!$AQ$15</definedName>
    <definedName name="sch_dcnh_ve_06">Table34!$U$15</definedName>
    <definedName name="sch_dcnh_ve_07">Table34!$W$15</definedName>
    <definedName name="sch_dcnh_ve_08">Table34!$Y$15</definedName>
    <definedName name="sch_dcnh_ve_09">Table34!$AA$15</definedName>
    <definedName name="sch_dcnh_ve_10">Table34!$AC$15</definedName>
    <definedName name="sch_dcnh_ve_11">Table34!$AE$15</definedName>
    <definedName name="sch_dcnh_ve_12">Table34!$AG$15</definedName>
    <definedName name="sch_designated_OK_deped_focalperson_ifyes">'Boxes17,18,19,20'!$AD$16</definedName>
    <definedName name="sch_develop_implement_drrm_commplan">Box30_part1!$D$52</definedName>
    <definedName name="sch_dic_fast_date_tested">'Box6-Table21'!$K$16</definedName>
    <definedName name="sch_dic_fast_time_download">'Box6-Table21'!$X$17</definedName>
    <definedName name="sch_dic_fast_time_ping">'Box6-Table21'!$X$16</definedName>
    <definedName name="sch_dic_fast_time_tested">'Box6-Table21'!$K$17</definedName>
    <definedName name="sch_dic_fast_time_upload">'Box6-Table21'!$AK$16</definedName>
    <definedName name="sch_dic_service_provider_bayantel">'Box6-Table21'!$H$7</definedName>
    <definedName name="sch_dic_service_provider_digitel">'Box6-Table21'!$H$8</definedName>
    <definedName name="sch_dic_service_provider_globe">'Box6-Table21'!$O$7</definedName>
    <definedName name="sch_dic_service_provider_others_specify">'Box6-Table21'!$AF$8</definedName>
    <definedName name="sch_dic_service_provider_others_y">'Box6-Table21'!$AA$8</definedName>
    <definedName name="sch_dic_service_provider_pldt">'Box6-Table21'!$O$8</definedName>
    <definedName name="sch_dic_service_provider_smart">'Box6-Table21'!$U$7</definedName>
    <definedName name="sch_dic_service_provider_sun">'Box6-Table21'!$U$8</definedName>
    <definedName name="sch_dic_service_provider_witglobal">'Box6-Table21'!$AA$7</definedName>
    <definedName name="sch_dic_service_provider_y">'Box6-Table21'!$T$5</definedName>
    <definedName name="sch_dic_subscribe_administrative_y">'Box6-Table21'!$H$12</definedName>
    <definedName name="sch_dic_subscribe_classinst_y">'Box6-Table21'!$H$13</definedName>
    <definedName name="sch_dic_subscribe_y">'Box6-Table21'!$AA$10</definedName>
    <definedName name="sch_disascal_hih_acnsa_apr_abu_sayyaf">Table35!$AO$17</definedName>
    <definedName name="sch_disascal_hih_acnsa_apr_biff">Table35!$AO$18</definedName>
    <definedName name="sch_disascal_hih_acnsa_apr_ccp_npa">Table35!$AO$19</definedName>
    <definedName name="sch_disascal_hih_acnsa_apr_maute">Table35!$AO$20</definedName>
    <definedName name="sch_disascal_hih_acnsa_apr_mnlf">Table35!$AO$21</definedName>
    <definedName name="sch_disascal_hih_acnsa_apr_others_specify">Table35!$AO$22</definedName>
    <definedName name="sch_disascal_hih_acnsa_aug_abu_sayyaf">Table35!$Y$17</definedName>
    <definedName name="sch_disascal_hih_acnsa_aug_biff">Table35!$Y$18</definedName>
    <definedName name="sch_disascal_hih_acnsa_aug_ccp_npa">Table35!$Y$19</definedName>
    <definedName name="sch_disascal_hih_acnsa_aug_maute">Table35!$Y$20</definedName>
    <definedName name="sch_disascal_hih_acnsa_aug_mnlf">Table35!$Y$21</definedName>
    <definedName name="sch_disascal_hih_acnsa_aug_others_specify">Table35!$Y$22</definedName>
    <definedName name="sch_disascal_hih_acnsa_dec_abu_sayyaf">Table35!$AG$17</definedName>
    <definedName name="sch_disascal_hih_acnsa_dec_biff">Table35!$AG$18</definedName>
    <definedName name="sch_disascal_hih_acnsa_dec_ccp_npa">Table35!$AG$19</definedName>
    <definedName name="sch_disascal_hih_acnsa_dec_maute">Table35!$AG$20</definedName>
    <definedName name="sch_disascal_hih_acnsa_dec_mnlf">Table35!$AG$21</definedName>
    <definedName name="sch_disascal_hih_acnsa_dec_others_specify">Table35!$AG$22</definedName>
    <definedName name="sch_disascal_hih_acnsa_feb_abu_sayyaf">Table35!$AK$17</definedName>
    <definedName name="sch_disascal_hih_acnsa_feb_biff">Table35!$AK$18</definedName>
    <definedName name="sch_disascal_hih_acnsa_feb_ccp_npa">Table35!$AK$19</definedName>
    <definedName name="sch_disascal_hih_acnsa_feb_maute">Table35!$AK$20</definedName>
    <definedName name="sch_disascal_hih_acnsa_feb_mnlf">Table35!$AK$21</definedName>
    <definedName name="sch_disascal_hih_acnsa_feb_others_specify">Table35!$AK$22</definedName>
    <definedName name="sch_disascal_hih_acnsa_jan_abu_sayyaf">Table35!$AI$17</definedName>
    <definedName name="sch_disascal_hih_acnsa_jan_biff">Table35!$AI$18</definedName>
    <definedName name="sch_disascal_hih_acnsa_jan_ccp_npa">Table35!$AI$19</definedName>
    <definedName name="sch_disascal_hih_acnsa_jan_maute">Table35!$AI$20</definedName>
    <definedName name="sch_disascal_hih_acnsa_jan_mnlf">Table35!$AI$21</definedName>
    <definedName name="sch_disascal_hih_acnsa_jan_others_specify">Table35!$AI$22</definedName>
    <definedName name="sch_disascal_hih_acnsa_jul_abu_sayyaf">Table35!$W$17</definedName>
    <definedName name="sch_disascal_hih_acnsa_jul_biff">Table35!$W$18</definedName>
    <definedName name="sch_disascal_hih_acnsa_jul_ccp_npa">Table35!$W$19</definedName>
    <definedName name="sch_disascal_hih_acnsa_jul_maute">Table35!$W$20</definedName>
    <definedName name="sch_disascal_hih_acnsa_jul_mnlf">Table35!$W$21</definedName>
    <definedName name="sch_disascal_hih_acnsa_jul_others_specify">Table35!$W$22</definedName>
    <definedName name="sch_disascal_hih_acnsa_jun_abu_sayyaf">Table35!$U$17</definedName>
    <definedName name="sch_disascal_hih_acnsa_jun_biff">Table35!$U$18</definedName>
    <definedName name="sch_disascal_hih_acnsa_jun_ccp_npa">Table35!$U$19</definedName>
    <definedName name="sch_disascal_hih_acnsa_jun_maute">Table35!$U$20</definedName>
    <definedName name="sch_disascal_hih_acnsa_jun_mnlf">Table35!$U$21</definedName>
    <definedName name="sch_disascal_hih_acnsa_jun_others_specify">Table35!$U$22</definedName>
    <definedName name="sch_disascal_hih_acnsa_mar_abu_sayyaf">Table35!$AM$17</definedName>
    <definedName name="sch_disascal_hih_acnsa_mar_biff">Table35!$AM$18</definedName>
    <definedName name="sch_disascal_hih_acnsa_mar_ccp_npa">Table35!$AM$19</definedName>
    <definedName name="sch_disascal_hih_acnsa_mar_maute">Table35!$AM$20</definedName>
    <definedName name="sch_disascal_hih_acnsa_mar_mnlf">Table35!$AM$21</definedName>
    <definedName name="sch_disascal_hih_acnsa_mar_others_specify">Table35!$AM$22</definedName>
    <definedName name="sch_disascal_hih_acnsa_may_abu_sayyaf">Table35!$AQ$17</definedName>
    <definedName name="sch_disascal_hih_acnsa_may_biff">Table35!$AQ$18</definedName>
    <definedName name="sch_disascal_hih_acnsa_may_ccp_npa">Table35!$AQ$19</definedName>
    <definedName name="sch_disascal_hih_acnsa_may_maute">Table35!$AQ$20</definedName>
    <definedName name="sch_disascal_hih_acnsa_may_mnlf">Table35!$AQ$21</definedName>
    <definedName name="sch_disascal_hih_acnsa_may_others_specify">Table35!$AQ$22</definedName>
    <definedName name="sch_disascal_hih_acnsa_nov_abu_sayyaf">Table35!$AE$17</definedName>
    <definedName name="sch_disascal_hih_acnsa_nov_biff">Table35!$AE$18</definedName>
    <definedName name="sch_disascal_hih_acnsa_nov_ccp_npa">Table35!$AE$19</definedName>
    <definedName name="sch_disascal_hih_acnsa_nov_maute">Table35!$AE$20</definedName>
    <definedName name="sch_disascal_hih_acnsa_nov_mnlf">Table35!$AE$21</definedName>
    <definedName name="sch_disascal_hih_acnsa_nov_others_specify">Table35!$AE$22</definedName>
    <definedName name="sch_disascal_hih_acnsa_oct_abu_sayyaf">Table35!$AC$17</definedName>
    <definedName name="sch_disascal_hih_acnsa_oct_biff">Table35!$AC$18</definedName>
    <definedName name="sch_disascal_hih_acnsa_oct_ccp_npa">Table35!$AC$19</definedName>
    <definedName name="sch_disascal_hih_acnsa_oct_maute">Table35!$AC$20</definedName>
    <definedName name="sch_disascal_hih_acnsa_oct_mnlf">Table35!$AC$21</definedName>
    <definedName name="sch_disascal_hih_acnsa_oct_others_specify">Table35!$AC$22</definedName>
    <definedName name="sch_disascal_hih_acnsa_others_specify">Table35!$F$23</definedName>
    <definedName name="sch_disascal_hih_acnsa_sep_abu_sayyaf">Table35!$AA$17</definedName>
    <definedName name="sch_disascal_hih_acnsa_sep_biff">Table35!$AA$18</definedName>
    <definedName name="sch_disascal_hih_acnsa_sep_ccp_npa">Table35!$AA$19</definedName>
    <definedName name="sch_disascal_hih_acnsa_sep_maute">Table35!$AA$20</definedName>
    <definedName name="sch_disascal_hih_acnsa_sep_mnlf">Table35!$AA$21</definedName>
    <definedName name="sch_disascal_hih_acnsa_sep_others_specify">Table35!$AA$22</definedName>
    <definedName name="sch_disascal_hih_acsa_apr_afp">Table35!$AO$11</definedName>
    <definedName name="sch_disascal_hih_acsa_apr_others_specify">Table35!$AO$13</definedName>
    <definedName name="sch_disascal_hih_acsa_apr_pnp">Table35!$AO$12</definedName>
    <definedName name="sch_disascal_hih_acsa_armed_conflict_prevyr_april">Table35!$AO$8</definedName>
    <definedName name="sch_disascal_hih_acsa_armed_conflict_prevyr_aug">Table35!$Y$8</definedName>
    <definedName name="sch_disascal_hih_acsa_armed_conflict_prevyr_dec">Table35!$AG$8</definedName>
    <definedName name="sch_disascal_hih_acsa_armed_conflict_prevyr_feb">Table35!$AK$8</definedName>
    <definedName name="sch_disascal_hih_acsa_armed_conflict_prevyr_jan">Table35!$AI$8</definedName>
    <definedName name="sch_disascal_hih_acsa_armed_conflict_prevyr_jul">Table35!$W$8</definedName>
    <definedName name="sch_disascal_hih_acsa_armed_conflict_prevyr_jun">Table35!$U$8</definedName>
    <definedName name="sch_disascal_hih_acsa_armed_conflict_prevyr_mar">Table35!$AM$8</definedName>
    <definedName name="sch_disascal_hih_acsa_armed_conflict_prevyr_may">Table35!$AQ$8</definedName>
    <definedName name="sch_disascal_hih_acsa_armed_conflict_prevyr_nov">Table35!$AE$8</definedName>
    <definedName name="sch_disascal_hih_acsa_armed_conflict_prevyr_oct">Table35!$AC$8</definedName>
    <definedName name="sch_disascal_hih_acsa_armed_conflict_prevyr_sept">Table35!$AA$8</definedName>
    <definedName name="sch_disascal_hih_acsa_aug_afp">Table35!$Y$11</definedName>
    <definedName name="sch_disascal_hih_acsa_aug_others_specify">Table35!$Y$13</definedName>
    <definedName name="sch_disascal_hih_acsa_aug_pnp">Table35!$Y$12</definedName>
    <definedName name="sch_disascal_hih_acsa_dec_afp">Table35!$AG$11</definedName>
    <definedName name="sch_disascal_hih_acsa_dec_others_specify">Table35!$AG$13</definedName>
    <definedName name="sch_disascal_hih_acsa_dec_pnp">Table35!$AG$12</definedName>
    <definedName name="sch_disascal_hih_acsa_feb_afp">Table35!$AK$11</definedName>
    <definedName name="sch_disascal_hih_acsa_feb_others_specify">Table35!$AK$13</definedName>
    <definedName name="sch_disascal_hih_acsa_feb_pnp">Table35!$AK$12</definedName>
    <definedName name="sch_disascal_hih_acsa_jan_afp">Table35!$AI$11</definedName>
    <definedName name="sch_disascal_hih_acsa_jan_others_specify">Table35!$AI$13</definedName>
    <definedName name="sch_disascal_hih_acsa_jan_pnp">Table35!$AI$12</definedName>
    <definedName name="sch_disascal_hih_acsa_jul_afp">Table35!$W$11</definedName>
    <definedName name="sch_disascal_hih_acsa_jul_others_specify">Table35!$W$13</definedName>
    <definedName name="sch_disascal_hih_acsa_jul_pnp">Table35!$W$12</definedName>
    <definedName name="sch_disascal_hih_acsa_jun_afp">Table35!$U$11</definedName>
    <definedName name="sch_disascal_hih_acsa_jun_others_specify">Table35!$U$13</definedName>
    <definedName name="sch_disascal_hih_acsa_jun_pnp">Table35!$U$12</definedName>
    <definedName name="sch_disascal_hih_acsa_mar_afp">Table35!$AM$11</definedName>
    <definedName name="sch_disascal_hih_acsa_mar_others_specify">Table35!$AM$13</definedName>
    <definedName name="sch_disascal_hih_acsa_mar_pnp">Table35!$AM$12</definedName>
    <definedName name="sch_disascal_hih_acsa_may_afp">Table35!$AQ$11</definedName>
    <definedName name="sch_disascal_hih_acsa_may_others_specify">Table35!$AQ$13</definedName>
    <definedName name="sch_disascal_hih_acsa_may_pnp">Table35!$AQ$12</definedName>
    <definedName name="sch_disascal_hih_acsa_nov_afp">Table35!$AE$11</definedName>
    <definedName name="sch_disascal_hih_acsa_nov_others_specify">Table35!$AE$13</definedName>
    <definedName name="sch_disascal_hih_acsa_nov_pnp">Table35!$AE$12</definedName>
    <definedName name="sch_disascal_hih_acsa_oct_afp">Table35!$AC$11</definedName>
    <definedName name="sch_disascal_hih_acsa_oct_others_specify">Table35!$AC$13</definedName>
    <definedName name="sch_disascal_hih_acsa_oct_pnp">Table35!$AC$12</definedName>
    <definedName name="sch_disascal_hih_acsa_others_specify">Table35!$F$14</definedName>
    <definedName name="sch_disascal_hih_acsa_sep_afp">Table35!$AA$11</definedName>
    <definedName name="sch_disascal_hih_acsa_sep_others_specify">Table35!$AA$13</definedName>
    <definedName name="sch_disascal_hih_acsa_sep_pnp">Table35!$AA$12</definedName>
    <definedName name="sch_disascal_hih_child_apr_abduction">Table35!$AO$28</definedName>
    <definedName name="sch_disascal_hih_child_apr_attacks">Table35!$AO$29</definedName>
    <definedName name="sch_disascal_hih_child_apr_denial">Table35!$AO$30</definedName>
    <definedName name="sch_disascal_hih_child_apr_killing">Table35!$AO$27</definedName>
    <definedName name="sch_disascal_hih_child_apr_recruit">Table35!$AO$31</definedName>
    <definedName name="sch_disascal_hih_child_apr_sexual">Table35!$AO$32</definedName>
    <definedName name="sch_disascal_hih_child_aug_abduction">Table35!$Y$28</definedName>
    <definedName name="sch_disascal_hih_child_aug_attacks">Table35!$Y$29</definedName>
    <definedName name="sch_disascal_hih_child_aug_denial">Table35!$Y$30</definedName>
    <definedName name="sch_disascal_hih_child_aug_killing">Table35!$Y$27</definedName>
    <definedName name="sch_disascal_hih_child_aug_recruit">Table35!$Y$31</definedName>
    <definedName name="sch_disascal_hih_child_aug_sexual">Table35!$Y$32</definedName>
    <definedName name="sch_disascal_hih_child_dec_abduction">Table35!$AG$28</definedName>
    <definedName name="sch_disascal_hih_child_dec_attacks">Table35!$AG$29</definedName>
    <definedName name="sch_disascal_hih_child_dec_denial">Table35!$AG$30</definedName>
    <definedName name="sch_disascal_hih_child_dec_killing">Table35!$AG$27</definedName>
    <definedName name="sch_disascal_hih_child_dec_recruit">Table35!$AG$31</definedName>
    <definedName name="sch_disascal_hih_child_dec_sexual">Table35!$AG$32</definedName>
    <definedName name="sch_disascal_hih_child_feb_abduction">Table35!$AK$28</definedName>
    <definedName name="sch_disascal_hih_child_feb_attacks">Table35!$AK$29</definedName>
    <definedName name="sch_disascal_hih_child_feb_denial">Table35!$AK$30</definedName>
    <definedName name="sch_disascal_hih_child_feb_killing">Table35!$AK$27</definedName>
    <definedName name="sch_disascal_hih_child_feb_recruit">Table35!$AK$31</definedName>
    <definedName name="sch_disascal_hih_child_feb_sexual">Table35!$AK$32</definedName>
    <definedName name="sch_disascal_hih_child_jan_abduction">Table35!$AI$28</definedName>
    <definedName name="sch_disascal_hih_child_jan_attacks">Table35!$AI$29</definedName>
    <definedName name="sch_disascal_hih_child_jan_denial">Table35!$AI$30</definedName>
    <definedName name="sch_disascal_hih_child_jan_killing">Table35!$AI$27</definedName>
    <definedName name="sch_disascal_hih_child_jan_recruit">Table35!$AI$31</definedName>
    <definedName name="sch_disascal_hih_child_jan_sexual">Table35!$AI$32</definedName>
    <definedName name="sch_disascal_hih_child_jul_abduction">Table35!$W$28</definedName>
    <definedName name="sch_disascal_hih_child_jul_attacks">Table35!$W$29</definedName>
    <definedName name="sch_disascal_hih_child_jul_denial">Table35!$W$30</definedName>
    <definedName name="sch_disascal_hih_child_jul_killing">Table35!$W$27</definedName>
    <definedName name="sch_disascal_hih_child_jul_recruit">Table35!$W$31</definedName>
    <definedName name="sch_disascal_hih_child_jul_sexual">Table35!$W$32</definedName>
    <definedName name="sch_disascal_hih_child_jun_abduction">Table35!$U$28</definedName>
    <definedName name="sch_disascal_hih_child_jun_attacks">Table35!$U$29</definedName>
    <definedName name="sch_disascal_hih_child_jun_denial">Table35!$U$30</definedName>
    <definedName name="sch_disascal_hih_child_jun_killing">Table35!$U$27</definedName>
    <definedName name="sch_disascal_hih_child_jun_recruit">Table35!$U$31</definedName>
    <definedName name="sch_disascal_hih_child_jun_sexual">Table35!$U$32</definedName>
    <definedName name="sch_disascal_hih_child_mar_abduction">Table35!$AM$28</definedName>
    <definedName name="sch_disascal_hih_child_mar_attacks">Table35!$AM$29</definedName>
    <definedName name="sch_disascal_hih_child_mar_denial">Table35!$AM$30</definedName>
    <definedName name="sch_disascal_hih_child_mar_killing">Table35!$AM$27</definedName>
    <definedName name="sch_disascal_hih_child_mar_recruit">Table35!$AM$31</definedName>
    <definedName name="sch_disascal_hih_child_mar_sexual">Table35!$AM$32</definedName>
    <definedName name="sch_disascal_hih_child_may_abduction">Table35!$AQ$28</definedName>
    <definedName name="sch_disascal_hih_child_may_attacks">Table35!$AQ$29</definedName>
    <definedName name="sch_disascal_hih_child_may_denial">Table35!$AQ$30</definedName>
    <definedName name="sch_disascal_hih_child_may_killing">Table35!$AQ$27</definedName>
    <definedName name="sch_disascal_hih_child_may_recruit">Table35!$AQ$31</definedName>
    <definedName name="sch_disascal_hih_child_may_sexual">Table35!$AQ$32</definedName>
    <definedName name="sch_disascal_hih_child_nov_abduction">Table35!$AE$28</definedName>
    <definedName name="sch_disascal_hih_child_nov_attacks">Table35!$AE$29</definedName>
    <definedName name="sch_disascal_hih_child_nov_denial">Table35!$AE$30</definedName>
    <definedName name="sch_disascal_hih_child_nov_killing">Table35!$AE$27</definedName>
    <definedName name="sch_disascal_hih_child_nov_recruit">Table35!$AE$31</definedName>
    <definedName name="sch_disascal_hih_child_nov_sexual">Table35!$AE$32</definedName>
    <definedName name="sch_disascal_hih_child_oct_abduction">Table35!$AC$28</definedName>
    <definedName name="sch_disascal_hih_child_oct_attacks">Table35!$AC$29</definedName>
    <definedName name="sch_disascal_hih_child_oct_denial">Table35!$AC$30</definedName>
    <definedName name="sch_disascal_hih_child_oct_killing">Table35!$AC$27</definedName>
    <definedName name="sch_disascal_hih_child_oct_recruit">Table35!$AC$31</definedName>
    <definedName name="sch_disascal_hih_child_oct_sexual">Table35!$AC$32</definedName>
    <definedName name="sch_disascal_hih_child_sep_abduction">Table35!$AA$28</definedName>
    <definedName name="sch_disascal_hih_child_sep_attacks">Table35!$AA$29</definedName>
    <definedName name="sch_disascal_hih_child_sep_denial">Table35!$AA$30</definedName>
    <definedName name="sch_disascal_hih_child_sep_killing">Table35!$AA$27</definedName>
    <definedName name="sch_disascal_hih_child_sep_recruit">Table35!$AA$31</definedName>
    <definedName name="sch_disascal_hih_child_sep_sexual">Table35!$AA$32</definedName>
    <definedName name="sch_dist">'SchInfo '!$AH$23</definedName>
    <definedName name="sch_division">'SchInfo '!$AH$22</definedName>
    <definedName name="sch_docu_mou_moa_ff_jmc2013_ra10821">Box30_part1!$D$46</definedName>
    <definedName name="sch_docu_terms_cond_facilityforcovid_memo_osec_202002">Box30_part1!$D$48</definedName>
    <definedName name="sch_email_add">'SchInfo '!$AH$29</definedName>
    <definedName name="sch_equipment_dipping_can_functional">Table4!$S$9</definedName>
    <definedName name="sch_equipment_garden_hose_functional">Table4!$S$13</definedName>
    <definedName name="sch_equipment_tools_blender_machine_functional">Table4!$S$5</definedName>
    <definedName name="sch_equipment_tools_cake_turntable_functional">Table4!$S$6</definedName>
    <definedName name="sch_equipment_tools_claw_hammer_functional">Table4!$S$7</definedName>
    <definedName name="sch_equipment_tools_crosscut_saw_functional">Table4!$S$8</definedName>
    <definedName name="sch_equipment_tools_double_boiler_functional">Table4!$S$10</definedName>
    <definedName name="sch_equipment_tools_fire_extinguisher_functional">Table4!$S$11</definedName>
    <definedName name="sch_equipment_tools_fire_frying_pan_functional">Table4!$S$12</definedName>
    <definedName name="sch_equipment_tools_fire_pastry_tubes_functional">Table4!$S$21</definedName>
    <definedName name="sch_equipment_tools_fire_roasting_pan_functional">Table4!$S$26</definedName>
    <definedName name="sch_equipment_tools_fire_spatula_functional">Table4!$S$30</definedName>
    <definedName name="sch_equipment_tools_gas_range_functional">Table4!$S$14</definedName>
    <definedName name="sch_equipment_tools_gloves_functional">Table4!$S$15</definedName>
    <definedName name="sch_equipment_tools_kitchen_knife_functional">Table4!$S$16</definedName>
    <definedName name="sch_equipment_tools_measuring_cups_functional">Table4!$S$17</definedName>
    <definedName name="sch_equipment_tools_measuring_spoons_functional">Table4!$S$18</definedName>
    <definedName name="sch_equipment_tools_mixing_bowl_functional">Table4!$S$19</definedName>
    <definedName name="sch_equipment_tools_pastry_blender_functional">Table4!$S$20</definedName>
    <definedName name="sch_equipment_tools_pie_pan_functional">Table4!$S$22</definedName>
    <definedName name="sch_equipment_tools_portable_electric_drill_functional">Table4!$S$23</definedName>
    <definedName name="sch_equipment_tools_prunning_shear_functional">Table4!$S$24</definedName>
    <definedName name="sch_equipment_tools_refrigerator_functional">Table4!$S$25</definedName>
    <definedName name="sch_equipment_tools_seedling_tray_functional">Table4!$S$27</definedName>
    <definedName name="sch_equipment_tools_sheet_pan_functional">Table4!$S$28</definedName>
    <definedName name="sch_equipment_tools_spade_functional">Table4!$S$29</definedName>
    <definedName name="sch_equipment_tools_sprinkler_functional">Table4!$S$31</definedName>
    <definedName name="sch_equipment_tools_strainer_functional">Table4!$S$32</definedName>
    <definedName name="sch_equipment_tools_tong_functional">Table4!$S$33</definedName>
    <definedName name="sch_equipment_tools_wooden_spoons_functional">Table4!$S$34</definedName>
    <definedName name="sch_estab_feedback_toreport_recovery_intervention">'Box30_part3b '!$AF$16</definedName>
    <definedName name="sch_fax_no">'SchInfo '!$AH$27</definedName>
    <definedName name="sch_functional_early_warning_system">Box30_part2!$F$5</definedName>
    <definedName name="sch_guidanceofc_ifyes">'Box13'!$AA$5</definedName>
    <definedName name="sch_has_drrmccampbp_iec_materials_posted">'Box31_Parts1-2'!$C$40</definedName>
    <definedName name="sch_head_both_tobaccosmoker_endsennds_user">'Box16'!$H$22</definedName>
    <definedName name="sch_head_budget_maintenance_instruct_noninstruct_spaces">Box29_part1!$D$30</definedName>
    <definedName name="sch_head_endsennds_user">'Box16'!$H$21</definedName>
    <definedName name="sch_head_tobaccosmoker">'Box16'!$H$20</definedName>
    <definedName name="sch_head_tobaccosmoker_nor_endsennds_user">'Box16'!$H$23</definedName>
    <definedName name="sch_health_coor_name">'Table28a-c'!$Y$49</definedName>
    <definedName name="sch_health_coor_pos">'Table28a-c'!$AC$51</definedName>
    <definedName name="sch_health_ip_vacc_hpv_g4_f">'Box32'!$U$42</definedName>
    <definedName name="sch_health_ip_vacc_mcv_g1_f">'Box32'!$O$40</definedName>
    <definedName name="sch_health_ip_vacc_mcv_g1_m">'Box32'!$L$40</definedName>
    <definedName name="sch_health_ip_vacc_td_g1_f">'Box32'!$O$41</definedName>
    <definedName name="sch_health_ip_vacc_td_g1_m">'Box32'!$L$41</definedName>
    <definedName name="sch_health_learners_dewormed_g1_f">'Table28d-Box11'!$P$7</definedName>
    <definedName name="sch_health_learners_dewormed_g1_m">'Table28d-Box11'!$N$7</definedName>
    <definedName name="sch_health_learners_dewormed_g2_f">'Table28d-Box11'!$T$7</definedName>
    <definedName name="sch_health_learners_dewormed_g2_m">'Table28d-Box11'!$R$7</definedName>
    <definedName name="sch_health_learners_dewormed_g3_f">'Table28d-Box11'!$X$7</definedName>
    <definedName name="sch_health_learners_dewormed_g3_m">'Table28d-Box11'!$V$7</definedName>
    <definedName name="sch_health_learners_dewormed_g4_f">'Table28d-Box11'!$AB$7</definedName>
    <definedName name="sch_health_learners_dewormed_g4_m">'Table28d-Box11'!$Z$7</definedName>
    <definedName name="sch_health_learners_dewormed_g5_f">'Table28d-Box11'!$AF$7</definedName>
    <definedName name="sch_health_learners_dewormed_g5_m">'Table28d-Box11'!$AD$7</definedName>
    <definedName name="sch_health_learners_dewormed_g6_f">'Table28d-Box11'!$AJ$7</definedName>
    <definedName name="sch_health_learners_dewormed_g6_m">'Table28d-Box11'!$AH$7</definedName>
    <definedName name="sch_health_learners_dewormed_k_f">'Table28d-Box11'!$L$7</definedName>
    <definedName name="sch_health_learners_dewormed_k_m">'Table28d-Box11'!$J$7</definedName>
    <definedName name="sch_health_learners_dewormed_ng_f">'Table28d-Box11'!$AN$7</definedName>
    <definedName name="sch_health_learners_dewormed_ng_m">'Table28d-Box11'!$AL$7</definedName>
    <definedName name="sch_health_nsh_normal_g1_f">'Table28a-c'!$S$32</definedName>
    <definedName name="sch_health_nsh_normal_g1_m">'Table28a-c'!$P$32</definedName>
    <definedName name="sch_health_nsh_normal_g2_f">'Table28a-c'!$Y$32</definedName>
    <definedName name="sch_health_nsh_normal_g2_m">'Table28a-c'!$V$32</definedName>
    <definedName name="sch_health_nsh_normal_g3_f">'Table28a-c'!$AE$32</definedName>
    <definedName name="sch_health_nsh_normal_g3_m">'Table28a-c'!$AB$32</definedName>
    <definedName name="sch_health_nsh_normal_g4_f">'Table28a-c'!$AK$32</definedName>
    <definedName name="sch_health_nsh_normal_g4_m">'Table28a-c'!$AH$32</definedName>
    <definedName name="sch_health_nsh_normal_g5_f">'Table28a-c'!$AQ$32</definedName>
    <definedName name="sch_health_nsh_normal_g5_m">'Table28a-c'!$AN$32</definedName>
    <definedName name="sch_health_nsh_normal_g6_f">'Table28a-c'!$AW$32</definedName>
    <definedName name="sch_health_nsh_normal_g6_m">'Table28a-c'!$AT$32</definedName>
    <definedName name="sch_health_nsh_normal_k_f">'Table28a-c'!$M$32</definedName>
    <definedName name="sch_health_nsh_normal_k_m">'Table28a-c'!$J$32</definedName>
    <definedName name="sch_health_nsh_normal_ng_f">'Table28a-c'!$BC$32</definedName>
    <definedName name="sch_health_nsh_normal_ng_m">'Table28a-c'!$AZ$32</definedName>
    <definedName name="sch_health_nsh_severelystunted_g1_f">'Table28a-c'!$S$30</definedName>
    <definedName name="sch_health_nsh_severelystunted_g1_m">'Table28a-c'!$P$30</definedName>
    <definedName name="sch_health_nsh_severelystunted_g2_f">'Table28a-c'!$Y$30</definedName>
    <definedName name="sch_health_nsh_severelystunted_g2_m">'Table28a-c'!$V$30</definedName>
    <definedName name="sch_health_nsh_severelystunted_g3_f">'Table28a-c'!$AE$30</definedName>
    <definedName name="sch_health_nsh_severelystunted_g3_m">'Table28a-c'!$AB$30</definedName>
    <definedName name="sch_health_nsh_severelystunted_g4_f">'Table28a-c'!$AK$30</definedName>
    <definedName name="sch_health_nsh_severelystunted_g4_m">'Table28a-c'!$AH$30</definedName>
    <definedName name="sch_health_nsh_severelystunted_g5_f">'Table28a-c'!$AQ$30</definedName>
    <definedName name="sch_health_nsh_severelystunted_g5_m">'Table28a-c'!$AN$30</definedName>
    <definedName name="sch_health_nsh_severelystunted_g6_f">'Table28a-c'!$AW$30</definedName>
    <definedName name="sch_health_nsh_severelystunted_g6_m">'Table28a-c'!$AT$30</definedName>
    <definedName name="sch_health_nsh_severelystunted_k_f">'Table28a-c'!$M$30</definedName>
    <definedName name="sch_health_nsh_severelystunted_k_m">'Table28a-c'!$J$30</definedName>
    <definedName name="sch_health_nsh_severelystunted_ng_f">'Table28a-c'!$BC$30</definedName>
    <definedName name="sch_health_nsh_severelystunted_ng_m">'Table28a-c'!$AZ$30</definedName>
    <definedName name="sch_health_nsh_stunted_g1_f">'Table28a-c'!$S$31</definedName>
    <definedName name="sch_health_nsh_stunted_g1_m">'Table28a-c'!$P$31</definedName>
    <definedName name="sch_health_nsh_stunted_g2_f">'Table28a-c'!$Y$31</definedName>
    <definedName name="sch_health_nsh_stunted_g2_m">'Table28a-c'!$V$31</definedName>
    <definedName name="sch_health_nsh_stunted_g3_f">'Table28a-c'!$AE$31</definedName>
    <definedName name="sch_health_nsh_stunted_g3_m">'Table28a-c'!$AB$31</definedName>
    <definedName name="sch_health_nsh_stunted_g4_f">'Table28a-c'!$AK$31</definedName>
    <definedName name="sch_health_nsh_stunted_g4_m">'Table28a-c'!$AH$31</definedName>
    <definedName name="sch_health_nsh_stunted_g5_f">'Table28a-c'!$AQ$31</definedName>
    <definedName name="sch_health_nsh_stunted_g5_m">'Table28a-c'!$AN$31</definedName>
    <definedName name="sch_health_nsh_stunted_g6_f">'Table28a-c'!$AW$31</definedName>
    <definedName name="sch_health_nsh_stunted_g6_m">'Table28a-c'!$AT$31</definedName>
    <definedName name="sch_health_nsh_stunted_k_f">'Table28a-c'!$M$31</definedName>
    <definedName name="sch_health_nsh_stunted_k_m">'Table28a-c'!$J$31</definedName>
    <definedName name="sch_health_nsh_stunted_ng_f">'Table28a-c'!$BC$31</definedName>
    <definedName name="sch_health_nsh_stunted_ng_m">'Table28a-c'!$AZ$31</definedName>
    <definedName name="sch_health_nsh_tall_g1_f">'Table28a-c'!$S$33</definedName>
    <definedName name="sch_health_nsh_tall_g1_m">'Table28a-c'!$P$33</definedName>
    <definedName name="sch_health_nsh_tall_g2_f">'Table28a-c'!$Y$33</definedName>
    <definedName name="sch_health_nsh_tall_g2_m">'Table28a-c'!$V$33</definedName>
    <definedName name="sch_health_nsh_tall_g3_f">'Table28a-c'!$AE$33</definedName>
    <definedName name="sch_health_nsh_tall_g3_m">'Table28a-c'!$AB$33</definedName>
    <definedName name="sch_health_nsh_tall_g4_f">'Table28a-c'!$AK$33</definedName>
    <definedName name="sch_health_nsh_tall_g4_m">'Table28a-c'!$AH$33</definedName>
    <definedName name="sch_health_nsh_tall_g5_f">'Table28a-c'!$AQ$33</definedName>
    <definedName name="sch_health_nsh_tall_g5_m">'Table28a-c'!$AN$33</definedName>
    <definedName name="sch_health_nsh_tall_g6_f">'Table28a-c'!$AW$33</definedName>
    <definedName name="sch_health_nsh_tall_g6_m">'Table28a-c'!$AT$33</definedName>
    <definedName name="sch_health_nsh_tall_k_f">'Table28a-c'!$M$33</definedName>
    <definedName name="sch_health_nsh_tall_k_m">'Table28a-c'!$J$33</definedName>
    <definedName name="sch_health_nsh_tall_ng_f">'Table28a-c'!$BC$33</definedName>
    <definedName name="sch_health_nsh_tall_ng_m">'Table28a-c'!$AZ$33</definedName>
    <definedName name="sch_health_nsw_normal_g1_f">'Table28a-c'!$S$23</definedName>
    <definedName name="sch_health_nsw_normal_g1_m">'Table28a-c'!$P$23</definedName>
    <definedName name="sch_health_nsw_normal_g2_f">'Table28a-c'!$Y$23</definedName>
    <definedName name="sch_health_nsw_normal_g2_m">'Table28a-c'!$V$23</definedName>
    <definedName name="sch_health_nsw_normal_g3_f">'Table28a-c'!$AE$23</definedName>
    <definedName name="sch_health_nsw_normal_g3_m">'Table28a-c'!$AB$23</definedName>
    <definedName name="sch_health_nsw_normal_g4_f">'Table28a-c'!$AK$23</definedName>
    <definedName name="sch_health_nsw_normal_g4_m">'Table28a-c'!$AH$23</definedName>
    <definedName name="sch_health_nsw_normal_g5_f">'Table28a-c'!$AQ$23</definedName>
    <definedName name="sch_health_nsw_normal_g5_m">'Table28a-c'!$AN$23</definedName>
    <definedName name="sch_health_nsw_normal_g6_f">'Table28a-c'!$AW$23</definedName>
    <definedName name="sch_health_nsw_normal_g6_m">'Table28a-c'!$AT$23</definedName>
    <definedName name="sch_health_nsw_normal_k_f">'Table28a-c'!$M$23</definedName>
    <definedName name="sch_health_nsw_normal_k_m">'Table28a-c'!$J$23</definedName>
    <definedName name="sch_health_nsw_normal_ng_f">'Table28a-c'!$BC$23</definedName>
    <definedName name="sch_health_nsw_normal_ng_m">'Table28a-c'!$AZ$23</definedName>
    <definedName name="sch_health_nsw_obese_g1_f">'Table28a-c'!$S$24</definedName>
    <definedName name="sch_health_nsw_obese_g1_m">'Table28a-c'!$P$24</definedName>
    <definedName name="sch_health_nsw_obese_g2_f">'Table28a-c'!$Y$24</definedName>
    <definedName name="sch_health_nsw_obese_g2_m">'Table28a-c'!$V$24</definedName>
    <definedName name="sch_health_nsw_obese_g3_f">'Table28a-c'!$AE$24</definedName>
    <definedName name="sch_health_nsw_obese_g3_m">'Table28a-c'!$AB$24</definedName>
    <definedName name="sch_health_nsw_obese_g4_f">'Table28a-c'!$AK$24</definedName>
    <definedName name="sch_health_nsw_obese_g4_m">'Table28a-c'!$AH$24</definedName>
    <definedName name="sch_health_nsw_obese_g5_f">'Table28a-c'!$AQ$24</definedName>
    <definedName name="sch_health_nsw_obese_g5_m">'Table28a-c'!$AN$24</definedName>
    <definedName name="sch_health_nsw_obese_g6_f">'Table28a-c'!$AW$24</definedName>
    <definedName name="sch_health_nsw_obese_g6_m">'Table28a-c'!$AT$24</definedName>
    <definedName name="sch_health_nsw_obese_k_f">'Table28a-c'!$M$24</definedName>
    <definedName name="sch_health_nsw_obese_k_m">'Table28a-c'!$J$24</definedName>
    <definedName name="sch_health_nsw_obese_ng_f">'Table28a-c'!$BC$24</definedName>
    <definedName name="sch_health_nsw_obese_ng_m">'Table28a-c'!$AZ$24</definedName>
    <definedName name="sch_health_nsw_overweight_g1_f">'Table28a-c'!$S$25</definedName>
    <definedName name="sch_health_nsw_overweight_g1_m">'Table28a-c'!$P$25</definedName>
    <definedName name="sch_health_nsw_overweight_g2_f">'Table28a-c'!$Y$25</definedName>
    <definedName name="sch_health_nsw_overweight_g2_m">'Table28a-c'!$V$25</definedName>
    <definedName name="sch_health_nsw_overweight_g3_f">'Table28a-c'!$AE$25</definedName>
    <definedName name="sch_health_nsw_overweight_g3_m">'Table28a-c'!$AB$25</definedName>
    <definedName name="sch_health_nsw_overweight_g4_f">'Table28a-c'!$AK$25</definedName>
    <definedName name="sch_health_nsw_overweight_g4_m">'Table28a-c'!$AH$25</definedName>
    <definedName name="sch_health_nsw_overweight_g5_f">'Table28a-c'!$AQ$25</definedName>
    <definedName name="sch_health_nsw_overweight_g5_m">'Table28a-c'!$AN$25</definedName>
    <definedName name="sch_health_nsw_overweight_g6_f">'Table28a-c'!$AW$25</definedName>
    <definedName name="sch_health_nsw_overweight_g6_m">'Table28a-c'!$AT$25</definedName>
    <definedName name="sch_health_nsw_overweight_k_f">'Table28a-c'!$M$25</definedName>
    <definedName name="sch_health_nsw_overweight_k_m">'Table28a-c'!$J$25</definedName>
    <definedName name="sch_health_nsw_overweight_ng_f">'Table28a-c'!$BC$25</definedName>
    <definedName name="sch_health_nsw_overweight_ng_m">'Table28a-c'!$AZ$25</definedName>
    <definedName name="sch_health_nsw_severelywasted_g1_f">'Table28a-c'!$S$26</definedName>
    <definedName name="sch_health_nsw_severelywasted_g1_m">'Table28a-c'!$P$26</definedName>
    <definedName name="sch_health_nsw_severelywasted_g2_f">'Table28a-c'!$Y$26</definedName>
    <definedName name="sch_health_nsw_severelywasted_g2_m">'Table28a-c'!$V$26</definedName>
    <definedName name="sch_health_nsw_severelywasted_g3_f">'Table28a-c'!$AE$26</definedName>
    <definedName name="sch_health_nsw_severelywasted_g3_m">'Table28a-c'!$AB$26</definedName>
    <definedName name="sch_health_nsw_severelywasted_g4_f">'Table28a-c'!$AK$26</definedName>
    <definedName name="sch_health_nsw_severelywasted_g4_m">'Table28a-c'!$AH$26</definedName>
    <definedName name="sch_health_nsw_severelywasted_g5_f">'Table28a-c'!$AQ$26</definedName>
    <definedName name="sch_health_nsw_severelywasted_g5_m">'Table28a-c'!$AN$26</definedName>
    <definedName name="sch_health_nsw_severelywasted_g6_f">'Table28a-c'!$AW$26</definedName>
    <definedName name="sch_health_nsw_severelywasted_g6_m">'Table28a-c'!$AT$26</definedName>
    <definedName name="sch_health_nsw_severelywasted_k_f">'Table28a-c'!$M$26</definedName>
    <definedName name="sch_health_nsw_severelywasted_k_m">'Table28a-c'!$J$26</definedName>
    <definedName name="sch_health_nsw_severelywasted_ng_f">'Table28a-c'!$BC$26</definedName>
    <definedName name="sch_health_nsw_severelywasted_ng_m">'Table28a-c'!$AZ$26</definedName>
    <definedName name="sch_health_nsw_wasted_g1_f">'Table28a-c'!$S$27</definedName>
    <definedName name="sch_health_nsw_wasted_g1_m">'Table28a-c'!$P$27</definedName>
    <definedName name="sch_health_nsw_wasted_g2_f">'Table28a-c'!$Y$27</definedName>
    <definedName name="sch_health_nsw_wasted_g2_m">'Table28a-c'!$V$27</definedName>
    <definedName name="sch_health_nsw_wasted_g3_f">'Table28a-c'!$AE$27</definedName>
    <definedName name="sch_health_nsw_wasted_g3_m">'Table28a-c'!$AB$27</definedName>
    <definedName name="sch_health_nsw_wasted_g4_f">'Table28a-c'!$AK$27</definedName>
    <definedName name="sch_health_nsw_wasted_g4_m">'Table28a-c'!$AH$27</definedName>
    <definedName name="sch_health_nsw_wasted_g5_f">'Table28a-c'!$AQ$27</definedName>
    <definedName name="sch_health_nsw_wasted_g5_m">'Table28a-c'!$AN$27</definedName>
    <definedName name="sch_health_nsw_wasted_g6_f">'Table28a-c'!$AW$27</definedName>
    <definedName name="sch_health_nsw_wasted_g6_m">'Table28a-c'!$AT$27</definedName>
    <definedName name="sch_health_nsw_wasted_k_f">'Table28a-c'!$M$27</definedName>
    <definedName name="sch_health_nsw_wasted_k_m">'Table28a-c'!$J$27</definedName>
    <definedName name="sch_health_nsw_wasted_ng_f">'Table28a-c'!$BC$27</definedName>
    <definedName name="sch_health_nsw_wasted_ng_m">'Table28a-c'!$AZ$27</definedName>
    <definedName name="sch_health_vacc_hpv_g4_f">'Table28a-c'!$S$8</definedName>
    <definedName name="sch_health_vacc_mcv_g1_f">'Table28a-c'!$M$6</definedName>
    <definedName name="sch_health_vacc_mcv_g1_m">'Table28a-c'!$J$6</definedName>
    <definedName name="sch_health_vacc_td_g1_f">'Table28a-c'!$M$7</definedName>
    <definedName name="sch_health_vacc_td_g1_m">'Table28a-c'!$J$7</definedName>
    <definedName name="sch_health_vs_fail_g1_f">'Table28a-c'!$S$15</definedName>
    <definedName name="sch_health_vs_fail_g1_m">'Table28a-c'!$P$15</definedName>
    <definedName name="sch_health_vs_fail_g2_f">'Table28a-c'!$Y$15</definedName>
    <definedName name="sch_health_vs_fail_g2_m">'Table28a-c'!$V$15</definedName>
    <definedName name="sch_health_vs_fail_g3_f">'Table28a-c'!$AE$15</definedName>
    <definedName name="sch_health_vs_fail_g3_m">'Table28a-c'!$AB$15</definedName>
    <definedName name="sch_health_vs_fail_k_f">'Table28a-c'!$M$15</definedName>
    <definedName name="sch_health_vs_fail_k_m">'Table28a-c'!$J$15</definedName>
    <definedName name="sch_health_vs_pass_g1_f">'Table28a-c'!$S$14</definedName>
    <definedName name="sch_health_vs_pass_g1_m">'Table28a-c'!$P$14</definedName>
    <definedName name="sch_health_vs_pass_g2_f">'Table28a-c'!$Y$14</definedName>
    <definedName name="sch_health_vs_pass_g2_m">'Table28a-c'!$V$14</definedName>
    <definedName name="sch_health_vs_pass_g3_f">'Table28a-c'!$AE$14</definedName>
    <definedName name="sch_health_vs_pass_g3_m">'Table28a-c'!$AB$14</definedName>
    <definedName name="sch_health_vs_pass_k_f">'Table28a-c'!$M$14</definedName>
    <definedName name="sch_health_vs_pass_k_m">'Table28a-c'!$J$14</definedName>
    <definedName name="sch_hih_bmsp_01">Table34!$AI$18</definedName>
    <definedName name="sch_hih_bmsp_02">Table34!$AK$18</definedName>
    <definedName name="sch_hih_bmsp_03">Table34!$AM$18</definedName>
    <definedName name="sch_hih_bmsp_04">Table34!$AO$18</definedName>
    <definedName name="sch_hih_bmsp_05">Table34!$AQ$18</definedName>
    <definedName name="sch_hih_bmsp_06">Table34!$U$18</definedName>
    <definedName name="sch_hih_bmsp_07">Table34!$W$18</definedName>
    <definedName name="sch_hih_bmsp_08">Table34!$Y$18</definedName>
    <definedName name="sch_hih_bmsp_09">Table34!$AA$18</definedName>
    <definedName name="sch_hih_bmsp_10">Table34!$AC$18</definedName>
    <definedName name="sch_hih_bmsp_11">Table34!$AE$18</definedName>
    <definedName name="sch_hih_bmsp_12">Table34!$AG$18</definedName>
    <definedName name="sch_hih_bmth_01">Table34!$AI$17</definedName>
    <definedName name="sch_hih_bmth_02">Table34!$AK$17</definedName>
    <definedName name="sch_hih_bmth_03">Table34!$AM$17</definedName>
    <definedName name="sch_hih_bmth_04">Table34!$AO$17</definedName>
    <definedName name="sch_hih_bmth_05">Table34!$AQ$17</definedName>
    <definedName name="sch_hih_bmth_06">Table34!$U$17</definedName>
    <definedName name="sch_hih_bmth_07">Table34!$W$17</definedName>
    <definedName name="sch_hih_bmth_08">Table34!$Y$17</definedName>
    <definedName name="sch_hih_bmth_09">Table34!$AA$17</definedName>
    <definedName name="sch_hih_bmth_10">Table34!$AC$17</definedName>
    <definedName name="sch_hih_bmth_11">Table34!$AE$17</definedName>
    <definedName name="sch_hih_bmth_12">Table34!$AG$17</definedName>
    <definedName name="sch_hih_crlrn_01">Table34!$AI$19</definedName>
    <definedName name="sch_hih_crlrn_02">Table34!$AK$19</definedName>
    <definedName name="sch_hih_crlrn_03">Table34!$AM$19</definedName>
    <definedName name="sch_hih_crlrn_04">Table34!$AO$19</definedName>
    <definedName name="sch_hih_crlrn_05">Table34!$AQ$19</definedName>
    <definedName name="sch_hih_crlrn_06">Table34!$U$19</definedName>
    <definedName name="sch_hih_crlrn_07">Table34!$W$19</definedName>
    <definedName name="sch_hih_crlrn_08">Table34!$Y$19</definedName>
    <definedName name="sch_hih_crlrn_09">Table34!$AA$19</definedName>
    <definedName name="sch_hih_crlrn_10">Table34!$AC$19</definedName>
    <definedName name="sch_hih_crlrn_11">Table34!$AE$19</definedName>
    <definedName name="sch_hih_crlrn_12">Table34!$AG$19</definedName>
    <definedName name="sch_hih_crntch_01">Table34!$AI$20</definedName>
    <definedName name="sch_hih_crntch_02">Table34!$AK$20</definedName>
    <definedName name="sch_hih_crntch_03">Table34!$AM$20</definedName>
    <definedName name="sch_hih_crntch_04">Table34!$AO$20</definedName>
    <definedName name="sch_hih_crntch_05">Table34!$AQ$20</definedName>
    <definedName name="sch_hih_crntch_06">Table34!$U$20</definedName>
    <definedName name="sch_hih_crntch_07">Table34!$W$20</definedName>
    <definedName name="sch_hih_crntch_08">Table34!$Y$20</definedName>
    <definedName name="sch_hih_crntch_09">Table34!$AA$20</definedName>
    <definedName name="sch_hih_crntch_10">Table34!$AC$20</definedName>
    <definedName name="sch_hih_crntch_11">Table34!$AE$20</definedName>
    <definedName name="sch_hih_crntch_12">Table34!$AG$20</definedName>
    <definedName name="sch_hih_crshe_01">Table34!$AI$21</definedName>
    <definedName name="sch_hih_crshe_02">Table34!$AK$21</definedName>
    <definedName name="sch_hih_crshe_03">Table34!$AM$21</definedName>
    <definedName name="sch_hih_crshe_04">Table34!$AO$21</definedName>
    <definedName name="sch_hih_crshe_05">Table34!$AQ$21</definedName>
    <definedName name="sch_hih_crshe_06">Table34!$U$21</definedName>
    <definedName name="sch_hih_crshe_07">Table34!$W$21</definedName>
    <definedName name="sch_hih_crshe_08">Table34!$Y$21</definedName>
    <definedName name="sch_hih_crshe_09">Table34!$AA$21</definedName>
    <definedName name="sch_hih_crshe_10">Table34!$AC$21</definedName>
    <definedName name="sch_hih_crshe_11">Table34!$AE$21</definedName>
    <definedName name="sch_hih_crshe_12">Table34!$AG$21</definedName>
    <definedName name="sch_hih_crspr_01">Table34!$AI$22</definedName>
    <definedName name="sch_hih_crspr_02">Table34!$AK$22</definedName>
    <definedName name="sch_hih_crspr_03">Table34!$AM$22</definedName>
    <definedName name="sch_hih_crspr_04">Table34!$AO$22</definedName>
    <definedName name="sch_hih_crspr_05">Table34!$AQ$22</definedName>
    <definedName name="sch_hih_crspr_06">Table34!$U$22</definedName>
    <definedName name="sch_hih_crspr_07">Table34!$W$22</definedName>
    <definedName name="sch_hih_crspr_08">Table34!$Y$22</definedName>
    <definedName name="sch_hih_crspr_09">Table34!$AA$22</definedName>
    <definedName name="sch_hih_crspr_10">Table34!$AC$22</definedName>
    <definedName name="sch_hih_crspr_11">Table34!$AE$22</definedName>
    <definedName name="sch_hih_crspr_12">Table34!$AG$22</definedName>
    <definedName name="sch_hih_crtch_01">Table34!$AI$23</definedName>
    <definedName name="sch_hih_crtch_02">Table34!$AK$23</definedName>
    <definedName name="sch_hih_crtch_03">Table34!$AM$23</definedName>
    <definedName name="sch_hih_crtch_04">Table34!$AO$23</definedName>
    <definedName name="sch_hih_crtch_05">Table34!$AQ$23</definedName>
    <definedName name="sch_hih_crtch_06">Table34!$U$23</definedName>
    <definedName name="sch_hih_crtch_07">Table34!$W$23</definedName>
    <definedName name="sch_hih_crtch_08">Table34!$Y$23</definedName>
    <definedName name="sch_hih_crtch_09">Table34!$AA$23</definedName>
    <definedName name="sch_hih_crtch_10">Table34!$AC$23</definedName>
    <definedName name="sch_hih_crtch_11">Table34!$AE$23</definedName>
    <definedName name="sch_hih_crtch_12">Table34!$AG$23</definedName>
    <definedName name="sch_hih_fire_01">Table34!$AI$24</definedName>
    <definedName name="sch_hih_fire_02">Table34!$AK$24</definedName>
    <definedName name="sch_hih_fire_03">Table34!$AM$24</definedName>
    <definedName name="sch_hih_fire_04">Table34!$AO$24</definedName>
    <definedName name="sch_hih_fire_05">Table34!$AQ$24</definedName>
    <definedName name="sch_hih_fire_06">Table34!$U$24</definedName>
    <definedName name="sch_hih_fire_07">Table34!$W$24</definedName>
    <definedName name="sch_hih_fire_08">Table34!$Y$24</definedName>
    <definedName name="sch_hih_fire_09">Table34!$AA$24</definedName>
    <definedName name="sch_hih_fire_10">Table34!$AC$24</definedName>
    <definedName name="sch_hih_fire_11">Table34!$AE$24</definedName>
    <definedName name="sch_hih_fire_12">Table34!$AG$24</definedName>
    <definedName name="sch_hih_helt_01">Table34!$AI$26</definedName>
    <definedName name="sch_hih_helt_02">Table34!$AK$26</definedName>
    <definedName name="sch_hih_helt_03">Table34!$AM$26</definedName>
    <definedName name="sch_hih_helt_04">Table34!$AO$26</definedName>
    <definedName name="sch_hih_helt_05">Table34!$AQ$26</definedName>
    <definedName name="sch_hih_helt_06">Table34!$U$26</definedName>
    <definedName name="sch_hih_helt_07">Table34!$W$26</definedName>
    <definedName name="sch_hih_helt_08">Table34!$Y$26</definedName>
    <definedName name="sch_hih_helt_09">Table34!$AA$26</definedName>
    <definedName name="sch_hih_helt_10">Table34!$AC$26</definedName>
    <definedName name="sch_hih_helt_11">Table34!$AE$26</definedName>
    <definedName name="sch_hih_helt_12">Table34!$AG$26</definedName>
    <definedName name="sch_hih_hmti_01">Table34!$AI$25</definedName>
    <definedName name="sch_hih_hmti_02">Table34!$AK$25</definedName>
    <definedName name="sch_hih_hmti_03">Table34!$AM$25</definedName>
    <definedName name="sch_hih_hmti_04">Table34!$AO$25</definedName>
    <definedName name="sch_hih_hmti_05">Table34!$AQ$25</definedName>
    <definedName name="sch_hih_hmti_06">Table34!$U$25</definedName>
    <definedName name="sch_hih_hmti_07">Table34!$W$25</definedName>
    <definedName name="sch_hih_hmti_08">Table34!$Y$25</definedName>
    <definedName name="sch_hih_hmti_09">Table34!$AA$25</definedName>
    <definedName name="sch_hih_hmti_10">Table34!$AC$25</definedName>
    <definedName name="sch_hih_hmti_11">Table34!$AE$25</definedName>
    <definedName name="sch_hih_hmti_12">Table34!$AG$25</definedName>
    <definedName name="sch_hih_htgt_01">Table34!$AI$27</definedName>
    <definedName name="sch_hih_htgt_02">Table34!$AK$27</definedName>
    <definedName name="sch_hih_htgt_03">Table34!$AM$27</definedName>
    <definedName name="sch_hih_htgt_04">Table34!$AO$27</definedName>
    <definedName name="sch_hih_htgt_05">Table34!$AQ$27</definedName>
    <definedName name="sch_hih_htgt_06">Table34!$U$27</definedName>
    <definedName name="sch_hih_htgt_07">Table34!$W$27</definedName>
    <definedName name="sch_hih_htgt_08">Table34!$Y$27</definedName>
    <definedName name="sch_hih_htgt_09">Table34!$AA$27</definedName>
    <definedName name="sch_hih_htgt_10">Table34!$AC$27</definedName>
    <definedName name="sch_hih_htgt_11">Table34!$AE$27</definedName>
    <definedName name="sch_hih_htgt_12">Table34!$AG$27</definedName>
    <definedName name="sch_hih_othr_01">Table34!$AI$30</definedName>
    <definedName name="sch_hih_othr_02">Table34!$AK$30</definedName>
    <definedName name="sch_hih_othr_03">Table34!$AM$30</definedName>
    <definedName name="sch_hih_othr_04">Table34!$AO$30</definedName>
    <definedName name="sch_hih_othr_05">Table34!$AQ$30</definedName>
    <definedName name="sch_hih_othr_06">Table34!$U$30</definedName>
    <definedName name="sch_hih_othr_07">Table34!$W$30</definedName>
    <definedName name="sch_hih_othr_08">Table34!$Y$30</definedName>
    <definedName name="sch_hih_othr_09">Table34!$AA$30</definedName>
    <definedName name="sch_hih_othr_10">Table34!$AC$30</definedName>
    <definedName name="sch_hih_othr_11">Table34!$AE$30</definedName>
    <definedName name="sch_hih_othr_12">Table34!$AG$30</definedName>
    <definedName name="sch_hih_sisv_01">Table34!$AI$28</definedName>
    <definedName name="sch_hih_sisv_02">Table34!$AK$28</definedName>
    <definedName name="sch_hih_sisv_03">Table34!$AM$28</definedName>
    <definedName name="sch_hih_sisv_04">Table34!$AO$28</definedName>
    <definedName name="sch_hih_sisv_05">Table34!$AQ$28</definedName>
    <definedName name="sch_hih_sisv_06">Table34!$U$28</definedName>
    <definedName name="sch_hih_sisv_07">Table34!$W$28</definedName>
    <definedName name="sch_hih_sisv_08">Table34!$Y$28</definedName>
    <definedName name="sch_hih_sisv_09">Table34!$AA$28</definedName>
    <definedName name="sch_hih_sisv_10">Table34!$AC$28</definedName>
    <definedName name="sch_hih_sisv_11">Table34!$AE$28</definedName>
    <definedName name="sch_hih_sisv_12">Table34!$AG$28</definedName>
    <definedName name="sch_hih_stcl_01">Table34!$AI$29</definedName>
    <definedName name="sch_hih_stcl_02">Table34!$AK$29</definedName>
    <definedName name="sch_hih_stcl_03">Table34!$AM$29</definedName>
    <definedName name="sch_hih_stcl_04">Table34!$AO$29</definedName>
    <definedName name="sch_hih_stcl_05">Table34!$AQ$29</definedName>
    <definedName name="sch_hih_stcl_06">Table34!$U$29</definedName>
    <definedName name="sch_hih_stcl_07">Table34!$W$29</definedName>
    <definedName name="sch_hih_stcl_08">Table34!$Y$29</definedName>
    <definedName name="sch_hih_stcl_09">Table34!$AA$29</definedName>
    <definedName name="sch_hih_stcl_10">Table34!$AC$29</definedName>
    <definedName name="sch_hih_stcl_11">Table34!$AE$29</definedName>
    <definedName name="sch_hih_stcl_12">Table34!$AG$29</definedName>
    <definedName name="sch_id">'SchInfo '!$AQ$2</definedName>
    <definedName name="sch_imple_strategy_adm_educcontinuity_disaster_armed">Box30_part3a!$E$36</definedName>
    <definedName name="sch_imple_strategy_adm_educcontinuity_disaster_nh">Box30_part3a!$E$34</definedName>
    <definedName name="sch_implement_drrmccampbp_withpartners">Box30_part1!$D$53</definedName>
    <definedName name="sch_ip_located_ancestral_domain_affected_ac">'Box32'!$U$43</definedName>
    <definedName name="sch_learner_participated_drills_exclude_f">Box30_part2!$I$65</definedName>
    <definedName name="sch_learner_participated_drills_exclude_m">Box30_part2!$F$65</definedName>
    <definedName name="sch_learner_participated_drills_ip_f">Box30_part2!$O$65</definedName>
    <definedName name="sch_learner_participated_drills_ip_m">Box30_part2!$L$65</definedName>
    <definedName name="sch_learner_participated_drills_lwd_f">Box30_part2!$AA$65</definedName>
    <definedName name="sch_learner_participated_drills_lwd_m">Box30_part2!$X$65</definedName>
    <definedName name="sch_learner_participated_drills_muslim_f">Box30_part2!$U$65</definedName>
    <definedName name="sch_learner_participated_drills_muslim_m">Box30_part2!$R$65</definedName>
    <definedName name="sch_leg_dist">'SchInfo '!$AH$24</definedName>
    <definedName name="sch_loc_althighway">'Box9 cont.-Box10'!$D$31</definedName>
    <definedName name="sch_loc_bythillside">'Box9 cont.-Box10'!$D$32</definedName>
    <definedName name="sch_loc_nearcoast">'Box9 cont.-Box10'!$M$32</definedName>
    <definedName name="sch_loc_nearfaultl">'Box9 cont.-Box10'!$W$31</definedName>
    <definedName name="sch_loc_nearriverwway">'Box9 cont.-Box10'!$M$33</definedName>
    <definedName name="sch_loc_onsmllisland">'Box9 cont.-Box10'!$M$31</definedName>
    <definedName name="sch_loc_ontopmount">'Box9 cont.-Box10'!$D$33</definedName>
    <definedName name="sch_loc_otherspec">'Box9 cont.-Box10'!$W$32</definedName>
    <definedName name="sch_loc_specify">'Box9 cont.-Box10'!$AB$32</definedName>
    <definedName name="sch_maintain_regular_repair_instruct_noninstruct_spaces">Box29_part1!$D$31</definedName>
    <definedName name="sch_measureati_partner_may2017aug2018_num">'Box16'!$AJ$14</definedName>
    <definedName name="sch_measureati_partner_num_withdod">'Box16'!$AJ$16</definedName>
    <definedName name="sch_measureati_partner_num_withmoa">'Box16'!$AJ$15</definedName>
    <definedName name="sch_mednurservc_details_num_lexamined_g">Tables30.31.32!$X$26</definedName>
    <definedName name="sch_mednurservc_details_num_lexamined_g1">Tables30.31.32!$U$26</definedName>
    <definedName name="sch_mednurservc_details_num_lexamined_g2">Tables30.31.32!$X$26</definedName>
    <definedName name="sch_mednurservc_details_num_lexamined_g3">Tables30.31.32!$AA$26</definedName>
    <definedName name="sch_mednurservc_details_num_lexamined_g4">Tables30.31.32!$AD$26</definedName>
    <definedName name="sch_mednurservc_details_num_lexamined_g5">Tables30.31.32!$AG$26</definedName>
    <definedName name="sch_mednurservc_details_num_lexamined_g6">Tables30.31.32!$AJ$26</definedName>
    <definedName name="sch_mednurservc_details_num_lexamined_k">Tables30.31.32!$R$26</definedName>
    <definedName name="sch_mednurservc_details_num_lgiclindepedhealthp_g1">Tables30.31.32!$U$28</definedName>
    <definedName name="sch_mednurservc_details_num_lgiclindepedhealthp_g2">Tables30.31.32!$X$28</definedName>
    <definedName name="sch_mednurservc_details_num_lgiclindepedhealthp_g3">Tables30.31.32!$AA$28</definedName>
    <definedName name="sch_mednurservc_details_num_lgiclindepedhealthp_g4">Tables30.31.32!$AD$28</definedName>
    <definedName name="sch_mednurservc_details_num_lgiclindepedhealthp_g5">Tables30.31.32!$AG$28</definedName>
    <definedName name="sch_mednurservc_details_num_lgiclindepedhealthp_g6">Tables30.31.32!$AJ$28</definedName>
    <definedName name="sch_mednurservc_details_num_lgiclindepedhealthp_k">Tables30.31.32!$R$28</definedName>
    <definedName name="sch_mednurservc_details_num_lrefercityrurauotherphp_g1">Tables30.31.32!$U$29</definedName>
    <definedName name="sch_mednurservc_details_num_lrefercityrurauotherphp_g2">Tables30.31.32!$X$29</definedName>
    <definedName name="sch_mednurservc_details_num_lrefercityrurauotherphp_g3">Tables30.31.32!$AA$29</definedName>
    <definedName name="sch_mednurservc_details_num_lrefercityrurauotherphp_g4">Tables30.31.32!$AD$29</definedName>
    <definedName name="sch_mednurservc_details_num_lrefercityrurauotherphp_g5">Tables30.31.32!$AG$29</definedName>
    <definedName name="sch_mednurservc_details_num_lrefercityrurauotherphp_g6">Tables30.31.32!$AJ$29</definedName>
    <definedName name="sch_mednurservc_details_num_lrefercityrurauotherphp_k">Tables30.31.32!$R$29</definedName>
    <definedName name="sch_mednurservc_details_num_lwfindings_g1">Tables30.31.32!$U$27</definedName>
    <definedName name="sch_mednurservc_details_num_lwfindings_g2">Tables30.31.32!$X$27</definedName>
    <definedName name="sch_mednurservc_details_num_lwfindings_g3">Tables30.31.32!$AA$27</definedName>
    <definedName name="sch_mednurservc_details_num_lwfindings_g4">Tables30.31.32!$AD$27</definedName>
    <definedName name="sch_mednurservc_details_num_lwfindings_g5">Tables30.31.32!$AG$27</definedName>
    <definedName name="sch_mednurservc_details_num_lwfindings_g6">Tables30.31.32!$AJ$27</definedName>
    <definedName name="sch_mednurservc_details_num_lwfindings_k">Tables30.31.32!$R$27</definedName>
    <definedName name="sch_mob_no">'SchInfo '!$AH$26</definedName>
    <definedName name="sch_name">'SchInfo '!$G$21</definedName>
    <definedName name="sch_natpdruged_compart_curriculumin">'Boxes17,18,19,20'!$F$7</definedName>
    <definedName name="sch_natpdruged_compart_extrcurriact">'Boxes17,18,19,20'!$F$8</definedName>
    <definedName name="sch_natpdruged_compart_otherspec">'Boxes17,18,19,20'!$U$8</definedName>
    <definedName name="sch_natpdruged_compart_otherspec_specify">'Boxes17,18,19,20'!$Z$8</definedName>
    <definedName name="sch_natpdruged_compart_partnwbadac">'Boxes17,18,19,20'!$U$7</definedName>
    <definedName name="sch_natpdruged_coord_yes">'Boxes17,18,19,20'!$AD$9</definedName>
    <definedName name="sch_natpdruged_implement_yes">'Boxes17,18,19,20'!$AD$5</definedName>
    <definedName name="sch_ndep_corners_classrooms">'Boxes17,18,19,20'!$AD$10</definedName>
    <definedName name="sch_nonstruct_hazard_measure_ns_slopeprotect">Box29_part1!$G$26</definedName>
    <definedName name="sch_nonstruct_hazard_measure_others">Box29_part1!$S$27</definedName>
    <definedName name="sch_nonstruct_hazard_measure_others_specify">Box29_part1!$X$27</definedName>
    <definedName name="sch_nonstruct_hazard_measure_porlandscaping">Box29_part1!$G$28</definedName>
    <definedName name="sch_nonstruct_hazard_measure_pruning">Box29_part1!$S$26</definedName>
    <definedName name="sch_nonstruct_hazard_measure_vegetation">Box29_part1!$G$27</definedName>
    <definedName name="sch_nosmoking_postsch_chkgate_yes">'Box16'!$AJ$7</definedName>
    <definedName name="sch_nosmoking_sign_yes">'Box16'!$AJ$6</definedName>
    <definedName name="sch_num_adaptive_devices_ad_bigbubk_funct">Table3!$R$41</definedName>
    <definedName name="sch_num_adaptive_devices_ad_buzzer_funct">Table3!$R$42</definedName>
    <definedName name="sch_num_adaptive_devices_ad_fak_funct">Table3!$R$43</definedName>
    <definedName name="sch_num_adaptive_devices_ad_rubmat_funct">Table3!$R$44</definedName>
    <definedName name="sch_num_adaptive_devices_ad_sleepbag_funct">Table3!$R$46</definedName>
    <definedName name="sch_num_adaptive_devices_ad_speechsyn_funct">Table3!$R$47</definedName>
    <definedName name="sch_num_adaptive_devices_ad_stopwat_funct">Table3!$R$48</definedName>
    <definedName name="sch_num_adaptive_devices_ad_swm_funct">Table3!$R$45</definedName>
    <definedName name="sch_num_adaptive_devices_ad_tent_funct">Table3!$R$49</definedName>
    <definedName name="sch_num_adaptive_devices_ad_waterjug_funct">Table3!$R$50</definedName>
    <definedName name="sch_num_adaptive_devices_ad_whistle_funct">Table3!$R$51</definedName>
    <definedName name="sch_num_assistive_devices_atd_aacs_funct">Table3!$R$8</definedName>
    <definedName name="sch_num_assistive_devices_atd_aam_funct">Table3!$R$7</definedName>
    <definedName name="sch_num_assistive_devices_atd_agtc_funct">Table3!$R$6</definedName>
    <definedName name="sch_num_assistive_devices_atd_beds_funct">Table3!$R$11</definedName>
    <definedName name="sch_num_assistive_devices_atd_bess_funct">Table3!$R$12</definedName>
    <definedName name="sch_num_assistive_devices_atd_bha_funct">Table3!$R$10</definedName>
    <definedName name="sch_num_assistive_devices_atd_bkk_funct">Table3!$R$9</definedName>
    <definedName name="sch_num_assistive_devices_atd_bm_funct">Table3!$R$13</definedName>
    <definedName name="sch_num_assistive_devices_atd_bpe_funct">Table3!$R$14</definedName>
    <definedName name="sch_num_assistive_devices_atd_bts_funct">Table3!$R$15</definedName>
    <definedName name="sch_num_assistive_devices_atd_clericalc_funct">Table3!$R$17</definedName>
    <definedName name="sch_num_assistive_devices_atd_comprinter_funct">Table3!$R$18</definedName>
    <definedName name="sch_num_assistive_devices_atd_computer_funct">Table3!$R$19</definedName>
    <definedName name="sch_num_assistive_devices_atd_crut_funct">Table3!$R$20</definedName>
    <definedName name="sch_num_assistive_devices_atd_cwwb_funct">Table3!$R$16</definedName>
    <definedName name="sch_num_assistive_devices_atd_ergot_funct">Table3!$R$21</definedName>
    <definedName name="sch_num_assistive_devices_atd_footm_funct">Table3!$R$22</definedName>
    <definedName name="sch_num_assistive_devices_atd_ha_funct">Table3!$R$24</definedName>
    <definedName name="sch_num_assistive_devices_atd_hmet_funct">Table3!$R$23</definedName>
    <definedName name="sch_num_assistive_devices_atd_jaws_funct">Table3!$R$25</definedName>
    <definedName name="sch_num_assistive_devices_atd_lcdp_funct">Table3!$R$26</definedName>
    <definedName name="sch_num_assistive_devices_atd_mi_funct">Table3!$R$28</definedName>
    <definedName name="sch_num_assistive_devices_atd_msc_funct">Table3!$R$27</definedName>
    <definedName name="sch_num_assistive_devices_atd_otms_funct">Table3!$R$29</definedName>
    <definedName name="sch_num_assistive_devices_atd_rcweb_funct">Table3!$R$30</definedName>
    <definedName name="sch_num_assistive_devices_atd_sm_funct">Table3!$R$32</definedName>
    <definedName name="sch_num_assistive_devices_atd_sr_funct">Table3!$R$31</definedName>
    <definedName name="sch_num_assistive_devices_atd_talkd_funct">Table3!$R$34</definedName>
    <definedName name="sch_num_assistive_devices_atd_tc_funct">Table3!$R$33</definedName>
    <definedName name="sch_num_assistive_devices_atd_telamp_funct">Table3!$R$36</definedName>
    <definedName name="sch_num_assistive_devices_atd_telescope_funct">Table3!$R$37</definedName>
    <definedName name="sch_num_assistive_devices_atd_tr_funct">Table3!$R$35</definedName>
    <definedName name="sch_num_assistive_devices_atd_welchair_funct">Table3!$R$38</definedName>
    <definedName name="sch_num_cpcases_refer_apprauth">'Boxes24-25'!$AB$7</definedName>
    <definedName name="sch_num_funct_computers_acad_desktop_depeddcp">'Table19 '!$K$7</definedName>
    <definedName name="sch_num_funct_computers_acad_desktop_depednondcp">'Table19 '!$P$7</definedName>
    <definedName name="sch_num_funct_computers_acad_desktop_lgusef">'Table19 '!$U$7</definedName>
    <definedName name="sch_num_funct_computers_acad_desktop_othergov">'Table19 '!$AJ$7</definedName>
    <definedName name="sch_num_funct_computers_acad_desktop_others">'Table19 '!$AO$7</definedName>
    <definedName name="sch_num_funct_computers_acad_desktop_privatedon">'Table19 '!$AE$7</definedName>
    <definedName name="sch_num_funct_computers_acad_desktop_pta">'Table19 '!$Z$7</definedName>
    <definedName name="sch_num_funct_computers_acad_dvt_depeddcp">'Table19 '!$K$11</definedName>
    <definedName name="sch_num_funct_computers_acad_dvt_depednondcp">'Table19 '!$P$11</definedName>
    <definedName name="sch_num_funct_computers_acad_dvt_lgusef">'Table19 '!$U$11</definedName>
    <definedName name="sch_num_funct_computers_acad_dvt_othergov">'Table19 '!$AJ$11</definedName>
    <definedName name="sch_num_funct_computers_acad_dvt_others">'Table19 '!$AO$11</definedName>
    <definedName name="sch_num_funct_computers_acad_dvt_privatedon">'Table19 '!$AE$11</definedName>
    <definedName name="sch_num_funct_computers_acad_dvt_pta">'Table19 '!$Z$11</definedName>
    <definedName name="sch_num_funct_computers_acad_lapel_depeddcp">Table20!$K$13</definedName>
    <definedName name="sch_num_funct_computers_acad_lapel_depednondcp">Table20!$P$13</definedName>
    <definedName name="sch_num_funct_computers_acad_lapel_lgusef">Table20!$U$13</definedName>
    <definedName name="sch_num_funct_computers_acad_lapel_othergov">Table20!$AJ$13</definedName>
    <definedName name="sch_num_funct_computers_acad_lapel_others">Table20!$AO$13</definedName>
    <definedName name="sch_num_funct_computers_acad_lapel_privatedon">Table20!$AE$13</definedName>
    <definedName name="sch_num_funct_computers_acad_lapel_pta">Table20!$Z$13</definedName>
    <definedName name="sch_num_funct_computers_acad_ledtv_depeddcp">Table20!$K$7</definedName>
    <definedName name="sch_num_funct_computers_acad_ledtv_depednondcp">Table20!$P$7</definedName>
    <definedName name="sch_num_funct_computers_acad_ledtv_lgusef">Table20!$U$7</definedName>
    <definedName name="sch_num_funct_computers_acad_ledtv_othergov">Table20!$AJ$7</definedName>
    <definedName name="sch_num_funct_computers_acad_ledtv_others">Table20!$AO$7</definedName>
    <definedName name="sch_num_funct_computers_acad_ledtv_privatedon">Table20!$AE$7</definedName>
    <definedName name="sch_num_funct_computers_acad_ledtv_pta">Table20!$Z$7</definedName>
    <definedName name="sch_num_funct_computers_acad_netswitch_depeddcp">Table20!$K$8</definedName>
    <definedName name="sch_num_funct_computers_acad_netswitch_depednondcp">Table20!$P$8</definedName>
    <definedName name="sch_num_funct_computers_acad_netswitch_lgusef">Table20!$U$8</definedName>
    <definedName name="sch_num_funct_computers_acad_netswitch_othergov">Table20!$AJ$8</definedName>
    <definedName name="sch_num_funct_computers_acad_netswitch_others">Table20!$AO$8</definedName>
    <definedName name="sch_num_funct_computers_acad_netswitch_privatedon">Table20!$AE$8</definedName>
    <definedName name="sch_num_funct_computers_acad_netswitch_pta">Table20!$Z$8</definedName>
    <definedName name="sch_num_funct_computers_acad_notnetbook_depeddcp">'Table19 '!$K$8</definedName>
    <definedName name="sch_num_funct_computers_acad_notnetbook_depednondcp">'Table19 '!$P$8</definedName>
    <definedName name="sch_num_funct_computers_acad_notnetbook_lgusef">'Table19 '!$U$8</definedName>
    <definedName name="sch_num_funct_computers_acad_notnetbook_othergov">'Table19 '!$AJ$8</definedName>
    <definedName name="sch_num_funct_computers_acad_notnetbook_others">'Table19 '!$AO$8</definedName>
    <definedName name="sch_num_funct_computers_acad_notnetbook_privatedon">'Table19 '!$AE$8</definedName>
    <definedName name="sch_num_funct_computers_acad_notnetbook_pta">'Table19 '!$Z$8</definedName>
    <definedName name="sch_num_funct_computers_acad_printer_depeddcp">Table20!$K$9</definedName>
    <definedName name="sch_num_funct_computers_acad_printer_depednondcp">Table20!$P$9</definedName>
    <definedName name="sch_num_funct_computers_acad_printer_lgusef">Table20!$U$9</definedName>
    <definedName name="sch_num_funct_computers_acad_printer_othergov">Table20!$AJ$9</definedName>
    <definedName name="sch_num_funct_computers_acad_printer_others">Table20!$AO$9</definedName>
    <definedName name="sch_num_funct_computers_acad_printer_privatedon">Table20!$AE$9</definedName>
    <definedName name="sch_num_funct_computers_acad_printer_pta">Table20!$Z$9</definedName>
    <definedName name="sch_num_funct_computers_acad_projector_depeddcp">Table20!$K$10</definedName>
    <definedName name="sch_num_funct_computers_acad_projector_depednondcp">Table20!$P$10</definedName>
    <definedName name="sch_num_funct_computers_acad_projector_lgusef">Table20!$U$10</definedName>
    <definedName name="sch_num_funct_computers_acad_projector_othergov">Table20!$AJ$10</definedName>
    <definedName name="sch_num_funct_computers_acad_projector_others">Table20!$AO$10</definedName>
    <definedName name="sch_num_funct_computers_acad_projector_privatedon">Table20!$AE$10</definedName>
    <definedName name="sch_num_funct_computers_acad_projector_pta">Table20!$Z$10</definedName>
    <definedName name="sch_num_funct_computers_acad_router_depeddcp">Table20!$K$12</definedName>
    <definedName name="sch_num_funct_computers_acad_router_depednondcp">Table20!$P$12</definedName>
    <definedName name="sch_num_funct_computers_acad_router_lgusef">Table20!$U$12</definedName>
    <definedName name="sch_num_funct_computers_acad_router_othergov">Table20!$AJ$12</definedName>
    <definedName name="sch_num_funct_computers_acad_router_others">Table20!$AO$12</definedName>
    <definedName name="sch_num_funct_computers_acad_router_privatedon">Table20!$AE$12</definedName>
    <definedName name="sch_num_funct_computers_acad_router_pta">Table20!$Z$12</definedName>
    <definedName name="sch_num_funct_computers_acad_tablet_depeddcp">'Table19 '!$K$9</definedName>
    <definedName name="sch_num_funct_computers_acad_tablet_depednondcp">'Table19 '!$P$9</definedName>
    <definedName name="sch_num_funct_computers_acad_tablet_lgusef">'Table19 '!$U$9</definedName>
    <definedName name="sch_num_funct_computers_acad_tablet_othergov">'Table19 '!$AJ$9</definedName>
    <definedName name="sch_num_funct_computers_acad_tablet_others">'Table19 '!$AO$9</definedName>
    <definedName name="sch_num_funct_computers_acad_tablet_privatedon">'Table19 '!$AE$9</definedName>
    <definedName name="sch_num_funct_computers_acad_tablet_pta">'Table19 '!$Z$9</definedName>
    <definedName name="sch_num_funct_computers_acad_tabletpc_depeddcp">'Table19 '!$K$10</definedName>
    <definedName name="sch_num_funct_computers_acad_tabletpc_depednondcp">'Table19 '!$P$10</definedName>
    <definedName name="sch_num_funct_computers_acad_tabletpc_lgusef">'Table19 '!$U$10</definedName>
    <definedName name="sch_num_funct_computers_acad_tabletpc_othergov">'Table19 '!$AJ$10</definedName>
    <definedName name="sch_num_funct_computers_acad_tabletpc_others">'Table19 '!$AO$10</definedName>
    <definedName name="sch_num_funct_computers_acad_tabletpc_privatedon">'Table19 '!$AE$10</definedName>
    <definedName name="sch_num_funct_computers_acad_tabletpc_pta">'Table19 '!$Z$10</definedName>
    <definedName name="sch_num_funct_computers_acad_ups_depeddcp">Table20!$K$11</definedName>
    <definedName name="sch_num_funct_computers_acad_ups_depednondcp">Table20!$P$11</definedName>
    <definedName name="sch_num_funct_computers_acad_ups_lgusef">Table20!$U$11</definedName>
    <definedName name="sch_num_funct_computers_acad_ups_othergov">Table20!$AJ$11</definedName>
    <definedName name="sch_num_funct_computers_acad_ups_others">Table20!$AO$11</definedName>
    <definedName name="sch_num_funct_computers_acad_ups_privatedon">Table20!$AE$11</definedName>
    <definedName name="sch_num_funct_computers_acad_ups_pta">Table20!$Z$11</definedName>
    <definedName name="sch_num_funct_computers_admin_desktop_depeddcp">'Table19 '!$K$13</definedName>
    <definedName name="sch_num_funct_computers_admin_desktop_depednondcp">'Table19 '!$P$13</definedName>
    <definedName name="sch_num_funct_computers_admin_desktop_lgusef">'Table19 '!$U$13</definedName>
    <definedName name="sch_num_funct_computers_admin_desktop_othergov">'Table19 '!$AJ$13</definedName>
    <definedName name="sch_num_funct_computers_admin_desktop_others">'Table19 '!$AO$13</definedName>
    <definedName name="sch_num_funct_computers_admin_desktop_privatedon">'Table19 '!$AE$13</definedName>
    <definedName name="sch_num_funct_computers_admin_desktop_pta">'Table19 '!$Z$13</definedName>
    <definedName name="sch_num_funct_computers_admin_dvt_depeddcp">'Table19 '!$K$17</definedName>
    <definedName name="sch_num_funct_computers_admin_dvt_depednondcp">'Table19 '!$P$17</definedName>
    <definedName name="sch_num_funct_computers_admin_dvt_lgusef">'Table19 '!$U$17</definedName>
    <definedName name="sch_num_funct_computers_admin_dvt_othergov">'Table19 '!$AJ$17</definedName>
    <definedName name="sch_num_funct_computers_admin_dvt_others">'Table19 '!$AO$17</definedName>
    <definedName name="sch_num_funct_computers_admin_dvt_privatedon">'Table19 '!$AE$17</definedName>
    <definedName name="sch_num_funct_computers_admin_dvt_pta">'Table19 '!$Z$17</definedName>
    <definedName name="sch_num_funct_computers_admin_ledtv_depeddcp">Table20!$K$15</definedName>
    <definedName name="sch_num_funct_computers_admin_ledtv_depednondcp">Table20!$P$15</definedName>
    <definedName name="sch_num_funct_computers_admin_ledtv_lgusef">Table20!$U$15</definedName>
    <definedName name="sch_num_funct_computers_admin_ledtv_othergov">Table20!$AJ$15</definedName>
    <definedName name="sch_num_funct_computers_admin_ledtv_others">Table20!$AO$15</definedName>
    <definedName name="sch_num_funct_computers_admin_ledtv_privatedon">Table20!$AE$15</definedName>
    <definedName name="sch_num_funct_computers_admin_ledtv_pta">Table20!$Z$15</definedName>
    <definedName name="sch_num_funct_computers_admin_netswitch_depeddcp">Table20!$K$16</definedName>
    <definedName name="sch_num_funct_computers_admin_netswitch_depednondcp">Table20!$P$16</definedName>
    <definedName name="sch_num_funct_computers_admin_netswitch_lgusef">Table20!$U$16</definedName>
    <definedName name="sch_num_funct_computers_admin_netswitch_othergov">Table20!$AJ$16</definedName>
    <definedName name="sch_num_funct_computers_admin_netswitch_others">Table20!$AO$16</definedName>
    <definedName name="sch_num_funct_computers_admin_netswitch_privatedon">Table20!$AE$16</definedName>
    <definedName name="sch_num_funct_computers_admin_netswitch_pta">Table20!$Z$16</definedName>
    <definedName name="sch_num_funct_computers_admin_notnetbook_depeddcp">'Table19 '!$K$14</definedName>
    <definedName name="sch_num_funct_computers_admin_notnetbook_depednondcp">'Table19 '!$P$14</definedName>
    <definedName name="sch_num_funct_computers_admin_notnetbook_lgusef">'Table19 '!$U$14</definedName>
    <definedName name="sch_num_funct_computers_admin_notnetbook_othergov">'Table19 '!$AJ$14</definedName>
    <definedName name="sch_num_funct_computers_admin_notnetbook_others">'Table19 '!$AO$14</definedName>
    <definedName name="sch_num_funct_computers_admin_notnetbook_privatedon">'Table19 '!$AE$14</definedName>
    <definedName name="sch_num_funct_computers_admin_notnetbook_pta">'Table19 '!$Z$14</definedName>
    <definedName name="sch_num_funct_computers_admin_printer_depeddcp">Table20!$K$17</definedName>
    <definedName name="sch_num_funct_computers_admin_printer_depednondcp">Table20!$P$17</definedName>
    <definedName name="sch_num_funct_computers_admin_printer_lgusef">Table20!$U$17</definedName>
    <definedName name="sch_num_funct_computers_admin_printer_othergov">Table20!$AJ$17</definedName>
    <definedName name="sch_num_funct_computers_admin_printer_others">Table20!$AO$17</definedName>
    <definedName name="sch_num_funct_computers_admin_printer_privatedon">Table20!$AE$17</definedName>
    <definedName name="sch_num_funct_computers_admin_printer_pta">Table20!$Z$17</definedName>
    <definedName name="sch_num_funct_computers_admin_projector_depeddcp">Table20!$K$18</definedName>
    <definedName name="sch_num_funct_computers_admin_projector_depednondcp">Table20!$P$18</definedName>
    <definedName name="sch_num_funct_computers_admin_projector_lgusef">Table20!$U$18</definedName>
    <definedName name="sch_num_funct_computers_admin_projector_othergov">Table20!$AJ$18</definedName>
    <definedName name="sch_num_funct_computers_admin_projector_others">Table20!$AO$18</definedName>
    <definedName name="sch_num_funct_computers_admin_projector_privatedon">Table20!$AE$18</definedName>
    <definedName name="sch_num_funct_computers_admin_projector_pta">Table20!$Z$18</definedName>
    <definedName name="sch_num_funct_computers_admin_router_depeddcp">Table20!$K$20</definedName>
    <definedName name="sch_num_funct_computers_admin_router_depednondcp">Table20!$P$20</definedName>
    <definedName name="sch_num_funct_computers_admin_router_lgusef">Table20!$U$20</definedName>
    <definedName name="sch_num_funct_computers_admin_router_othergov">Table20!$AJ$20</definedName>
    <definedName name="sch_num_funct_computers_admin_router_others">Table20!$AO$20</definedName>
    <definedName name="sch_num_funct_computers_admin_router_privatedon">Table20!$AE$20</definedName>
    <definedName name="sch_num_funct_computers_admin_router_pta">Table20!$Z$20</definedName>
    <definedName name="sch_num_funct_computers_admin_tablet_depeddcp">'Table19 '!$K$15</definedName>
    <definedName name="sch_num_funct_computers_admin_tablet_depednondcp">'Table19 '!$P$15</definedName>
    <definedName name="sch_num_funct_computers_admin_tablet_lgusef">'Table19 '!$U$15</definedName>
    <definedName name="sch_num_funct_computers_admin_tablet_othergov">'Table19 '!$AJ$15</definedName>
    <definedName name="sch_num_funct_computers_admin_tablet_others">'Table19 '!$AO$15</definedName>
    <definedName name="sch_num_funct_computers_admin_tablet_privatedon">'Table19 '!$AE$15</definedName>
    <definedName name="sch_num_funct_computers_admin_tablet_pta">'Table19 '!$Z$15</definedName>
    <definedName name="sch_num_funct_computers_admin_tabletpc_depeddcp">'Table19 '!$K$16</definedName>
    <definedName name="sch_num_funct_computers_admin_tabletpc_depednondcp">'Table19 '!$P$16</definedName>
    <definedName name="sch_num_funct_computers_admin_tabletpc_lgusef">'Table19 '!$U$16</definedName>
    <definedName name="sch_num_funct_computers_admin_tabletpc_othergov">'Table19 '!$AJ$16</definedName>
    <definedName name="sch_num_funct_computers_admin_tabletpc_others">'Table19 '!$AO$16</definedName>
    <definedName name="sch_num_funct_computers_admin_tabletpc_privatedon">'Table19 '!$AE$16</definedName>
    <definedName name="sch_num_funct_computers_admin_tabletpc_pta">'Table19 '!$Z$16</definedName>
    <definedName name="sch_num_funct_computers_admin_ups_depeddcp">Table20!$K$19</definedName>
    <definedName name="sch_num_funct_computers_admin_ups_depednondcp">Table20!$P$19</definedName>
    <definedName name="sch_num_funct_computers_admin_ups_lgusef">Table20!$U$19</definedName>
    <definedName name="sch_num_funct_computers_admin_ups_othergov">Table20!$AJ$19</definedName>
    <definedName name="sch_num_funct_computers_admin_ups_others">Table20!$AO$19</definedName>
    <definedName name="sch_num_funct_computers_admin_ups_privatedon">Table20!$AE$19</definedName>
    <definedName name="sch_num_funct_computers_admin_ups_pta">Table20!$Z$19</definedName>
    <definedName name="sch_number_partners_support_pbuilding_after_armed">Box30_part3a!$AI$5</definedName>
    <definedName name="sch_observe_onehealthwk_prevsy">'Boxes17,18,19,20'!$AD$17</definedName>
    <definedName name="sch_officially_manage_FBpage_address">'Boxes17,18,19,20'!$AD$19</definedName>
    <definedName name="sch_officially_manage_FBpage_ifyes">'Boxes17,18,19,20'!$AD$18</definedName>
    <definedName name="sch_operational_teen_ctr_ifyes">'Box15'!$X$23</definedName>
    <definedName name="sch_oralh_details_num_dmftpermatet_g1">Tables30.31.32!$U$9</definedName>
    <definedName name="sch_oralh_details_num_dmftpermatet_g2">Tables30.31.32!$X$9</definedName>
    <definedName name="sch_oralh_details_num_dmftpermatet_g3">Tables30.31.32!$AA$9</definedName>
    <definedName name="sch_oralh_details_num_dmftpermatet_g4">Tables30.31.32!$AD$9</definedName>
    <definedName name="sch_oralh_details_num_dmftpermatet_g5">Tables30.31.32!$AG$9</definedName>
    <definedName name="sch_oralh_details_num_dmftpermatet_g6">Tables30.31.32!$AJ$9</definedName>
    <definedName name="sch_oralh_details_num_dmftpermatet_k">Tables30.31.32!$R$9</definedName>
    <definedName name="sch_oralh_details_num_dmfttempotet_g1">Tables30.31.32!$U$12</definedName>
    <definedName name="sch_oralh_details_num_dmfttempotet_g2">Tables30.31.32!$X$12</definedName>
    <definedName name="sch_oralh_details_num_dmfttempotet_g3">Tables30.31.32!$AA$12</definedName>
    <definedName name="sch_oralh_details_num_dmfttempotet_g4">Tables30.31.32!$AD$12</definedName>
    <definedName name="sch_oralh_details_num_dmfttempotet_g5">Tables30.31.32!$AG$12</definedName>
    <definedName name="sch_oralh_details_num_dmfttempotet_g6">Tables30.31.32!$AJ$12</definedName>
    <definedName name="sch_oralh_details_num_dmfttempotet_k">Tables30.31.32!$R$12</definedName>
    <definedName name="sch_oralh_details_num_learner_dmftpermatet_g1">Tables30.31.32!$U$8</definedName>
    <definedName name="sch_oralh_details_num_learner_dmftpermatet_g2">Tables30.31.32!$X$8</definedName>
    <definedName name="sch_oralh_details_num_learner_dmftpermatet_g3">Tables30.31.32!$AA$8</definedName>
    <definedName name="sch_oralh_details_num_learner_dmftpermatet_g4">Tables30.31.32!$AD$8</definedName>
    <definedName name="sch_oralh_details_num_learner_dmftpermatet_g5">Tables30.31.32!$AG$8</definedName>
    <definedName name="sch_oralh_details_num_learner_dmftpermatet_g6">Tables30.31.32!$AJ$8</definedName>
    <definedName name="sch_oralh_details_num_learner_dmftpermatet_k">Tables30.31.32!$R$8</definedName>
    <definedName name="sch_oralh_details_num_learner_dmfttempotet_g1">Tables30.31.32!$U$11</definedName>
    <definedName name="sch_oralh_details_num_learner_dmfttempotet_g2">Tables30.31.32!$X$11</definedName>
    <definedName name="sch_oralh_details_num_learner_dmfttempotet_g3">Tables30.31.32!$AA$11</definedName>
    <definedName name="sch_oralh_details_num_learner_dmfttempotet_g4">Tables30.31.32!$AD$11</definedName>
    <definedName name="sch_oralh_details_num_learner_dmfttempotet_g5">Tables30.31.32!$AG$11</definedName>
    <definedName name="sch_oralh_details_num_learner_dmfttempotet_g6">Tables30.31.32!$AJ$11</definedName>
    <definedName name="sch_oralh_details_num_learner_dmfttempotet_k">Tables30.31.32!$R$11</definedName>
    <definedName name="sch_oralh_details_num_learner_fthgumdisease_g1">Tables30.31.32!$U$13</definedName>
    <definedName name="sch_oralh_details_num_learner_fthgumdisease_g2">Tables30.31.32!$X$13</definedName>
    <definedName name="sch_oralh_details_num_learner_fthgumdisease_g3">Tables30.31.32!$AA$13</definedName>
    <definedName name="sch_oralh_details_num_learner_fthgumdisease_g4">Tables30.31.32!$AD$13</definedName>
    <definedName name="sch_oralh_details_num_learner_fthgumdisease_g5">Tables30.31.32!$AG$13</definedName>
    <definedName name="sch_oralh_details_num_learner_fthgumdisease_g6">Tables30.31.32!$AJ$13</definedName>
    <definedName name="sch_oralh_details_num_learner_fthgumdisease_k">Tables30.31.32!$R$13</definedName>
    <definedName name="sch_oralh_details_num_learner_underwflourid_g1">Tables30.31.32!$U$15</definedName>
    <definedName name="sch_oralh_details_num_learner_underwflourid_g2">Tables30.31.32!$X$15</definedName>
    <definedName name="sch_oralh_details_num_learner_underwflourid_g3">Tables30.31.32!$AA$15</definedName>
    <definedName name="sch_oralh_details_num_learner_underwflourid_k">Tables30.31.32!$R$15</definedName>
    <definedName name="sch_oralh_details_num_learner_wosigdentalanom_g1">Tables30.31.32!$U$14</definedName>
    <definedName name="sch_oralh_details_num_learner_wosigdentalanom_g2">Tables30.31.32!$X$14</definedName>
    <definedName name="sch_oralh_details_num_learner_wosigdentalanom_g3">Tables30.31.32!$AA$14</definedName>
    <definedName name="sch_oralh_details_num_learner_wosigdentalanom_g4">Tables30.31.32!$AD$14</definedName>
    <definedName name="sch_oralh_details_num_learner_wosigdentalanom_g5">Tables30.31.32!$AG$14</definedName>
    <definedName name="sch_oralh_details_num_learner_wosigdentalanom_g6">Tables30.31.32!$AJ$14</definedName>
    <definedName name="sch_oralh_details_num_learner_wosigdentalanom_k">Tables30.31.32!$R$14</definedName>
    <definedName name="sch_oralh_details_num_lexamined_g1">Tables30.31.32!$U$6</definedName>
    <definedName name="sch_oralh_details_num_lexamined_g2">Tables30.31.32!$X$6</definedName>
    <definedName name="sch_oralh_details_num_lexamined_g3">Tables30.31.32!$AA$6</definedName>
    <definedName name="sch_oralh_details_num_lexamined_g4">Tables30.31.32!$AD$6</definedName>
    <definedName name="sch_oralh_details_num_lexamined_g5">Tables30.31.32!$AG$6</definedName>
    <definedName name="sch_oralh_details_num_lexamined_g6">Tables30.31.32!$AJ$6</definedName>
    <definedName name="sch_oralh_details_num_lexamined_k">Tables30.31.32!$R$6</definedName>
    <definedName name="sch_participated_drill_01_earthquake">Box30_part2!$N$48</definedName>
    <definedName name="sch_participated_drill_01_fire">Box30_part2!$N$49</definedName>
    <definedName name="sch_participated_drill_01_flood_evacuation">Box30_part2!$N$50</definedName>
    <definedName name="sch_participated_drill_01_lockdown">Box30_part2!$N$51</definedName>
    <definedName name="sch_participated_drill_01_stormsurge">Box30_part2!$N$52</definedName>
    <definedName name="sch_participated_drill_01_tsunami">Box30_part2!$N$53</definedName>
    <definedName name="sch_participated_drill_02_earthquake">Box30_part2!$P$48</definedName>
    <definedName name="sch_participated_drill_02_fire">Box30_part2!$P$49</definedName>
    <definedName name="sch_participated_drill_02_flood_evacuation">Box30_part2!$P$50</definedName>
    <definedName name="sch_participated_drill_02_lockdown">Box30_part2!$P$51</definedName>
    <definedName name="sch_participated_drill_02_stormsurge">Box30_part2!$P$52</definedName>
    <definedName name="sch_participated_drill_02_tsunami">Box30_part2!$P$53</definedName>
    <definedName name="sch_participated_drill_03_earthquake">Box30_part2!$R$48</definedName>
    <definedName name="sch_participated_drill_03_fire">Box30_part2!$R$49</definedName>
    <definedName name="sch_participated_drill_03_flood_evacuation">Box30_part2!$R$50</definedName>
    <definedName name="sch_participated_drill_03_lockdown">Box30_part2!$R$51</definedName>
    <definedName name="sch_participated_drill_03_stormsurge">Box30_part2!$R$52</definedName>
    <definedName name="sch_participated_drill_03_tsunami">Box30_part2!$R$53</definedName>
    <definedName name="sch_participated_drill_04_earthquake">Box30_part2!$T$48</definedName>
    <definedName name="sch_participated_drill_04_fire">Box30_part2!$T$49</definedName>
    <definedName name="sch_participated_drill_04_flood_evacuation">Box30_part2!$T$50</definedName>
    <definedName name="sch_participated_drill_04_lockdown">Box30_part2!$T$51</definedName>
    <definedName name="sch_participated_drill_04_stormsurge">Box30_part2!$T$52</definedName>
    <definedName name="sch_participated_drill_04_tsunami">Box30_part2!$T$53</definedName>
    <definedName name="sch_participated_drill_05_earthquake">Box30_part2!$V$48</definedName>
    <definedName name="sch_participated_drill_05_fire">Box30_part2!$V$49</definedName>
    <definedName name="sch_participated_drill_05_flood_evacuation">Box30_part2!$V$50</definedName>
    <definedName name="sch_participated_drill_05_lockdown">Box30_part2!$V$51</definedName>
    <definedName name="sch_participated_drill_05_stormsurge">Box30_part2!$V$52</definedName>
    <definedName name="sch_participated_drill_05_tsunami">Box30_part2!$V$53</definedName>
    <definedName name="sch_participated_drill_06_earthquake">Box30_part2!$X$48</definedName>
    <definedName name="sch_participated_drill_06_fire">Box30_part2!$X$49</definedName>
    <definedName name="sch_participated_drill_06_flood_evacuation">Box30_part2!$X$50</definedName>
    <definedName name="sch_participated_drill_06_lockdown">Box30_part2!$X$51</definedName>
    <definedName name="sch_participated_drill_06_stormsurge">Box30_part2!$X$52</definedName>
    <definedName name="sch_participated_drill_06_tsunami">Box30_part2!$X$53</definedName>
    <definedName name="sch_participated_drill_07_earthquake">Box30_part2!$Z$48</definedName>
    <definedName name="sch_participated_drill_07_fire">Box30_part2!$Z$49</definedName>
    <definedName name="sch_participated_drill_07_flood_evacuation">Box30_part2!$Z$50</definedName>
    <definedName name="sch_participated_drill_07_lockdown">Box30_part2!$Z$51</definedName>
    <definedName name="sch_participated_drill_07_stormsurge">Box30_part2!$Z$52</definedName>
    <definedName name="sch_participated_drill_07_tsunami">Box30_part2!$Z$53</definedName>
    <definedName name="sch_participated_drill_08_earthquake">Box30_part2!$AB$48</definedName>
    <definedName name="sch_participated_drill_08_fire">Box30_part2!$AB$49</definedName>
    <definedName name="sch_participated_drill_08_flood_evacuation">Box30_part2!$AB$50</definedName>
    <definedName name="sch_participated_drill_08_lockdown">Box30_part2!$AB$51</definedName>
    <definedName name="sch_participated_drill_08_stormsurge">Box30_part2!$AB$52</definedName>
    <definedName name="sch_participated_drill_08_tsunami">Box30_part2!$AB$53</definedName>
    <definedName name="sch_participated_drill_09_earthquake">Box30_part2!$AD$48</definedName>
    <definedName name="sch_participated_drill_09_fire">Box30_part2!$AD$49</definedName>
    <definedName name="sch_participated_drill_09_flood_evacuation">Box30_part2!$AD$50</definedName>
    <definedName name="sch_participated_drill_09_lockdown">Box30_part2!$AD$51</definedName>
    <definedName name="sch_participated_drill_09_stormsurge">Box30_part2!$AD$52</definedName>
    <definedName name="sch_participated_drill_09_tsunami">Box30_part2!$AD$53</definedName>
    <definedName name="sch_participated_drill_10_earthquake">Box30_part2!$AF$48</definedName>
    <definedName name="sch_participated_drill_10_fire">Box30_part2!$AF$49</definedName>
    <definedName name="sch_participated_drill_10_flood_evacuation">Box30_part2!$AF$50</definedName>
    <definedName name="sch_participated_drill_10_lockdown">Box30_part2!$AF$51</definedName>
    <definedName name="sch_participated_drill_10_stormsurge">Box30_part2!$AF$52</definedName>
    <definedName name="sch_participated_drill_10_tsunami">Box30_part2!$AF$53</definedName>
    <definedName name="sch_participated_drill_11_earthquake">Box30_part2!$AH$48</definedName>
    <definedName name="sch_participated_drill_11_fire">Box30_part2!$AH$49</definedName>
    <definedName name="sch_participated_drill_11_flood_evacuation">Box30_part2!$AH$50</definedName>
    <definedName name="sch_participated_drill_11_lockdown">Box30_part2!$AH$51</definedName>
    <definedName name="sch_participated_drill_11_stormsurge">Box30_part2!$AH$52</definedName>
    <definedName name="sch_participated_drill_11_tsunami">Box30_part2!$AH$53</definedName>
    <definedName name="sch_participated_drill_12_earthquake">Box30_part2!$AJ$48</definedName>
    <definedName name="sch_participated_drill_12_fire">Box30_part2!$AJ$49</definedName>
    <definedName name="sch_participated_drill_12_flood_evacuation">Box30_part2!$AJ$50</definedName>
    <definedName name="sch_participated_drill_12_lockdown">Box30_part2!$AJ$51</definedName>
    <definedName name="sch_participated_drill_12_stormsurge">Box30_part2!$AJ$52</definedName>
    <definedName name="sch_participated_drill_12_tsunami">Box30_part2!$AJ$53</definedName>
    <definedName name="sch_participated_drrmccampdp_activities_lgu_partners">Box30_part1!$D$54</definedName>
    <definedName name="sch_personnel_participated_drills_nonteaching_f">Box30_part2!$O$59</definedName>
    <definedName name="sch_personnel_participated_drills_nonteaching_m">Box30_part2!$L$59</definedName>
    <definedName name="sch_personnel_participated_drills_teaching_f">Box30_part2!$I$59</definedName>
    <definedName name="sch_personnel_participated_drills_teaching_m">Box30_part2!$F$59</definedName>
    <definedName name="sch_pic_guidanceofc_regguidancecounselor_ifyes">'Box13'!$AA$7</definedName>
    <definedName name="sch_present_result_fepp_pta_lgu">Box30_part1!$D$50</definedName>
    <definedName name="sch_prev_name">'SchInfo '!$G$23</definedName>
    <definedName name="sch_provided_safety_emer_supplies_deped_partners">Box30_part2!$F$7</definedName>
    <definedName name="sch_receive_replacement_damaged_dcp_disaster">'Box30_part3b '!$AF$12</definedName>
    <definedName name="sch_receive_replacement_damaged_furniture_disaster">'Box30_part3b '!$AF$10</definedName>
    <definedName name="sch_receive_replacement_damaged_learningresources_disaster">'Box30_part3b '!$AF$14</definedName>
    <definedName name="sch_reconstruct_fs_instruct_beff">Box29_part2!$K$12</definedName>
    <definedName name="sch_reconstruct_fs_instruct_ep">Box29_part2!$Z$12</definedName>
    <definedName name="sch_reconstruct_fs_instruct_ndrrmf">Box29_part2!$U$12</definedName>
    <definedName name="sch_reconstruct_fs_instruct_qrf">Box29_part2!$P$12</definedName>
    <definedName name="sch_reconstruct_fs_noninstruct_beff">Box29_part2!$K$13</definedName>
    <definedName name="sch_reconstruct_fs_noninstruct_ep">Box29_part2!$Z$13</definedName>
    <definedName name="sch_reconstruct_fs_noninstruct_ndrrmf">Box29_part2!$U$13</definedName>
    <definedName name="sch_reconstruct_fs_noninstruct_qrf">Box29_part2!$P$13</definedName>
    <definedName name="sch_region">'SchInfo '!$AH$21</definedName>
    <definedName name="sch_repaired_fs_instruct_beff">Box29_part2!$K$9</definedName>
    <definedName name="sch_repaired_fs_instruct_ep">Box29_part2!$Z$9</definedName>
    <definedName name="sch_repaired_fs_instruct_ndrrmf">Box29_part2!$U$9</definedName>
    <definedName name="sch_repaired_fs_instruct_qrf">Box29_part2!$P$9</definedName>
    <definedName name="sch_repaired_fs_noninstruct_beff">Box29_part2!$K$10</definedName>
    <definedName name="sch_repaired_fs_noninstruct_ep">Box29_part2!$Z$10</definedName>
    <definedName name="sch_repaired_fs_noninstruct_ndrrmf">Box29_part2!$U$10</definedName>
    <definedName name="sch_repaired_fs_noninstruct_qrf">Box29_part2!$P$10</definedName>
    <definedName name="sch_result_disasinci_apr_num_arm_conflict">'Table35 cont.-Table36'!$AO$17</definedName>
    <definedName name="sch_result_disasinci_apr_num_cls">'Table35 cont.-Table36'!$AO$13</definedName>
    <definedName name="sch_result_disasinci_apr_num_days">'Table35 cont.-Table36'!$AO$14</definedName>
    <definedName name="sch_result_disasinci_apr_num_suspend">'Table35 cont.-Table36'!$AO$15</definedName>
    <definedName name="sch_result_disasinci_apr_num_suspend_human_hazards">'Table35 cont.-Table36'!$AO$16</definedName>
    <definedName name="sch_result_disasinci_aug_num_arm_conflict">'Table35 cont.-Table36'!$Y$17</definedName>
    <definedName name="sch_result_disasinci_aug_num_cls">'Table35 cont.-Table36'!$Y$13</definedName>
    <definedName name="sch_result_disasinci_aug_num_days">'Table35 cont.-Table36'!$Y$14</definedName>
    <definedName name="sch_result_disasinci_aug_num_suspend">'Table35 cont.-Table36'!$Y$15</definedName>
    <definedName name="sch_result_disasinci_aug_num_suspend_human_hazards">'Table35 cont.-Table36'!$Y$16</definedName>
    <definedName name="sch_result_disasinci_dec_num_arm_conflict">'Table35 cont.-Table36'!$AG$17</definedName>
    <definedName name="sch_result_disasinci_dec_num_cls">'Table35 cont.-Table36'!$AG$13</definedName>
    <definedName name="sch_result_disasinci_dec_num_days">'Table35 cont.-Table36'!$AG$14</definedName>
    <definedName name="sch_result_disasinci_dec_num_suspend">'Table35 cont.-Table36'!$AG$15</definedName>
    <definedName name="sch_result_disasinci_dec_num_suspend_human_hazards">'Table35 cont.-Table36'!$AG$16</definedName>
    <definedName name="sch_result_disasinci_feb_num_arm_conflict">'Table35 cont.-Table36'!$AK$17</definedName>
    <definedName name="sch_result_disasinci_feb_num_cls">'Table35 cont.-Table36'!$AK$13</definedName>
    <definedName name="sch_result_disasinci_feb_num_days">'Table35 cont.-Table36'!$AK$14</definedName>
    <definedName name="sch_result_disasinci_feb_num_suspend">'Table35 cont.-Table36'!$AK$15</definedName>
    <definedName name="sch_result_disasinci_feb_num_suspend_human_hazards">'Table35 cont.-Table36'!$AK$16</definedName>
    <definedName name="sch_result_disasinci_jan_num_arm_conflict">'Table35 cont.-Table36'!$AI$17</definedName>
    <definedName name="sch_result_disasinci_jan_num_cls">'Table35 cont.-Table36'!$AI$13</definedName>
    <definedName name="sch_result_disasinci_jan_num_days">'Table35 cont.-Table36'!$AI$14</definedName>
    <definedName name="sch_result_disasinci_jan_num_suspend">'Table35 cont.-Table36'!$AI$15</definedName>
    <definedName name="sch_result_disasinci_jan_num_suspend_human_hazards">'Table35 cont.-Table36'!$AI$16</definedName>
    <definedName name="sch_result_disasinci_jul_num_arm_conflict">'Table35 cont.-Table36'!$W$17</definedName>
    <definedName name="sch_result_disasinci_jul_num_cls">'Table35 cont.-Table36'!$W$13</definedName>
    <definedName name="sch_result_disasinci_jul_num_days">'Table35 cont.-Table36'!$W$14</definedName>
    <definedName name="sch_result_disasinci_jul_num_suspend">'Table35 cont.-Table36'!$W$15</definedName>
    <definedName name="sch_result_disasinci_jul_num_suspend_human_hazards">'Table35 cont.-Table36'!$W$16</definedName>
    <definedName name="sch_result_disasinci_jun_num_arm_conflict">'Table35 cont.-Table36'!$U$17</definedName>
    <definedName name="sch_result_disasinci_jun_num_cls">'Table35 cont.-Table36'!$U$13</definedName>
    <definedName name="sch_result_disasinci_jun_num_days">'Table35 cont.-Table36'!$U$14</definedName>
    <definedName name="sch_result_disasinci_jun_num_suspend">'Table35 cont.-Table36'!$U$15</definedName>
    <definedName name="sch_result_disasinci_jun_num_suspend_human_hazards">'Table35 cont.-Table36'!$U$16</definedName>
    <definedName name="sch_result_disasinci_mar_num_arm_conflict">'Table35 cont.-Table36'!$AM$17</definedName>
    <definedName name="sch_result_disasinci_mar_num_cls">'Table35 cont.-Table36'!$AM$13</definedName>
    <definedName name="sch_result_disasinci_mar_num_days">'Table35 cont.-Table36'!$AM$14</definedName>
    <definedName name="sch_result_disasinci_mar_num_suspend">'Table35 cont.-Table36'!$AM$15</definedName>
    <definedName name="sch_result_disasinci_mar_num_suspend_human_hazards">'Table35 cont.-Table36'!$AM$16</definedName>
    <definedName name="sch_result_disasinci_may_num_arm_conflict">'Table35 cont.-Table36'!$AQ$17</definedName>
    <definedName name="sch_result_disasinci_may_num_cls">'Table35 cont.-Table36'!$AQ$13</definedName>
    <definedName name="sch_result_disasinci_may_num_days">'Table35 cont.-Table36'!$AQ$14</definedName>
    <definedName name="sch_result_disasinci_may_num_suspend">'Table35 cont.-Table36'!$AQ$15</definedName>
    <definedName name="sch_result_disasinci_may_num_suspend_human_hazards">'Table35 cont.-Table36'!$AQ$16</definedName>
    <definedName name="sch_result_disasinci_nov_num_arm_conflict">'Table35 cont.-Table36'!$AE$17</definedName>
    <definedName name="sch_result_disasinci_nov_num_cls">'Table35 cont.-Table36'!$AE$13</definedName>
    <definedName name="sch_result_disasinci_nov_num_days">'Table35 cont.-Table36'!$AE$14</definedName>
    <definedName name="sch_result_disasinci_nov_num_suspend">'Table35 cont.-Table36'!$AE$15</definedName>
    <definedName name="sch_result_disasinci_nov_num_suspend_human_hazards">'Table35 cont.-Table36'!$AE$16</definedName>
    <definedName name="sch_result_disasinci_oct_num_arm_conflict">'Table35 cont.-Table36'!$AC$17</definedName>
    <definedName name="sch_result_disasinci_oct_num_cls">'Table35 cont.-Table36'!$AC$13</definedName>
    <definedName name="sch_result_disasinci_oct_num_days">'Table35 cont.-Table36'!$AC$14</definedName>
    <definedName name="sch_result_disasinci_oct_num_suspend">'Table35 cont.-Table36'!$AC$15</definedName>
    <definedName name="sch_result_disasinci_oct_num_suspend_human_hazards">'Table35 cont.-Table36'!$AC$16</definedName>
    <definedName name="sch_result_disasinci_sep_num_arm_conflict">'Table35 cont.-Table36'!$AA$17</definedName>
    <definedName name="sch_result_disasinci_sep_num_cls">'Table35 cont.-Table36'!$AA$13</definedName>
    <definedName name="sch_result_disasinci_sep_num_days">'Table35 cont.-Table36'!$AA$14</definedName>
    <definedName name="sch_result_disasinci_sep_num_suspend">'Table35 cont.-Table36'!$AA$15</definedName>
    <definedName name="sch_result_disasinci_sep_num_suspend_human_hazards">'Table35 cont.-Table36'!$AA$16</definedName>
    <definedName name="sch_safelearn_repair_y_apr">Box29_part1!$V$36</definedName>
    <definedName name="sch_safelearn_repair_y_aug">Box29_part1!$P$38</definedName>
    <definedName name="sch_safelearn_repair_y_dec">Box29_part1!$AB$38</definedName>
    <definedName name="sch_safelearn_repair_y_feb">Box29_part1!$P$36</definedName>
    <definedName name="sch_safelearn_repair_y_jan">Box29_part1!$M$36</definedName>
    <definedName name="sch_safelearn_repair_y_jul">Box29_part1!$M$38</definedName>
    <definedName name="sch_safelearn_repair_y_jun">Box29_part1!$AB$36</definedName>
    <definedName name="sch_safelearn_repair_y_mar">Box29_part1!$S$36</definedName>
    <definedName name="sch_safelearn_repair_y_may">Box29_part1!$Y$36</definedName>
    <definedName name="sch_safelearn_repair_y_nov">Box29_part1!$Y$38</definedName>
    <definedName name="sch_safelearn_repair_y_oct">Box29_part1!$V$38</definedName>
    <definedName name="sch_safelearn_repair_y_sep">Box29_part1!$S$38</definedName>
    <definedName name="sch_safety_precaution_newold_bldg_construct">Box29_part2!$D$4</definedName>
    <definedName name="sch_schoolhead_attended_iped_orientation">'Box32'!$U$26</definedName>
    <definedName name="sch_schoolhead_ip">'Box32'!$M$25</definedName>
    <definedName name="sch_schoolhead_ip_specify">'Box32'!$AA$25</definedName>
    <definedName name="sch_screentool_riskmentalcond_ifyes">'Box13'!$AA$21</definedName>
    <definedName name="sch_sgp_spgadviser_yes">'Boxes3-5'!$AA$6</definedName>
    <definedName name="sch_sgp_spgadviser_yes_num_advisers">'Boxes3-5'!$AA$7</definedName>
    <definedName name="sch_sgp_spgcouncil_yes">'Boxes3-5'!$AA$5</definedName>
    <definedName name="sch_site_31_specify">'Box9'!$J$26</definedName>
    <definedName name="sch_site_32_land_area">'Box9'!$AB$5</definedName>
    <definedName name="sch_site_33_mode_specify">'Box9'!$T$20</definedName>
    <definedName name="sch_site_33_modeyr_cloa">'Box9'!$AD$16</definedName>
    <definedName name="sch_site_33_modeyr_donation">'Box9'!$AD$9</definedName>
    <definedName name="sch_site_33_modeyr_exchange_swapping">'Box9'!$AD$13</definedName>
    <definedName name="sch_site_33_modeyr_expropriation">'Box9'!$AD$12</definedName>
    <definedName name="sch_site_33_modeyr_others">'Box9'!$AD$19</definedName>
    <definedName name="sch_site_33_modeyr_pres_proc">'Box9'!$AD$14</definedName>
    <definedName name="sch_site_33_modeyr_purchase">'Box9'!$AD$10</definedName>
    <definedName name="sch_site_33_modeyr_slup">'Box9'!$AD$18</definedName>
    <definedName name="sch_site_33_modeyr_spl_patent">'Box9'!$AD$15</definedName>
    <definedName name="sch_site_33_modeyr_usufruct_agree">'Box9'!$AD$11</definedName>
    <definedName name="sch_site_60_leg_own_specify">'Box9'!$AQ$20</definedName>
    <definedName name="sch_site_chk31_deped">'Box9'!$E$7</definedName>
    <definedName name="sch_site_chk31_lgu">'Box9'!$E$8</definedName>
    <definedName name="sch_site_chk31_othergov">'Box9'!$I$7</definedName>
    <definedName name="sch_site_chk31_prvt_ind">'Box9'!$I$8</definedName>
    <definedName name="sch_site_chk31_yes">'Box9'!$I$9</definedName>
    <definedName name="sch_site_chk31_yes_cert_stew">'Box9'!$E$19</definedName>
    <definedName name="sch_site_chk31_yes_cloa">'Box9'!$E$13</definedName>
    <definedName name="sch_site_chk31_yes_deed_abso">'Box9'!$E$17</definedName>
    <definedName name="sch_site_chk31_yes_deed_donation">'Box9'!$E$18</definedName>
    <definedName name="sch_site_chk31_yes_lease">'Box9'!$E$24</definedName>
    <definedName name="sch_site_chk31_yes_moa">'Box9'!$E$23</definedName>
    <definedName name="sch_site_chk31_yes_oct">'Box9'!$E$11</definedName>
    <definedName name="sch_site_chk31_yes_others">'Box9'!$E$26</definedName>
    <definedName name="sch_site_chk31_yes_pres_proc">'Box9'!$E$15</definedName>
    <definedName name="sch_site_chk31_yes_sflag">'Box9'!$E$25</definedName>
    <definedName name="sch_site_chk31_yes_slup">'Box9'!$E$20</definedName>
    <definedName name="sch_site_chk31_yes_spl_patent">'Box9'!$E$14</definedName>
    <definedName name="sch_site_chk31_yes_tax_dec">'Box9'!$E$16</definedName>
    <definedName name="sch_site_chk31_yes_tct">'Box9'!$E$12</definedName>
    <definedName name="sch_site_chk31_yes_usufruct">'Box9'!$E$22</definedName>
    <definedName name="sch_site_chk33_mode_cloa">'Box9'!$S$16</definedName>
    <definedName name="sch_site_chk33_mode_donation">'Box9'!$S$9</definedName>
    <definedName name="sch_site_chk33_mode_exchange_swapping">'Box9'!$S$13</definedName>
    <definedName name="sch_site_chk33_mode_expropriation">'Box9'!$S$12</definedName>
    <definedName name="sch_site_chk33_mode_others">'Box9'!$S$19</definedName>
    <definedName name="sch_site_chk33_mode_pres_proc">'Box9'!$S$14</definedName>
    <definedName name="sch_site_chk33_mode_purchase">'Box9'!$S$10</definedName>
    <definedName name="sch_site_chk33_mode_slup">'Box9'!$S$18</definedName>
    <definedName name="sch_site_chk33_mode_spl_patent">'Box9'!$S$15</definedName>
    <definedName name="sch_site_chk33_mode_usufruct_agree">'Box9'!$S$11</definedName>
    <definedName name="sch_site_chk40w_ancesdom_cadtyes">'Box9'!$AL$9</definedName>
    <definedName name="sch_site_chk40w_ancesdom_usuyes">'Box9'!$AL$7</definedName>
    <definedName name="sch_site_chk50w_ancesland_caltyes">'Box9'!$AL$14</definedName>
    <definedName name="sch_site_chk50w_ancesland_usuyes">'Box9'!$AL$12</definedName>
    <definedName name="sch_site_chk60_leg_own_adverseclaim">'Box9'!$AL$17</definedName>
    <definedName name="sch_site_chk60_leg_own_encroach">'Box9'!$AL$18</definedName>
    <definedName name="sch_site_chk60_leg_own_others">'Box9'!$AL$20</definedName>
    <definedName name="sch_site_chk60_leg_own_willegalsetler">'Box9'!$AL$19</definedName>
    <definedName name="sch_site_chk70_schsite_protec_area">'Box9'!$AL$24</definedName>
    <definedName name="sch_site_chk70_schsite_timber_forest">'Box9'!$AL$25</definedName>
    <definedName name="sch_sp_se_num_coaches_aerogymn">Table33!$N$18</definedName>
    <definedName name="sch_sp_se_num_coaches_arch">Table33!$N$5</definedName>
    <definedName name="sch_sp_se_num_coaches_arnis">Table33!$N$6</definedName>
    <definedName name="sch_sp_se_num_coaches_athlthrow">Table33!$N$7</definedName>
    <definedName name="sch_sp_se_num_coaches_athltrun">Table33!$N$8</definedName>
    <definedName name="sch_sp_se_num_coaches_badm">Table33!$N$9</definedName>
    <definedName name="sch_sp_se_num_coaches_baseball">Table33!$N$11</definedName>
    <definedName name="sch_sp_se_num_coaches_basket">Table33!$N$10</definedName>
    <definedName name="sch_sp_se_num_coaches_billard">Table33!$N$12</definedName>
    <definedName name="sch_sp_se_num_coaches_bocce">Table33!$N$32</definedName>
    <definedName name="sch_sp_se_num_coaches_boxing">Table33!$N$13</definedName>
    <definedName name="sch_sp_se_num_coaches_chess">Table33!$N$14</definedName>
    <definedName name="sch_sp_se_num_coaches_dancesports">Table33!$N$15</definedName>
    <definedName name="sch_sp_se_num_coaches_football">Table33!$N$16</definedName>
    <definedName name="sch_sp_se_num_coaches_futsal">Table33!$N$17</definedName>
    <definedName name="sch_sp_se_num_coaches_goalball">Table33!$N$33</definedName>
    <definedName name="sch_sp_se_num_coaches_mag">Table33!$N$19</definedName>
    <definedName name="sch_sp_se_num_coaches_pencak">Table33!$N$22</definedName>
    <definedName name="sch_sp_se_num_coaches_rg">Table33!$N$21</definedName>
    <definedName name="sch_sp_se_num_coaches_sepaktakraw">Table33!$N$23</definedName>
    <definedName name="sch_sp_se_num_coaches_softball">Table33!$N$24</definedName>
    <definedName name="sch_sp_se_num_coaches_swimming">Table33!$N$25</definedName>
    <definedName name="sch_sp_se_num_coaches_tabletennis">Table33!$N$26</definedName>
    <definedName name="sch_sp_se_num_coaches_taekwondo">Table33!$N$27</definedName>
    <definedName name="sch_sp_se_num_coaches_tennis">Table33!$N$28</definedName>
    <definedName name="sch_sp_se_num_coaches_volleyball">Table33!$N$29</definedName>
    <definedName name="sch_sp_se_num_coaches_wag">Table33!$N$20</definedName>
    <definedName name="sch_sp_se_num_coaches_wrestling">Table33!$N$30</definedName>
    <definedName name="sch_sp_se_num_coaches_wushu">Table33!$N$31</definedName>
    <definedName name="sch_sp_se_num_nonpeteachss_aerogymn">Table33!$AC$18</definedName>
    <definedName name="sch_sp_se_num_nonpeteachss_arch">Table33!$AC$5</definedName>
    <definedName name="sch_sp_se_num_nonpeteachss_arnis">Table33!$AC$6</definedName>
    <definedName name="sch_sp_se_num_nonpeteachss_athlthrow">Table33!$AC$7</definedName>
    <definedName name="sch_sp_se_num_nonpeteachss_athltrun">Table33!$AC$8</definedName>
    <definedName name="sch_sp_se_num_nonpeteachss_badm">Table33!$AC$9</definedName>
    <definedName name="sch_sp_se_num_nonpeteachss_baseball">Table33!$AC$11</definedName>
    <definedName name="sch_sp_se_num_nonpeteachss_basket">Table33!$AC$10</definedName>
    <definedName name="sch_sp_se_num_nonpeteachss_billard">Table33!$AC$12</definedName>
    <definedName name="sch_sp_se_num_nonpeteachss_bocce">Table33!$AC$32</definedName>
    <definedName name="sch_sp_se_num_nonpeteachss_boxing">Table33!$AC$13</definedName>
    <definedName name="sch_sp_se_num_nonpeteachss_chess">Table33!$AC$14</definedName>
    <definedName name="sch_sp_se_num_nonpeteachss_dancesports">Table33!$AC$15</definedName>
    <definedName name="sch_sp_se_num_nonpeteachss_football">Table33!$AC$16</definedName>
    <definedName name="sch_sp_se_num_nonpeteachss_futsal">Table33!$AC$17</definedName>
    <definedName name="sch_sp_se_num_nonpeteachss_goalball">Table33!$AC$33</definedName>
    <definedName name="sch_sp_se_num_nonpeteachss_mag">Table33!$AC$19</definedName>
    <definedName name="sch_sp_se_num_nonpeteachss_pencak">Table33!$AC$22</definedName>
    <definedName name="sch_sp_se_num_nonpeteachss_rg">Table33!$AC$21</definedName>
    <definedName name="sch_sp_se_num_nonpeteachss_sepaktakraw">Table33!$AC$23</definedName>
    <definedName name="sch_sp_se_num_nonpeteachss_softball">Table33!$AC$24</definedName>
    <definedName name="sch_sp_se_num_nonpeteachss_swimming">Table33!$AC$25</definedName>
    <definedName name="sch_sp_se_num_nonpeteachss_tabletennis">Table33!$AC$26</definedName>
    <definedName name="sch_sp_se_num_nonpeteachss_taekwondo">Table33!$AC$27</definedName>
    <definedName name="sch_sp_se_num_nonpeteachss_tennis">Table33!$AC$28</definedName>
    <definedName name="sch_sp_se_num_nonpeteachss_volleyball">Table33!$AC$29</definedName>
    <definedName name="sch_sp_se_num_nonpeteachss_wag">Table33!$AC$20</definedName>
    <definedName name="sch_sp_se_num_nonpeteachss_wrestling">Table33!$AC$30</definedName>
    <definedName name="sch_sp_se_num_nonpeteachss_wushu">Table33!$AC$31</definedName>
    <definedName name="sch_sp_se_num_nonteachpss_aerogymn">Table33!$AH$18</definedName>
    <definedName name="sch_sp_se_num_nonteachpss_arch">Table33!$AH$5</definedName>
    <definedName name="sch_sp_se_num_nonteachpss_arnis">Table33!$AH$6</definedName>
    <definedName name="sch_sp_se_num_nonteachpss_athlthrow">Table33!$AH$7</definedName>
    <definedName name="sch_sp_se_num_nonteachpss_athltrun">Table33!$AH$8</definedName>
    <definedName name="sch_sp_se_num_nonteachpss_badm">Table33!$AH$9</definedName>
    <definedName name="sch_sp_se_num_nonteachpss_baseball">Table33!$AH$11</definedName>
    <definedName name="sch_sp_se_num_nonteachpss_basket">Table33!$AH$10</definedName>
    <definedName name="sch_sp_se_num_nonteachpss_billard">Table33!$AH$12</definedName>
    <definedName name="sch_sp_se_num_nonteachpss_bocce">Table33!$AH$32</definedName>
    <definedName name="sch_sp_se_num_nonteachpss_boxing">Table33!$AH$13</definedName>
    <definedName name="sch_sp_se_num_nonteachpss_chess">Table33!$AH$14</definedName>
    <definedName name="sch_sp_se_num_nonteachpss_dancesports">Table33!$AH$15</definedName>
    <definedName name="sch_sp_se_num_nonteachpss_football">Table33!$AH$16</definedName>
    <definedName name="sch_sp_se_num_nonteachpss_futsal">Table33!$AH$17</definedName>
    <definedName name="sch_sp_se_num_nonteachpss_goalball">Table33!$AH$33</definedName>
    <definedName name="sch_sp_se_num_nonteachpss_mag">Table33!$AH$19</definedName>
    <definedName name="sch_sp_se_num_nonteachpss_pencak">Table33!$AH$22</definedName>
    <definedName name="sch_sp_se_num_nonteachpss_rg">Table33!$AH$21</definedName>
    <definedName name="sch_sp_se_num_nonteachpss_sepaktakraw">Table33!$AH$23</definedName>
    <definedName name="sch_sp_se_num_nonteachpss_softball">Table33!$AH$24</definedName>
    <definedName name="sch_sp_se_num_nonteachpss_swimming">Table33!$AH$25</definedName>
    <definedName name="sch_sp_se_num_nonteachpss_tabletennis">Table33!$AH$26</definedName>
    <definedName name="sch_sp_se_num_nonteachpss_taekwondo">Table33!$AH$27</definedName>
    <definedName name="sch_sp_se_num_nonteachpss_tennis">Table33!$AH$28</definedName>
    <definedName name="sch_sp_se_num_nonteachpss_volleyball">Table33!$AH$29</definedName>
    <definedName name="sch_sp_se_num_nonteachpss_wag">Table33!$AH$20</definedName>
    <definedName name="sch_sp_se_num_nonteachpss_wrestling">Table33!$AH$30</definedName>
    <definedName name="sch_sp_se_num_nonteachpss_wushu">Table33!$AH$31</definedName>
    <definedName name="sch_sp_se_num_officials_aerogymn">Table33!$S$18</definedName>
    <definedName name="sch_sp_se_num_officials_arch">Table33!$S$5</definedName>
    <definedName name="sch_sp_se_num_officials_arnis">Table33!$S$6</definedName>
    <definedName name="sch_sp_se_num_officials_athlthrow">Table33!$S$7</definedName>
    <definedName name="sch_sp_se_num_officials_athltrun">Table33!$S$8</definedName>
    <definedName name="sch_sp_se_num_officials_badm">Table33!$S$9</definedName>
    <definedName name="sch_sp_se_num_officials_baseball">Table33!$S$11</definedName>
    <definedName name="sch_sp_se_num_officials_basket">Table33!$S$10</definedName>
    <definedName name="sch_sp_se_num_officials_billard">Table33!$S$12</definedName>
    <definedName name="sch_sp_se_num_officials_bocce">Table33!$S$32</definedName>
    <definedName name="sch_sp_se_num_officials_boxing">Table33!$S$13</definedName>
    <definedName name="sch_sp_se_num_officials_chess">Table33!$S$14</definedName>
    <definedName name="sch_sp_se_num_officials_dancesports">Table33!$S$15</definedName>
    <definedName name="sch_sp_se_num_officials_football">Table33!$S$16</definedName>
    <definedName name="sch_sp_se_num_officials_futsal">Table33!$S$17</definedName>
    <definedName name="sch_sp_se_num_officials_goalball">Table33!$S$33</definedName>
    <definedName name="sch_sp_se_num_officials_mag">Table33!$S$19</definedName>
    <definedName name="sch_sp_se_num_officials_pencak">Table33!$S$22</definedName>
    <definedName name="sch_sp_se_num_officials_rg">Table33!$S$21</definedName>
    <definedName name="sch_sp_se_num_officials_sepaktakraw">Table33!$S$23</definedName>
    <definedName name="sch_sp_se_num_officials_softball">Table33!$S$24</definedName>
    <definedName name="sch_sp_se_num_officials_swimming">Table33!$S$25</definedName>
    <definedName name="sch_sp_se_num_officials_tabletennis">Table33!$S$26</definedName>
    <definedName name="sch_sp_se_num_officials_taekwondo">Table33!$S$27</definedName>
    <definedName name="sch_sp_se_num_officials_tennis">Table33!$S$28</definedName>
    <definedName name="sch_sp_se_num_officials_volleyball">Table33!$S$29</definedName>
    <definedName name="sch_sp_se_num_officials_wag">Table33!$S$20</definedName>
    <definedName name="sch_sp_se_num_officials_wrestling">Table33!$S$30</definedName>
    <definedName name="sch_sp_se_num_officials_wushu">Table33!$S$31</definedName>
    <definedName name="sch_sp_se_num_peteachss_aerogymn">Table33!$X$18</definedName>
    <definedName name="sch_sp_se_num_peteachss_arch">Table33!$X$5</definedName>
    <definedName name="sch_sp_se_num_peteachss_arnis">Table33!$X$6</definedName>
    <definedName name="sch_sp_se_num_peteachss_athlthrow">Table33!$X$7</definedName>
    <definedName name="sch_sp_se_num_peteachss_athltrun">Table33!$X$8</definedName>
    <definedName name="sch_sp_se_num_peteachss_badm">Table33!$X$9</definedName>
    <definedName name="sch_sp_se_num_peteachss_baseball">Table33!$X$11</definedName>
    <definedName name="sch_sp_se_num_peteachss_basket">Table33!$X$10</definedName>
    <definedName name="sch_sp_se_num_peteachss_billard">Table33!$X$12</definedName>
    <definedName name="sch_sp_se_num_peteachss_bocce">Table33!$X$32</definedName>
    <definedName name="sch_sp_se_num_peteachss_boxing">Table33!$X$13</definedName>
    <definedName name="sch_sp_se_num_peteachss_chess">Table33!$X$14</definedName>
    <definedName name="sch_sp_se_num_peteachss_dancesports">Table33!$X$15</definedName>
    <definedName name="sch_sp_se_num_peteachss_football">Table33!$X$16</definedName>
    <definedName name="sch_sp_se_num_peteachss_futsal">Table33!$X$17</definedName>
    <definedName name="sch_sp_se_num_peteachss_goalball">Table33!$X$33</definedName>
    <definedName name="sch_sp_se_num_peteachss_mag">Table33!$X$19</definedName>
    <definedName name="sch_sp_se_num_peteachss_pencak">Table33!$X$22</definedName>
    <definedName name="sch_sp_se_num_peteachss_rg">Table33!$X$21</definedName>
    <definedName name="sch_sp_se_num_peteachss_sepaktakraw">Table33!$X$23</definedName>
    <definedName name="sch_sp_se_num_peteachss_softball">Table33!$X$24</definedName>
    <definedName name="sch_sp_se_num_peteachss_swimming">Table33!$X$25</definedName>
    <definedName name="sch_sp_se_num_peteachss_tabletennis">Table33!$X$26</definedName>
    <definedName name="sch_sp_se_num_peteachss_taekwondo">Table33!$X$27</definedName>
    <definedName name="sch_sp_se_num_peteachss_tennis">Table33!$X$28</definedName>
    <definedName name="sch_sp_se_num_peteachss_volleyball">Table33!$X$29</definedName>
    <definedName name="sch_sp_se_num_peteachss_wag">Table33!$X$20</definedName>
    <definedName name="sch_sp_se_num_peteachss_wrestling">Table33!$X$30</definedName>
    <definedName name="sch_sp_se_num_peteachss_wushu">Table33!$X$31</definedName>
    <definedName name="sch_specify_frequency">'Box12-Table29'!$AG$21</definedName>
    <definedName name="sch_specify_fund">'Box12-Table29'!$AG$15</definedName>
    <definedName name="sch_specify_mechanism">'Box12-Table29'!$S$30</definedName>
    <definedName name="sch_specify_watersupply">'Box12-Table29'!$AG$9</definedName>
    <definedName name="sch_sped_center">'SchInfo '!$C$33</definedName>
    <definedName name="sch_sped_classes">'SchInfo '!$C$34</definedName>
    <definedName name="sch_spg_adaec_yes">'Boxes3-5'!$AE$34</definedName>
    <definedName name="sch_spg_awareness_campaign_yes">'Boxes3-5'!$AE$30</definedName>
    <definedName name="sch_spg_book_supplies_donation_yes">'Boxes3-5'!$AE$31</definedName>
    <definedName name="sch_spg_curricular_org_activities_yes">'Boxes3-5'!$AE$37</definedName>
    <definedName name="sch_spg_esc_rts_yes">'Boxes3-5'!$AE$33</definedName>
    <definedName name="sch_spg_jdivsearch_yes">'Boxes3-5'!$AA$18</definedName>
    <definedName name="sch_spg_lead_ngp_yes">'Boxes3-5'!$AE$29</definedName>
    <definedName name="sch_spg_learner_brigada_eskwela_yes">'Boxes3-5'!$AE$28</definedName>
    <definedName name="sch_spg_prevent_learner_dropout_yes">'Boxes3-5'!$AE$32</definedName>
    <definedName name="sch_spg_smoke_tobacoo_free_yes">'Boxes3-5'!$AE$35</definedName>
    <definedName name="sch_spg_tmcsep_wtdoct_yes">'Boxes3-5'!$AE$36</definedName>
    <definedName name="sch_spga_cto_sat">'Boxes3-5'!$AA$21</definedName>
    <definedName name="sch_spgactes_schfees_collect_yes">'Boxes3-5'!$AA$15</definedName>
    <definedName name="sch_spgadviser_deload_yes">'Boxes3-5'!$AA$14</definedName>
    <definedName name="sch_spgadviser_hacadegree_bachd">'Boxes3-5'!$G$12</definedName>
    <definedName name="sch_spgadviser_hacadegree_docd">'Boxes3-5'!$AA$12</definedName>
    <definedName name="sch_spgadviser_hacadegree_docdu">'Boxes3-5'!$Q$13</definedName>
    <definedName name="sch_spgadviser_hacadegree_masterd">'Boxes3-5'!$Q$12</definedName>
    <definedName name="sch_spgadviser_hacadegree_masterdu">'Boxes3-5'!$G$13</definedName>
    <definedName name="sch_spgadviser_subjhandle_ap">'Boxes3-5'!$Q$10</definedName>
    <definedName name="sch_spgadviser_subjhandle_fil">'Boxes3-5'!$G$10</definedName>
    <definedName name="sch_spgadviser_subjhandle_math">'Boxes3-5'!$Q$9</definedName>
    <definedName name="sch_spgadviser_subjhandle_others">'Boxes3-5'!$AA$9</definedName>
    <definedName name="sch_spgadviser_subjhandle_otherspec">'Boxes3-5'!$AF$9</definedName>
    <definedName name="sch_spgadviser_subjhandle_sci">'Boxes3-5'!$G$9</definedName>
    <definedName name="sch_spgbudget_sipappinc_yes">'Boxes3-5'!$AA$16</definedName>
    <definedName name="sch_spgroom_yes">'Boxes3-5'!$AA$17</definedName>
    <definedName name="sch_spgwon_nationalaward_yes">'Boxes3-5'!$AA$19</definedName>
    <definedName name="sch_struct_hazard_measure_firewall">Box29_part1!$G$23</definedName>
    <definedName name="sch_struct_hazard_measure_floodwall">Box29_part1!$G$22</definedName>
    <definedName name="sch_struct_hazard_measure_others">Box29_part1!$S$23</definedName>
    <definedName name="sch_struct_hazard_measure_others_specify">Box29_part1!$X$23</definedName>
    <definedName name="sch_struct_hazard_measure_seawall">Box29_part1!$G$24</definedName>
    <definedName name="sch_struct_hazard_measure_slopeprotect">Box29_part1!$S$22</definedName>
    <definedName name="sch_studcodeconduct_yes">'Boxes24-25'!$AB$9</definedName>
    <definedName name="sch_submit_radar_to_drrmsco_after_hazard">Box30_part3a!$E$7</definedName>
    <definedName name="sch_taken_action_result_fepp">Box30_part1!$D$51</definedName>
    <definedName name="sch_teachesccam_ap_g1">'Box31_Parts1-2'!$O$11</definedName>
    <definedName name="sch_teachesccam_ap_g2">'Box31_Parts1-2'!$P$11</definedName>
    <definedName name="sch_teachesccam_ap_g3">'Box31_Parts1-2'!$Q$11</definedName>
    <definedName name="sch_teachesccam_ap_g4">'Box31_Parts1-2'!$R$11</definedName>
    <definedName name="sch_teachesccam_ap_g5">'Box31_Parts1-2'!$S$11</definedName>
    <definedName name="sch_teachesccam_ap_g6">'Box31_Parts1-2'!$T$11</definedName>
    <definedName name="sch_teachesccam_ap_k">'Box31_Parts1-2'!$N$11</definedName>
    <definedName name="sch_teachesccam_epp_g1">'Box31_Parts1-2'!$O$15</definedName>
    <definedName name="sch_teachesccam_epp_g2">'Box31_Parts1-2'!$P$15</definedName>
    <definedName name="sch_teachesccam_epp_g3">'Box31_Parts1-2'!$Q$15</definedName>
    <definedName name="sch_teachesccam_epp_g4">'Box31_Parts1-2'!$R$15</definedName>
    <definedName name="sch_teachesccam_epp_g5">'Box31_Parts1-2'!$S$15</definedName>
    <definedName name="sch_teachesccam_epp_g6">'Box31_Parts1-2'!$T$15</definedName>
    <definedName name="sch_teachesccam_epp_k">'Box31_Parts1-2'!$N$15</definedName>
    <definedName name="sch_teachesccam_esp_g1">'Box31_Parts1-2'!$O$12</definedName>
    <definedName name="sch_teachesccam_esp_g2">'Box31_Parts1-2'!$P$12</definedName>
    <definedName name="sch_teachesccam_esp_g3">'Box31_Parts1-2'!$Q$12</definedName>
    <definedName name="sch_teachesccam_esp_g4">'Box31_Parts1-2'!$R$12</definedName>
    <definedName name="sch_teachesccam_esp_g5">'Box31_Parts1-2'!$S$12</definedName>
    <definedName name="sch_teachesccam_esp_g6">'Box31_Parts1-2'!$T$12</definedName>
    <definedName name="sch_teachesccam_esp_k">'Box31_Parts1-2'!$N$12</definedName>
    <definedName name="sch_teachesccam_health_g1">'Box31_Parts1-2'!$O$14</definedName>
    <definedName name="sch_teachesccam_health_g2">'Box31_Parts1-2'!$P$14</definedName>
    <definedName name="sch_teachesccam_health_g3">'Box31_Parts1-2'!$Q$14</definedName>
    <definedName name="sch_teachesccam_health_g4">'Box31_Parts1-2'!$R$14</definedName>
    <definedName name="sch_teachesccam_health_g5">'Box31_Parts1-2'!$S$14</definedName>
    <definedName name="sch_teachesccam_health_g6">'Box31_Parts1-2'!$T$14</definedName>
    <definedName name="sch_teachesccam_health_k">'Box31_Parts1-2'!$N$14</definedName>
    <definedName name="sch_teachesccam_others_g1">'Box31_Parts1-2'!$O$16</definedName>
    <definedName name="sch_teachesccam_others_g2">'Box31_Parts1-2'!$P$16</definedName>
    <definedName name="sch_teachesccam_others_g3">'Box31_Parts1-2'!$Q$16</definedName>
    <definedName name="sch_teachesccam_others_g4">'Box31_Parts1-2'!$R$16</definedName>
    <definedName name="sch_teachesccam_others_g5">'Box31_Parts1-2'!$S$16</definedName>
    <definedName name="sch_teachesccam_others_g6">'Box31_Parts1-2'!$T$16</definedName>
    <definedName name="sch_teachesccam_others_k">'Box31_Parts1-2'!$N$16</definedName>
    <definedName name="sch_teachesccam_pe_g1">'Box31_Parts1-2'!$O$13</definedName>
    <definedName name="sch_teachesccam_pe_g2">'Box31_Parts1-2'!$P$13</definedName>
    <definedName name="sch_teachesccam_pe_g3">'Box31_Parts1-2'!$Q$13</definedName>
    <definedName name="sch_teachesccam_pe_g4">'Box31_Parts1-2'!$R$13</definedName>
    <definedName name="sch_teachesccam_pe_g5">'Box31_Parts1-2'!$S$13</definedName>
    <definedName name="sch_teachesccam_pe_g6">'Box31_Parts1-2'!$T$13</definedName>
    <definedName name="sch_teachesccam_pe_k">'Box31_Parts1-2'!$N$13</definedName>
    <definedName name="sch_teachesccam_science_g1">'Box31_Parts1-2'!$O$10</definedName>
    <definedName name="sch_teachesccam_science_g2">'Box31_Parts1-2'!$P$10</definedName>
    <definedName name="sch_teachesccam_science_g3">'Box31_Parts1-2'!$Q$10</definedName>
    <definedName name="sch_teachesccam_science_g4">'Box31_Parts1-2'!$R$10</definedName>
    <definedName name="sch_teachesccam_science_g5">'Box31_Parts1-2'!$S$10</definedName>
    <definedName name="sch_teachesccam_science_g6">'Box31_Parts1-2'!$T$10</definedName>
    <definedName name="sch_teachesccam_science_k">'Box31_Parts1-2'!$N$10</definedName>
    <definedName name="sch_teachesdrrm_ap_g1">'Box31_Parts1-2'!$H$11</definedName>
    <definedName name="sch_teachesdrrm_ap_g2">'Box31_Parts1-2'!$I$11</definedName>
    <definedName name="sch_teachesdrrm_ap_g3">'Box31_Parts1-2'!$J$11</definedName>
    <definedName name="sch_teachesdrrm_ap_g4">'Box31_Parts1-2'!$K$11</definedName>
    <definedName name="sch_teachesdrrm_ap_g5">'Box31_Parts1-2'!$L$11</definedName>
    <definedName name="sch_teachesdrrm_ap_g6">'Box31_Parts1-2'!$M$11</definedName>
    <definedName name="sch_teachesdrrm_ap_k">'Box31_Parts1-2'!$G$11</definedName>
    <definedName name="sch_teachesdrrm_epp_g1">'Box31_Parts1-2'!$H$15</definedName>
    <definedName name="sch_teachesdrrm_epp_g2">'Box31_Parts1-2'!$I$15</definedName>
    <definedName name="sch_teachesdrrm_epp_g3">'Box31_Parts1-2'!$J$15</definedName>
    <definedName name="sch_teachesdrrm_epp_g4">'Box31_Parts1-2'!$K$15</definedName>
    <definedName name="sch_teachesdrrm_epp_g5">'Box31_Parts1-2'!$L$15</definedName>
    <definedName name="sch_teachesdrrm_epp_g6">'Box31_Parts1-2'!$M$15</definedName>
    <definedName name="sch_teachesdrrm_epp_k">'Box31_Parts1-2'!$G$15</definedName>
    <definedName name="sch_teachesdrrm_esp_g1">'Box31_Parts1-2'!$H$12</definedName>
    <definedName name="sch_teachesdrrm_esp_g2">'Box31_Parts1-2'!$I$12</definedName>
    <definedName name="sch_teachesdrrm_esp_g3">'Box31_Parts1-2'!$J$12</definedName>
    <definedName name="sch_teachesdrrm_esp_g4">'Box31_Parts1-2'!$K$12</definedName>
    <definedName name="sch_teachesdrrm_esp_g5">'Box31_Parts1-2'!$L$12</definedName>
    <definedName name="sch_teachesdrrm_esp_g6">'Box31_Parts1-2'!$M$12</definedName>
    <definedName name="sch_teachesdrrm_esp_k">'Box31_Parts1-2'!$G$12</definedName>
    <definedName name="sch_teachesdrrm_health_g1">'Box31_Parts1-2'!$H$14</definedName>
    <definedName name="sch_teachesdrrm_health_g2">'Box31_Parts1-2'!$I$14</definedName>
    <definedName name="sch_teachesdrrm_health_g3">'Box31_Parts1-2'!$J$14</definedName>
    <definedName name="sch_teachesdrrm_health_g4">'Box31_Parts1-2'!$K$14</definedName>
    <definedName name="sch_teachesdrrm_health_g5">'Box31_Parts1-2'!$L$14</definedName>
    <definedName name="sch_teachesdrrm_health_g6">'Box31_Parts1-2'!$M$14</definedName>
    <definedName name="sch_teachesdrrm_health_k">'Box31_Parts1-2'!$G$14</definedName>
    <definedName name="sch_teachesdrrm_others_g1">'Box31_Parts1-2'!$H$16</definedName>
    <definedName name="sch_teachesdrrm_others_g2">'Box31_Parts1-2'!$I$16</definedName>
    <definedName name="sch_teachesdrrm_others_g3">'Box31_Parts1-2'!$J$16</definedName>
    <definedName name="sch_teachesdrrm_others_g4">'Box31_Parts1-2'!$K$16</definedName>
    <definedName name="sch_teachesdrrm_others_g5">'Box31_Parts1-2'!$L$16</definedName>
    <definedName name="sch_teachesdrrm_others_g6">'Box31_Parts1-2'!$M$16</definedName>
    <definedName name="sch_teachesdrrm_others_k">'Box31_Parts1-2'!$G$16</definedName>
    <definedName name="sch_teachesdrrm_pe_g1">'Box31_Parts1-2'!$H$13</definedName>
    <definedName name="sch_teachesdrrm_pe_g2">'Box31_Parts1-2'!$I$13</definedName>
    <definedName name="sch_teachesdrrm_pe_g3">'Box31_Parts1-2'!$J$13</definedName>
    <definedName name="sch_teachesdrrm_pe_g4">'Box31_Parts1-2'!$K$13</definedName>
    <definedName name="sch_teachesdrrm_pe_g5">'Box31_Parts1-2'!$L$13</definedName>
    <definedName name="sch_teachesdrrm_pe_g6">'Box31_Parts1-2'!$M$13</definedName>
    <definedName name="sch_teachesdrrm_pe_k">'Box31_Parts1-2'!$G$13</definedName>
    <definedName name="sch_teachesdrrm_science_g1">'Box31_Parts1-2'!$H$10</definedName>
    <definedName name="sch_teachesdrrm_science_g2">'Box31_Parts1-2'!$I$10</definedName>
    <definedName name="sch_teachesdrrm_science_g3">'Box31_Parts1-2'!$J$10</definedName>
    <definedName name="sch_teachesdrrm_science_g4">'Box31_Parts1-2'!$K$10</definedName>
    <definedName name="sch_teachesdrrm_science_g5">'Box31_Parts1-2'!$L$10</definedName>
    <definedName name="sch_teachesdrrm_science_g6">'Box31_Parts1-2'!$M$10</definedName>
    <definedName name="sch_teachesdrrm_science_k">'Box31_Parts1-2'!$G$10</definedName>
    <definedName name="sch_teachespeacebuilding_ap_g1">'Box31_Parts1-2'!$H$21</definedName>
    <definedName name="sch_teachespeacebuilding_ap_g2">'Box31_Parts1-2'!$I$21</definedName>
    <definedName name="sch_teachespeacebuilding_ap_g3">'Box31_Parts1-2'!$J$21</definedName>
    <definedName name="sch_teachespeacebuilding_ap_g4">'Box31_Parts1-2'!$K$21</definedName>
    <definedName name="sch_teachespeacebuilding_ap_g5">'Box31_Parts1-2'!$L$21</definedName>
    <definedName name="sch_teachespeacebuilding_ap_g6">'Box31_Parts1-2'!$M$21</definedName>
    <definedName name="sch_teachespeacebuilding_ap_k">'Box31_Parts1-2'!$G$21</definedName>
    <definedName name="sch_teachespeacebuilding_epp_g1">'Box31_Parts1-2'!$H$25</definedName>
    <definedName name="sch_teachespeacebuilding_epp_g2">'Box31_Parts1-2'!$I$25</definedName>
    <definedName name="sch_teachespeacebuilding_epp_g3">'Box31_Parts1-2'!$J$25</definedName>
    <definedName name="sch_teachespeacebuilding_epp_g4">'Box31_Parts1-2'!$K$25</definedName>
    <definedName name="sch_teachespeacebuilding_epp_g5">'Box31_Parts1-2'!$L$25</definedName>
    <definedName name="sch_teachespeacebuilding_epp_g6">'Box31_Parts1-2'!$M$25</definedName>
    <definedName name="sch_teachespeacebuilding_epp_k">'Box31_Parts1-2'!$G$25</definedName>
    <definedName name="sch_teachespeacebuilding_esp_g1">'Box31_Parts1-2'!$H$22</definedName>
    <definedName name="sch_teachespeacebuilding_esp_g2">'Box31_Parts1-2'!$I$22</definedName>
    <definedName name="sch_teachespeacebuilding_esp_g3">'Box31_Parts1-2'!$J$22</definedName>
    <definedName name="sch_teachespeacebuilding_esp_g4">'Box31_Parts1-2'!$K$22</definedName>
    <definedName name="sch_teachespeacebuilding_esp_g5">'Box31_Parts1-2'!$L$22</definedName>
    <definedName name="sch_teachespeacebuilding_esp_g6">'Box31_Parts1-2'!$M$22</definedName>
    <definedName name="sch_teachespeacebuilding_esp_k">'Box31_Parts1-2'!$G$22</definedName>
    <definedName name="sch_teachespeacebuilding_health_g1">'Box31_Parts1-2'!$H$24</definedName>
    <definedName name="sch_teachespeacebuilding_health_g2">'Box31_Parts1-2'!$I$24</definedName>
    <definedName name="sch_teachespeacebuilding_health_g3">'Box31_Parts1-2'!$J$24</definedName>
    <definedName name="sch_teachespeacebuilding_health_g4">'Box31_Parts1-2'!$K$24</definedName>
    <definedName name="sch_teachespeacebuilding_health_g5">'Box31_Parts1-2'!$L$24</definedName>
    <definedName name="sch_teachespeacebuilding_health_g6">'Box31_Parts1-2'!$M$24</definedName>
    <definedName name="sch_teachespeacebuilding_health_k">'Box31_Parts1-2'!$G$24</definedName>
    <definedName name="sch_teachespeacebuilding_others_g1">'Box31_Parts1-2'!$H$26</definedName>
    <definedName name="sch_teachespeacebuilding_others_g2">'Box31_Parts1-2'!$I$26</definedName>
    <definedName name="sch_teachespeacebuilding_others_g3">'Box31_Parts1-2'!$J$26</definedName>
    <definedName name="sch_teachespeacebuilding_others_g4">'Box31_Parts1-2'!$K$26</definedName>
    <definedName name="sch_teachespeacebuilding_others_g5">'Box31_Parts1-2'!$L$26</definedName>
    <definedName name="sch_teachespeacebuilding_others_g6">'Box31_Parts1-2'!$M$26</definedName>
    <definedName name="sch_teachespeacebuilding_others_k">'Box31_Parts1-2'!$G$26</definedName>
    <definedName name="sch_teachespeacebuilding_pe_g1">'Box31_Parts1-2'!$H$23</definedName>
    <definedName name="sch_teachespeacebuilding_pe_g2">'Box31_Parts1-2'!$I$23</definedName>
    <definedName name="sch_teachespeacebuilding_pe_g3">'Box31_Parts1-2'!$J$23</definedName>
    <definedName name="sch_teachespeacebuilding_pe_g4">'Box31_Parts1-2'!$K$23</definedName>
    <definedName name="sch_teachespeacebuilding_pe_g5">'Box31_Parts1-2'!$L$23</definedName>
    <definedName name="sch_teachespeacebuilding_pe_g6">'Box31_Parts1-2'!$M$23</definedName>
    <definedName name="sch_teachespeacebuilding_pe_k">'Box31_Parts1-2'!$G$23</definedName>
    <definedName name="sch_teachespeacebuilding_science_g1">'Box31_Parts1-2'!$H$20</definedName>
    <definedName name="sch_teachespeacebuilding_science_g2">'Box31_Parts1-2'!$I$20</definedName>
    <definedName name="sch_teachespeacebuilding_science_g3">'Box31_Parts1-2'!$J$20</definedName>
    <definedName name="sch_teachespeacebuilding_science_g4">'Box31_Parts1-2'!$K$20</definedName>
    <definedName name="sch_teachespeacebuilding_science_g5">'Box31_Parts1-2'!$L$20</definedName>
    <definedName name="sch_teachespeacebuilding_science_g6">'Box31_Parts1-2'!$M$20</definedName>
    <definedName name="sch_teachespeacebuilding_science_k">'Box31_Parts1-2'!$G$20</definedName>
    <definedName name="sch_tel_no">'SchInfo '!$AH$25</definedName>
    <definedName name="sch_use_deped_dev_lr_drrmccampbp">Box31_part3b!$D$47</definedName>
    <definedName name="sch_use_ip_mt_medium_instruction">'Box32'!$AH$21</definedName>
    <definedName name="sch_use_ip_mt_mtb_mle_subjects">'Box32'!$AH$22</definedName>
    <definedName name="sch_used_deped_dev_mhpss_standard_manual">Box31_part3d!$D$12</definedName>
    <definedName name="sch_used_deped_standard_training_manual_drrmccampbp">Box31_part3c!$E$22</definedName>
    <definedName name="sch_uses_drrm_dev_drrmccampbp_iec_materials">'Box31_Parts1-2'!$C$39</definedName>
    <definedName name="sch_web_add">'SchInfo '!$AH$28</definedName>
    <definedName name="sch_wf_group_hw_no_water_outlets">'Box12-Table29'!$AK$40</definedName>
    <definedName name="sch_wf_group_hw_nonfunctional">'Box12-Table29'!$AA$40</definedName>
    <definedName name="sch_wf_group_hw_wosoap">'Box12-Table29'!$V$40</definedName>
    <definedName name="sch_wf_group_hw_wsoap">'Box12-Table29'!$Q$40</definedName>
    <definedName name="sch_wf_individual_hw_no_water_outlets">'Box12-Table29'!$AK$41</definedName>
    <definedName name="sch_wf_individual_hw_nonfunctional">'Box12-Table29'!$AA$41</definedName>
    <definedName name="sch_wf_individual_hw_wosoap">'Box12-Table29'!$V$41</definedName>
    <definedName name="sch_wf_individual_hw_wsoap">'Box12-Table29'!$Q$41</definedName>
    <definedName name="sch_workexp_IPcomm_devtlessonplans_ifyes">'Box32'!$AH$20</definedName>
    <definedName name="sch_ws_drinking_yes">'Box12-Table29'!$AG$16</definedName>
    <definedName name="sch_ws_ifyes_cost_amount">'Box12-Table29'!$AC$11</definedName>
    <definedName name="sch_ws_ifyes_fundsource_lgu">'Box12-Table29'!$N$14</definedName>
    <definedName name="sch_ws_ifyes_fundsource_others">'Box12-Table29'!$AB$15</definedName>
    <definedName name="sch_ws_ifyes_fundsource_private">'Box12-Table29'!$AB$14</definedName>
    <definedName name="sch_ws_ifyes_fundsource_pta">'Box12-Table29'!$N$15</definedName>
    <definedName name="sch_ws_ifyes_fundsource_schcanteen">'Box12-Table29'!$AB$13</definedName>
    <definedName name="sch_ws_ifyes_fundsource_schmooe">'Box12-Table29'!$N$13</definedName>
    <definedName name="sch_ws_ifyes_mechanism_yes">'Box12-Table29'!$AG$25</definedName>
    <definedName name="sch_ws_ifyes_others">'Box12-Table29'!$AB$9</definedName>
    <definedName name="sch_ws_ifyes_pipe">'Box12-Table29'!$N$8</definedName>
    <definedName name="sch_ws_ifyes_rainwater">'Box12-Table29'!$AB$8</definedName>
    <definedName name="sch_ws_ifyes_test_frequency_annually">'Box12-Table29'!$AB$20</definedName>
    <definedName name="sch_ws_ifyes_test_frequency_monthly">'Box12-Table29'!$N$20</definedName>
    <definedName name="sch_ws_ifyes_test_frequency_quarterly">'Box12-Table29'!$N$21</definedName>
    <definedName name="sch_ws_ifyes_test_frequent_others">'Box12-Table29'!$AB$21</definedName>
    <definedName name="sch_ws_ifyes_water_last_tested">'Box12-Table29'!$Y$22</definedName>
    <definedName name="sch_ws_ifyes_water_unavailable_yes">'Box12-Table29'!$AG$23</definedName>
    <definedName name="sch_ws_ifyes_well">'Box12-Table29'!$N$9</definedName>
    <definedName name="sch_ws_mechanism_ifyes_accessible_water">'Box12-Table29'!$N$29</definedName>
    <definedName name="sch_ws_mechanism_ifyes_bring_water">'Box12-Table29'!$N$27</definedName>
    <definedName name="sch_ws_mechanism_ifyes_others">'Box12-Table29'!$N$30</definedName>
    <definedName name="sch_ws_mechanism_ifyes_refillable_containers">'Box12-Table29'!$N$28</definedName>
    <definedName name="sch_ws_result_safe_yes">'Box12-Table29'!$AG$18</definedName>
    <definedName name="sch_ws_water_safety_yes">'Box12-Table29'!$AG$17</definedName>
    <definedName name="sch_ws_wsource_yes">'Box12-Table29'!$T$5</definedName>
    <definedName name="sch_yfcpdo_numvisit">'Boxes3-5'!$AA$20</definedName>
    <definedName name="school_profile_type">'SchInfo '!$B$2</definedName>
    <definedName name="sdo_head_name">'SchInfo '!$AM$39</definedName>
    <definedName name="sdo_pos_title">'SchInfo '!$AM$41</definedName>
    <definedName name="seps_name">'Tables7,8,9'!$AG$20</definedName>
    <definedName name="seps_name_sgod">'Table18-Boxes1-2'!$AA$27</definedName>
    <definedName name="slrapp_conduct_student_sch_watch_hazzard_mapping">Box30_part1!$D$7</definedName>
    <definedName name="slrapp_incorp_studschwatch_hazmap_drrmccampbpsip">Box30_part1!$D$8</definedName>
    <definedName name="slrapp_sch_planteam_link_swhm_educadata">Box30_part1!$D$14</definedName>
    <definedName name="slrapp_sch_watchteam_coor_concern_agencies">Box30_part1!$D$10</definedName>
    <definedName name="slrapp_sch_watchteam_submit_schplanteam">Box30_part1!$D$12</definedName>
    <definedName name="solidwm_complieswma_yes">'Boxes21,22,23'!$AB$5</definedName>
    <definedName name="spec_cont_plan_hih_armed_conflict">Box30_part1!$V$18</definedName>
    <definedName name="spec_cont_plan_hih_bomb_threats">Box30_part1!$V$19</definedName>
    <definedName name="spec_cont_plan_hih_civilian">Box30_part1!$V$20</definedName>
    <definedName name="spec_cont_plan_hih_fire">Box30_part1!$V$21</definedName>
    <definedName name="spec_cont_plan_hih_others">Box30_part1!$V$22</definedName>
    <definedName name="spec_cont_plan_hih_others_specify">Box30_part1!$AA$22</definedName>
    <definedName name="spec_cont_plan_nh_drought">Box30_part1!$D$21</definedName>
    <definedName name="spec_cont_plan_nh_earthquake">Box30_part1!$J$18</definedName>
    <definedName name="spec_cont_plan_nh_fire">Box30_part1!$J$21</definedName>
    <definedName name="spec_cont_plan_nh_flood">Box30_part1!$D$20</definedName>
    <definedName name="spec_cont_plan_nh_landslide">Box30_part1!$D$22</definedName>
    <definedName name="spec_cont_plan_nh_others">Box30_part1!$J$22</definedName>
    <definedName name="spec_cont_plan_nh_others_specify">Box30_part1!$O$22</definedName>
    <definedName name="spec_cont_plan_nh_stormsurge">Box30_part1!$D$19</definedName>
    <definedName name="spec_cont_plan_nh_tropicalcyclone">Box30_part1!$D$18</definedName>
    <definedName name="spec_cont_plan_nh_tsunami">Box30_part1!$J$20</definedName>
    <definedName name="spec_cont_plan_nh_volcaniceruption">Box30_part1!$J$19</definedName>
    <definedName name="sped_home_asd_age_11to15">'Table1-2'!$Q$24</definedName>
    <definedName name="sped_home_asd_age_16to20">'Table1-2'!$S$24</definedName>
    <definedName name="sped_home_asd_age_21to25">'Table1-2'!$U$24</definedName>
    <definedName name="sped_home_asd_age_5to10">'Table1-2'!$O$24</definedName>
    <definedName name="sped_home_asd_gp_ktog6">'Table1-2'!$Y$24</definedName>
    <definedName name="sped_home_asd_gp_tp">'Table1-2'!$AB$24</definedName>
    <definedName name="sped_home_asd_ltp_age_11to15">'Table1-2'!$AI$24</definedName>
    <definedName name="sped_home_asd_ltp_age_16to20">'Table1-2'!$AK$24</definedName>
    <definedName name="sped_home_asd_ltp_age_21to25">'Table1-2'!$AM$24</definedName>
    <definedName name="sped_home_asd_ltp_age_5to10">'Table1-2'!$AG$24</definedName>
    <definedName name="sped_home_cancer_age_11to15">'Table1-2'!$Q$30</definedName>
    <definedName name="sped_home_cancer_age_16to20">'Table1-2'!$S$30</definedName>
    <definedName name="sped_home_cancer_age_21to25">'Table1-2'!$U$30</definedName>
    <definedName name="sped_home_cancer_age_5to10">'Table1-2'!$O$30</definedName>
    <definedName name="sped_home_cancer_gp_ktog6">'Table1-2'!$Y$30</definedName>
    <definedName name="sped_home_cancer_gp_tp">'Table1-2'!$AB$30</definedName>
    <definedName name="sped_home_cancer_ltp_age_11to15">'Table1-2'!$AI$30</definedName>
    <definedName name="sped_home_cancer_ltp_age_16to20">'Table1-2'!$AK$30</definedName>
    <definedName name="sped_home_cancer_ltp_age_21to25">'Table1-2'!$AM$30</definedName>
    <definedName name="sped_home_cancer_ltp_age_5to10">'Table1-2'!$AG$30</definedName>
    <definedName name="sped_home_cd_age_11to15">'Table1-2'!$Q$29</definedName>
    <definedName name="sped_home_cd_age_16to20">'Table1-2'!$S$29</definedName>
    <definedName name="sped_home_cd_age_21to25">'Table1-2'!$U$29</definedName>
    <definedName name="sped_home_cd_age_5to10">'Table1-2'!$O$29</definedName>
    <definedName name="sped_home_cd_gp_ktog6">'Table1-2'!$Y$29</definedName>
    <definedName name="sped_home_cd_gp_tp">'Table1-2'!$AB$29</definedName>
    <definedName name="sped_home_cd_ltp_age_11to15">'Table1-2'!$AI$29</definedName>
    <definedName name="sped_home_cd_ltp_age_16to20">'Table1-2'!$AK$29</definedName>
    <definedName name="sped_home_cd_ltp_age_21to25">'Table1-2'!$AM$29</definedName>
    <definedName name="sped_home_cd_ltp_age_5to10">'Table1-2'!$AG$29</definedName>
    <definedName name="sped_home_cp_age_11to15">'Table1-2'!$Q$28</definedName>
    <definedName name="sped_home_cp_age_16to20">'Table1-2'!$S$28</definedName>
    <definedName name="sped_home_cp_age_21to25">'Table1-2'!$U$28</definedName>
    <definedName name="sped_home_cp_age_5to10">'Table1-2'!$O$28</definedName>
    <definedName name="sped_home_cp_gp_ktog6">'Table1-2'!$Y$28</definedName>
    <definedName name="sped_home_cp_gp_tp">'Table1-2'!$AB$28</definedName>
    <definedName name="sped_home_cp_ltp_age_11to15">'Table1-2'!$AI$28</definedName>
    <definedName name="sped_home_cp_ltp_age_16to20">'Table1-2'!$AK$28</definedName>
    <definedName name="sped_home_cp_ltp_age_21to25">'Table1-2'!$AM$28</definedName>
    <definedName name="sped_home_cp_ltp_age_5to10">'Table1-2'!$AG$28</definedName>
    <definedName name="sped_home_diffaas_age_11to15">'Table1-2'!$Q$37</definedName>
    <definedName name="sped_home_diffaas_age_16to20">'Table1-2'!$S$37</definedName>
    <definedName name="sped_home_diffaas_age_21to25">'Table1-2'!$U$37</definedName>
    <definedName name="sped_home_diffaas_age_5to10">'Table1-2'!$O$37</definedName>
    <definedName name="sped_home_diffaas_gp_ktog6">'Table1-2'!$Y$37</definedName>
    <definedName name="sped_home_diffaas_gp_tp">'Table1-2'!$AB$37</definedName>
    <definedName name="sped_home_diffaas_ltp_age_11to15">'Table1-2'!$AI$37</definedName>
    <definedName name="sped_home_diffaas_ltp_age_16to20">'Table1-2'!$AK$37</definedName>
    <definedName name="sped_home_diffaas_ltp_age_21to25">'Table1-2'!$AM$37</definedName>
    <definedName name="sped_home_diffaas_ltp_age_5to10">'Table1-2'!$AG$37</definedName>
    <definedName name="sped_home_diffak_age_11to15">'Table1-2'!$Q$35</definedName>
    <definedName name="sped_home_diffak_age_16to20">'Table1-2'!$S$35</definedName>
    <definedName name="sped_home_diffak_age_21to25">'Table1-2'!$U$35</definedName>
    <definedName name="sped_home_diffak_age_5to10">'Table1-2'!$O$35</definedName>
    <definedName name="sped_home_diffak_gp_ktog6">'Table1-2'!$Y$35</definedName>
    <definedName name="sped_home_diffak_gp_tp">'Table1-2'!$AB$35</definedName>
    <definedName name="sped_home_diffak_ltp_age_11to15">'Table1-2'!$AI$35</definedName>
    <definedName name="sped_home_diffak_ltp_age_16to20">'Table1-2'!$AK$35</definedName>
    <definedName name="sped_home_diffak_ltp_age_21to25">'Table1-2'!$AM$35</definedName>
    <definedName name="sped_home_diffak_ltp_age_5to10">'Table1-2'!$AG$35</definedName>
    <definedName name="sped_home_diffcomm_age_11to15">'Table1-2'!$Q$40</definedName>
    <definedName name="sped_home_diffcomm_age_16to20">'Table1-2'!$S$40</definedName>
    <definedName name="sped_home_diffcomm_age_21to25">'Table1-2'!$U$40</definedName>
    <definedName name="sped_home_diffcomm_age_5to10">'Table1-2'!$O$40</definedName>
    <definedName name="sped_home_diffcomm_gp_ktog6">'Table1-2'!$Y$40</definedName>
    <definedName name="sped_home_diffcomm_gp_tp">'Table1-2'!$AB$40</definedName>
    <definedName name="sped_home_diffcomm_ltp_age_11to15">'Table1-2'!$AI$40</definedName>
    <definedName name="sped_home_diffcomm_ltp_age_16to20">'Table1-2'!$AK$40</definedName>
    <definedName name="sped_home_diffcomm_ltp_age_21to25">'Table1-2'!$AM$40</definedName>
    <definedName name="sped_home_diffcomm_ltp_age_5to10">'Table1-2'!$AG$40</definedName>
    <definedName name="sped_home_diffdipb_age_11to15">'Table1-2'!$Q$38</definedName>
    <definedName name="sped_home_diffdipb_age_16to20">'Table1-2'!$S$38</definedName>
    <definedName name="sped_home_diffdipb_age_21to25">'Table1-2'!$U$38</definedName>
    <definedName name="sped_home_diffdipb_age_5to10">'Table1-2'!$O$38</definedName>
    <definedName name="sped_home_diffdipb_gp_ktog6">'Table1-2'!$Y$38</definedName>
    <definedName name="sped_home_diffdipb_gp_tp">'Table1-2'!$AB$38</definedName>
    <definedName name="sped_home_diffdipb_ltp_age_11to15">'Table1-2'!$AI$38</definedName>
    <definedName name="sped_home_diffdipb_ltp_age_16to20">'Table1-2'!$AK$38</definedName>
    <definedName name="sped_home_diffdipb_ltp_age_21to25">'Table1-2'!$AM$38</definedName>
    <definedName name="sped_home_diffdipb_ltp_age_5to10">'Table1-2'!$AG$38</definedName>
    <definedName name="sped_home_diffhearing_age_11to15">'Table1-2'!$Q$34</definedName>
    <definedName name="sped_home_diffhearing_age_16to20">'Table1-2'!$S$34</definedName>
    <definedName name="sped_home_diffhearing_age_21to25">'Table1-2'!$U$34</definedName>
    <definedName name="sped_home_diffhearing_age_5to10">'Table1-2'!$O$34</definedName>
    <definedName name="sped_home_diffhearing_gp_ktog6">'Table1-2'!$Y$34</definedName>
    <definedName name="sped_home_diffhearing_gp_tp">'Table1-2'!$AB$34</definedName>
    <definedName name="sped_home_diffhearing_ltp_age_11to15">'Table1-2'!$AI$34</definedName>
    <definedName name="sped_home_diffhearing_ltp_age_16to20">'Table1-2'!$AK$34</definedName>
    <definedName name="sped_home_diffhearing_ltp_age_21to25">'Table1-2'!$AM$34</definedName>
    <definedName name="sped_home_diffhearing_ltp_age_5to10">'Table1-2'!$AG$34</definedName>
    <definedName name="sped_home_diffmob_age_11to15">'Table1-2'!$Q$39</definedName>
    <definedName name="sped_home_diffmob_age_16to20">'Table1-2'!$S$39</definedName>
    <definedName name="sped_home_diffmob_age_21to25">'Table1-2'!$U$39</definedName>
    <definedName name="sped_home_diffmob_age_5to10">'Table1-2'!$O$39</definedName>
    <definedName name="sped_home_diffmob_gp_ktog6">'Table1-2'!$Y$39</definedName>
    <definedName name="sped_home_diffmob_gp_tp">'Table1-2'!$AB$39</definedName>
    <definedName name="sped_home_diffmob_ltp_age_11to15">'Table1-2'!$AI$39</definedName>
    <definedName name="sped_home_diffmob_ltp_age_16to20">'Table1-2'!$AK$39</definedName>
    <definedName name="sped_home_diffmob_ltp_age_21to25">'Table1-2'!$AM$39</definedName>
    <definedName name="sped_home_diffmob_ltp_age_5to10">'Table1-2'!$AG$39</definedName>
    <definedName name="sped_home_diffrcpu_age_11to15">'Table1-2'!$Q$36</definedName>
    <definedName name="sped_home_diffrcpu_age_16to20">'Table1-2'!$S$36</definedName>
    <definedName name="sped_home_diffrcpu_age_21to25">'Table1-2'!$U$36</definedName>
    <definedName name="sped_home_diffrcpu_age_5to10">'Table1-2'!$O$36</definedName>
    <definedName name="sped_home_diffrcpu_gp_ktog6">'Table1-2'!$Y$36</definedName>
    <definedName name="sped_home_diffrcpu_gp_tp">'Table1-2'!$AB$36</definedName>
    <definedName name="sped_home_diffrcpu_ltp_age_11to15">'Table1-2'!$AI$36</definedName>
    <definedName name="sped_home_diffrcpu_ltp_age_16to20">'Table1-2'!$AK$36</definedName>
    <definedName name="sped_home_diffrcpu_ltp_age_21to25">'Table1-2'!$AM$36</definedName>
    <definedName name="sped_home_diffrcpu_ltp_age_5to10">'Table1-2'!$AG$36</definedName>
    <definedName name="sped_home_diffseeing_age_11to15">'Table1-2'!$Q$33</definedName>
    <definedName name="sped_home_diffseeing_age_16to20">'Table1-2'!$S$33</definedName>
    <definedName name="sped_home_diffseeing_age_21to25">'Table1-2'!$U$33</definedName>
    <definedName name="sped_home_diffseeing_age_5to10">'Table1-2'!$O$33</definedName>
    <definedName name="sped_home_diffseeing_gp_ktog6">'Table1-2'!$Y$33</definedName>
    <definedName name="sped_home_diffseeing_gp_tp">'Table1-2'!$AB$33</definedName>
    <definedName name="sped_home_diffseeing_ltp_age_11to15">'Table1-2'!$AI$33</definedName>
    <definedName name="sped_home_diffseeing_ltp_age_16to20">'Table1-2'!$AK$33</definedName>
    <definedName name="sped_home_diffseeing_ltp_age_21to25">'Table1-2'!$AM$33</definedName>
    <definedName name="sped_home_diffseeing_ltp_age_5to10">'Table1-2'!$AG$33</definedName>
    <definedName name="sped_home_ebd_age_11to15">'Table1-2'!$Q$25</definedName>
    <definedName name="sped_home_ebd_age_16to20">'Table1-2'!$S$25</definedName>
    <definedName name="sped_home_ebd_age_21to25">'Table1-2'!$U$25</definedName>
    <definedName name="sped_home_ebd_age_5to10">'Table1-2'!$O$25</definedName>
    <definedName name="sped_home_ebd_gp_ktog6">'Table1-2'!$Y$25</definedName>
    <definedName name="sped_home_ebd_gp_tp">'Table1-2'!$AB$25</definedName>
    <definedName name="sped_home_ebd_ltp_age_11to15">'Table1-2'!$AI$25</definedName>
    <definedName name="sped_home_ebd_ltp_age_16to20">'Table1-2'!$AK$25</definedName>
    <definedName name="sped_home_ebd_ltp_age_21to25">'Table1-2'!$AM$25</definedName>
    <definedName name="sped_home_ebd_ltp_age_5to10">'Table1-2'!$AG$25</definedName>
    <definedName name="sped_home_hi_age_11to15">'Table1-2'!$Q$21</definedName>
    <definedName name="sped_home_hi_age_16to20">'Table1-2'!$S$21</definedName>
    <definedName name="sped_home_hi_age_21to25">'Table1-2'!$U$21</definedName>
    <definedName name="sped_home_hi_age_5to10">'Table1-2'!$O$21</definedName>
    <definedName name="sped_home_hi_gp_ktog6">'Table1-2'!$Y$21</definedName>
    <definedName name="sped_home_hi_gp_tp">'Table1-2'!$AB$21</definedName>
    <definedName name="sped_home_hi_ltp_age_11to15">'Table1-2'!$AI$21</definedName>
    <definedName name="sped_home_hi_ltp_age_16to20">'Table1-2'!$AK$21</definedName>
    <definedName name="sped_home_hi_ltp_age_21to25">'Table1-2'!$AM$21</definedName>
    <definedName name="sped_home_hi_ltp_age_5to10">'Table1-2'!$AG$21</definedName>
    <definedName name="sped_home_id_age_11to15">'Table1-2'!$Q$23</definedName>
    <definedName name="sped_home_id_age_16to20">'Table1-2'!$S$23</definedName>
    <definedName name="sped_home_id_age_21to25">'Table1-2'!$U$23</definedName>
    <definedName name="sped_home_id_age_5to10">'Table1-2'!$O$23</definedName>
    <definedName name="sped_home_id_gp_ktog6">'Table1-2'!$Y$23</definedName>
    <definedName name="sped_home_id_gp_tp">'Table1-2'!$AB$23</definedName>
    <definedName name="sped_home_id_ltp_age_11to15">'Table1-2'!$AI$23</definedName>
    <definedName name="sped_home_id_ltp_age_16to20">'Table1-2'!$AK$23</definedName>
    <definedName name="sped_home_id_ltp_age_21to25">'Table1-2'!$AM$23</definedName>
    <definedName name="sped_home_id_ltp_age_5to10">'Table1-2'!$AG$23</definedName>
    <definedName name="sped_home_ld_age_11to15">'Table1-2'!$Q$22</definedName>
    <definedName name="sped_home_ld_age_16to20">'Table1-2'!$S$22</definedName>
    <definedName name="sped_home_ld_age_21to25">'Table1-2'!$U$22</definedName>
    <definedName name="sped_home_ld_age_5to10">'Table1-2'!$O$22</definedName>
    <definedName name="sped_home_ld_gp_ktog6">'Table1-2'!$Y$22</definedName>
    <definedName name="sped_home_ld_gp_tp">'Table1-2'!$AB$22</definedName>
    <definedName name="sped_home_ld_ltp_age_11to15">'Table1-2'!$AI$22</definedName>
    <definedName name="sped_home_ld_ltp_age_16to20">'Table1-2'!$AK$22</definedName>
    <definedName name="sped_home_ld_ltp_age_21to25">'Table1-2'!$AM$22</definedName>
    <definedName name="sped_home_ld_ltp_age_5to10">'Table1-2'!$AG$22</definedName>
    <definedName name="sped_home_md_age_11to15">'Table1-2'!$Q$31</definedName>
    <definedName name="sped_home_md_age_16to20">'Table1-2'!$S$31</definedName>
    <definedName name="sped_home_md_age_21to25">'Table1-2'!$U$31</definedName>
    <definedName name="sped_home_md_age_5to10">'Table1-2'!$O$31</definedName>
    <definedName name="sped_home_md_gp_ktog6">'Table1-2'!$Y$31</definedName>
    <definedName name="sped_home_md_gp_tp">'Table1-2'!$AB$31</definedName>
    <definedName name="sped_home_md_ltp_age_11to15">'Table1-2'!$AI$31</definedName>
    <definedName name="sped_home_md_ltp_age_16to20">'Table1-2'!$AK$31</definedName>
    <definedName name="sped_home_md_ltp_age_21to25">'Table1-2'!$AM$31</definedName>
    <definedName name="sped_home_md_ltp_age_5to10">'Table1-2'!$AG$31</definedName>
    <definedName name="sped_home_oph_age_11to15">'Table1-2'!$Q$26</definedName>
    <definedName name="sped_home_oph_age_16to20">'Table1-2'!$S$26</definedName>
    <definedName name="sped_home_oph_age_21to25">'Table1-2'!$U$26</definedName>
    <definedName name="sped_home_oph_age_5to10">'Table1-2'!$O$26</definedName>
    <definedName name="sped_home_oph_gp_ktog6">'Table1-2'!$Y$26</definedName>
    <definedName name="sped_home_oph_gp_tp">'Table1-2'!$AB$26</definedName>
    <definedName name="sped_home_oph_ltp_age_11to15">'Table1-2'!$AI$26</definedName>
    <definedName name="sped_home_oph_ltp_age_16to20">'Table1-2'!$AK$26</definedName>
    <definedName name="sped_home_oph_ltp_age_21to25">'Table1-2'!$AM$26</definedName>
    <definedName name="sped_home_oph_ltp_age_5to10">'Table1-2'!$AG$26</definedName>
    <definedName name="sped_home_sld_age_11to15">'Table1-2'!$Q$27</definedName>
    <definedName name="sped_home_sld_age_16to20">'Table1-2'!$S$27</definedName>
    <definedName name="sped_home_sld_age_21to25">'Table1-2'!$U$27</definedName>
    <definedName name="sped_home_sld_age_5to10">'Table1-2'!$O$27</definedName>
    <definedName name="sped_home_sld_gp_ktog6">'Table1-2'!$Y$27</definedName>
    <definedName name="sped_home_sld_gp_tp">'Table1-2'!$AB$27</definedName>
    <definedName name="sped_home_sld_ltp_age_11to15">'Table1-2'!$AI$27</definedName>
    <definedName name="sped_home_sld_ltp_age_16to20">'Table1-2'!$AK$27</definedName>
    <definedName name="sped_home_sld_ltp_age_21to25">'Table1-2'!$AM$27</definedName>
    <definedName name="sped_home_sld_ltp_age_5to10">'Table1-2'!$AG$27</definedName>
    <definedName name="sped_home_vi_age_11to15">'Table1-2'!$Q$20</definedName>
    <definedName name="sped_home_vi_age_16to20">'Table1-2'!$S$20</definedName>
    <definedName name="sped_home_vi_age_21to25">'Table1-2'!$U$20</definedName>
    <definedName name="sped_home_vi_age_5to10">'Table1-2'!$O$20</definedName>
    <definedName name="sped_home_vi_gp_ktog6">'Table1-2'!$Y$20</definedName>
    <definedName name="sped_home_vi_gp_tp">'Table1-2'!$AB$20</definedName>
    <definedName name="sped_home_vi_ltp_age_11to15">'Table1-2'!$AI$20</definedName>
    <definedName name="sped_home_vi_ltp_age_16to20">'Table1-2'!$AK$20</definedName>
    <definedName name="sped_home_vi_ltp_age_21to25">'Table1-2'!$AM$20</definedName>
    <definedName name="sped_home_vi_ltp_age_5to10">'Table1-2'!$AG$20</definedName>
    <definedName name="sped_hosp_asd_age_11to15">'Table1-2'!$AS$24</definedName>
    <definedName name="sped_hosp_asd_age_16to20">'Table1-2'!$AU$24</definedName>
    <definedName name="sped_hosp_asd_age_21to25">'Table1-2'!$AW$24</definedName>
    <definedName name="sped_hosp_asd_age_5to10">'Table1-2'!$AQ$24</definedName>
    <definedName name="sped_hosp_asd_gp_ktog6">'Table1-2'!$BA$24</definedName>
    <definedName name="sped_hosp_asd_gp_tp">'Table1-2'!$BD$24</definedName>
    <definedName name="sped_hosp_asd_ltp_age_11to15">'Table1-2'!$BK$24</definedName>
    <definedName name="sped_hosp_asd_ltp_age_16to20">'Table1-2'!$BM$24</definedName>
    <definedName name="sped_hosp_asd_ltp_age_21to25">'Table1-2'!$BO$24</definedName>
    <definedName name="sped_hosp_asd_ltp_age_5to10">'Table1-2'!$BI$24</definedName>
    <definedName name="sped_hosp_cancer_age_11to15">'Table1-2'!$AS$30</definedName>
    <definedName name="sped_hosp_cancer_age_16to20">'Table1-2'!$AU$30</definedName>
    <definedName name="sped_hosp_cancer_age_21to25">'Table1-2'!$AW$30</definedName>
    <definedName name="sped_hosp_cancer_age_5to10">'Table1-2'!$AQ$30</definedName>
    <definedName name="sped_hosp_cancer_gp_ktog6">'Table1-2'!$BA$30</definedName>
    <definedName name="sped_hosp_cancer_gp_tp">'Table1-2'!$BD$30</definedName>
    <definedName name="sped_hosp_cancer_ltp_age_11to15">'Table1-2'!$BK$30</definedName>
    <definedName name="sped_hosp_cancer_ltp_age_16to20">'Table1-2'!$BM$30</definedName>
    <definedName name="sped_hosp_cancer_ltp_age_21to25">'Table1-2'!$BO$30</definedName>
    <definedName name="sped_hosp_cancer_ltp_age_5to10">'Table1-2'!$BI$30</definedName>
    <definedName name="sped_hosp_cd_age_11to15">'Table1-2'!$AS$29</definedName>
    <definedName name="sped_hosp_cd_age_16to20">'Table1-2'!$AU$29</definedName>
    <definedName name="sped_hosp_cd_age_21to25">'Table1-2'!$AW$29</definedName>
    <definedName name="sped_hosp_cd_age_5to10">'Table1-2'!$AQ$29</definedName>
    <definedName name="sped_hosp_cd_gp_ktog6">'Table1-2'!$BA$29</definedName>
    <definedName name="sped_hosp_cd_gp_tp">'Table1-2'!$BD$29</definedName>
    <definedName name="sped_hosp_cd_ltp_age_11to15">'Table1-2'!$BK$29</definedName>
    <definedName name="sped_hosp_cd_ltp_age_16to20">'Table1-2'!$BM$29</definedName>
    <definedName name="sped_hosp_cd_ltp_age_21to25">'Table1-2'!$BO$29</definedName>
    <definedName name="sped_hosp_cd_ltp_age_5to10">'Table1-2'!$BI$29</definedName>
    <definedName name="sped_hosp_cp_age_11to15">'Table1-2'!$AS$28</definedName>
    <definedName name="sped_hosp_cp_age_16to20">'Table1-2'!$AU$28</definedName>
    <definedName name="sped_hosp_cp_age_21to25">'Table1-2'!$AW$28</definedName>
    <definedName name="sped_hosp_cp_age_5to10">'Table1-2'!$AQ$28</definedName>
    <definedName name="sped_hosp_cp_gp_ktog6">'Table1-2'!$BA$28</definedName>
    <definedName name="sped_hosp_cp_gp_tp">'Table1-2'!$BD$28</definedName>
    <definedName name="sped_hosp_cp_ltp_age_11to15">'Table1-2'!$BK$28</definedName>
    <definedName name="sped_hosp_cp_ltp_age_16to20">'Table1-2'!$BM$28</definedName>
    <definedName name="sped_hosp_cp_ltp_age_21to25">'Table1-2'!$BO$28</definedName>
    <definedName name="sped_hosp_cp_ltp_age_5to10">'Table1-2'!$BI$28</definedName>
    <definedName name="sped_hosp_ebd_age_11to15">'Table1-2'!$AS$25</definedName>
    <definedName name="sped_hosp_ebd_age_16to20">'Table1-2'!$AU$25</definedName>
    <definedName name="sped_hosp_ebd_age_21to25">'Table1-2'!$AW$25</definedName>
    <definedName name="sped_hosp_ebd_age_5to10">'Table1-2'!$AQ$25</definedName>
    <definedName name="sped_hosp_ebd_gp_ktog6">'Table1-2'!$BA$25</definedName>
    <definedName name="sped_hosp_ebd_gp_tp">'Table1-2'!$BD$25</definedName>
    <definedName name="sped_hosp_ebd_ltp_age_11to15">'Table1-2'!$BK$25</definedName>
    <definedName name="sped_hosp_ebd_ltp_age_16to20">'Table1-2'!$BM$25</definedName>
    <definedName name="sped_hosp_ebd_ltp_age_21to25">'Table1-2'!$BO$25</definedName>
    <definedName name="sped_hosp_ebd_ltp_age_5to10">'Table1-2'!$BI$25</definedName>
    <definedName name="sped_hosp_hi_age_11to15">'Table1-2'!$AS$21</definedName>
    <definedName name="sped_hosp_hi_age_16to20">'Table1-2'!$AU$21</definedName>
    <definedName name="sped_hosp_hi_age_21to25">'Table1-2'!$AW$21</definedName>
    <definedName name="sped_hosp_hi_age_5to10">'Table1-2'!$AQ$21</definedName>
    <definedName name="sped_hosp_hi_gp_ktog6">'Table1-2'!$BA$21</definedName>
    <definedName name="sped_hosp_hi_gp_tp">'Table1-2'!$BD$21</definedName>
    <definedName name="sped_hosp_hi_ltp_age_11to15">'Table1-2'!$BK$21</definedName>
    <definedName name="sped_hosp_hi_ltp_age_16to20">'Table1-2'!$BM$21</definedName>
    <definedName name="sped_hosp_hi_ltp_age_21to25">'Table1-2'!$BO$21</definedName>
    <definedName name="sped_hosp_hi_ltp_age_5to10">'Table1-2'!$BI$21</definedName>
    <definedName name="sped_hosp_id_age_11to15">'Table1-2'!$AS$23</definedName>
    <definedName name="sped_hosp_id_age_16to20">'Table1-2'!$AU$23</definedName>
    <definedName name="sped_hosp_id_age_21to25">'Table1-2'!$AW$23</definedName>
    <definedName name="sped_hosp_id_age_5to10">'Table1-2'!$AQ$23</definedName>
    <definedName name="sped_hosp_id_gp_ktog6">'Table1-2'!$BA$23</definedName>
    <definedName name="sped_hosp_id_gp_tp">'Table1-2'!$BD$23</definedName>
    <definedName name="sped_hosp_id_ltp_age_11to15">'Table1-2'!$BK$23</definedName>
    <definedName name="sped_hosp_id_ltp_age_16to20">'Table1-2'!$BM$23</definedName>
    <definedName name="sped_hosp_id_ltp_age_21to25">'Table1-2'!$BO$23</definedName>
    <definedName name="sped_hosp_id_ltp_age_5to10">'Table1-2'!$BI$23</definedName>
    <definedName name="sped_hosp_ld_age_11to15">'Table1-2'!$AS$22</definedName>
    <definedName name="sped_hosp_ld_age_16to20">'Table1-2'!$AU$22</definedName>
    <definedName name="sped_hosp_ld_age_21to25">'Table1-2'!$AW$22</definedName>
    <definedName name="sped_hosp_ld_age_5to10">'Table1-2'!$AQ$22</definedName>
    <definedName name="sped_hosp_ld_gp_ktog6">'Table1-2'!$BA$22</definedName>
    <definedName name="sped_hosp_ld_gp_tp">'Table1-2'!$BD$22</definedName>
    <definedName name="sped_hosp_ld_ltp_age_11to15">'Table1-2'!$BK$22</definedName>
    <definedName name="sped_hosp_ld_ltp_age_16to20">'Table1-2'!$BM$22</definedName>
    <definedName name="sped_hosp_ld_ltp_age_21to25">'Table1-2'!$BO$22</definedName>
    <definedName name="sped_hosp_ld_ltp_age_5to10">'Table1-2'!$BI$22</definedName>
    <definedName name="sped_hosp_md_age_11to15">'Table1-2'!$AS$31</definedName>
    <definedName name="sped_hosp_md_age_16to20">'Table1-2'!$AU$31</definedName>
    <definedName name="sped_hosp_md_age_21to25">'Table1-2'!$AW$31</definedName>
    <definedName name="sped_hosp_md_age_5to10">'Table1-2'!$AQ$31</definedName>
    <definedName name="sped_hosp_md_gp_ktog6">'Table1-2'!$BA$31</definedName>
    <definedName name="sped_hosp_md_gp_tp">'Table1-2'!$BD$31</definedName>
    <definedName name="sped_hosp_md_ltp_age_11to15">'Table1-2'!$BK$31</definedName>
    <definedName name="sped_hosp_md_ltp_age_16to20">'Table1-2'!$BM$31</definedName>
    <definedName name="sped_hosp_md_ltp_age_21to25">'Table1-2'!$BO$31</definedName>
    <definedName name="sped_hosp_md_ltp_age_5to10">'Table1-2'!$BI$31</definedName>
    <definedName name="sped_hosp_oph_age_11to15">'Table1-2'!$AS$26</definedName>
    <definedName name="sped_hosp_oph_age_16to20">'Table1-2'!$AU$26</definedName>
    <definedName name="sped_hosp_oph_age_21to25">'Table1-2'!$AW$26</definedName>
    <definedName name="sped_hosp_oph_age_5to10">'Table1-2'!$AQ$26</definedName>
    <definedName name="sped_hosp_oph_gp_ktog6">'Table1-2'!$BA$26</definedName>
    <definedName name="sped_hosp_oph_gp_tp">'Table1-2'!$BD$26</definedName>
    <definedName name="sped_hosp_oph_ltp_age_11to15">'Table1-2'!$BK$26</definedName>
    <definedName name="sped_hosp_oph_ltp_age_16to20">'Table1-2'!$BM$26</definedName>
    <definedName name="sped_hosp_oph_ltp_age_21to25">'Table1-2'!$BO$26</definedName>
    <definedName name="sped_hosp_oph_ltp_age_5to10">'Table1-2'!$BI$26</definedName>
    <definedName name="sped_hosp_sld_age_11to15">'Table1-2'!$AS$27</definedName>
    <definedName name="sped_hosp_sld_age_16to20">'Table1-2'!$AU$27</definedName>
    <definedName name="sped_hosp_sld_age_21to25">'Table1-2'!$AW$27</definedName>
    <definedName name="sped_hosp_sld_age_5to10">'Table1-2'!$AQ$27</definedName>
    <definedName name="sped_hosp_sld_gp_ktog6">'Table1-2'!$BA$27</definedName>
    <definedName name="sped_hosp_sld_gp_tp">'Table1-2'!$BD$27</definedName>
    <definedName name="sped_hosp_sld_ltp_age_11to15">'Table1-2'!$BK$27</definedName>
    <definedName name="sped_hosp_sld_ltp_age_16to20">'Table1-2'!$BM$27</definedName>
    <definedName name="sped_hosp_sld_ltp_age_21to25">'Table1-2'!$BO$27</definedName>
    <definedName name="sped_hosp_sld_ltp_age_5to10">'Table1-2'!$BI$27</definedName>
    <definedName name="sped_hosp_vi_age_11to15">'Table1-2'!$AS$20</definedName>
    <definedName name="sped_hosp_vi_age_16to20">'Table1-2'!$AU$20</definedName>
    <definedName name="sped_hosp_vi_age_21to25">'Table1-2'!$AW$20</definedName>
    <definedName name="sped_hosp_vi_age_5to10">'Table1-2'!$AQ$20</definedName>
    <definedName name="sped_hosp_vi_gp_ktog6">'Table1-2'!$BA$20</definedName>
    <definedName name="sped_hosp_vi_gp_tp">'Table1-2'!$BD$20</definedName>
    <definedName name="sped_hosp_vi_ltp_age_11to15">'Table1-2'!$BK$20</definedName>
    <definedName name="sped_hosp_vi_ltp_age_16to20">'Table1-2'!$BM$20</definedName>
    <definedName name="sped_hosp_vi_ltp_age_21to25">'Table1-2'!$BO$20</definedName>
    <definedName name="sped_hosp_vi_ltp_age_5to10">'Table1-2'!$BI$20</definedName>
    <definedName name="sses_f_g1">'Table1-2'!$Y$9</definedName>
    <definedName name="sses_f_g2">'Table1-2'!$AE$9</definedName>
    <definedName name="sses_f_g3">'Table1-2'!$AK$9</definedName>
    <definedName name="sses_f_g4">'Table1-2'!$AQ$9</definedName>
    <definedName name="sses_f_g5">'Table1-2'!$AW$9</definedName>
    <definedName name="sses_f_g6">'Table1-2'!$BC$9</definedName>
    <definedName name="sses_m_g1">'Table1-2'!$V$9</definedName>
    <definedName name="sses_m_g2">'Table1-2'!$AB$9</definedName>
    <definedName name="sses_m_g3">'Table1-2'!$AH$9</definedName>
    <definedName name="sses_m_g4">'Table1-2'!$AN$9</definedName>
    <definedName name="sses_m_g5">'Table1-2'!$AT$9</definedName>
    <definedName name="sses_m_g6">'Table1-2'!$AZ$9</definedName>
    <definedName name="store_win_100m_frsch_sell_tobacco">'Box16'!$AJ$10</definedName>
    <definedName name="store_win_100m_frsch_sell_vape_ecig">'Box16'!$AJ$11</definedName>
    <definedName name="teach_assign_mt1_fullt_ancilliary">'Tables12-13'!$AH$10</definedName>
    <definedName name="teach_assign_mt1_fullt_ancilliary_addload">'Tables12-13'!$P$10</definedName>
    <definedName name="teach_assign_mt1_fullt_noancilliary">'Tables12-13'!$J$10</definedName>
    <definedName name="teach_assign_mt1_part_ancilliary_200min">'Tables12-13'!$V$10</definedName>
    <definedName name="teach_assign_mt1_part_ancilliary_less200min">'Tables12-13'!$AB$10</definedName>
    <definedName name="teach_assign_mt2_fullt_ancilliary">'Tables12-13'!$AH$9</definedName>
    <definedName name="teach_assign_mt2_fullt_ancilliary_addload">'Tables12-13'!$P$9</definedName>
    <definedName name="teach_assign_mt2_fullt_noancilliary">'Tables12-13'!$J$9</definedName>
    <definedName name="teach_assign_mt2_part_ancilliary_200min">'Tables12-13'!$V$9</definedName>
    <definedName name="teach_assign_mt2_part_ancilliary_less200min">'Tables12-13'!$AB$9</definedName>
    <definedName name="teach_assign_mt3_fullt_ancilliary">'Tables12-13'!$AH$8</definedName>
    <definedName name="teach_assign_mt3_fullt_ancilliary_addload">'Tables12-13'!$P$8</definedName>
    <definedName name="teach_assign_mt3_fullt_noancilliary">'Tables12-13'!$J$8</definedName>
    <definedName name="teach_assign_mt3_part_ancilliary_200min">'Tables12-13'!$V$8</definedName>
    <definedName name="teach_assign_mt3_part_ancilliary_less200min">'Tables12-13'!$AB$8</definedName>
    <definedName name="teach_assign_mt4_fullt_ancilliary">'Tables12-13'!$AH$7</definedName>
    <definedName name="teach_assign_mt4_fullt_ancilliary_addload">'Tables12-13'!$P$7</definedName>
    <definedName name="teach_assign_mt4_fullt_noancilliary">'Tables12-13'!$J$7</definedName>
    <definedName name="teach_assign_mt4_part_ancilliary_200min">'Tables12-13'!$V$7</definedName>
    <definedName name="teach_assign_mt4_part_ancilliary_less200min">'Tables12-13'!$AB$7</definedName>
    <definedName name="teach_assign_spedt1_fullt_ancilliary">'Tables12-13'!$AH$18</definedName>
    <definedName name="teach_assign_spedt1_fullt_ancilliary_addload">'Tables12-13'!$P$18</definedName>
    <definedName name="teach_assign_spedt1_fullt_noancilliary">'Tables12-13'!$J$18</definedName>
    <definedName name="teach_assign_spedt1_part_ancilliary_200min">'Tables12-13'!$V$18</definedName>
    <definedName name="teach_assign_spedt1_part_ancilliary_less200min">'Tables12-13'!$AB$18</definedName>
    <definedName name="teach_assign_spedt2_fullt_ancilliary">'Tables12-13'!$AH$17</definedName>
    <definedName name="teach_assign_spedt2_fullt_ancilliary_addload">'Tables12-13'!$P$17</definedName>
    <definedName name="teach_assign_spedt2_fullt_noancilliary">'Tables12-13'!$J$17</definedName>
    <definedName name="teach_assign_spedt2_part_ancilliary_200min">'Tables12-13'!$V$17</definedName>
    <definedName name="teach_assign_spedt2_part_ancilliary_less200min">'Tables12-13'!$AB$17</definedName>
    <definedName name="teach_assign_spedt3_fullt_ancilliary">'Tables12-13'!$AH$16</definedName>
    <definedName name="teach_assign_spedt3_fullt_ancilliary_addload">'Tables12-13'!$P$16</definedName>
    <definedName name="teach_assign_spedt3_fullt_noancilliary">'Tables12-13'!$J$16</definedName>
    <definedName name="teach_assign_spedt3_part_ancilliary_200min">'Tables12-13'!$V$16</definedName>
    <definedName name="teach_assign_spedt3_part_ancilliary_less200min">'Tables12-13'!$AB$16</definedName>
    <definedName name="teach_assign_spedt4_fullt_ancilliary">'Tables12-13'!$AH$15</definedName>
    <definedName name="teach_assign_spedt4_fullt_ancilliary_addload">'Tables12-13'!$P$15</definedName>
    <definedName name="teach_assign_spedt4_fullt_noancilliary">'Tables12-13'!$J$15</definedName>
    <definedName name="teach_assign_spedt4_part_ancilliary_200min">'Tables12-13'!$V$15</definedName>
    <definedName name="teach_assign_spedt4_part_ancilliary_less200min">'Tables12-13'!$AB$15</definedName>
    <definedName name="teach_assign_spedt5_fullt_ancilliary">'Tables12-13'!$AH$14</definedName>
    <definedName name="teach_assign_spedt5_fullt_ancilliary_addload">'Tables12-13'!$P$14</definedName>
    <definedName name="teach_assign_spedt5_fullt_noancilliary">'Tables12-13'!$J$14</definedName>
    <definedName name="teach_assign_spedt5_part_ancilliary_200min">'Tables12-13'!$V$14</definedName>
    <definedName name="teach_assign_spedt5_part_ancilliary_less200min">'Tables12-13'!$AB$14</definedName>
    <definedName name="teach_assign_t1_fullt_ancilliary">'Tables12-13'!$AH$13</definedName>
    <definedName name="teach_assign_t1_fullt_ancilliary_addload">'Tables12-13'!$P$13</definedName>
    <definedName name="teach_assign_t1_fullt_noancilliary">'Tables12-13'!$J$13</definedName>
    <definedName name="teach_assign_t1_part_ancilliary_200min">'Tables12-13'!$V$13</definedName>
    <definedName name="teach_assign_t1_part_ancilliary_less200min">'Tables12-13'!$AB$13</definedName>
    <definedName name="teach_assign_t2_fullt_ancilliary">'Tables12-13'!$AH$12</definedName>
    <definedName name="teach_assign_t2_fullt_ancilliary_addload">'Tables12-13'!$P$12</definedName>
    <definedName name="teach_assign_t2_fullt_noancilliary">'Tables12-13'!$J$12</definedName>
    <definedName name="teach_assign_t2_part_ancilliary_200min">'Tables12-13'!$V$12</definedName>
    <definedName name="teach_assign_t2_part_ancilliary_less200min">'Tables12-13'!$AB$12</definedName>
    <definedName name="teach_assign_t3_fullt_ancilliary">'Tables12-13'!$AH$11</definedName>
    <definedName name="teach_assign_t3_fullt_ancilliary_addload">'Tables12-13'!$P$11</definedName>
    <definedName name="teach_assign_t3_fullt_noancilliary">'Tables12-13'!$J$11</definedName>
    <definedName name="teach_assign_t3_part_ancilliary_200min">'Tables12-13'!$V$11</definedName>
    <definedName name="teach_assign_t3_part_ancilliary_less200min">'Tables12-13'!$AB$11</definedName>
    <definedName name="teach_received_trainings_hardware_grade1to6_f">'Tables14-15'!$X$10</definedName>
    <definedName name="teach_received_trainings_hardware_grade1to6_m">'Tables14-15'!$U$10</definedName>
    <definedName name="teach_received_trainings_hardware_kinder_f">'Tables14-15'!$O$10</definedName>
    <definedName name="teach_received_trainings_hardware_kinder_m">'Tables14-15'!$L$10</definedName>
    <definedName name="teach_received_trainings_ictintegration_gr1to6_f">'Tables14-15'!$X$7</definedName>
    <definedName name="teach_received_trainings_ictintegration_gr1to6_m">'Tables14-15'!$U$7</definedName>
    <definedName name="teach_received_trainings_ictintegration_kinder_f">'Tables14-15'!$O$7</definedName>
    <definedName name="teach_received_trainings_ictintegration_kinder_m">'Tables14-15'!$L$7</definedName>
    <definedName name="teach_received_trainings_ictliteracy_gr1to6_f">'Tables14-15'!$X$8</definedName>
    <definedName name="teach_received_trainings_ictliteracy_gr1to6_m">'Tables14-15'!$U$8</definedName>
    <definedName name="teach_received_trainings_ictliteracy_kinder_f">'Tables14-15'!$O$8</definedName>
    <definedName name="teach_received_trainings_ictliteracy_kinder_m">'Tables14-15'!$L$8</definedName>
    <definedName name="teach_received_trainings_mtI_f">'Tables12-13'!$P$32</definedName>
    <definedName name="teach_received_trainings_mtI_m">'Tables12-13'!$J$32</definedName>
    <definedName name="teach_received_trainings_mtII_f">'Tables12-13'!$P$31</definedName>
    <definedName name="teach_received_trainings_mtII_m">'Tables12-13'!$J$31</definedName>
    <definedName name="teach_received_trainings_mtIII_f">'Tables12-13'!$P$30</definedName>
    <definedName name="teach_received_trainings_mtIII_m">'Tables12-13'!$J$30</definedName>
    <definedName name="teach_received_trainings_mtIV_f">'Tables12-13'!$P$29</definedName>
    <definedName name="teach_received_trainings_mtIV_m">'Tables12-13'!$J$29</definedName>
    <definedName name="teach_received_trainings_others_grade1to6_f">'Tables14-15'!$X$11</definedName>
    <definedName name="teach_received_trainings_others_grade1to6_m">'Tables14-15'!$U$11</definedName>
    <definedName name="teach_received_trainings_others_kinder_f">'Tables14-15'!$O$11</definedName>
    <definedName name="teach_received_trainings_others_kinder_m">'Tables14-15'!$L$11</definedName>
    <definedName name="teach_received_trainings_pedagogy_collaborative_gr1to6_f">'Tables14-15'!$X$30</definedName>
    <definedName name="teach_received_trainings_pedagogy_collaborative_gr1to6_m">'Tables14-15'!$U$30</definedName>
    <definedName name="teach_received_trainings_pedagogy_collaborative_k_f">'Tables14-15'!$O$30</definedName>
    <definedName name="teach_received_trainings_pedagogy_collaborative_k_m">'Tables14-15'!$L$30</definedName>
    <definedName name="teach_received_trainings_pedagogy_constructivist_gr1to6_f">'Tables14-15'!$X$27</definedName>
    <definedName name="teach_received_trainings_pedagogy_constructivist_gr1to6_m">'Tables14-15'!$U$27</definedName>
    <definedName name="teach_received_trainings_pedagogy_constructivist_k_f">'Tables14-15'!$O$27</definedName>
    <definedName name="teach_received_trainings_pedagogy_constructivist_k_m">'Tables14-15'!$L$27</definedName>
    <definedName name="teach_received_trainings_pedagogy_inclusiveeduc_gr1to6_f">'Tables14-15'!$X$32</definedName>
    <definedName name="teach_received_trainings_pedagogy_inclusiveeduc_gr1to6_m">'Tables14-15'!$U$32</definedName>
    <definedName name="teach_received_trainings_pedagogy_inclusiveeduc_k_f">'Tables14-15'!$O$32</definedName>
    <definedName name="teach_received_trainings_pedagogy_inclusiveeduc_k_m">'Tables14-15'!$L$32</definedName>
    <definedName name="teach_received_trainings_pedagogy_inquirybased_gr1to6_f">'Tables14-15'!$X$28</definedName>
    <definedName name="teach_received_trainings_pedagogy_inquirybased_gr1to6_m">'Tables14-15'!$U$28</definedName>
    <definedName name="teach_received_trainings_pedagogy_inquirybased_k_f">'Tables14-15'!$O$28</definedName>
    <definedName name="teach_received_trainings_pedagogy_inquirybased_k_m">'Tables14-15'!$L$28</definedName>
    <definedName name="teach_received_trainings_pedagogy_integrative_gr1to6_f">'Tables14-15'!$X$31</definedName>
    <definedName name="teach_received_trainings_pedagogy_integrative_gr1to6_m">'Tables14-15'!$U$31</definedName>
    <definedName name="teach_received_trainings_pedagogy_integrative_k_f">'Tables14-15'!$O$31</definedName>
    <definedName name="teach_received_trainings_pedagogy_integrative_k_m">'Tables14-15'!$L$31</definedName>
    <definedName name="teach_received_trainings_pedagogy_others_gr1to6_f">'Tables14-15'!$X$33</definedName>
    <definedName name="teach_received_trainings_pedagogy_others_gr1to6_m">'Tables14-15'!$U$33</definedName>
    <definedName name="teach_received_trainings_pedagogy_others_k_f">'Tables14-15'!$O$33</definedName>
    <definedName name="teach_received_trainings_pedagogy_others_k_m">'Tables14-15'!$L$33</definedName>
    <definedName name="teach_received_trainings_pedagogy_reflective_gr1to6_f">'Tables14-15'!$X$29</definedName>
    <definedName name="teach_received_trainings_pedagogy_reflective_gr1to6_m">'Tables14-15'!$U$29</definedName>
    <definedName name="teach_received_trainings_pedagogy_reflective_k_f">'Tables14-15'!$O$29</definedName>
    <definedName name="teach_received_trainings_pedagogy_reflective_k_m">'Tables14-15'!$L$29</definedName>
    <definedName name="teach_received_trainings_software_grade1to6_f">'Tables14-15'!$X$9</definedName>
    <definedName name="teach_received_trainings_software_grade1to6_m">'Tables14-15'!$U$9</definedName>
    <definedName name="teach_received_trainings_software_kinder_f">'Tables14-15'!$O$9</definedName>
    <definedName name="teach_received_trainings_software_kinder_m">'Tables14-15'!$L$9</definedName>
    <definedName name="teach_received_trainings_spedI_f">'Tables12-13'!$P$40</definedName>
    <definedName name="teach_received_trainings_spedI_m">'Tables12-13'!$J$40</definedName>
    <definedName name="teach_received_trainings_spedII_f">'Tables12-13'!$P$39</definedName>
    <definedName name="teach_received_trainings_spedII_m">'Tables12-13'!$J$39</definedName>
    <definedName name="teach_received_trainings_spedIII_f">'Tables12-13'!$P$38</definedName>
    <definedName name="teach_received_trainings_spedIII_m">'Tables12-13'!$J$38</definedName>
    <definedName name="teach_received_trainings_spedIV_f">'Tables12-13'!$P$37</definedName>
    <definedName name="teach_received_trainings_spedIV_m">'Tables12-13'!$J$37</definedName>
    <definedName name="teach_received_trainings_spedV_f">'Tables12-13'!$P$36</definedName>
    <definedName name="teach_received_trainings_spedV_m">'Tables12-13'!$J$36</definedName>
    <definedName name="teach_received_trainings_tI_f">'Tables12-13'!$P$35</definedName>
    <definedName name="teach_received_trainings_tI_m">'Tables12-13'!$J$35</definedName>
    <definedName name="teach_received_trainings_tII_f">'Tables12-13'!$P$34</definedName>
    <definedName name="teach_received_trainings_tII_m">'Tables12-13'!$J$34</definedName>
    <definedName name="teach_received_trainings_tIII_f">'Tables12-13'!$P$33</definedName>
    <definedName name="teach_received_trainings_tIII_m">'Tables12-13'!$J$33</definedName>
    <definedName name="teacher_identify_needs_more_resources_depedtv_ap">'Table26-Box7'!$AH$38</definedName>
    <definedName name="teacher_identify_needs_more_resources_depedtv_english">'Table26-Box7'!$AH$33</definedName>
    <definedName name="teacher_identify_needs_more_resources_depedtv_esp">'Table26-Box7'!$AQ$33</definedName>
    <definedName name="teacher_identify_needs_more_resources_depedtv_filipino">'Table26-Box7'!$AH$35</definedName>
    <definedName name="teacher_identify_needs_more_resources_depedtv_mapeh">'Table26-Box7'!$AQ$35</definedName>
    <definedName name="teacher_identify_needs_more_resources_depedtv_math">'Table26-Box7'!$AH$34</definedName>
    <definedName name="teacher_identify_needs_more_resources_depedtv_others">'Table26-Box7'!$AQ$36</definedName>
    <definedName name="teacher_identify_needs_more_resources_depedtv_others_specify">'Table26-Box7'!$AV$36</definedName>
    <definedName name="teacher_identify_needs_more_resources_depedtv_science">'Table26-Box7'!$AH$36</definedName>
    <definedName name="teacher_identify_needs_more_resources_depedtv_tle">'Table26-Box7'!$AQ$34</definedName>
    <definedName name="teacher_method_for_depedtv_broadcasttv">'Table26-Box7'!$AH$28</definedName>
    <definedName name="teacher_method_for_depedtv_downloaded">'Table26-Box7'!$AQ$29</definedName>
    <definedName name="teacher_method_for_depedtv_facebook">'Table26-Box7'!$AH$29</definedName>
    <definedName name="teacher_method_for_depedtv_youtube">'Table26-Box7'!$AQ$28</definedName>
    <definedName name="teachers_using_depedtv_frequent_f">'Table26-Box7'!$O$30</definedName>
    <definedName name="teachers_using_depedtv_frequent_m">'Table26-Box7'!$J$30</definedName>
    <definedName name="teachers_using_depedtv_never_f">'Table26-Box7'!$O$32</definedName>
    <definedName name="teachers_using_depedtv_never_m">'Table26-Box7'!$J$32</definedName>
    <definedName name="teachers_using_depedtv_seldom_f">'Table26-Box7'!$O$31</definedName>
    <definedName name="teachers_using_depedtv_seldom_m">'Table26-Box7'!$J$31</definedName>
    <definedName name="V">list!$F$2:$F$14</definedName>
    <definedName name="VI">list!$G$2:$G$22</definedName>
    <definedName name="VII">list!$H$2:$H$20</definedName>
    <definedName name="VIII">list!$I$2:$I$14</definedName>
    <definedName name="X">list!$K$2:$K$15</definedName>
    <definedName name="XI">list!$L$2:$L$12</definedName>
    <definedName name="XII">list!$M$2:$M$9</definedName>
  </definedNames>
  <calcPr calcId="191029"/>
</workbook>
</file>

<file path=xl/calcChain.xml><?xml version="1.0" encoding="utf-8"?>
<calcChain xmlns="http://schemas.openxmlformats.org/spreadsheetml/2006/main">
  <c r="E2285" i="464" l="1" a="1"/>
  <c r="E2285" i="464" s="1"/>
  <c r="E2282" i="464" a="1"/>
  <c r="E2282" i="464" s="1"/>
  <c r="E2257" i="464" a="1"/>
  <c r="E2257" i="464" s="1"/>
  <c r="E2254" i="464" a="1"/>
  <c r="E2254" i="464" s="1"/>
  <c r="E2271" i="464" a="1"/>
  <c r="E2271" i="464" s="1"/>
  <c r="E2272" i="464" a="1"/>
  <c r="E2272" i="464" s="1"/>
  <c r="E2243" i="464" a="1"/>
  <c r="E2243" i="464" s="1"/>
  <c r="E2268" i="464" a="1"/>
  <c r="E2268" i="464" s="1"/>
  <c r="E2240" i="464" a="1"/>
  <c r="E2240" i="464" s="1"/>
  <c r="B20" i="370"/>
  <c r="BD41" i="336"/>
  <c r="AB41" i="336"/>
  <c r="E1746" i="464"/>
  <c r="E1745" i="464"/>
  <c r="E1741" i="464"/>
  <c r="E1740" i="464"/>
  <c r="E1736" i="464"/>
  <c r="E1735" i="464"/>
  <c r="E1731" i="464"/>
  <c r="E1730" i="464"/>
  <c r="E1726" i="464"/>
  <c r="E1725" i="464"/>
  <c r="E1721" i="464"/>
  <c r="E1720" i="464"/>
  <c r="E1716" i="464"/>
  <c r="E1715" i="464"/>
  <c r="E1711" i="464"/>
  <c r="E1710" i="464"/>
  <c r="E1706" i="464"/>
  <c r="E1705" i="464"/>
  <c r="E1701" i="464"/>
  <c r="E1700" i="464"/>
  <c r="E1695" i="464"/>
  <c r="E1690" i="464"/>
  <c r="E1685" i="464"/>
  <c r="E1680" i="464"/>
  <c r="E1675" i="464"/>
  <c r="E1670" i="464"/>
  <c r="E1665" i="464"/>
  <c r="E1660" i="464"/>
  <c r="E1655" i="464"/>
  <c r="E1650" i="464"/>
  <c r="E1645" i="464"/>
  <c r="E1640" i="464"/>
  <c r="E1635" i="464"/>
  <c r="E1630" i="464"/>
  <c r="E1625" i="464"/>
  <c r="E1620" i="464"/>
  <c r="E1615" i="464"/>
  <c r="E1610" i="464"/>
  <c r="E1609" i="464"/>
  <c r="E1608" i="464"/>
  <c r="E1605" i="464"/>
  <c r="E1604" i="464"/>
  <c r="E1603" i="464"/>
  <c r="E1600" i="464"/>
  <c r="E1599" i="464"/>
  <c r="E1598" i="464"/>
  <c r="E1595" i="464"/>
  <c r="E1594" i="464"/>
  <c r="E1593" i="464"/>
  <c r="E1590" i="464"/>
  <c r="E1589" i="464"/>
  <c r="E1588" i="464"/>
  <c r="E1585" i="464"/>
  <c r="E1584" i="464"/>
  <c r="E1583" i="464"/>
  <c r="E1580" i="464"/>
  <c r="E1579" i="464"/>
  <c r="E1578" i="464"/>
  <c r="E1575" i="464"/>
  <c r="E1574" i="464"/>
  <c r="E1573" i="464"/>
  <c r="E1570" i="464"/>
  <c r="E1569" i="464"/>
  <c r="E1568" i="464"/>
  <c r="E1560" i="464"/>
  <c r="E1561" i="464"/>
  <c r="E1562" i="464"/>
  <c r="E1563" i="464"/>
  <c r="E1564" i="464"/>
  <c r="E1565" i="464"/>
  <c r="E1566" i="464"/>
  <c r="E1567" i="464"/>
  <c r="E1571" i="464"/>
  <c r="E1572" i="464"/>
  <c r="E1576" i="464"/>
  <c r="E1577" i="464"/>
  <c r="E1581" i="464"/>
  <c r="E1582" i="464"/>
  <c r="E1586" i="464"/>
  <c r="E1587" i="464"/>
  <c r="E1591" i="464"/>
  <c r="E1592" i="464"/>
  <c r="E1596" i="464"/>
  <c r="E1597" i="464"/>
  <c r="E1601" i="464"/>
  <c r="E1602" i="464"/>
  <c r="E1606" i="464"/>
  <c r="E1607" i="464"/>
  <c r="E1559" i="464"/>
  <c r="E1557" i="464"/>
  <c r="E1551" i="464"/>
  <c r="E1550" i="464"/>
  <c r="E1548" i="464"/>
  <c r="E1542" i="464"/>
  <c r="E1541" i="464"/>
  <c r="E1539" i="464"/>
  <c r="E1533" i="464"/>
  <c r="E1532" i="464"/>
  <c r="E1530" i="464"/>
  <c r="E1524" i="464"/>
  <c r="E1523" i="464"/>
  <c r="E1521" i="464"/>
  <c r="E1515" i="464"/>
  <c r="E1514" i="464"/>
  <c r="E1512" i="464"/>
  <c r="E1506" i="464"/>
  <c r="E1505" i="464"/>
  <c r="E1504" i="464"/>
  <c r="E1503" i="464"/>
  <c r="E1502" i="464"/>
  <c r="E1501" i="464"/>
  <c r="E1495" i="464"/>
  <c r="E1494" i="464"/>
  <c r="E1493" i="464"/>
  <c r="E1492" i="464"/>
  <c r="E1491" i="464"/>
  <c r="E1490" i="464"/>
  <c r="E1489" i="464"/>
  <c r="E1488" i="464"/>
  <c r="E1487" i="464"/>
  <c r="E1486" i="464"/>
  <c r="BA41" i="336" l="1"/>
  <c r="Y41" i="336"/>
  <c r="BO41" i="336"/>
  <c r="BM41" i="336"/>
  <c r="BK41" i="336"/>
  <c r="BI41" i="336"/>
  <c r="BC41" i="336"/>
  <c r="AW41" i="336"/>
  <c r="AU41" i="336"/>
  <c r="AS41" i="336"/>
  <c r="AQ41" i="336"/>
  <c r="AM41" i="336"/>
  <c r="AK41" i="336"/>
  <c r="AI41" i="336"/>
  <c r="AG41" i="336"/>
  <c r="AA41" i="336"/>
  <c r="U41" i="336"/>
  <c r="S41" i="336"/>
  <c r="Q41" i="336"/>
  <c r="O41" i="336"/>
  <c r="W20" i="336"/>
  <c r="W21" i="336"/>
  <c r="W22" i="336"/>
  <c r="W23" i="336"/>
  <c r="W24" i="336"/>
  <c r="W25" i="336"/>
  <c r="T30" i="379"/>
  <c r="AL25" i="426" l="1"/>
  <c r="T22" i="368"/>
  <c r="E897" i="464" l="1"/>
  <c r="E1032" i="464"/>
  <c r="E1031" i="464"/>
  <c r="E1030" i="464"/>
  <c r="E1029" i="464"/>
  <c r="E1028" i="464"/>
  <c r="E1027" i="464"/>
  <c r="E1026" i="464"/>
  <c r="E1025" i="464"/>
  <c r="E1024" i="464"/>
  <c r="E1023" i="464"/>
  <c r="E1022" i="464"/>
  <c r="E1021" i="464"/>
  <c r="E1020" i="464"/>
  <c r="E1019" i="464"/>
  <c r="E1018" i="464"/>
  <c r="E1017" i="464"/>
  <c r="E1016" i="464"/>
  <c r="E1015" i="464"/>
  <c r="E1014" i="464"/>
  <c r="E1013" i="464"/>
  <c r="E1012" i="464"/>
  <c r="E1011" i="464"/>
  <c r="E1010" i="464"/>
  <c r="E1009" i="464"/>
  <c r="E1008" i="464"/>
  <c r="E1007" i="464"/>
  <c r="E1006" i="464"/>
  <c r="E1005" i="464"/>
  <c r="E1004" i="464"/>
  <c r="E1003" i="464"/>
  <c r="E1002" i="464"/>
  <c r="E1001" i="464"/>
  <c r="E1000" i="464"/>
  <c r="E999" i="464"/>
  <c r="E998" i="464"/>
  <c r="E997" i="464"/>
  <c r="E996" i="464"/>
  <c r="E995" i="464"/>
  <c r="E994" i="464"/>
  <c r="E993" i="464"/>
  <c r="E992" i="464"/>
  <c r="E991" i="464"/>
  <c r="E990" i="464"/>
  <c r="E989" i="464"/>
  <c r="E988" i="464"/>
  <c r="E987" i="464"/>
  <c r="E986" i="464"/>
  <c r="E985" i="464"/>
  <c r="E984" i="464"/>
  <c r="E983" i="464"/>
  <c r="E982" i="464"/>
  <c r="E981" i="464"/>
  <c r="E980" i="464"/>
  <c r="E979" i="464"/>
  <c r="E978" i="464"/>
  <c r="E977" i="464"/>
  <c r="E976" i="464"/>
  <c r="E975" i="464"/>
  <c r="E974" i="464"/>
  <c r="E973" i="464"/>
  <c r="E972" i="464"/>
  <c r="E971" i="464"/>
  <c r="E970" i="464"/>
  <c r="E969" i="464"/>
  <c r="E968" i="464"/>
  <c r="E967" i="464"/>
  <c r="E966" i="464"/>
  <c r="E965" i="464"/>
  <c r="E964" i="464"/>
  <c r="E963" i="464"/>
  <c r="E962" i="464"/>
  <c r="E961" i="464"/>
  <c r="E960" i="464"/>
  <c r="E959" i="464"/>
  <c r="E958" i="464"/>
  <c r="E957" i="464"/>
  <c r="E956" i="464"/>
  <c r="E955" i="464"/>
  <c r="E954" i="464"/>
  <c r="E953" i="464"/>
  <c r="E952" i="464"/>
  <c r="E951" i="464"/>
  <c r="E950" i="464"/>
  <c r="E949" i="464"/>
  <c r="E948" i="464"/>
  <c r="E947" i="464"/>
  <c r="E946" i="464"/>
  <c r="E945" i="464"/>
  <c r="E944" i="464"/>
  <c r="E943" i="464"/>
  <c r="E942" i="464"/>
  <c r="E941" i="464"/>
  <c r="E940" i="464"/>
  <c r="E939" i="464"/>
  <c r="E938" i="464"/>
  <c r="E937" i="464"/>
  <c r="E936" i="464"/>
  <c r="E935" i="464"/>
  <c r="E934" i="464"/>
  <c r="E933" i="464"/>
  <c r="E932" i="464"/>
  <c r="E931" i="464"/>
  <c r="E930" i="464"/>
  <c r="E929" i="464"/>
  <c r="E928" i="464"/>
  <c r="E927" i="464"/>
  <c r="E926" i="464"/>
  <c r="E925" i="464"/>
  <c r="E924" i="464"/>
  <c r="E923" i="464"/>
  <c r="E922" i="464"/>
  <c r="E920" i="464"/>
  <c r="E919" i="464"/>
  <c r="E918" i="464"/>
  <c r="E917" i="464"/>
  <c r="E916" i="464"/>
  <c r="E915" i="464"/>
  <c r="E914" i="464"/>
  <c r="E913" i="464"/>
  <c r="E912" i="464"/>
  <c r="E910" i="464"/>
  <c r="E909" i="464"/>
  <c r="E908" i="464"/>
  <c r="E907" i="464"/>
  <c r="E906" i="464"/>
  <c r="E905" i="464"/>
  <c r="E904" i="464"/>
  <c r="E903" i="464"/>
  <c r="E902" i="464"/>
  <c r="E900" i="464"/>
  <c r="E899" i="464"/>
  <c r="E898" i="464" a="1"/>
  <c r="E898" i="464" s="1"/>
  <c r="E896" i="464"/>
  <c r="E895" i="464"/>
  <c r="E894" i="464"/>
  <c r="E893" i="464"/>
  <c r="E892" i="464"/>
  <c r="AT51" i="291"/>
  <c r="Y53" i="291"/>
  <c r="U51" i="291"/>
  <c r="F53" i="291"/>
  <c r="F51" i="291"/>
  <c r="F53" i="461"/>
  <c r="E43" i="460"/>
  <c r="E35" i="460"/>
  <c r="E20" i="460"/>
  <c r="K52" i="459"/>
  <c r="K45" i="459"/>
  <c r="K29" i="459"/>
  <c r="X28" i="451"/>
  <c r="X24" i="451"/>
  <c r="F24" i="280" l="1"/>
  <c r="F15" i="280"/>
  <c r="C33" i="447"/>
  <c r="AN6" i="298" l="1"/>
  <c r="Z38" i="393"/>
  <c r="Z29" i="393"/>
  <c r="F61" i="392" l="1"/>
  <c r="Z46" i="392"/>
  <c r="R38" i="392"/>
  <c r="Z32" i="392"/>
  <c r="AD20" i="392"/>
  <c r="AG8" i="392"/>
  <c r="E2288" i="464" l="1" a="1"/>
  <c r="E2288" i="464" s="1"/>
  <c r="E2287" i="464" a="1"/>
  <c r="E2287" i="464" s="1"/>
  <c r="E2286" i="464" a="1"/>
  <c r="E2286" i="464" s="1"/>
  <c r="E2284" i="464" a="1"/>
  <c r="E2284" i="464" s="1"/>
  <c r="E2283" i="464" a="1"/>
  <c r="E2283" i="464" s="1"/>
  <c r="E2281" i="464" a="1"/>
  <c r="E2281" i="464" s="1"/>
  <c r="E2280" i="464" a="1"/>
  <c r="E2280" i="464" s="1"/>
  <c r="E2279" i="464" a="1"/>
  <c r="E2279" i="464" s="1"/>
  <c r="E2278" i="464" a="1"/>
  <c r="E2278" i="464" s="1"/>
  <c r="E2277" i="464" a="1"/>
  <c r="E2277" i="464" s="1"/>
  <c r="E2276" i="464" a="1"/>
  <c r="E2276" i="464" s="1"/>
  <c r="E2275" i="464" a="1"/>
  <c r="E2275" i="464" s="1"/>
  <c r="E2274" i="464" a="1"/>
  <c r="E2274" i="464" s="1"/>
  <c r="E2273" i="464" a="1"/>
  <c r="E2273" i="464" s="1"/>
  <c r="E2270" i="464" a="1"/>
  <c r="E2270" i="464" s="1"/>
  <c r="E2269" i="464" a="1"/>
  <c r="E2269" i="464" s="1"/>
  <c r="E2267" i="464" a="1"/>
  <c r="E2267" i="464" s="1"/>
  <c r="E2266" i="464" a="1"/>
  <c r="E2266" i="464" s="1"/>
  <c r="E2265" i="464" a="1"/>
  <c r="E2265" i="464" s="1"/>
  <c r="E2264" i="464" a="1"/>
  <c r="E2264" i="464" s="1"/>
  <c r="E2263" i="464" a="1"/>
  <c r="E2263" i="464" s="1"/>
  <c r="E2262" i="464" a="1"/>
  <c r="E2262" i="464" s="1"/>
  <c r="E2261" i="464" a="1"/>
  <c r="E2261" i="464" s="1"/>
  <c r="E2260" i="464" a="1"/>
  <c r="E2260" i="464" s="1"/>
  <c r="E2259" i="464" a="1"/>
  <c r="E2259" i="464" s="1"/>
  <c r="E2258" i="464" a="1"/>
  <c r="E2258" i="464" s="1"/>
  <c r="E2256" i="464" a="1"/>
  <c r="E2256" i="464" s="1"/>
  <c r="E2255" i="464" a="1"/>
  <c r="E2255" i="464" s="1"/>
  <c r="E2253" i="464" a="1"/>
  <c r="E2253" i="464" s="1"/>
  <c r="E2252" i="464" a="1"/>
  <c r="E2252" i="464" s="1"/>
  <c r="E2251" i="464" a="1"/>
  <c r="E2251" i="464" s="1"/>
  <c r="E2250" i="464" a="1"/>
  <c r="E2250" i="464" s="1"/>
  <c r="E2249" i="464" a="1"/>
  <c r="E2249" i="464" s="1"/>
  <c r="E2248" i="464" a="1"/>
  <c r="E2248" i="464" s="1"/>
  <c r="E2247" i="464" a="1"/>
  <c r="E2247" i="464" s="1"/>
  <c r="E2246" i="464" a="1"/>
  <c r="E2246" i="464" s="1"/>
  <c r="E2245" i="464" a="1"/>
  <c r="E2245" i="464" s="1"/>
  <c r="E2244" i="464" a="1"/>
  <c r="E2244" i="464" s="1"/>
  <c r="E2242" i="464" a="1"/>
  <c r="E2242" i="464" s="1"/>
  <c r="E2241" i="464" a="1"/>
  <c r="E2241" i="464" s="1"/>
  <c r="E2239" i="464" a="1"/>
  <c r="E2239" i="464" s="1"/>
  <c r="E2238" i="464" a="1"/>
  <c r="E2238" i="464" s="1"/>
  <c r="E2237" i="464" a="1"/>
  <c r="E2237" i="464" s="1"/>
  <c r="E2236" i="464" a="1"/>
  <c r="E2236" i="464" s="1"/>
  <c r="E2235" i="464" a="1"/>
  <c r="E2235" i="464" s="1"/>
  <c r="E2234" i="464" a="1"/>
  <c r="E2234" i="464" s="1"/>
  <c r="E2233" i="464" a="1"/>
  <c r="E2233" i="464" s="1"/>
  <c r="BF32" i="291" l="1"/>
  <c r="BC32" i="291"/>
  <c r="BI32" i="291" s="1"/>
  <c r="AZ32" i="291"/>
  <c r="BF31" i="291"/>
  <c r="BC31" i="291"/>
  <c r="AZ31" i="291"/>
  <c r="BF30" i="291"/>
  <c r="BC30" i="291"/>
  <c r="BI30" i="291" s="1"/>
  <c r="AZ30" i="291"/>
  <c r="BF29" i="291"/>
  <c r="BC29" i="291"/>
  <c r="AZ29" i="291"/>
  <c r="BF28" i="291"/>
  <c r="BC28" i="291"/>
  <c r="AZ28" i="291"/>
  <c r="BF27" i="291"/>
  <c r="BC27" i="291"/>
  <c r="AZ27" i="291"/>
  <c r="BF26" i="291"/>
  <c r="BC26" i="291"/>
  <c r="AZ26" i="291"/>
  <c r="BF25" i="291"/>
  <c r="BC25" i="291"/>
  <c r="AZ25" i="291"/>
  <c r="U32" i="291"/>
  <c r="U31" i="291"/>
  <c r="U30" i="291"/>
  <c r="U29" i="291"/>
  <c r="U28" i="291"/>
  <c r="U27" i="291"/>
  <c r="U26" i="291"/>
  <c r="U25" i="291"/>
  <c r="BF22" i="291"/>
  <c r="BC22" i="291"/>
  <c r="BF21" i="291"/>
  <c r="BC21" i="291"/>
  <c r="BF20" i="291"/>
  <c r="BC20" i="291"/>
  <c r="BF19" i="291"/>
  <c r="BC19" i="291"/>
  <c r="BF18" i="291"/>
  <c r="BC18" i="291"/>
  <c r="BF17" i="291"/>
  <c r="BC17" i="291"/>
  <c r="BF16" i="291"/>
  <c r="BC16" i="291"/>
  <c r="BF15" i="291"/>
  <c r="BC15" i="291"/>
  <c r="BF14" i="291"/>
  <c r="BC14" i="291"/>
  <c r="BF13" i="291"/>
  <c r="BC13" i="291"/>
  <c r="BF12" i="291"/>
  <c r="BC12" i="291"/>
  <c r="BF11" i="291"/>
  <c r="BC11" i="291"/>
  <c r="AZ22" i="291"/>
  <c r="AZ21" i="291"/>
  <c r="AZ20" i="291"/>
  <c r="AZ19" i="291"/>
  <c r="AZ18" i="291"/>
  <c r="AZ17" i="291"/>
  <c r="AZ16" i="291"/>
  <c r="AZ15" i="291"/>
  <c r="AZ14" i="291"/>
  <c r="AZ13" i="291"/>
  <c r="AZ12" i="291"/>
  <c r="AZ11" i="291"/>
  <c r="AN22" i="291"/>
  <c r="AN21" i="291"/>
  <c r="AN20" i="291"/>
  <c r="AN19" i="291"/>
  <c r="AN18" i="291"/>
  <c r="AN17" i="291"/>
  <c r="AN16" i="291"/>
  <c r="AN15" i="291"/>
  <c r="AN14" i="291"/>
  <c r="AN13" i="291"/>
  <c r="AN12" i="291"/>
  <c r="AN11" i="291"/>
  <c r="U22" i="291"/>
  <c r="U21" i="291"/>
  <c r="U20" i="291"/>
  <c r="U19" i="291"/>
  <c r="U18" i="291"/>
  <c r="U17" i="291"/>
  <c r="U16" i="291"/>
  <c r="U15" i="291"/>
  <c r="U14" i="291"/>
  <c r="U13" i="291"/>
  <c r="U12" i="291"/>
  <c r="U11" i="291"/>
  <c r="AQ11" i="291" s="1"/>
  <c r="Y30" i="386"/>
  <c r="AM21" i="386"/>
  <c r="AM15" i="386"/>
  <c r="AG10" i="386"/>
  <c r="AF27" i="348"/>
  <c r="Y22" i="348"/>
  <c r="AB33" i="148"/>
  <c r="AQ22" i="368"/>
  <c r="O26" i="368"/>
  <c r="AS16" i="124"/>
  <c r="AP10" i="124"/>
  <c r="AV38" i="379"/>
  <c r="E1749" i="464"/>
  <c r="E1748" i="464"/>
  <c r="E1747" i="464"/>
  <c r="E1744" i="464"/>
  <c r="E1743" i="464"/>
  <c r="E1742" i="464"/>
  <c r="E1739" i="464"/>
  <c r="E1738" i="464"/>
  <c r="E1737" i="464"/>
  <c r="E1734" i="464"/>
  <c r="E1733" i="464"/>
  <c r="E1732" i="464"/>
  <c r="E1729" i="464"/>
  <c r="E1728" i="464"/>
  <c r="E1727" i="464"/>
  <c r="E1724" i="464"/>
  <c r="E1723" i="464"/>
  <c r="E1722" i="464"/>
  <c r="E1719" i="464"/>
  <c r="E1718" i="464"/>
  <c r="E1717" i="464"/>
  <c r="E1714" i="464"/>
  <c r="E1713" i="464"/>
  <c r="E1712" i="464"/>
  <c r="E1709" i="464"/>
  <c r="E1708" i="464"/>
  <c r="E1707" i="464"/>
  <c r="E1704" i="464"/>
  <c r="E1699" i="464"/>
  <c r="E1698" i="464"/>
  <c r="E1697" i="464"/>
  <c r="E1696" i="464"/>
  <c r="E1694" i="464"/>
  <c r="E1693" i="464"/>
  <c r="E1692" i="464"/>
  <c r="E1691" i="464"/>
  <c r="E1689" i="464"/>
  <c r="E1688" i="464"/>
  <c r="E1687" i="464"/>
  <c r="E1686" i="464"/>
  <c r="E1684" i="464"/>
  <c r="E1683" i="464"/>
  <c r="E1682" i="464"/>
  <c r="E1681" i="464"/>
  <c r="E1679" i="464"/>
  <c r="E1678" i="464"/>
  <c r="E1677" i="464"/>
  <c r="E1676" i="464"/>
  <c r="E1674" i="464"/>
  <c r="E1673" i="464"/>
  <c r="E1672" i="464"/>
  <c r="E1671" i="464"/>
  <c r="E1669" i="464"/>
  <c r="E1668" i="464"/>
  <c r="E1667" i="464"/>
  <c r="E1666" i="464"/>
  <c r="E1664" i="464"/>
  <c r="E1663" i="464"/>
  <c r="E1662" i="464"/>
  <c r="E1661" i="464"/>
  <c r="E1659" i="464"/>
  <c r="E1658" i="464"/>
  <c r="E1657" i="464"/>
  <c r="E1656" i="464"/>
  <c r="E1654" i="464"/>
  <c r="E1653" i="464"/>
  <c r="E1652" i="464"/>
  <c r="E1651" i="464"/>
  <c r="E1649" i="464"/>
  <c r="E1639" i="464"/>
  <c r="E1638" i="464"/>
  <c r="E1648" i="464"/>
  <c r="E1647" i="464"/>
  <c r="E1646" i="464"/>
  <c r="E1644" i="464"/>
  <c r="E1643" i="464"/>
  <c r="E1642" i="464"/>
  <c r="E1641" i="464"/>
  <c r="E1637" i="464"/>
  <c r="E1636" i="464"/>
  <c r="E1634" i="464"/>
  <c r="E1633" i="464"/>
  <c r="E1632" i="464"/>
  <c r="E1631" i="464"/>
  <c r="E1629" i="464"/>
  <c r="E1628" i="464"/>
  <c r="E1627" i="464"/>
  <c r="E1626" i="464"/>
  <c r="E1624" i="464"/>
  <c r="E1623" i="464"/>
  <c r="E1622" i="464"/>
  <c r="E1621" i="464"/>
  <c r="BI29" i="291" l="1"/>
  <c r="BI28" i="291"/>
  <c r="BI21" i="291"/>
  <c r="BI17" i="291"/>
  <c r="BI15" i="291"/>
  <c r="BI14" i="291"/>
  <c r="BI13" i="291"/>
  <c r="BI12" i="291"/>
  <c r="BI11" i="291"/>
  <c r="BI19" i="291"/>
  <c r="AQ18" i="291"/>
  <c r="AQ14" i="291"/>
  <c r="AQ22" i="291"/>
  <c r="BI26" i="291"/>
  <c r="BI25" i="291"/>
  <c r="BI27" i="291"/>
  <c r="BI31" i="291"/>
  <c r="BI18" i="291"/>
  <c r="BI20" i="291"/>
  <c r="BI22" i="291"/>
  <c r="AQ15" i="291"/>
  <c r="AQ19" i="291"/>
  <c r="AQ12" i="291"/>
  <c r="AQ16" i="291"/>
  <c r="AQ20" i="291"/>
  <c r="AQ13" i="291"/>
  <c r="AQ17" i="291"/>
  <c r="AQ21" i="291"/>
  <c r="BI16" i="291"/>
  <c r="E1558" i="464"/>
  <c r="E1556" i="464"/>
  <c r="E1555" i="464"/>
  <c r="E1554" i="464"/>
  <c r="E1553" i="464"/>
  <c r="E1552" i="464"/>
  <c r="E1549" i="464"/>
  <c r="E1547" i="464"/>
  <c r="E1546" i="464"/>
  <c r="E1545" i="464"/>
  <c r="E1544" i="464"/>
  <c r="E1543" i="464"/>
  <c r="E1540" i="464"/>
  <c r="E1538" i="464"/>
  <c r="E1537" i="464"/>
  <c r="E1536" i="464"/>
  <c r="E1535" i="464"/>
  <c r="E1534" i="464"/>
  <c r="E1531" i="464"/>
  <c r="E1529" i="464"/>
  <c r="E1528" i="464"/>
  <c r="E1527" i="464"/>
  <c r="E1526" i="464"/>
  <c r="E1525" i="464"/>
  <c r="E1522" i="464"/>
  <c r="E1520" i="464"/>
  <c r="E1519" i="464"/>
  <c r="E1518" i="464"/>
  <c r="E1517" i="464"/>
  <c r="E1516" i="464"/>
  <c r="E1496" i="464" l="1"/>
  <c r="AF9" i="370"/>
  <c r="B31" i="370"/>
  <c r="AF10" i="230"/>
  <c r="O42" i="336"/>
  <c r="AE20" i="336" l="1"/>
  <c r="E31" i="464" l="1"/>
  <c r="AM45" i="455" l="1"/>
  <c r="AM44" i="455"/>
  <c r="AM43" i="455"/>
  <c r="AM42" i="455"/>
  <c r="AM41" i="455"/>
  <c r="R46" i="455"/>
  <c r="R45" i="455"/>
  <c r="R44" i="455"/>
  <c r="R43" i="455"/>
  <c r="R42" i="455"/>
  <c r="R41" i="455"/>
  <c r="AA23" i="453"/>
  <c r="O23" i="453"/>
  <c r="E4703" i="464" l="1"/>
  <c r="E4702" i="464"/>
  <c r="E4695" i="464"/>
  <c r="E4694" i="464"/>
  <c r="E4693" i="464"/>
  <c r="E4692" i="464"/>
  <c r="E4691" i="464"/>
  <c r="E4690" i="464"/>
  <c r="E4689" i="464"/>
  <c r="E4688" i="464"/>
  <c r="E4687" i="464"/>
  <c r="E4686" i="464"/>
  <c r="E4685" i="464"/>
  <c r="E4684" i="464"/>
  <c r="E4683" i="464"/>
  <c r="E4682" i="464"/>
  <c r="E4681" i="464"/>
  <c r="E4680" i="464"/>
  <c r="E4679" i="464"/>
  <c r="E4678" i="464"/>
  <c r="E4669" i="464"/>
  <c r="E4668" i="464"/>
  <c r="E4667" i="464"/>
  <c r="E4666" i="464"/>
  <c r="E4665" i="464"/>
  <c r="E4664" i="464"/>
  <c r="E4663" i="464"/>
  <c r="E4662" i="464"/>
  <c r="E4661" i="464"/>
  <c r="E4660" i="464"/>
  <c r="E4659" i="464"/>
  <c r="E4658" i="464"/>
  <c r="E4657" i="464"/>
  <c r="E4656" i="464"/>
  <c r="E4655" i="464"/>
  <c r="E4654" i="464"/>
  <c r="E4653" i="464"/>
  <c r="E4652" i="464"/>
  <c r="E4651" i="464"/>
  <c r="E4650" i="464"/>
  <c r="E4649" i="464"/>
  <c r="E4648" i="464"/>
  <c r="E4647" i="464"/>
  <c r="E4646" i="464"/>
  <c r="E4645" i="464"/>
  <c r="E4644" i="464"/>
  <c r="E4643" i="464"/>
  <c r="E4642" i="464"/>
  <c r="E4701" i="464"/>
  <c r="E4700" i="464"/>
  <c r="E4699" i="464"/>
  <c r="E4698" i="464"/>
  <c r="E4697" i="464"/>
  <c r="E4696" i="464"/>
  <c r="E4677" i="464"/>
  <c r="E4676" i="464"/>
  <c r="E4675" i="464"/>
  <c r="E4674" i="464"/>
  <c r="E4673" i="464"/>
  <c r="E4672" i="464"/>
  <c r="E4671" i="464"/>
  <c r="E4670" i="464"/>
  <c r="E4641" i="464"/>
  <c r="E4640" i="464"/>
  <c r="E4639" i="464"/>
  <c r="R41" i="426"/>
  <c r="R40" i="426"/>
  <c r="AH53" i="426"/>
  <c r="P36" i="426"/>
  <c r="P33" i="426"/>
  <c r="AJ30" i="426"/>
  <c r="AF30" i="426"/>
  <c r="AQ18" i="426"/>
  <c r="AQ17" i="426"/>
  <c r="AO18" i="426"/>
  <c r="AO17" i="426"/>
  <c r="AM19" i="426"/>
  <c r="AK19" i="426"/>
  <c r="AI19" i="426"/>
  <c r="AG19" i="426"/>
  <c r="AE19" i="426"/>
  <c r="AC19" i="426"/>
  <c r="AA19" i="426"/>
  <c r="Y19" i="426"/>
  <c r="W19" i="426"/>
  <c r="U19" i="426"/>
  <c r="S19" i="426"/>
  <c r="Q19" i="426"/>
  <c r="O19" i="426"/>
  <c r="M19" i="426"/>
  <c r="M40" i="462"/>
  <c r="E4628" i="464"/>
  <c r="E4638" i="464"/>
  <c r="E4637" i="464"/>
  <c r="E4636" i="464"/>
  <c r="E4635" i="464"/>
  <c r="E4634" i="464"/>
  <c r="E4633" i="464"/>
  <c r="E4632" i="464"/>
  <c r="E4631" i="464"/>
  <c r="E4630" i="464"/>
  <c r="E4629" i="464"/>
  <c r="E4627" i="464"/>
  <c r="E4626" i="464"/>
  <c r="E4625" i="464"/>
  <c r="E4624" i="464"/>
  <c r="E4623" i="464"/>
  <c r="E4622" i="464"/>
  <c r="E4528" i="464"/>
  <c r="E4621" i="464"/>
  <c r="E4620" i="464"/>
  <c r="E4619" i="464"/>
  <c r="E4618" i="464"/>
  <c r="E4617" i="464"/>
  <c r="E4616" i="464"/>
  <c r="E4615" i="464"/>
  <c r="E4614" i="464"/>
  <c r="E4613" i="464"/>
  <c r="E4612" i="464"/>
  <c r="E4611" i="464"/>
  <c r="E4610" i="464"/>
  <c r="E4609" i="464"/>
  <c r="E4608" i="464"/>
  <c r="E4607" i="464"/>
  <c r="E4606" i="464"/>
  <c r="E4605" i="464"/>
  <c r="E4604" i="464"/>
  <c r="E4603" i="464"/>
  <c r="E4602" i="464"/>
  <c r="E4601" i="464"/>
  <c r="E4600" i="464"/>
  <c r="E4599" i="464"/>
  <c r="E4598" i="464"/>
  <c r="E4597" i="464"/>
  <c r="E4596" i="464"/>
  <c r="E4595" i="464"/>
  <c r="E4594" i="464"/>
  <c r="E4593" i="464"/>
  <c r="E4592" i="464"/>
  <c r="E4591" i="464"/>
  <c r="E4590" i="464"/>
  <c r="E4589" i="464"/>
  <c r="E4588" i="464"/>
  <c r="E4587" i="464"/>
  <c r="E4586" i="464"/>
  <c r="E4585" i="464"/>
  <c r="E4584" i="464"/>
  <c r="E4583" i="464"/>
  <c r="E4582" i="464"/>
  <c r="E4581" i="464"/>
  <c r="E4580" i="464"/>
  <c r="E4579" i="464"/>
  <c r="E4578" i="464"/>
  <c r="E4577" i="464"/>
  <c r="E4576" i="464"/>
  <c r="E4575" i="464"/>
  <c r="E4574" i="464"/>
  <c r="E4573" i="464"/>
  <c r="E4572" i="464"/>
  <c r="E4571" i="464"/>
  <c r="E4570" i="464"/>
  <c r="E4569" i="464"/>
  <c r="E4568" i="464"/>
  <c r="E4567" i="464"/>
  <c r="E4566" i="464"/>
  <c r="E4565" i="464"/>
  <c r="E4564" i="464"/>
  <c r="E4563" i="464"/>
  <c r="E4562" i="464"/>
  <c r="E4561" i="464"/>
  <c r="E4560" i="464"/>
  <c r="E4559" i="464"/>
  <c r="E4558" i="464"/>
  <c r="E4557" i="464"/>
  <c r="E4556" i="464"/>
  <c r="E4555" i="464"/>
  <c r="E4554" i="464"/>
  <c r="E4553" i="464"/>
  <c r="E4552" i="464"/>
  <c r="E4551" i="464"/>
  <c r="E4550" i="464"/>
  <c r="E4549" i="464"/>
  <c r="E4548" i="464"/>
  <c r="E4547" i="464"/>
  <c r="E4546" i="464"/>
  <c r="E4545" i="464"/>
  <c r="E4544" i="464"/>
  <c r="E4543" i="464"/>
  <c r="E4542" i="464"/>
  <c r="E4541" i="464"/>
  <c r="E4540" i="464"/>
  <c r="E4539" i="464"/>
  <c r="E4538" i="464"/>
  <c r="E4537" i="464"/>
  <c r="E4536" i="464"/>
  <c r="E4535" i="464"/>
  <c r="E4534" i="464"/>
  <c r="E4533" i="464"/>
  <c r="E4532" i="464"/>
  <c r="E4531" i="464"/>
  <c r="E4530" i="464"/>
  <c r="E4529" i="464"/>
  <c r="E4527" i="464"/>
  <c r="E4526" i="464"/>
  <c r="E4525" i="464"/>
  <c r="E4524" i="464"/>
  <c r="E4523" i="464"/>
  <c r="E4522" i="464"/>
  <c r="E4521" i="464"/>
  <c r="E4520" i="464"/>
  <c r="E4519" i="464"/>
  <c r="E4518" i="464"/>
  <c r="E4517" i="464"/>
  <c r="E4516" i="464"/>
  <c r="E4515" i="464"/>
  <c r="E4514" i="464"/>
  <c r="E4513" i="464"/>
  <c r="E4512" i="464"/>
  <c r="E4511" i="464"/>
  <c r="E4510" i="464"/>
  <c r="E4509" i="464"/>
  <c r="E4508" i="464"/>
  <c r="E4507" i="464"/>
  <c r="E4506" i="464"/>
  <c r="E4505" i="464"/>
  <c r="E4504" i="464"/>
  <c r="E4503" i="464"/>
  <c r="E4502" i="464"/>
  <c r="E4501" i="464"/>
  <c r="E4500" i="464"/>
  <c r="E4499" i="464"/>
  <c r="E4498" i="464"/>
  <c r="E4497" i="464"/>
  <c r="E4496" i="464"/>
  <c r="E4495" i="464"/>
  <c r="E4494" i="464"/>
  <c r="E4493" i="464"/>
  <c r="AD59" i="461"/>
  <c r="E4489" i="464"/>
  <c r="E4492" i="464"/>
  <c r="E4491" i="464"/>
  <c r="E4490" i="464"/>
  <c r="E4488" i="464"/>
  <c r="E4487" i="464"/>
  <c r="E4486" i="464"/>
  <c r="E4485" i="464"/>
  <c r="E4484" i="464"/>
  <c r="E4483" i="464"/>
  <c r="E4482" i="464"/>
  <c r="E4481" i="464"/>
  <c r="E4480" i="464"/>
  <c r="E4479" i="464"/>
  <c r="E4478" i="464"/>
  <c r="E4477" i="464"/>
  <c r="E4476" i="464"/>
  <c r="E4475" i="464"/>
  <c r="E4474" i="464"/>
  <c r="E4473" i="464"/>
  <c r="E4472" i="464"/>
  <c r="E4471" i="464"/>
  <c r="E4470" i="464"/>
  <c r="E4469" i="464"/>
  <c r="E4468" i="464"/>
  <c r="E4467" i="464"/>
  <c r="E4466" i="464"/>
  <c r="E4465" i="464"/>
  <c r="E4464" i="464"/>
  <c r="E4463" i="464"/>
  <c r="E4462" i="464"/>
  <c r="E4461" i="464"/>
  <c r="E4460" i="464"/>
  <c r="E4459" i="464"/>
  <c r="E4458" i="464"/>
  <c r="E4457" i="464"/>
  <c r="E4456" i="464"/>
  <c r="E4455" i="464"/>
  <c r="E4454" i="464"/>
  <c r="E4453" i="464"/>
  <c r="E4452" i="464"/>
  <c r="E4451" i="464"/>
  <c r="E4450" i="464"/>
  <c r="E4449" i="464"/>
  <c r="E4448" i="464"/>
  <c r="E4447" i="464"/>
  <c r="E4446" i="464"/>
  <c r="E4445" i="464"/>
  <c r="E4444" i="464"/>
  <c r="E4443" i="464"/>
  <c r="E4442" i="464"/>
  <c r="E4441" i="464"/>
  <c r="E4440" i="464"/>
  <c r="E4439" i="464"/>
  <c r="E4438" i="464"/>
  <c r="E4437" i="464"/>
  <c r="E4436" i="464"/>
  <c r="E4435" i="464"/>
  <c r="E4434" i="464"/>
  <c r="E4433" i="464"/>
  <c r="E4432" i="464"/>
  <c r="E4431" i="464"/>
  <c r="E4430" i="464"/>
  <c r="E4429" i="464"/>
  <c r="E4428" i="464"/>
  <c r="E4427" i="464"/>
  <c r="E4426" i="464"/>
  <c r="E4425" i="464"/>
  <c r="E4424" i="464"/>
  <c r="E4423" i="464"/>
  <c r="E4422" i="464"/>
  <c r="E4421" i="464"/>
  <c r="E4420" i="464"/>
  <c r="E4419" i="464"/>
  <c r="E4418" i="464"/>
  <c r="E4417" i="464"/>
  <c r="E4416" i="464"/>
  <c r="E4415" i="464"/>
  <c r="E4414" i="464"/>
  <c r="E4413" i="464"/>
  <c r="E4412" i="464"/>
  <c r="E4411" i="464"/>
  <c r="E4410" i="464"/>
  <c r="E4409" i="464"/>
  <c r="E4408" i="464"/>
  <c r="E4407" i="464"/>
  <c r="E4406" i="464"/>
  <c r="E4405" i="464"/>
  <c r="E4404" i="464"/>
  <c r="E4403" i="464"/>
  <c r="E4402" i="464"/>
  <c r="E4401" i="464"/>
  <c r="E4400" i="464"/>
  <c r="E4399" i="464"/>
  <c r="E4398" i="464"/>
  <c r="E4397" i="464"/>
  <c r="E4396" i="464"/>
  <c r="E4395" i="464"/>
  <c r="E4394" i="464"/>
  <c r="E4393" i="464"/>
  <c r="E4392" i="464"/>
  <c r="E4391" i="464"/>
  <c r="E4390" i="464"/>
  <c r="E4389" i="464"/>
  <c r="E4388" i="464"/>
  <c r="E4387" i="464"/>
  <c r="E4386" i="464"/>
  <c r="E4385" i="464"/>
  <c r="E4384" i="464"/>
  <c r="E4383" i="464"/>
  <c r="E4382" i="464"/>
  <c r="E4381" i="464"/>
  <c r="E4380" i="464"/>
  <c r="E4379" i="464"/>
  <c r="E4378" i="464"/>
  <c r="E4377" i="464"/>
  <c r="E4376" i="464"/>
  <c r="E4375" i="464"/>
  <c r="E4374" i="464"/>
  <c r="E4373" i="464"/>
  <c r="E4372" i="464"/>
  <c r="E4371" i="464"/>
  <c r="E4370" i="464"/>
  <c r="E4369" i="464"/>
  <c r="E4368" i="464"/>
  <c r="E4367" i="464"/>
  <c r="E4366" i="464"/>
  <c r="E4365" i="464"/>
  <c r="E4364" i="464"/>
  <c r="E4363" i="464"/>
  <c r="E4362" i="464"/>
  <c r="E4361" i="464"/>
  <c r="E4360" i="464"/>
  <c r="E4359" i="464"/>
  <c r="E4358" i="464"/>
  <c r="E4357" i="464"/>
  <c r="E4356" i="464"/>
  <c r="E4355" i="464"/>
  <c r="E4354" i="464"/>
  <c r="E4353" i="464"/>
  <c r="E4352" i="464"/>
  <c r="E4351" i="464"/>
  <c r="E4350" i="464"/>
  <c r="E4349" i="464"/>
  <c r="E4348" i="464"/>
  <c r="E4347" i="464"/>
  <c r="E4346" i="464"/>
  <c r="E4345" i="464"/>
  <c r="E4344" i="464"/>
  <c r="E4343" i="464"/>
  <c r="E4342" i="464"/>
  <c r="E4341" i="464"/>
  <c r="E4340" i="464"/>
  <c r="E4339" i="464"/>
  <c r="E4338" i="464"/>
  <c r="E4337" i="464"/>
  <c r="E4336" i="464"/>
  <c r="E4335" i="464"/>
  <c r="E4334" i="464"/>
  <c r="E4333" i="464"/>
  <c r="E4332" i="464"/>
  <c r="E4331" i="464"/>
  <c r="E4330" i="464"/>
  <c r="E4329" i="464"/>
  <c r="E4328" i="464"/>
  <c r="E4327" i="464"/>
  <c r="E4326" i="464"/>
  <c r="E4325" i="464"/>
  <c r="E4324" i="464"/>
  <c r="E4323" i="464"/>
  <c r="E4322" i="464"/>
  <c r="E4321" i="464"/>
  <c r="E4320" i="464"/>
  <c r="E4319" i="464"/>
  <c r="E4318" i="464"/>
  <c r="E4317" i="464"/>
  <c r="E4316" i="464"/>
  <c r="E4315" i="464"/>
  <c r="E4314" i="464"/>
  <c r="E4313" i="464"/>
  <c r="E4312" i="464"/>
  <c r="E4311" i="464"/>
  <c r="E4310" i="464"/>
  <c r="E4309" i="464"/>
  <c r="E4308" i="464"/>
  <c r="E4307" i="464"/>
  <c r="E4306" i="464"/>
  <c r="E4305" i="464"/>
  <c r="E4304" i="464"/>
  <c r="E4303" i="464"/>
  <c r="E4302" i="464"/>
  <c r="E4301" i="464"/>
  <c r="E4300" i="464"/>
  <c r="E4299" i="464"/>
  <c r="E4298" i="464"/>
  <c r="E4297" i="464"/>
  <c r="E4296" i="464"/>
  <c r="E4295" i="464"/>
  <c r="E4294" i="464"/>
  <c r="E4293" i="464"/>
  <c r="E4292" i="464"/>
  <c r="E4291" i="464"/>
  <c r="E4290" i="464"/>
  <c r="E4289" i="464"/>
  <c r="E4288" i="464"/>
  <c r="E4287" i="464"/>
  <c r="E4286" i="464"/>
  <c r="E4285" i="464"/>
  <c r="E4284" i="464"/>
  <c r="E4283" i="464"/>
  <c r="E4282" i="464"/>
  <c r="E4281" i="464"/>
  <c r="E4280" i="464"/>
  <c r="E4279" i="464"/>
  <c r="E4278" i="464"/>
  <c r="E4277" i="464"/>
  <c r="E4276" i="464"/>
  <c r="E4275" i="464"/>
  <c r="E4274" i="464"/>
  <c r="E4273" i="464"/>
  <c r="E4272" i="464"/>
  <c r="E4271" i="464"/>
  <c r="E4270" i="464"/>
  <c r="AD60" i="460"/>
  <c r="E4269" i="464"/>
  <c r="E4268" i="464"/>
  <c r="E4267" i="464"/>
  <c r="E4266" i="464"/>
  <c r="E4265" i="464"/>
  <c r="E4264" i="464"/>
  <c r="E4263" i="464"/>
  <c r="E4262" i="464"/>
  <c r="E4261" i="464"/>
  <c r="E4260" i="464"/>
  <c r="E4259" i="464"/>
  <c r="E4258" i="464"/>
  <c r="E4257" i="464"/>
  <c r="E4256" i="464"/>
  <c r="E4255" i="464"/>
  <c r="E4254" i="464"/>
  <c r="E4253" i="464"/>
  <c r="E4252" i="464"/>
  <c r="E4251" i="464"/>
  <c r="E4250" i="464"/>
  <c r="E4249" i="464"/>
  <c r="E4248" i="464"/>
  <c r="E4247" i="464"/>
  <c r="E4246" i="464"/>
  <c r="E4245" i="464"/>
  <c r="E4244" i="464"/>
  <c r="E4243" i="464"/>
  <c r="E4242" i="464"/>
  <c r="E4241" i="464"/>
  <c r="E4240" i="464"/>
  <c r="E4239" i="464"/>
  <c r="E4238" i="464"/>
  <c r="E4237" i="464"/>
  <c r="E4236" i="464"/>
  <c r="E4235" i="464"/>
  <c r="E4234" i="464"/>
  <c r="E4233" i="464"/>
  <c r="E4232" i="464"/>
  <c r="E4231" i="464"/>
  <c r="E4230" i="464"/>
  <c r="E4229" i="464"/>
  <c r="E4228" i="464"/>
  <c r="E4227" i="464"/>
  <c r="E4226" i="464"/>
  <c r="E4225" i="464"/>
  <c r="E4224" i="464"/>
  <c r="E4223" i="464"/>
  <c r="E4222" i="464"/>
  <c r="E4221" i="464"/>
  <c r="E4220" i="464"/>
  <c r="E4219" i="464"/>
  <c r="E4218" i="464"/>
  <c r="E4217" i="464"/>
  <c r="E4216" i="464"/>
  <c r="E4215" i="464"/>
  <c r="E4214" i="464"/>
  <c r="E4213" i="464"/>
  <c r="E4212" i="464"/>
  <c r="E4211" i="464"/>
  <c r="E4210" i="464"/>
  <c r="E4209" i="464"/>
  <c r="E4208" i="464"/>
  <c r="E4207" i="464"/>
  <c r="E4206" i="464"/>
  <c r="E4205" i="464"/>
  <c r="E4204" i="464"/>
  <c r="E4203" i="464"/>
  <c r="E4202" i="464"/>
  <c r="E4201" i="464"/>
  <c r="E4200" i="464"/>
  <c r="E4199" i="464"/>
  <c r="E4198" i="464"/>
  <c r="E4197" i="464"/>
  <c r="E4196" i="464"/>
  <c r="E4195" i="464"/>
  <c r="E4194" i="464"/>
  <c r="E4193" i="464"/>
  <c r="E4192" i="464"/>
  <c r="E4191" i="464"/>
  <c r="E4190" i="464"/>
  <c r="E4189" i="464"/>
  <c r="E4188" i="464"/>
  <c r="E4187" i="464"/>
  <c r="E4186" i="464"/>
  <c r="E4185" i="464"/>
  <c r="E4184" i="464"/>
  <c r="E4183" i="464"/>
  <c r="E4182" i="464"/>
  <c r="E4181" i="464"/>
  <c r="E4180" i="464"/>
  <c r="E4179" i="464"/>
  <c r="E4178" i="464"/>
  <c r="E4177" i="464"/>
  <c r="E4176" i="464"/>
  <c r="E4175" i="464"/>
  <c r="E4174" i="464"/>
  <c r="E4173" i="464"/>
  <c r="E4172" i="464"/>
  <c r="E4171" i="464"/>
  <c r="E4170" i="464"/>
  <c r="E4169" i="464"/>
  <c r="E4168" i="464"/>
  <c r="E4167" i="464"/>
  <c r="E4166" i="464"/>
  <c r="E4165" i="464"/>
  <c r="E4164" i="464"/>
  <c r="E4163" i="464"/>
  <c r="E4162" i="464"/>
  <c r="E4161" i="464"/>
  <c r="E4160" i="464"/>
  <c r="E4159" i="464"/>
  <c r="E4158" i="464"/>
  <c r="E4157" i="464"/>
  <c r="E4156" i="464"/>
  <c r="E4155" i="464"/>
  <c r="E4154" i="464"/>
  <c r="E4153" i="464"/>
  <c r="E4152" i="464"/>
  <c r="E4151" i="464"/>
  <c r="E4150" i="464"/>
  <c r="E4149" i="464"/>
  <c r="E4148" i="464"/>
  <c r="E4147" i="464"/>
  <c r="E4146" i="464"/>
  <c r="AD58" i="459"/>
  <c r="O57" i="442"/>
  <c r="E4145" i="464"/>
  <c r="E4144" i="464"/>
  <c r="E4143" i="464"/>
  <c r="E4142" i="464"/>
  <c r="E4141" i="464"/>
  <c r="E4140" i="464"/>
  <c r="E4139" i="464"/>
  <c r="E4138" i="464"/>
  <c r="E4137" i="464"/>
  <c r="E4136" i="464"/>
  <c r="E4135" i="464"/>
  <c r="E4134" i="464"/>
  <c r="E4133" i="464"/>
  <c r="E4132" i="464"/>
  <c r="E4131" i="464"/>
  <c r="E4130" i="464"/>
  <c r="E4129" i="464"/>
  <c r="E4128" i="464"/>
  <c r="E4127" i="464"/>
  <c r="E4126" i="464"/>
  <c r="E4125" i="464"/>
  <c r="E4124" i="464"/>
  <c r="E4123" i="464"/>
  <c r="E4122" i="464"/>
  <c r="E4121" i="464"/>
  <c r="E4120" i="464"/>
  <c r="E4119" i="464"/>
  <c r="E4118" i="464"/>
  <c r="E4117" i="464"/>
  <c r="E4116" i="464"/>
  <c r="E4115" i="464"/>
  <c r="E4114" i="464"/>
  <c r="E4113" i="464"/>
  <c r="E4112" i="464"/>
  <c r="E4111" i="464"/>
  <c r="E4110" i="464"/>
  <c r="E4106" i="464"/>
  <c r="E4105" i="464"/>
  <c r="E4104" i="464"/>
  <c r="E4103" i="464"/>
  <c r="E4102" i="464"/>
  <c r="E4101" i="464"/>
  <c r="E4100" i="464"/>
  <c r="E4099" i="464"/>
  <c r="E4098" i="464"/>
  <c r="E4097" i="464"/>
  <c r="E4096" i="464"/>
  <c r="E4095" i="464"/>
  <c r="E4094" i="464"/>
  <c r="E4093" i="464"/>
  <c r="E4092" i="464"/>
  <c r="E4091" i="464"/>
  <c r="E4090" i="464"/>
  <c r="E4089" i="464"/>
  <c r="E4109" i="464"/>
  <c r="E4108" i="464"/>
  <c r="E4107" i="464"/>
  <c r="E4088" i="464"/>
  <c r="E4087" i="464"/>
  <c r="E4086" i="464"/>
  <c r="E4085" i="464"/>
  <c r="E4084" i="464"/>
  <c r="E4083" i="464"/>
  <c r="E4082" i="464"/>
  <c r="E4039" i="464"/>
  <c r="E4038" i="464"/>
  <c r="E4037" i="464"/>
  <c r="E4036" i="464"/>
  <c r="E4035" i="464"/>
  <c r="E4034" i="464"/>
  <c r="E4033" i="464"/>
  <c r="E4032" i="464"/>
  <c r="E4031" i="464"/>
  <c r="E4030" i="464"/>
  <c r="E4029" i="464"/>
  <c r="E4028" i="464"/>
  <c r="E4027" i="464"/>
  <c r="E4026" i="464"/>
  <c r="E4081" i="464"/>
  <c r="E4080" i="464"/>
  <c r="E4079" i="464"/>
  <c r="E4078" i="464"/>
  <c r="E4077" i="464"/>
  <c r="E4076" i="464"/>
  <c r="E4075" i="464"/>
  <c r="E4025" i="464"/>
  <c r="E4024" i="464"/>
  <c r="E4023" i="464"/>
  <c r="E4022" i="464"/>
  <c r="E4021" i="464"/>
  <c r="E4020" i="464"/>
  <c r="E4019" i="464"/>
  <c r="E4018" i="464"/>
  <c r="E4017" i="464"/>
  <c r="E4016" i="464"/>
  <c r="E4015" i="464"/>
  <c r="E4014" i="464"/>
  <c r="E4013" i="464"/>
  <c r="E4012" i="464"/>
  <c r="E4074" i="464"/>
  <c r="E4073" i="464"/>
  <c r="E4072" i="464"/>
  <c r="E4071" i="464"/>
  <c r="E4070" i="464"/>
  <c r="E4069" i="464"/>
  <c r="E4068" i="464"/>
  <c r="E4011" i="464"/>
  <c r="E4010" i="464"/>
  <c r="E4009" i="464"/>
  <c r="E4008" i="464"/>
  <c r="E4007" i="464"/>
  <c r="E4006" i="464"/>
  <c r="E4005" i="464"/>
  <c r="E4004" i="464"/>
  <c r="E4003" i="464"/>
  <c r="E4002" i="464"/>
  <c r="E4001" i="464"/>
  <c r="E4000" i="464"/>
  <c r="E3999" i="464"/>
  <c r="E3998" i="464"/>
  <c r="E4067" i="464"/>
  <c r="E4066" i="464"/>
  <c r="E4065" i="464"/>
  <c r="E4064" i="464"/>
  <c r="E4063" i="464"/>
  <c r="E4062" i="464"/>
  <c r="E4061" i="464"/>
  <c r="E3997" i="464"/>
  <c r="E3996" i="464"/>
  <c r="E3995" i="464"/>
  <c r="E3994" i="464"/>
  <c r="E3993" i="464"/>
  <c r="E3992" i="464"/>
  <c r="E3991" i="464"/>
  <c r="E3990" i="464"/>
  <c r="E3989" i="464"/>
  <c r="E3988" i="464"/>
  <c r="E3987" i="464"/>
  <c r="E3986" i="464"/>
  <c r="E3985" i="464"/>
  <c r="E3984" i="464"/>
  <c r="E4060" i="464"/>
  <c r="E4059" i="464"/>
  <c r="E4058" i="464"/>
  <c r="E4057" i="464"/>
  <c r="E4056" i="464"/>
  <c r="E4055" i="464"/>
  <c r="E4054" i="464"/>
  <c r="E3983" i="464"/>
  <c r="E3982" i="464"/>
  <c r="E3981" i="464"/>
  <c r="E3980" i="464"/>
  <c r="E3979" i="464"/>
  <c r="E3978" i="464"/>
  <c r="E3977" i="464"/>
  <c r="E3976" i="464"/>
  <c r="E3975" i="464"/>
  <c r="E3974" i="464"/>
  <c r="E3973" i="464"/>
  <c r="E3972" i="464"/>
  <c r="E3971" i="464"/>
  <c r="E3970" i="464"/>
  <c r="E4053" i="464"/>
  <c r="E4052" i="464"/>
  <c r="E4051" i="464"/>
  <c r="E4050" i="464"/>
  <c r="E4049" i="464"/>
  <c r="E4048" i="464"/>
  <c r="E4047" i="464"/>
  <c r="E3969" i="464"/>
  <c r="E3968" i="464"/>
  <c r="E3967" i="464"/>
  <c r="E3966" i="464"/>
  <c r="E3965" i="464"/>
  <c r="E3964" i="464"/>
  <c r="E3963" i="464"/>
  <c r="E3962" i="464"/>
  <c r="E3961" i="464"/>
  <c r="E3960" i="464"/>
  <c r="E3959" i="464"/>
  <c r="E3958" i="464"/>
  <c r="E3957" i="464"/>
  <c r="E3956" i="464"/>
  <c r="E4046" i="464"/>
  <c r="E4045" i="464"/>
  <c r="E4044" i="464"/>
  <c r="E4043" i="464"/>
  <c r="E4042" i="464"/>
  <c r="E4041" i="464"/>
  <c r="E4040" i="464"/>
  <c r="E3955" i="464"/>
  <c r="E3954" i="464"/>
  <c r="E3953" i="464"/>
  <c r="E3952" i="464"/>
  <c r="E3951" i="464"/>
  <c r="E3950" i="464"/>
  <c r="E3949" i="464"/>
  <c r="E3948" i="464"/>
  <c r="E3947" i="464"/>
  <c r="E3946" i="464"/>
  <c r="E3945" i="464"/>
  <c r="E3944" i="464"/>
  <c r="E3943" i="464"/>
  <c r="E3942" i="464"/>
  <c r="E3940" i="464"/>
  <c r="E3937" i="464"/>
  <c r="E3936" i="464"/>
  <c r="E3941" i="464"/>
  <c r="E3939" i="464"/>
  <c r="E3938" i="464"/>
  <c r="E3935" i="464"/>
  <c r="E3934" i="464"/>
  <c r="E3933" i="464"/>
  <c r="E3932" i="464"/>
  <c r="E3931" i="464"/>
  <c r="E3930" i="464"/>
  <c r="E3929" i="464"/>
  <c r="E3928" i="464"/>
  <c r="E3927" i="464"/>
  <c r="E3926" i="464"/>
  <c r="E3925" i="464"/>
  <c r="E3924" i="464"/>
  <c r="AL37" i="463"/>
  <c r="E3865" i="464"/>
  <c r="E3864" i="464"/>
  <c r="E3923" i="464"/>
  <c r="E3922" i="464"/>
  <c r="E3921" i="464"/>
  <c r="E3920" i="464"/>
  <c r="E3919" i="464"/>
  <c r="E3918" i="464"/>
  <c r="E3917" i="464"/>
  <c r="E3916" i="464"/>
  <c r="E3915" i="464"/>
  <c r="E3914" i="464"/>
  <c r="E3913" i="464"/>
  <c r="E3912" i="464"/>
  <c r="E3911" i="464"/>
  <c r="E3910" i="464"/>
  <c r="E3909" i="464"/>
  <c r="E3908" i="464"/>
  <c r="E3907" i="464"/>
  <c r="E3906" i="464"/>
  <c r="E3905" i="464"/>
  <c r="E3904" i="464"/>
  <c r="E3903" i="464"/>
  <c r="E3902" i="464"/>
  <c r="E3901" i="464"/>
  <c r="E3900" i="464"/>
  <c r="E3899" i="464"/>
  <c r="E3898" i="464"/>
  <c r="E3897" i="464"/>
  <c r="E3896" i="464"/>
  <c r="E3895" i="464"/>
  <c r="E3894" i="464"/>
  <c r="E3893" i="464"/>
  <c r="E3892" i="464"/>
  <c r="E3881" i="464"/>
  <c r="E3880" i="464"/>
  <c r="E3879" i="464"/>
  <c r="E3878" i="464"/>
  <c r="E3877" i="464"/>
  <c r="E3876" i="464"/>
  <c r="E3875" i="464"/>
  <c r="E3874" i="464"/>
  <c r="E3873" i="464"/>
  <c r="E3872" i="464"/>
  <c r="E3871" i="464"/>
  <c r="E3870" i="464"/>
  <c r="E3891" i="464"/>
  <c r="E3890" i="464"/>
  <c r="E3889" i="464"/>
  <c r="E3888" i="464"/>
  <c r="E3887" i="464"/>
  <c r="E3886" i="464"/>
  <c r="E3885" i="464"/>
  <c r="E3884" i="464"/>
  <c r="E3883" i="464"/>
  <c r="E3882" i="464"/>
  <c r="E3867" i="464"/>
  <c r="E3866" i="464"/>
  <c r="E3863" i="464"/>
  <c r="E3862" i="464"/>
  <c r="E3861" i="464"/>
  <c r="E3860" i="464"/>
  <c r="E3859" i="464"/>
  <c r="E3858" i="464"/>
  <c r="E3857" i="464"/>
  <c r="E3856" i="464"/>
  <c r="E3855" i="464"/>
  <c r="E3854" i="464"/>
  <c r="E3853" i="464"/>
  <c r="E3852" i="464"/>
  <c r="E3851" i="464"/>
  <c r="E3850" i="464"/>
  <c r="E3849" i="464"/>
  <c r="E3848" i="464"/>
  <c r="E3847" i="464"/>
  <c r="E3846" i="464"/>
  <c r="E3845" i="464"/>
  <c r="E3844" i="464"/>
  <c r="E3843" i="464"/>
  <c r="E3842" i="464"/>
  <c r="E3841" i="464"/>
  <c r="E3840" i="464"/>
  <c r="E3839" i="464"/>
  <c r="E3869" i="464"/>
  <c r="E3868" i="464"/>
  <c r="E3838" i="464"/>
  <c r="E3837" i="464"/>
  <c r="E3836" i="464"/>
  <c r="E1874" i="464"/>
  <c r="E1873" i="464"/>
  <c r="E1863" i="464"/>
  <c r="E1290" i="464"/>
  <c r="AD65" i="455"/>
  <c r="E3751" i="464"/>
  <c r="E3750" i="464"/>
  <c r="E3749" i="464"/>
  <c r="E3748" i="464"/>
  <c r="E3747" i="464"/>
  <c r="E3746" i="464"/>
  <c r="E3745" i="464"/>
  <c r="E3744" i="464"/>
  <c r="E3743" i="464"/>
  <c r="E3742" i="464"/>
  <c r="E3741" i="464"/>
  <c r="E3740" i="464"/>
  <c r="E3739" i="464"/>
  <c r="E3738" i="464"/>
  <c r="E3737" i="464"/>
  <c r="E3736" i="464"/>
  <c r="E3735" i="464"/>
  <c r="E3734" i="464"/>
  <c r="E3733" i="464"/>
  <c r="E3732" i="464"/>
  <c r="E3731" i="464"/>
  <c r="E3730" i="464"/>
  <c r="E3729" i="464"/>
  <c r="E3728" i="464"/>
  <c r="E3727" i="464"/>
  <c r="E3726" i="464"/>
  <c r="E3725" i="464"/>
  <c r="E3724" i="464"/>
  <c r="E3723" i="464"/>
  <c r="E3722" i="464"/>
  <c r="E3721" i="464"/>
  <c r="E3720" i="464"/>
  <c r="E3719" i="464"/>
  <c r="E3718" i="464"/>
  <c r="E3717" i="464"/>
  <c r="E3716" i="464"/>
  <c r="E3715" i="464"/>
  <c r="E3714" i="464"/>
  <c r="E3713" i="464"/>
  <c r="E3712" i="464"/>
  <c r="E3711" i="464"/>
  <c r="E3710" i="464"/>
  <c r="E3709" i="464"/>
  <c r="E3708" i="464"/>
  <c r="E3707" i="464"/>
  <c r="E3706" i="464"/>
  <c r="E3705" i="464"/>
  <c r="E3704" i="464"/>
  <c r="E3703" i="464"/>
  <c r="E3702" i="464"/>
  <c r="E3701" i="464"/>
  <c r="E3700" i="464"/>
  <c r="E3699" i="464"/>
  <c r="E3698" i="464"/>
  <c r="E3697" i="464"/>
  <c r="E3696" i="464"/>
  <c r="E3695" i="464"/>
  <c r="E3694" i="464"/>
  <c r="E3693" i="464"/>
  <c r="E3692" i="464"/>
  <c r="E3691" i="464"/>
  <c r="E3690" i="464"/>
  <c r="E3689" i="464"/>
  <c r="E3688" i="464"/>
  <c r="E3687" i="464"/>
  <c r="E3686" i="464"/>
  <c r="E3685" i="464"/>
  <c r="E3684" i="464"/>
  <c r="E3683" i="464"/>
  <c r="E3682" i="464"/>
  <c r="E3681" i="464"/>
  <c r="E3680" i="464"/>
  <c r="E3835" i="464"/>
  <c r="E3834" i="464"/>
  <c r="E3833" i="464"/>
  <c r="E3832" i="464"/>
  <c r="E3831" i="464"/>
  <c r="E3830" i="464"/>
  <c r="E3829" i="464"/>
  <c r="E3828" i="464"/>
  <c r="E3827" i="464"/>
  <c r="E3826" i="464"/>
  <c r="E3825" i="464"/>
  <c r="E3824" i="464"/>
  <c r="E3823" i="464"/>
  <c r="E3822" i="464"/>
  <c r="E3821" i="464"/>
  <c r="E3820" i="464"/>
  <c r="E3819" i="464"/>
  <c r="E3818" i="464"/>
  <c r="E3817" i="464"/>
  <c r="E3816" i="464"/>
  <c r="E3815" i="464"/>
  <c r="E3814" i="464"/>
  <c r="E3813" i="464"/>
  <c r="E3812" i="464"/>
  <c r="E3811" i="464"/>
  <c r="E3810" i="464"/>
  <c r="E3809" i="464"/>
  <c r="E3808" i="464"/>
  <c r="E3807" i="464"/>
  <c r="E3806" i="464"/>
  <c r="E3805" i="464"/>
  <c r="E3804" i="464"/>
  <c r="E3803" i="464"/>
  <c r="E3802" i="464"/>
  <c r="E3801" i="464"/>
  <c r="E3800" i="464"/>
  <c r="E3799" i="464"/>
  <c r="E3798" i="464"/>
  <c r="E3797" i="464"/>
  <c r="E3796" i="464"/>
  <c r="E3795" i="464"/>
  <c r="E3794" i="464"/>
  <c r="E3793" i="464"/>
  <c r="E3792" i="464"/>
  <c r="E3791" i="464"/>
  <c r="E3790" i="464"/>
  <c r="E3789" i="464"/>
  <c r="E3788" i="464"/>
  <c r="E3787" i="464"/>
  <c r="E3786" i="464"/>
  <c r="E3785" i="464"/>
  <c r="E3784" i="464"/>
  <c r="E3783" i="464"/>
  <c r="E3782" i="464"/>
  <c r="E3781" i="464"/>
  <c r="E3780" i="464"/>
  <c r="E3779" i="464"/>
  <c r="E3778" i="464"/>
  <c r="E3777" i="464"/>
  <c r="E3776" i="464"/>
  <c r="E3775" i="464"/>
  <c r="E3774" i="464"/>
  <c r="E3773" i="464"/>
  <c r="E3772" i="464"/>
  <c r="E3771" i="464"/>
  <c r="E3770" i="464"/>
  <c r="E3769" i="464"/>
  <c r="E3768" i="464"/>
  <c r="E3767" i="464"/>
  <c r="E3766" i="464"/>
  <c r="E3765" i="464"/>
  <c r="E3764" i="464"/>
  <c r="E3763" i="464"/>
  <c r="E3762" i="464"/>
  <c r="E3761" i="464"/>
  <c r="E3760" i="464"/>
  <c r="E3759" i="464"/>
  <c r="E3758" i="464"/>
  <c r="E3757" i="464"/>
  <c r="E3756" i="464"/>
  <c r="E3755" i="464"/>
  <c r="E3754" i="464"/>
  <c r="E3753" i="464"/>
  <c r="E3752" i="464"/>
  <c r="E3679" i="464"/>
  <c r="E3678" i="464"/>
  <c r="E3677" i="464"/>
  <c r="AD73" i="454"/>
  <c r="E3626" i="464"/>
  <c r="E3625" i="464"/>
  <c r="E3624" i="464"/>
  <c r="E3623" i="464"/>
  <c r="E3622" i="464"/>
  <c r="E3654" i="464"/>
  <c r="E3676" i="464"/>
  <c r="E3675" i="464"/>
  <c r="E3674" i="464"/>
  <c r="E3673" i="464"/>
  <c r="E3672" i="464"/>
  <c r="E3671" i="464"/>
  <c r="E3670" i="464"/>
  <c r="E3669" i="464"/>
  <c r="E3668" i="464"/>
  <c r="E3667" i="464"/>
  <c r="E3666" i="464"/>
  <c r="E3665" i="464"/>
  <c r="E3664" i="464"/>
  <c r="E3663" i="464"/>
  <c r="E3662" i="464"/>
  <c r="E3661" i="464"/>
  <c r="E3660" i="464"/>
  <c r="E3659" i="464"/>
  <c r="E3658" i="464"/>
  <c r="E3657" i="464"/>
  <c r="E3656" i="464"/>
  <c r="E3655" i="464"/>
  <c r="E3653" i="464"/>
  <c r="E3652" i="464"/>
  <c r="E3651" i="464"/>
  <c r="E3650" i="464"/>
  <c r="E3649" i="464"/>
  <c r="E3648" i="464"/>
  <c r="E3647" i="464"/>
  <c r="E3646" i="464"/>
  <c r="E3645" i="464"/>
  <c r="E3644" i="464"/>
  <c r="E3643" i="464"/>
  <c r="E3642" i="464"/>
  <c r="E3641" i="464"/>
  <c r="E3640" i="464"/>
  <c r="E3639" i="464"/>
  <c r="E3638" i="464"/>
  <c r="E3637" i="464"/>
  <c r="E3636" i="464"/>
  <c r="E3635" i="464"/>
  <c r="E3634" i="464"/>
  <c r="E3633" i="464"/>
  <c r="E3632" i="464"/>
  <c r="E3631" i="464"/>
  <c r="E3630" i="464"/>
  <c r="E3629" i="464"/>
  <c r="E3628" i="464"/>
  <c r="E3627" i="464"/>
  <c r="L73" i="453"/>
  <c r="E3621" i="464"/>
  <c r="E3620" i="464"/>
  <c r="E3619" i="464"/>
  <c r="E3618" i="464"/>
  <c r="E3617" i="464"/>
  <c r="E3616" i="464"/>
  <c r="E3615" i="464"/>
  <c r="E3614" i="464"/>
  <c r="E3613" i="464"/>
  <c r="E3612" i="464"/>
  <c r="E3611" i="464"/>
  <c r="E3610" i="464"/>
  <c r="E3609" i="464"/>
  <c r="E3608" i="464"/>
  <c r="E3607" i="464"/>
  <c r="E3606" i="464"/>
  <c r="E3605" i="464"/>
  <c r="F3605" i="464" s="1"/>
  <c r="K33" i="452"/>
  <c r="E3575" i="464"/>
  <c r="E3604" i="464"/>
  <c r="F3604" i="464" s="1"/>
  <c r="E3603" i="464"/>
  <c r="F3603" i="464" s="1"/>
  <c r="E3602" i="464"/>
  <c r="F3602" i="464" s="1"/>
  <c r="E3601" i="464"/>
  <c r="F3601" i="464" s="1"/>
  <c r="E3600" i="464"/>
  <c r="F3600" i="464" s="1"/>
  <c r="E3599" i="464"/>
  <c r="F3599" i="464" s="1"/>
  <c r="E3598" i="464"/>
  <c r="F3598" i="464" s="1"/>
  <c r="E3597" i="464"/>
  <c r="F3597" i="464" s="1"/>
  <c r="E3596" i="464"/>
  <c r="F3596" i="464" s="1"/>
  <c r="E3595" i="464"/>
  <c r="F3595" i="464" s="1"/>
  <c r="E3594" i="464"/>
  <c r="F3594" i="464" s="1"/>
  <c r="E3593" i="464"/>
  <c r="F3593" i="464" s="1"/>
  <c r="E3592" i="464"/>
  <c r="F3592" i="464" s="1"/>
  <c r="E3591" i="464"/>
  <c r="F3591" i="464" s="1"/>
  <c r="E3590" i="464"/>
  <c r="F3590" i="464" s="1"/>
  <c r="E3589" i="464"/>
  <c r="E3588" i="464"/>
  <c r="F3588" i="464" s="1"/>
  <c r="E3587" i="464"/>
  <c r="F3587" i="464" s="1"/>
  <c r="E3586" i="464"/>
  <c r="F3586" i="464" s="1"/>
  <c r="E3585" i="464"/>
  <c r="F3585" i="464" s="1"/>
  <c r="E3584" i="464"/>
  <c r="F3584" i="464" s="1"/>
  <c r="E3583" i="464"/>
  <c r="E3582" i="464"/>
  <c r="F3582" i="464" s="1"/>
  <c r="E3581" i="464"/>
  <c r="F3581" i="464" s="1"/>
  <c r="E3580" i="464"/>
  <c r="F3580" i="464" s="1"/>
  <c r="E3579" i="464"/>
  <c r="F3579" i="464" s="1"/>
  <c r="E3578" i="464"/>
  <c r="F3578" i="464" s="1"/>
  <c r="E3577" i="464"/>
  <c r="E3576" i="464"/>
  <c r="E3574" i="464"/>
  <c r="E3573" i="464"/>
  <c r="E3572" i="464"/>
  <c r="E3571" i="464"/>
  <c r="E3570" i="464"/>
  <c r="K49" i="451"/>
  <c r="AQ19" i="426" l="1"/>
  <c r="AO19" i="426"/>
  <c r="K37" i="450" l="1"/>
  <c r="E3565" i="464"/>
  <c r="F3565" i="464" s="1"/>
  <c r="E3569" i="464"/>
  <c r="E3568" i="464"/>
  <c r="E3567" i="464"/>
  <c r="E3566" i="464"/>
  <c r="F3566" i="464" s="1"/>
  <c r="E3564" i="464" l="1"/>
  <c r="F3564" i="464" s="1"/>
  <c r="E3563" i="464"/>
  <c r="E3562" i="464"/>
  <c r="E3561" i="464"/>
  <c r="E3560" i="464"/>
  <c r="E3559" i="464"/>
  <c r="E3558" i="464"/>
  <c r="E3557" i="464"/>
  <c r="E3547" i="464"/>
  <c r="F3547" i="464" s="1"/>
  <c r="E3546" i="464"/>
  <c r="F3546" i="464" s="1"/>
  <c r="E3537" i="464"/>
  <c r="F3537" i="464" s="1"/>
  <c r="E3529" i="464"/>
  <c r="F3529" i="464" s="1"/>
  <c r="E3551" i="464"/>
  <c r="E3549" i="464"/>
  <c r="E3548" i="464"/>
  <c r="E3556" i="464"/>
  <c r="E3555" i="464"/>
  <c r="E3554" i="464"/>
  <c r="E3553" i="464"/>
  <c r="E3552" i="464"/>
  <c r="E3545" i="464"/>
  <c r="E3544" i="464"/>
  <c r="E3543" i="464"/>
  <c r="E3542" i="464"/>
  <c r="E3541" i="464"/>
  <c r="E3540" i="464"/>
  <c r="E3539" i="464"/>
  <c r="E3538" i="464"/>
  <c r="E3536" i="464"/>
  <c r="F3536" i="464" s="1"/>
  <c r="E3535" i="464"/>
  <c r="F3535" i="464" s="1"/>
  <c r="E3534" i="464"/>
  <c r="F3534" i="464" s="1"/>
  <c r="E3533" i="464"/>
  <c r="F3533" i="464" s="1"/>
  <c r="E3532" i="464"/>
  <c r="F3532" i="464" s="1"/>
  <c r="E3531" i="464"/>
  <c r="F3531" i="464" s="1"/>
  <c r="E3530" i="464"/>
  <c r="F3530" i="464" s="1"/>
  <c r="K56" i="449"/>
  <c r="E3528" i="464"/>
  <c r="E3527" i="464"/>
  <c r="E3526" i="464"/>
  <c r="E3525" i="464"/>
  <c r="E3524" i="464"/>
  <c r="E3523" i="464"/>
  <c r="E3522" i="464"/>
  <c r="E3521" i="464"/>
  <c r="E3520" i="464"/>
  <c r="E3519" i="464"/>
  <c r="E3518" i="464"/>
  <c r="E3517" i="464"/>
  <c r="E3516" i="464"/>
  <c r="E3515" i="464"/>
  <c r="F3515" i="464" s="1"/>
  <c r="E3514" i="464"/>
  <c r="F3514" i="464" s="1"/>
  <c r="E3513" i="464"/>
  <c r="F3513" i="464" s="1"/>
  <c r="E3512" i="464"/>
  <c r="F3512" i="464" s="1"/>
  <c r="E3511" i="464"/>
  <c r="F3511" i="464" s="1"/>
  <c r="E3510" i="464"/>
  <c r="F3510" i="464" s="1"/>
  <c r="E3509" i="464"/>
  <c r="F3509" i="464" s="1"/>
  <c r="E3508" i="464"/>
  <c r="F3508" i="464" s="1"/>
  <c r="E3507" i="464"/>
  <c r="F3507" i="464" s="1"/>
  <c r="E3506" i="464"/>
  <c r="F3506" i="464" s="1"/>
  <c r="E3505" i="464"/>
  <c r="F3505" i="464" s="1"/>
  <c r="E3504" i="464"/>
  <c r="F3504" i="464" s="1"/>
  <c r="E3503" i="464"/>
  <c r="F3503" i="464" s="1"/>
  <c r="E3502" i="464"/>
  <c r="F3502" i="464" s="1"/>
  <c r="E3501" i="464"/>
  <c r="F3501" i="464" s="1"/>
  <c r="E3500" i="464"/>
  <c r="F3500" i="464" s="1"/>
  <c r="J48" i="448"/>
  <c r="E3499" i="464"/>
  <c r="E3498" i="464"/>
  <c r="E3497" i="464"/>
  <c r="E3496" i="464"/>
  <c r="E3495" i="464"/>
  <c r="E3494" i="464"/>
  <c r="E3493" i="464"/>
  <c r="E3492" i="464"/>
  <c r="E3491" i="464"/>
  <c r="E3490" i="464"/>
  <c r="E3489" i="464"/>
  <c r="E3488" i="464"/>
  <c r="E3487" i="464"/>
  <c r="E3486" i="464"/>
  <c r="E3485" i="464"/>
  <c r="E3484" i="464"/>
  <c r="E3483" i="464"/>
  <c r="E3482" i="464"/>
  <c r="E3481" i="464"/>
  <c r="E3480" i="464"/>
  <c r="E3479" i="464"/>
  <c r="E3478" i="464"/>
  <c r="E3477" i="464"/>
  <c r="E3476" i="464"/>
  <c r="E3475" i="464"/>
  <c r="E3474" i="464"/>
  <c r="E3473" i="464"/>
  <c r="E3472" i="464"/>
  <c r="E3471" i="464"/>
  <c r="E3470" i="464"/>
  <c r="E3469" i="464"/>
  <c r="E3468" i="464"/>
  <c r="E3467" i="464"/>
  <c r="E3466" i="464"/>
  <c r="E3465" i="464"/>
  <c r="E3464" i="464"/>
  <c r="E3463" i="464"/>
  <c r="E3462" i="464"/>
  <c r="E3461" i="464"/>
  <c r="E3460" i="464"/>
  <c r="E3459" i="464"/>
  <c r="E3458" i="464"/>
  <c r="E3457" i="464"/>
  <c r="E3456" i="464"/>
  <c r="E3455" i="464"/>
  <c r="E3454" i="464"/>
  <c r="E3453" i="464"/>
  <c r="E3452" i="464"/>
  <c r="E3451" i="464"/>
  <c r="E3450" i="464"/>
  <c r="E3449" i="464"/>
  <c r="E3448" i="464"/>
  <c r="E3447" i="464"/>
  <c r="E3446" i="464"/>
  <c r="E3445" i="464"/>
  <c r="E3444" i="464"/>
  <c r="E3443" i="464"/>
  <c r="E3442" i="464"/>
  <c r="E3441" i="464"/>
  <c r="E3440" i="464"/>
  <c r="AF21" i="281"/>
  <c r="E3439" i="464" l="1"/>
  <c r="E3438" i="464"/>
  <c r="E3437" i="464"/>
  <c r="E3436" i="464"/>
  <c r="E3435" i="464"/>
  <c r="E3434" i="464"/>
  <c r="E3433" i="464"/>
  <c r="E3432" i="464"/>
  <c r="E3431" i="464"/>
  <c r="E3430" i="464"/>
  <c r="E3429" i="464"/>
  <c r="E3428" i="464"/>
  <c r="E3427" i="464"/>
  <c r="E3426" i="464"/>
  <c r="E3425" i="464"/>
  <c r="E3424" i="464"/>
  <c r="E3423" i="464"/>
  <c r="E3422" i="464"/>
  <c r="E3421" i="464"/>
  <c r="E3420" i="464"/>
  <c r="E3419" i="464"/>
  <c r="E3418" i="464"/>
  <c r="E3417" i="464"/>
  <c r="E3416" i="464"/>
  <c r="E3415" i="464"/>
  <c r="E3414" i="464"/>
  <c r="E3413" i="464"/>
  <c r="E3412" i="464"/>
  <c r="E3411" i="464"/>
  <c r="E3410" i="464"/>
  <c r="E3409" i="464"/>
  <c r="E3408" i="464"/>
  <c r="E3407" i="464"/>
  <c r="E3406" i="464"/>
  <c r="E3405" i="464"/>
  <c r="E3404" i="464"/>
  <c r="E3403" i="464"/>
  <c r="E3402" i="464"/>
  <c r="E3401" i="464"/>
  <c r="E3400" i="464"/>
  <c r="E3399" i="464"/>
  <c r="E3398" i="464"/>
  <c r="E3397" i="464"/>
  <c r="E3396" i="464"/>
  <c r="E3395" i="464"/>
  <c r="E3394" i="464"/>
  <c r="E3393" i="464"/>
  <c r="E3392" i="464"/>
  <c r="E3391" i="464"/>
  <c r="E3390" i="464"/>
  <c r="E3389" i="464"/>
  <c r="E3388" i="464"/>
  <c r="E3387" i="464"/>
  <c r="E3386" i="464"/>
  <c r="E3385" i="464"/>
  <c r="E3384" i="464"/>
  <c r="E3383" i="464"/>
  <c r="E3382" i="464"/>
  <c r="E3381" i="464"/>
  <c r="E3380" i="464"/>
  <c r="E3379" i="464"/>
  <c r="E3378" i="464"/>
  <c r="E3377" i="464"/>
  <c r="E3376" i="464"/>
  <c r="E3375" i="464"/>
  <c r="E3374" i="464"/>
  <c r="E3373" i="464"/>
  <c r="E3372" i="464"/>
  <c r="E3371" i="464"/>
  <c r="E3370" i="464"/>
  <c r="E3369" i="464"/>
  <c r="E3368" i="464"/>
  <c r="E3367" i="464"/>
  <c r="E3366" i="464"/>
  <c r="E3365" i="464"/>
  <c r="E3364" i="464"/>
  <c r="E3363" i="464"/>
  <c r="E3362" i="464"/>
  <c r="E3361" i="464"/>
  <c r="E3360" i="464"/>
  <c r="E3359" i="464"/>
  <c r="E3358" i="464"/>
  <c r="E3357" i="464"/>
  <c r="E3356" i="464"/>
  <c r="E3355" i="464"/>
  <c r="E3354" i="464"/>
  <c r="E3353" i="464"/>
  <c r="E3352" i="464"/>
  <c r="E3351" i="464"/>
  <c r="E3350" i="464"/>
  <c r="E3349" i="464"/>
  <c r="E3348" i="464"/>
  <c r="E3347" i="464"/>
  <c r="E3346" i="464"/>
  <c r="E3345" i="464"/>
  <c r="E3344" i="464"/>
  <c r="E3343" i="464"/>
  <c r="E3342" i="464"/>
  <c r="E3341" i="464"/>
  <c r="E3340" i="464"/>
  <c r="E3339" i="464"/>
  <c r="E3338" i="464"/>
  <c r="E3337" i="464"/>
  <c r="E3336" i="464"/>
  <c r="E3335" i="464"/>
  <c r="E3334" i="464"/>
  <c r="E3333" i="464"/>
  <c r="E3332" i="464"/>
  <c r="E3331" i="464"/>
  <c r="E3330" i="464"/>
  <c r="E3329" i="464"/>
  <c r="E3328" i="464"/>
  <c r="E3327" i="464"/>
  <c r="E3326" i="464"/>
  <c r="E3325" i="464"/>
  <c r="E3324" i="464"/>
  <c r="E3323" i="464"/>
  <c r="E3322" i="464"/>
  <c r="E3321" i="464"/>
  <c r="E3320" i="464"/>
  <c r="E3319" i="464"/>
  <c r="E3318" i="464"/>
  <c r="E3317" i="464"/>
  <c r="E3316" i="464"/>
  <c r="E3315" i="464"/>
  <c r="E3314" i="464"/>
  <c r="E3313" i="464"/>
  <c r="E3312" i="464"/>
  <c r="E3311" i="464"/>
  <c r="E3310" i="464"/>
  <c r="E3309" i="464"/>
  <c r="E3308" i="464"/>
  <c r="E3307" i="464"/>
  <c r="E3306" i="464"/>
  <c r="E3305" i="464"/>
  <c r="E3304" i="464"/>
  <c r="E3303" i="464"/>
  <c r="E3302" i="464"/>
  <c r="E3301" i="464"/>
  <c r="E3300" i="464"/>
  <c r="E3299" i="464"/>
  <c r="E3298" i="464"/>
  <c r="E3297" i="464"/>
  <c r="E3296" i="464"/>
  <c r="E3295" i="464"/>
  <c r="E3294" i="464"/>
  <c r="E3293" i="464"/>
  <c r="E3292" i="464"/>
  <c r="E3291" i="464"/>
  <c r="E3290" i="464"/>
  <c r="E3289" i="464"/>
  <c r="E3288" i="464"/>
  <c r="E3287" i="464"/>
  <c r="E3286" i="464"/>
  <c r="E3285" i="464"/>
  <c r="E3284" i="464"/>
  <c r="E3283" i="464"/>
  <c r="E3282" i="464"/>
  <c r="E3281" i="464"/>
  <c r="E3280" i="464"/>
  <c r="E3279" i="464"/>
  <c r="E3278" i="464"/>
  <c r="E3277" i="464"/>
  <c r="E3276" i="464"/>
  <c r="E3275" i="464"/>
  <c r="E3274" i="464"/>
  <c r="E3273" i="464"/>
  <c r="E3272" i="464"/>
  <c r="E3271" i="464"/>
  <c r="E3270" i="464"/>
  <c r="E3269" i="464"/>
  <c r="E3268" i="464"/>
  <c r="E3267" i="464"/>
  <c r="E3266" i="464"/>
  <c r="E3265" i="464"/>
  <c r="E3264" i="464"/>
  <c r="E3263" i="464"/>
  <c r="E3262" i="464"/>
  <c r="E3261" i="464"/>
  <c r="E3260" i="464"/>
  <c r="E3259" i="464"/>
  <c r="E3258" i="464"/>
  <c r="E3257" i="464"/>
  <c r="E3256" i="464"/>
  <c r="E3255" i="464"/>
  <c r="E3254" i="464"/>
  <c r="E3253" i="464"/>
  <c r="E3252" i="464"/>
  <c r="E3251" i="464"/>
  <c r="E3250" i="464"/>
  <c r="E3249" i="464"/>
  <c r="E3248" i="464"/>
  <c r="E3247" i="464"/>
  <c r="E3246" i="464"/>
  <c r="AF37" i="280"/>
  <c r="E3244" i="464"/>
  <c r="AF37" i="447"/>
  <c r="AB44" i="229"/>
  <c r="E3245" i="464"/>
  <c r="E3231" i="464"/>
  <c r="E3243" i="464"/>
  <c r="E3242" i="464"/>
  <c r="E3241" i="464"/>
  <c r="E3240" i="464"/>
  <c r="E3239" i="464"/>
  <c r="E3238" i="464"/>
  <c r="E3237" i="464"/>
  <c r="E3236" i="464"/>
  <c r="E3235" i="464"/>
  <c r="E3234" i="464"/>
  <c r="E3233" i="464"/>
  <c r="E3232" i="464"/>
  <c r="E3230" i="464"/>
  <c r="E3229" i="464"/>
  <c r="E3228" i="464"/>
  <c r="E3227" i="464"/>
  <c r="E3226" i="464"/>
  <c r="E3225" i="464"/>
  <c r="E3224" i="464"/>
  <c r="E3223" i="464"/>
  <c r="E3222" i="464"/>
  <c r="E3221" i="464"/>
  <c r="E3220" i="464"/>
  <c r="E3219" i="464"/>
  <c r="E3218" i="464"/>
  <c r="E3217" i="464"/>
  <c r="E3216" i="464"/>
  <c r="E3215" i="464"/>
  <c r="E3214" i="464"/>
  <c r="E3213" i="464"/>
  <c r="E3212" i="464"/>
  <c r="E3211" i="464"/>
  <c r="E3210" i="464"/>
  <c r="E3209" i="464"/>
  <c r="E3208" i="464"/>
  <c r="E3207" i="464"/>
  <c r="E3206" i="464"/>
  <c r="E3205" i="464"/>
  <c r="E3204" i="464"/>
  <c r="E3203" i="464"/>
  <c r="E3202" i="464"/>
  <c r="E3201" i="464"/>
  <c r="E3200" i="464"/>
  <c r="E3199" i="464"/>
  <c r="E3198" i="464"/>
  <c r="E3197" i="464"/>
  <c r="E3196" i="464"/>
  <c r="E3195" i="464"/>
  <c r="E3194" i="464"/>
  <c r="E3193" i="464"/>
  <c r="E3192" i="464"/>
  <c r="E3191" i="464"/>
  <c r="E3190" i="464"/>
  <c r="E3189" i="464"/>
  <c r="E3188" i="464"/>
  <c r="E3187" i="464"/>
  <c r="E3186" i="464"/>
  <c r="E3185" i="464"/>
  <c r="E3184" i="464"/>
  <c r="E3183" i="464"/>
  <c r="E3182" i="464"/>
  <c r="E3181" i="464"/>
  <c r="E3180" i="464"/>
  <c r="E3179" i="464"/>
  <c r="E3178" i="464"/>
  <c r="E3177" i="464"/>
  <c r="E3176" i="464"/>
  <c r="E3175" i="464"/>
  <c r="E3174" i="464"/>
  <c r="E3173" i="464"/>
  <c r="E3172" i="464"/>
  <c r="E3171" i="464"/>
  <c r="E3170" i="464"/>
  <c r="E3169" i="464"/>
  <c r="E3168" i="464"/>
  <c r="E3167" i="464"/>
  <c r="E3166" i="464"/>
  <c r="E3165" i="464"/>
  <c r="E3164" i="464"/>
  <c r="E3163" i="464"/>
  <c r="E3162" i="464"/>
  <c r="E3161" i="464"/>
  <c r="E3160" i="464"/>
  <c r="E3159" i="464"/>
  <c r="E3158" i="464"/>
  <c r="E3157" i="464"/>
  <c r="E3156" i="464"/>
  <c r="E3155" i="464"/>
  <c r="E3154" i="464"/>
  <c r="E3153" i="464"/>
  <c r="E3152" i="464"/>
  <c r="E3151" i="464"/>
  <c r="E3150" i="464"/>
  <c r="E3149" i="464"/>
  <c r="E3148" i="464"/>
  <c r="E3147" i="464"/>
  <c r="E3146" i="464"/>
  <c r="E3145" i="464"/>
  <c r="E3144" i="464"/>
  <c r="E3143" i="464"/>
  <c r="E3142" i="464"/>
  <c r="E3141" i="464"/>
  <c r="E3140" i="464"/>
  <c r="E3139" i="464"/>
  <c r="E3138" i="464"/>
  <c r="E3137" i="464"/>
  <c r="E3136" i="464"/>
  <c r="E3135" i="464"/>
  <c r="E3134" i="464"/>
  <c r="E3133" i="464"/>
  <c r="E3132" i="464"/>
  <c r="E3131" i="464"/>
  <c r="E3130" i="464"/>
  <c r="E3129" i="464"/>
  <c r="E3128" i="464"/>
  <c r="E3127" i="464"/>
  <c r="E3126" i="464"/>
  <c r="E3125" i="464"/>
  <c r="E3124" i="464"/>
  <c r="E3123" i="464"/>
  <c r="E3122" i="464"/>
  <c r="E3121" i="464"/>
  <c r="E3120" i="464"/>
  <c r="E3119" i="464"/>
  <c r="E3118" i="464"/>
  <c r="E3117" i="464"/>
  <c r="E3116" i="464"/>
  <c r="E3115" i="464"/>
  <c r="E3114" i="464"/>
  <c r="E3113" i="464"/>
  <c r="E3112" i="464"/>
  <c r="E3111" i="464"/>
  <c r="E3110" i="464"/>
  <c r="E3109" i="464"/>
  <c r="E3108" i="464"/>
  <c r="E3107" i="464"/>
  <c r="E3106" i="464"/>
  <c r="E3105" i="464"/>
  <c r="E3104" i="464"/>
  <c r="E3103" i="464"/>
  <c r="E3102" i="464"/>
  <c r="E3101" i="464"/>
  <c r="E3100" i="464"/>
  <c r="E3099" i="464"/>
  <c r="E3098" i="464"/>
  <c r="E3097" i="464"/>
  <c r="E3096" i="464"/>
  <c r="E3095" i="464"/>
  <c r="E3094" i="464"/>
  <c r="E3093" i="464"/>
  <c r="E3092" i="464"/>
  <c r="E3091" i="464"/>
  <c r="E3090" i="464"/>
  <c r="E3089" i="464"/>
  <c r="E3088" i="464"/>
  <c r="E3087" i="464"/>
  <c r="E3086" i="464"/>
  <c r="E3085" i="464"/>
  <c r="E3084" i="464"/>
  <c r="E3083" i="464"/>
  <c r="E3082" i="464"/>
  <c r="E3081" i="464"/>
  <c r="E3080" i="464"/>
  <c r="E3079" i="464"/>
  <c r="E3078" i="464"/>
  <c r="E3077" i="464"/>
  <c r="E3076" i="464"/>
  <c r="E3075" i="464"/>
  <c r="E3074" i="464"/>
  <c r="E3073" i="464"/>
  <c r="E3072" i="464"/>
  <c r="E3071" i="464"/>
  <c r="E3070" i="464"/>
  <c r="E3069" i="464"/>
  <c r="E3068" i="464"/>
  <c r="E3067" i="464"/>
  <c r="E3066" i="464"/>
  <c r="E3065" i="464"/>
  <c r="E3064" i="464"/>
  <c r="E3063" i="464"/>
  <c r="E3062" i="464"/>
  <c r="E3061" i="464"/>
  <c r="E3060" i="464"/>
  <c r="E3059" i="464"/>
  <c r="E3058" i="464"/>
  <c r="E3057" i="464"/>
  <c r="E3056" i="464"/>
  <c r="E3055" i="464"/>
  <c r="E3054" i="464"/>
  <c r="E3053" i="464"/>
  <c r="E3052" i="464"/>
  <c r="E3051" i="464"/>
  <c r="E3050" i="464"/>
  <c r="E3049" i="464"/>
  <c r="E3048" i="464"/>
  <c r="E3047" i="464"/>
  <c r="E3046" i="464"/>
  <c r="E3045" i="464"/>
  <c r="E3044" i="464"/>
  <c r="E3043" i="464"/>
  <c r="E3042" i="464"/>
  <c r="E3041" i="464"/>
  <c r="E3040" i="464"/>
  <c r="E3039" i="464"/>
  <c r="E3038" i="464"/>
  <c r="E3037" i="464"/>
  <c r="E3036" i="464"/>
  <c r="E3035" i="464"/>
  <c r="E3034" i="464"/>
  <c r="E3033" i="464"/>
  <c r="E3032" i="464"/>
  <c r="E3031" i="464"/>
  <c r="E3030" i="464"/>
  <c r="E3029" i="464"/>
  <c r="E3028" i="464"/>
  <c r="E3027" i="464"/>
  <c r="E3026" i="464"/>
  <c r="E3025" i="464"/>
  <c r="E3024" i="464"/>
  <c r="E3023" i="464"/>
  <c r="E3022" i="464"/>
  <c r="E3021" i="464"/>
  <c r="E3020" i="464"/>
  <c r="E3019" i="464"/>
  <c r="E3018" i="464"/>
  <c r="E3017" i="464"/>
  <c r="E3016" i="464"/>
  <c r="E3015" i="464"/>
  <c r="E3014" i="464"/>
  <c r="E3013" i="464"/>
  <c r="E3012" i="464"/>
  <c r="E3011" i="464"/>
  <c r="E3010" i="464"/>
  <c r="E3009" i="464"/>
  <c r="E3008" i="464"/>
  <c r="E3007" i="464"/>
  <c r="E3006" i="464"/>
  <c r="E3005" i="464"/>
  <c r="E3004" i="464"/>
  <c r="E3003" i="464"/>
  <c r="E3002" i="464"/>
  <c r="E3001" i="464"/>
  <c r="E3000" i="464"/>
  <c r="E2999" i="464"/>
  <c r="E2998" i="464"/>
  <c r="E2997" i="464"/>
  <c r="E2996" i="464"/>
  <c r="E2995" i="464"/>
  <c r="E2994" i="464"/>
  <c r="E2993" i="464"/>
  <c r="E2992" i="464"/>
  <c r="E2991" i="464"/>
  <c r="E2990" i="464"/>
  <c r="E2989" i="464"/>
  <c r="E2988" i="464"/>
  <c r="E2987" i="464"/>
  <c r="E2986" i="464"/>
  <c r="E2985" i="464"/>
  <c r="E2984" i="464"/>
  <c r="E2983" i="464"/>
  <c r="E2982" i="464"/>
  <c r="E2981" i="464"/>
  <c r="E2980" i="464"/>
  <c r="E2979" i="464"/>
  <c r="E2978" i="464"/>
  <c r="E2977" i="464"/>
  <c r="E2976" i="464"/>
  <c r="E2975" i="464"/>
  <c r="E2974" i="464"/>
  <c r="E2973" i="464"/>
  <c r="E2972" i="464"/>
  <c r="E2971" i="464"/>
  <c r="E2970" i="464"/>
  <c r="E2969" i="464"/>
  <c r="E2968" i="464"/>
  <c r="E2967" i="464"/>
  <c r="E2966" i="464"/>
  <c r="U27" i="228" s="1"/>
  <c r="E2965" i="464"/>
  <c r="Q25" i="228" s="1"/>
  <c r="E2964" i="464"/>
  <c r="E2963" i="464"/>
  <c r="E2962" i="464"/>
  <c r="E2961" i="464"/>
  <c r="E2960" i="464"/>
  <c r="E2956" i="464"/>
  <c r="E2959" i="464"/>
  <c r="E2958" i="464"/>
  <c r="E2957" i="464"/>
  <c r="E2955" i="464"/>
  <c r="E2954" i="464"/>
  <c r="E2953" i="464"/>
  <c r="E2952" i="464"/>
  <c r="E2951" i="464"/>
  <c r="E2950" i="464"/>
  <c r="E2949" i="464"/>
  <c r="E2948" i="464"/>
  <c r="E2947" i="464"/>
  <c r="E2946" i="464"/>
  <c r="E2945" i="464"/>
  <c r="E2944" i="464"/>
  <c r="E2943" i="464"/>
  <c r="E2942" i="464"/>
  <c r="E2941" i="464"/>
  <c r="E2940" i="464"/>
  <c r="E2939" i="464"/>
  <c r="E2938" i="464"/>
  <c r="E2937" i="464"/>
  <c r="E2936" i="464"/>
  <c r="E2935" i="464"/>
  <c r="E2934" i="464"/>
  <c r="E2933" i="464"/>
  <c r="E2932" i="464"/>
  <c r="E2931" i="464"/>
  <c r="E2930" i="464"/>
  <c r="E2929" i="464"/>
  <c r="E2928" i="464"/>
  <c r="E2927" i="464"/>
  <c r="E2926" i="464"/>
  <c r="E2925" i="464"/>
  <c r="E2924" i="464"/>
  <c r="E2923" i="464"/>
  <c r="E2922" i="464"/>
  <c r="E2921" i="464"/>
  <c r="E2920" i="464"/>
  <c r="E2919" i="464"/>
  <c r="E2918" i="464"/>
  <c r="E2917" i="464"/>
  <c r="E2916" i="464"/>
  <c r="E2915" i="464"/>
  <c r="E2912" i="464"/>
  <c r="E2914" i="464"/>
  <c r="E2913" i="464"/>
  <c r="E2911" i="464"/>
  <c r="E2910" i="464"/>
  <c r="E2909" i="464"/>
  <c r="E2908" i="464"/>
  <c r="E2907" i="464"/>
  <c r="E2906" i="464"/>
  <c r="E2904" i="464"/>
  <c r="E2905" i="464"/>
  <c r="E2903" i="464"/>
  <c r="E2902" i="464"/>
  <c r="E2889" i="464"/>
  <c r="E2901" i="464"/>
  <c r="E2900" i="464"/>
  <c r="E2899" i="464"/>
  <c r="E2898" i="464"/>
  <c r="E2897" i="464"/>
  <c r="E2896" i="464"/>
  <c r="E2895" i="464"/>
  <c r="E2894" i="464"/>
  <c r="E2893" i="464"/>
  <c r="E2892" i="464"/>
  <c r="E2891" i="464"/>
  <c r="E2890" i="464"/>
  <c r="E2888" i="464"/>
  <c r="E2887" i="464"/>
  <c r="E2886" i="464"/>
  <c r="E2885" i="464"/>
  <c r="E2884" i="464"/>
  <c r="E2883" i="464"/>
  <c r="E2882" i="464"/>
  <c r="E2881" i="464"/>
  <c r="E2880" i="464"/>
  <c r="E2879" i="464"/>
  <c r="E2878" i="464"/>
  <c r="E2877" i="464"/>
  <c r="E2876" i="464"/>
  <c r="E2875" i="464"/>
  <c r="E2874" i="464"/>
  <c r="E2873" i="464"/>
  <c r="E2872" i="464"/>
  <c r="E2871" i="464"/>
  <c r="E2870" i="464"/>
  <c r="E2869" i="464"/>
  <c r="E2868" i="464"/>
  <c r="E2867" i="464"/>
  <c r="E2866" i="464"/>
  <c r="E2865" i="464"/>
  <c r="E2864" i="464"/>
  <c r="E2863" i="464"/>
  <c r="P60" i="460" l="1"/>
  <c r="X35" i="462"/>
  <c r="P59" i="461"/>
  <c r="V62" i="460"/>
  <c r="AB37" i="462"/>
  <c r="V61" i="461"/>
  <c r="V60" i="459"/>
  <c r="J58" i="442"/>
  <c r="P58" i="459"/>
  <c r="H56" i="442"/>
  <c r="V68" i="453"/>
  <c r="T37" i="463"/>
  <c r="P65" i="455"/>
  <c r="P73" i="454"/>
  <c r="X39" i="463"/>
  <c r="T75" i="454"/>
  <c r="V67" i="455"/>
  <c r="X30" i="452"/>
  <c r="Z70" i="453"/>
  <c r="T44" i="451"/>
  <c r="T28" i="452"/>
  <c r="U39" i="280"/>
  <c r="X46" i="451"/>
  <c r="T32" i="450"/>
  <c r="T51" i="449"/>
  <c r="R43" i="448"/>
  <c r="Q21" i="281"/>
  <c r="Q37" i="280"/>
  <c r="X34" i="450"/>
  <c r="V45" i="448"/>
  <c r="U23" i="281"/>
  <c r="X53" i="449"/>
  <c r="E2862" i="464"/>
  <c r="E2861" i="464"/>
  <c r="E2860" i="464"/>
  <c r="E2859" i="464"/>
  <c r="E2858" i="464"/>
  <c r="E2857" i="464"/>
  <c r="E2856" i="464"/>
  <c r="E2855" i="464"/>
  <c r="E2854" i="464"/>
  <c r="E2853" i="464"/>
  <c r="E2852" i="464"/>
  <c r="E2851" i="464"/>
  <c r="E2850" i="464"/>
  <c r="E2849" i="464"/>
  <c r="E2848" i="464"/>
  <c r="E2847" i="464"/>
  <c r="E2846" i="464"/>
  <c r="E2845" i="464"/>
  <c r="E2844" i="464"/>
  <c r="E2843" i="464"/>
  <c r="E2842" i="464"/>
  <c r="E2841" i="464"/>
  <c r="E2840" i="464"/>
  <c r="E2839" i="464"/>
  <c r="E2838" i="464"/>
  <c r="E2837" i="464"/>
  <c r="E2836" i="464"/>
  <c r="E2835" i="464"/>
  <c r="E2834" i="464"/>
  <c r="E2833" i="464"/>
  <c r="E2832" i="464"/>
  <c r="E2831" i="464"/>
  <c r="E2830" i="464"/>
  <c r="E2829" i="464"/>
  <c r="E2828" i="464"/>
  <c r="E2827" i="464"/>
  <c r="E2826" i="464"/>
  <c r="E2825" i="464"/>
  <c r="E2824" i="464"/>
  <c r="E2823" i="464"/>
  <c r="E2822" i="464"/>
  <c r="E2821" i="464"/>
  <c r="E2820" i="464"/>
  <c r="AF25" i="228"/>
  <c r="E2819" i="464"/>
  <c r="F2819" i="464" s="1"/>
  <c r="E2818" i="464"/>
  <c r="F2818" i="464" s="1"/>
  <c r="E2817" i="464"/>
  <c r="F2817" i="464" s="1"/>
  <c r="E2816" i="464"/>
  <c r="F2816" i="464" s="1"/>
  <c r="E2815" i="464"/>
  <c r="F2815" i="464" s="1"/>
  <c r="E2814" i="464"/>
  <c r="F2814" i="464" s="1"/>
  <c r="E2813" i="464"/>
  <c r="F2813" i="464" s="1"/>
  <c r="E2812" i="464"/>
  <c r="F2812" i="464" s="1"/>
  <c r="E2811" i="464"/>
  <c r="F2811" i="464" s="1"/>
  <c r="E2810" i="464"/>
  <c r="F2810" i="464" s="1"/>
  <c r="E2809" i="464"/>
  <c r="F2809" i="464" s="1"/>
  <c r="E2808" i="464"/>
  <c r="F2808" i="464" s="1"/>
  <c r="E2807" i="464"/>
  <c r="F2807" i="464" s="1"/>
  <c r="E2806" i="464"/>
  <c r="F2806" i="464" s="1"/>
  <c r="E2805" i="464"/>
  <c r="F2805" i="464" s="1"/>
  <c r="E2804" i="464"/>
  <c r="F2804" i="464" s="1"/>
  <c r="E2803" i="464"/>
  <c r="F2803" i="464" s="1"/>
  <c r="E2802" i="464"/>
  <c r="F2802" i="464" s="1"/>
  <c r="E2801" i="464"/>
  <c r="F2801" i="464" s="1"/>
  <c r="E2800" i="464"/>
  <c r="F2800" i="464" s="1"/>
  <c r="E2799" i="464"/>
  <c r="F2799" i="464" s="1"/>
  <c r="E2798" i="464"/>
  <c r="F2798" i="464" s="1"/>
  <c r="E2797" i="464"/>
  <c r="F2797" i="464" s="1"/>
  <c r="E2796" i="464"/>
  <c r="F2796" i="464" s="1"/>
  <c r="E2795" i="464"/>
  <c r="F2795" i="464" s="1"/>
  <c r="E2794" i="464"/>
  <c r="F2794" i="464" s="1"/>
  <c r="E2793" i="464"/>
  <c r="F2793" i="464" s="1"/>
  <c r="E2792" i="464"/>
  <c r="F2792" i="464" s="1"/>
  <c r="E2791" i="464"/>
  <c r="F2791" i="464" s="1"/>
  <c r="E2790" i="464"/>
  <c r="F2790" i="464" s="1"/>
  <c r="E2789" i="464"/>
  <c r="F2789" i="464" s="1"/>
  <c r="E2788" i="464"/>
  <c r="F2788" i="464" s="1"/>
  <c r="E2787" i="464"/>
  <c r="F2787" i="464" s="1"/>
  <c r="E2786" i="464"/>
  <c r="F2786" i="464" s="1"/>
  <c r="E2785" i="464"/>
  <c r="F2785" i="464" s="1"/>
  <c r="E2784" i="464"/>
  <c r="F2784" i="464" s="1"/>
  <c r="E2783" i="464"/>
  <c r="F2783" i="464" s="1"/>
  <c r="E2782" i="464"/>
  <c r="F2782" i="464" s="1"/>
  <c r="E2781" i="464"/>
  <c r="F2781" i="464" s="1"/>
  <c r="E2780" i="464"/>
  <c r="F2780" i="464" s="1"/>
  <c r="E2779" i="464"/>
  <c r="F2779" i="464" s="1"/>
  <c r="E2778" i="464"/>
  <c r="F2778" i="464" s="1"/>
  <c r="E2777" i="464"/>
  <c r="F2777" i="464" s="1"/>
  <c r="E2776" i="464"/>
  <c r="F2776" i="464" s="1"/>
  <c r="E2775" i="464"/>
  <c r="F2775" i="464" s="1"/>
  <c r="E2774" i="464"/>
  <c r="F2774" i="464" s="1"/>
  <c r="E2773" i="464"/>
  <c r="F2773" i="464" s="1"/>
  <c r="E2772" i="464"/>
  <c r="F2772" i="464" s="1"/>
  <c r="E2771" i="464"/>
  <c r="F2771" i="464" s="1"/>
  <c r="E2770" i="464"/>
  <c r="F2770" i="464" s="1"/>
  <c r="E2769" i="464"/>
  <c r="F2769" i="464" s="1"/>
  <c r="E2768" i="464"/>
  <c r="F2768" i="464" s="1"/>
  <c r="E2767" i="464"/>
  <c r="F2767" i="464" s="1"/>
  <c r="E2766" i="464"/>
  <c r="F2766" i="464" s="1"/>
  <c r="E2765" i="464"/>
  <c r="F2765" i="464" s="1"/>
  <c r="E2764" i="464"/>
  <c r="F2764" i="464" s="1"/>
  <c r="E2763" i="464"/>
  <c r="F2763" i="464" s="1"/>
  <c r="E2762" i="464"/>
  <c r="F2762" i="464" s="1"/>
  <c r="E2761" i="464"/>
  <c r="F2761" i="464" s="1"/>
  <c r="E2760" i="464"/>
  <c r="F2760" i="464" s="1"/>
  <c r="E2759" i="464"/>
  <c r="F2759" i="464" s="1"/>
  <c r="E2758" i="464"/>
  <c r="F2758" i="464" s="1"/>
  <c r="E2757" i="464"/>
  <c r="F2757" i="464" s="1"/>
  <c r="E2756" i="464"/>
  <c r="F2756" i="464" s="1"/>
  <c r="E2755" i="464"/>
  <c r="F2755" i="464" s="1"/>
  <c r="E2754" i="464"/>
  <c r="F2754" i="464" s="1"/>
  <c r="E2753" i="464"/>
  <c r="F2753" i="464" s="1"/>
  <c r="E2752" i="464"/>
  <c r="F2752" i="464" s="1"/>
  <c r="E2751" i="464"/>
  <c r="F2751" i="464" s="1"/>
  <c r="E2750" i="464"/>
  <c r="F2750" i="464" s="1"/>
  <c r="E2749" i="464"/>
  <c r="F2749" i="464" s="1"/>
  <c r="E2748" i="464"/>
  <c r="F2748" i="464" s="1"/>
  <c r="E2747" i="464"/>
  <c r="F2747" i="464" s="1"/>
  <c r="E2746" i="464"/>
  <c r="F2746" i="464" s="1"/>
  <c r="E2745" i="464"/>
  <c r="F2745" i="464" s="1"/>
  <c r="E2744" i="464"/>
  <c r="F2744" i="464" s="1"/>
  <c r="E2743" i="464"/>
  <c r="F2743" i="464" s="1"/>
  <c r="E2741" i="464"/>
  <c r="F2741" i="464" s="1"/>
  <c r="E2742" i="464"/>
  <c r="F2742" i="464" s="1"/>
  <c r="E2740" i="464"/>
  <c r="F2740" i="464" s="1"/>
  <c r="E2738" i="464"/>
  <c r="F2738" i="464" s="1"/>
  <c r="E2739" i="464"/>
  <c r="F2739" i="464" s="1"/>
  <c r="E2737" i="464"/>
  <c r="F2737" i="464" s="1"/>
  <c r="E2736" i="464"/>
  <c r="F2736" i="464" s="1"/>
  <c r="E2735" i="464"/>
  <c r="F2735" i="464" s="1"/>
  <c r="E2734" i="464"/>
  <c r="F2734" i="464" s="1"/>
  <c r="E2733" i="464"/>
  <c r="F2733" i="464" s="1"/>
  <c r="E2732" i="464"/>
  <c r="E2731" i="464"/>
  <c r="E2726" i="464"/>
  <c r="E2723" i="464"/>
  <c r="E2722" i="464"/>
  <c r="E2730" i="464"/>
  <c r="E2729" i="464"/>
  <c r="E2728" i="464"/>
  <c r="E2727" i="464"/>
  <c r="E2725" i="464"/>
  <c r="E2724" i="464"/>
  <c r="E2721" i="464"/>
  <c r="E2720" i="464"/>
  <c r="E2719" i="464"/>
  <c r="E2718" i="464"/>
  <c r="E2717" i="464"/>
  <c r="E2716" i="464"/>
  <c r="E2715" i="464"/>
  <c r="E2714" i="464"/>
  <c r="E2713" i="464"/>
  <c r="E2711" i="464"/>
  <c r="E2712" i="464"/>
  <c r="E2710" i="464"/>
  <c r="E2709" i="464"/>
  <c r="E2708" i="464"/>
  <c r="E2707" i="464"/>
  <c r="E2706" i="464"/>
  <c r="E2705" i="464"/>
  <c r="E2704" i="464"/>
  <c r="E2703" i="464"/>
  <c r="E2702" i="464"/>
  <c r="E2700" i="464"/>
  <c r="E2699" i="464"/>
  <c r="E2701" i="464"/>
  <c r="E2698" i="464"/>
  <c r="E2697" i="464"/>
  <c r="E2696" i="464"/>
  <c r="E2695" i="464"/>
  <c r="E2694" i="464"/>
  <c r="E2693" i="464"/>
  <c r="E2692" i="464"/>
  <c r="E2691" i="464"/>
  <c r="E2690" i="464"/>
  <c r="E2689" i="464"/>
  <c r="E2688" i="464"/>
  <c r="E2687" i="464"/>
  <c r="E2686" i="464"/>
  <c r="E2685" i="464"/>
  <c r="E2684" i="464"/>
  <c r="E2683" i="464"/>
  <c r="E2682" i="464"/>
  <c r="E2681" i="464"/>
  <c r="E2680" i="464"/>
  <c r="E2679" i="464"/>
  <c r="E2678" i="464"/>
  <c r="E2677" i="464"/>
  <c r="E2676" i="464"/>
  <c r="E2675" i="464"/>
  <c r="E2674" i="464"/>
  <c r="E2673" i="464"/>
  <c r="E2672" i="464"/>
  <c r="E2670" i="464"/>
  <c r="E2671" i="464"/>
  <c r="E2669" i="464"/>
  <c r="E2668" i="464"/>
  <c r="E2667" i="464"/>
  <c r="E2666" i="464"/>
  <c r="E2665" i="464"/>
  <c r="E2664" i="464"/>
  <c r="E2663" i="464"/>
  <c r="E2662" i="464"/>
  <c r="E2661" i="464"/>
  <c r="E2660" i="464"/>
  <c r="E2659" i="464"/>
  <c r="E2658" i="464"/>
  <c r="E2657" i="464"/>
  <c r="E2656" i="464"/>
  <c r="E2655" i="464"/>
  <c r="E2654" i="464"/>
  <c r="E2653" i="464"/>
  <c r="E2652" i="464"/>
  <c r="E2651" i="464"/>
  <c r="E2650" i="464"/>
  <c r="E2649" i="464"/>
  <c r="E2648" i="464"/>
  <c r="AH40" i="299"/>
  <c r="AD40" i="299"/>
  <c r="Z40" i="299"/>
  <c r="V40" i="299"/>
  <c r="R40" i="299"/>
  <c r="N40" i="299"/>
  <c r="J40" i="299"/>
  <c r="AL39" i="299"/>
  <c r="AL38" i="299"/>
  <c r="AL37" i="299"/>
  <c r="AL36" i="299"/>
  <c r="AL35" i="299"/>
  <c r="AL34" i="299"/>
  <c r="AL33" i="299"/>
  <c r="AL32" i="299"/>
  <c r="AL31" i="299"/>
  <c r="P25" i="299"/>
  <c r="J25" i="299"/>
  <c r="V24" i="299"/>
  <c r="V23" i="299"/>
  <c r="V22" i="299"/>
  <c r="V21" i="299"/>
  <c r="V20" i="299"/>
  <c r="V19" i="299"/>
  <c r="V18" i="299"/>
  <c r="P13" i="299"/>
  <c r="J13" i="299"/>
  <c r="V12" i="299"/>
  <c r="V11" i="299"/>
  <c r="V10" i="299"/>
  <c r="V9" i="299"/>
  <c r="AF51" i="299"/>
  <c r="E2647" i="464"/>
  <c r="T53" i="299" s="1"/>
  <c r="E2646" i="464"/>
  <c r="P51" i="299" s="1"/>
  <c r="E2645" i="464"/>
  <c r="E2644" i="464"/>
  <c r="E2643" i="464"/>
  <c r="E2642" i="464"/>
  <c r="E2641" i="464"/>
  <c r="E2640" i="464"/>
  <c r="E2639" i="464"/>
  <c r="E2638" i="464"/>
  <c r="E2637" i="464"/>
  <c r="E2636" i="464"/>
  <c r="E2635" i="464"/>
  <c r="E2634" i="464"/>
  <c r="E2633" i="464"/>
  <c r="E2632" i="464"/>
  <c r="E2631" i="464"/>
  <c r="E2630" i="464"/>
  <c r="E2629" i="464"/>
  <c r="E2628" i="464"/>
  <c r="E2627" i="464"/>
  <c r="E2626" i="464"/>
  <c r="E2625" i="464"/>
  <c r="E2624" i="464"/>
  <c r="E2623" i="464"/>
  <c r="E2622" i="464"/>
  <c r="E2621" i="464"/>
  <c r="E2620" i="464"/>
  <c r="E2619" i="464"/>
  <c r="E2618" i="464"/>
  <c r="E2617" i="464"/>
  <c r="E2616" i="464"/>
  <c r="E2615" i="464"/>
  <c r="F2615" i="464" s="1"/>
  <c r="E2613" i="464"/>
  <c r="E2614" i="464"/>
  <c r="E2612" i="464"/>
  <c r="F2612" i="464" s="1"/>
  <c r="E2611" i="464"/>
  <c r="F2611" i="464" s="1"/>
  <c r="E2610" i="464"/>
  <c r="F2610" i="464" s="1"/>
  <c r="E2609" i="464"/>
  <c r="F2609" i="464" s="1"/>
  <c r="E2608" i="464"/>
  <c r="F2608" i="464" s="1"/>
  <c r="AF43" i="298"/>
  <c r="W34" i="298"/>
  <c r="W33" i="298"/>
  <c r="W32" i="298"/>
  <c r="W31" i="298"/>
  <c r="W30" i="298"/>
  <c r="W29" i="298"/>
  <c r="W28" i="298"/>
  <c r="Q35" i="298"/>
  <c r="K35" i="298"/>
  <c r="AI23" i="298"/>
  <c r="AC23" i="298"/>
  <c r="Q23" i="298"/>
  <c r="K23" i="298"/>
  <c r="W22" i="298"/>
  <c r="W21" i="298"/>
  <c r="W20" i="298"/>
  <c r="W19" i="298"/>
  <c r="E2606" i="464"/>
  <c r="F2606" i="464" s="1"/>
  <c r="E2607" i="464"/>
  <c r="E2605" i="464"/>
  <c r="F2605" i="464" s="1"/>
  <c r="E2604" i="464"/>
  <c r="F2604" i="464" s="1"/>
  <c r="E2603" i="464"/>
  <c r="F2603" i="464" s="1"/>
  <c r="E2602" i="464"/>
  <c r="F2602" i="464" s="1"/>
  <c r="E2601" i="464"/>
  <c r="E2600" i="464"/>
  <c r="F2600" i="464" s="1"/>
  <c r="E2599" i="464"/>
  <c r="F2599" i="464" s="1"/>
  <c r="E2598" i="464"/>
  <c r="F2598" i="464" s="1"/>
  <c r="E2597" i="464"/>
  <c r="F2597" i="464" s="1"/>
  <c r="E2596" i="464"/>
  <c r="F2596" i="464" s="1"/>
  <c r="E2595" i="464"/>
  <c r="F2595" i="464" s="1"/>
  <c r="E2594" i="464"/>
  <c r="E2593" i="464"/>
  <c r="F2593" i="464" s="1"/>
  <c r="E2592" i="464"/>
  <c r="F2592" i="464" s="1"/>
  <c r="E2591" i="464"/>
  <c r="F2591" i="464" s="1"/>
  <c r="E2590" i="464"/>
  <c r="F2590" i="464" s="1"/>
  <c r="E2589" i="464"/>
  <c r="F2589" i="464" s="1"/>
  <c r="E2588" i="464"/>
  <c r="F2588" i="464" s="1"/>
  <c r="E2587" i="464"/>
  <c r="F2587" i="464" s="1"/>
  <c r="E2586" i="464"/>
  <c r="F2586" i="464" s="1"/>
  <c r="E2585" i="464"/>
  <c r="F2585" i="464" s="1"/>
  <c r="E2584" i="464"/>
  <c r="F2584" i="464" s="1"/>
  <c r="E2583" i="464"/>
  <c r="F2583" i="464" s="1"/>
  <c r="E2582" i="464"/>
  <c r="F2582" i="464" s="1"/>
  <c r="E2581" i="464"/>
  <c r="F2581" i="464" s="1"/>
  <c r="E2580" i="464"/>
  <c r="F2580" i="464" s="1"/>
  <c r="E2579" i="464"/>
  <c r="F2579" i="464" s="1"/>
  <c r="E2578" i="464"/>
  <c r="F2578" i="464" s="1"/>
  <c r="E2577" i="464"/>
  <c r="F2577" i="464" s="1"/>
  <c r="E2576" i="464"/>
  <c r="F2576" i="464" s="1"/>
  <c r="E2575" i="464"/>
  <c r="F2575" i="464" s="1"/>
  <c r="AI41" i="393"/>
  <c r="E2574" i="464"/>
  <c r="F2574" i="464" s="1"/>
  <c r="E2573" i="464"/>
  <c r="F2573" i="464" s="1"/>
  <c r="E2572" i="464"/>
  <c r="E2571" i="464"/>
  <c r="E2570" i="464"/>
  <c r="E2569" i="464"/>
  <c r="F2569" i="464" s="1"/>
  <c r="E2568" i="464"/>
  <c r="F2568" i="464" s="1"/>
  <c r="E2567" i="464"/>
  <c r="E2566" i="464"/>
  <c r="E2565" i="464"/>
  <c r="F2565" i="464" s="1"/>
  <c r="E2564" i="464"/>
  <c r="F2564" i="464" s="1"/>
  <c r="E2563" i="464"/>
  <c r="E2562" i="464"/>
  <c r="E2561" i="464"/>
  <c r="F2561" i="464" s="1"/>
  <c r="E2560" i="464"/>
  <c r="F2560" i="464" s="1"/>
  <c r="E2559" i="464"/>
  <c r="E2547" i="464"/>
  <c r="F2547" i="464" s="1"/>
  <c r="E2558" i="464"/>
  <c r="F2558" i="464" s="1"/>
  <c r="E2557" i="464"/>
  <c r="F2557" i="464" s="1"/>
  <c r="E2556" i="464"/>
  <c r="F2556" i="464" s="1"/>
  <c r="E2555" i="464"/>
  <c r="F2555" i="464" s="1"/>
  <c r="E2554" i="464"/>
  <c r="F2554" i="464" s="1"/>
  <c r="E2553" i="464"/>
  <c r="F2553" i="464" s="1"/>
  <c r="E2552" i="464"/>
  <c r="F2552" i="464" s="1"/>
  <c r="E2551" i="464"/>
  <c r="F2551" i="464" s="1"/>
  <c r="E2550" i="464"/>
  <c r="F2550" i="464" s="1"/>
  <c r="E2549" i="464"/>
  <c r="E2548" i="464"/>
  <c r="F2548" i="464" s="1"/>
  <c r="E2546" i="464"/>
  <c r="F2546" i="464" s="1"/>
  <c r="E2545" i="464"/>
  <c r="F2545" i="464" s="1"/>
  <c r="E2544" i="464"/>
  <c r="F2544" i="464" s="1"/>
  <c r="E2543" i="464"/>
  <c r="F2543" i="464" s="1"/>
  <c r="E2542" i="464"/>
  <c r="F2542" i="464" s="1"/>
  <c r="E2541" i="464"/>
  <c r="F2541" i="464" s="1"/>
  <c r="E2540" i="464"/>
  <c r="F2540" i="464" s="1"/>
  <c r="E2539" i="464"/>
  <c r="E2538" i="464"/>
  <c r="F2538" i="464" s="1"/>
  <c r="E2537" i="464"/>
  <c r="F2537" i="464" s="1"/>
  <c r="E2536" i="464"/>
  <c r="F2536" i="464" s="1"/>
  <c r="E2535" i="464"/>
  <c r="F2535" i="464" s="1"/>
  <c r="E2534" i="464"/>
  <c r="F2534" i="464" s="1"/>
  <c r="E2533" i="464"/>
  <c r="F2533" i="464" s="1"/>
  <c r="E2532" i="464"/>
  <c r="F2532" i="464" s="1"/>
  <c r="E2531" i="464"/>
  <c r="F2531" i="464" s="1"/>
  <c r="E2530" i="464"/>
  <c r="F2530" i="464" s="1"/>
  <c r="E2529" i="464"/>
  <c r="E2528" i="464"/>
  <c r="F2528" i="464" s="1"/>
  <c r="E2527" i="464"/>
  <c r="F2527" i="464" s="1"/>
  <c r="E2526" i="464"/>
  <c r="F2526" i="464" s="1"/>
  <c r="E2525" i="464"/>
  <c r="E2524" i="464"/>
  <c r="F2524" i="464" s="1"/>
  <c r="E2523" i="464"/>
  <c r="E2522" i="464"/>
  <c r="F2522" i="464" s="1"/>
  <c r="E2520" i="464"/>
  <c r="F2520" i="464" s="1"/>
  <c r="E2521" i="464"/>
  <c r="F2521" i="464" s="1"/>
  <c r="E2519" i="464"/>
  <c r="F2519" i="464" s="1"/>
  <c r="E2518" i="464"/>
  <c r="F2518" i="464" s="1"/>
  <c r="M72" i="392"/>
  <c r="E2517" i="464"/>
  <c r="E2516" i="464"/>
  <c r="E2515" i="464"/>
  <c r="E2514" i="464"/>
  <c r="E2513" i="464"/>
  <c r="E2512" i="464"/>
  <c r="E2511" i="464"/>
  <c r="E2510" i="464"/>
  <c r="E2509" i="464"/>
  <c r="E2508" i="464"/>
  <c r="E2507" i="464"/>
  <c r="E2506" i="464"/>
  <c r="E2505" i="464"/>
  <c r="E2504" i="464"/>
  <c r="E2503" i="464"/>
  <c r="E2502" i="464"/>
  <c r="E2501" i="464"/>
  <c r="E2500" i="464"/>
  <c r="E2499" i="464"/>
  <c r="E2498" i="464"/>
  <c r="E2497" i="464"/>
  <c r="E2496" i="464"/>
  <c r="E2495" i="464"/>
  <c r="E2494" i="464"/>
  <c r="E2493" i="464"/>
  <c r="E2492" i="464"/>
  <c r="E2491" i="464"/>
  <c r="E2490" i="464"/>
  <c r="E2488" i="464"/>
  <c r="E2489" i="464"/>
  <c r="E2487" i="464"/>
  <c r="E2486" i="464"/>
  <c r="E2485" i="464"/>
  <c r="E2484" i="464"/>
  <c r="E2483" i="464"/>
  <c r="E2482" i="464"/>
  <c r="E2481" i="464"/>
  <c r="E2480" i="464"/>
  <c r="E2479" i="464"/>
  <c r="E2478" i="464"/>
  <c r="E2477" i="464"/>
  <c r="E2476" i="464"/>
  <c r="E2475" i="464"/>
  <c r="F2475" i="464" s="1"/>
  <c r="E2474" i="464"/>
  <c r="F2474" i="464" s="1"/>
  <c r="E2473" i="464"/>
  <c r="F2473" i="464" s="1"/>
  <c r="E2472" i="464"/>
  <c r="F2472" i="464" s="1"/>
  <c r="E2471" i="464"/>
  <c r="E2470" i="464"/>
  <c r="E2469" i="464"/>
  <c r="E2468" i="464"/>
  <c r="F2468" i="464" s="1"/>
  <c r="E2467" i="464"/>
  <c r="F2467" i="464" s="1"/>
  <c r="E2466" i="464"/>
  <c r="F2466" i="464" s="1"/>
  <c r="E2465" i="464"/>
  <c r="F2465" i="464" s="1"/>
  <c r="AI59" i="391"/>
  <c r="AI53" i="391"/>
  <c r="Z53" i="391"/>
  <c r="Q53" i="391"/>
  <c r="AI38" i="391"/>
  <c r="Z38" i="391"/>
  <c r="Q38" i="391"/>
  <c r="V13" i="299" l="1"/>
  <c r="AL40" i="299"/>
  <c r="V25" i="299"/>
  <c r="W23" i="298"/>
  <c r="W35" i="298"/>
  <c r="E2457" i="464" l="1"/>
  <c r="E2456" i="464"/>
  <c r="E2455" i="464"/>
  <c r="E2454" i="464"/>
  <c r="E2453" i="464"/>
  <c r="E2464" i="464"/>
  <c r="E2463" i="464"/>
  <c r="E2462" i="464"/>
  <c r="E2461" i="464"/>
  <c r="E2460" i="464"/>
  <c r="E2459" i="464"/>
  <c r="E2458" i="464"/>
  <c r="E2452" i="464"/>
  <c r="E2451" i="464"/>
  <c r="E2450" i="464"/>
  <c r="E2449" i="464"/>
  <c r="E2448" i="464"/>
  <c r="E2447" i="464"/>
  <c r="E2446" i="464"/>
  <c r="E2445" i="464"/>
  <c r="E2444" i="464"/>
  <c r="E2443" i="464"/>
  <c r="E2442" i="464"/>
  <c r="E2441" i="464"/>
  <c r="E2440" i="464"/>
  <c r="F2440" i="464" s="1"/>
  <c r="E2439" i="464"/>
  <c r="E2438" i="464"/>
  <c r="E2437" i="464"/>
  <c r="E2436" i="464"/>
  <c r="E2435" i="464"/>
  <c r="E2434" i="464"/>
  <c r="E2433" i="464"/>
  <c r="E2432" i="464"/>
  <c r="E2431" i="464"/>
  <c r="E2430" i="464"/>
  <c r="E2429" i="464"/>
  <c r="E2428" i="464"/>
  <c r="E2427" i="464"/>
  <c r="E2426" i="464"/>
  <c r="E2425" i="464"/>
  <c r="E2424" i="464"/>
  <c r="E2423" i="464"/>
  <c r="E2422" i="464"/>
  <c r="E2421" i="464"/>
  <c r="E2420" i="464"/>
  <c r="E2419" i="464"/>
  <c r="E2418" i="464"/>
  <c r="E2417" i="464"/>
  <c r="E2416" i="464"/>
  <c r="E2415" i="464"/>
  <c r="E2414" i="464"/>
  <c r="E2413" i="464"/>
  <c r="E2412" i="464"/>
  <c r="E2411" i="464"/>
  <c r="E2410" i="464"/>
  <c r="W39" i="390"/>
  <c r="Q39" i="390"/>
  <c r="K39" i="390"/>
  <c r="AI31" i="390"/>
  <c r="AC31" i="390"/>
  <c r="W31" i="390"/>
  <c r="Q31" i="390"/>
  <c r="K31" i="390"/>
  <c r="AI21" i="390"/>
  <c r="AC21" i="390"/>
  <c r="W21" i="390"/>
  <c r="Q21" i="390"/>
  <c r="K21" i="390"/>
  <c r="AI12" i="390"/>
  <c r="AC12" i="390"/>
  <c r="W12" i="390"/>
  <c r="Q12" i="390"/>
  <c r="K12" i="390"/>
  <c r="AH43" i="390"/>
  <c r="AH30" i="389"/>
  <c r="AH23" i="389"/>
  <c r="AA23" i="389"/>
  <c r="T23" i="389"/>
  <c r="M23" i="389"/>
  <c r="AH13" i="389"/>
  <c r="AA13" i="389"/>
  <c r="T13" i="389"/>
  <c r="M13" i="389"/>
  <c r="E2409" i="464"/>
  <c r="E2408" i="464"/>
  <c r="E2407" i="464"/>
  <c r="E2406" i="464"/>
  <c r="E2405" i="464"/>
  <c r="E2404" i="464"/>
  <c r="E2403" i="464"/>
  <c r="E2402" i="464"/>
  <c r="E2401" i="464"/>
  <c r="E2400" i="464"/>
  <c r="E2399" i="464"/>
  <c r="E2398" i="464"/>
  <c r="E2397" i="464"/>
  <c r="E2396" i="464"/>
  <c r="E2395" i="464"/>
  <c r="E2394" i="464"/>
  <c r="E2393" i="464"/>
  <c r="E2392" i="464"/>
  <c r="E2391" i="464"/>
  <c r="E2390" i="464"/>
  <c r="E2389" i="464"/>
  <c r="E2388" i="464"/>
  <c r="E2387" i="464"/>
  <c r="E2386" i="464"/>
  <c r="E2385" i="464"/>
  <c r="E2384" i="464"/>
  <c r="E2383" i="464"/>
  <c r="E2382" i="464"/>
  <c r="E2381" i="464"/>
  <c r="E2380" i="464"/>
  <c r="E2379" i="464"/>
  <c r="E2378" i="464"/>
  <c r="E2377" i="464"/>
  <c r="E2376" i="464"/>
  <c r="E2375" i="464"/>
  <c r="E2374" i="464"/>
  <c r="E2373" i="464"/>
  <c r="E2372" i="464"/>
  <c r="E2371" i="464"/>
  <c r="E2370" i="464"/>
  <c r="E2369" i="464"/>
  <c r="E2368" i="464"/>
  <c r="E2367" i="464"/>
  <c r="E2366" i="464"/>
  <c r="E2365" i="464"/>
  <c r="E2364" i="464"/>
  <c r="E2363" i="464"/>
  <c r="E2362" i="464"/>
  <c r="E2361" i="464"/>
  <c r="E2360" i="464"/>
  <c r="E2359" i="464"/>
  <c r="E2358" i="464"/>
  <c r="E2357" i="464"/>
  <c r="E2356" i="464"/>
  <c r="E2355" i="464"/>
  <c r="E2354" i="464"/>
  <c r="E2353" i="464"/>
  <c r="E2352" i="464"/>
  <c r="E2351" i="464"/>
  <c r="E2350" i="464"/>
  <c r="E2349" i="464"/>
  <c r="E2348" i="464"/>
  <c r="E2347" i="464"/>
  <c r="E2346" i="464"/>
  <c r="E2345" i="464"/>
  <c r="E2344" i="464"/>
  <c r="E2343" i="464"/>
  <c r="F2343" i="464" s="1"/>
  <c r="E2342" i="464"/>
  <c r="E2341" i="464"/>
  <c r="E2340" i="464"/>
  <c r="E2339" i="464"/>
  <c r="E2338" i="464"/>
  <c r="E2337" i="464"/>
  <c r="E2336" i="464"/>
  <c r="E2335" i="464"/>
  <c r="E2334" i="464"/>
  <c r="E2333" i="464"/>
  <c r="E2332" i="464"/>
  <c r="E2331" i="464"/>
  <c r="E2330" i="464"/>
  <c r="E2329" i="464"/>
  <c r="E2328" i="464"/>
  <c r="E2327" i="464"/>
  <c r="E2325" i="464"/>
  <c r="E2326" i="464"/>
  <c r="E2324" i="464"/>
  <c r="E2323" i="464"/>
  <c r="E2322" i="464"/>
  <c r="E2321" i="464"/>
  <c r="E2320" i="464"/>
  <c r="E2319" i="464"/>
  <c r="E2318" i="464"/>
  <c r="E2317" i="464"/>
  <c r="E2316" i="464"/>
  <c r="E2315" i="464"/>
  <c r="E2314" i="464"/>
  <c r="E2313" i="464"/>
  <c r="E2312" i="464"/>
  <c r="E2311" i="464"/>
  <c r="E2310" i="464"/>
  <c r="E2309" i="464"/>
  <c r="E2308" i="464"/>
  <c r="E2307" i="464"/>
  <c r="E2306" i="464"/>
  <c r="E2305" i="464"/>
  <c r="E2304" i="464"/>
  <c r="E2303" i="464"/>
  <c r="E2302" i="464"/>
  <c r="E2301" i="464"/>
  <c r="E2300" i="464"/>
  <c r="F2300" i="464" s="1"/>
  <c r="E2299" i="464"/>
  <c r="F2299" i="464" s="1"/>
  <c r="E2298" i="464"/>
  <c r="F2298" i="464" s="1"/>
  <c r="E2297" i="464"/>
  <c r="E2296" i="464"/>
  <c r="E2295" i="464"/>
  <c r="E2294" i="464"/>
  <c r="E2293" i="464"/>
  <c r="E2292" i="464"/>
  <c r="E2291" i="464"/>
  <c r="E2290" i="464"/>
  <c r="F2290" i="464" s="1"/>
  <c r="E2289" i="464"/>
  <c r="F2289" i="464" s="1"/>
  <c r="N58" i="388"/>
  <c r="AH49" i="388" l="1"/>
  <c r="AC49" i="388"/>
  <c r="X49" i="388"/>
  <c r="S49" i="388"/>
  <c r="N49" i="388"/>
  <c r="I49" i="388"/>
  <c r="AH36" i="388"/>
  <c r="AC36" i="388"/>
  <c r="X36" i="388"/>
  <c r="S36" i="388"/>
  <c r="N36" i="388"/>
  <c r="I36" i="388"/>
  <c r="L19" i="388"/>
  <c r="BI39" i="387" l="1"/>
  <c r="BG39" i="387"/>
  <c r="BE39" i="387"/>
  <c r="BC39" i="387"/>
  <c r="BA39" i="387"/>
  <c r="AY39" i="387"/>
  <c r="AW39" i="387"/>
  <c r="AU39" i="387"/>
  <c r="AS39" i="387"/>
  <c r="AQ39" i="387"/>
  <c r="AO39" i="387"/>
  <c r="AM39" i="387"/>
  <c r="AK39" i="387"/>
  <c r="AI39" i="387"/>
  <c r="AG39" i="387"/>
  <c r="AE39" i="387"/>
  <c r="AC39" i="387"/>
  <c r="AA39" i="387"/>
  <c r="Y39" i="387"/>
  <c r="W39" i="387"/>
  <c r="U39" i="387"/>
  <c r="S39" i="387"/>
  <c r="Q39" i="387"/>
  <c r="O39" i="387"/>
  <c r="M39" i="387"/>
  <c r="K39" i="387"/>
  <c r="I39" i="387"/>
  <c r="G39" i="387"/>
  <c r="E2232" i="464"/>
  <c r="E2231" i="464"/>
  <c r="E2230" i="464"/>
  <c r="E2229" i="464"/>
  <c r="E2228" i="464"/>
  <c r="E2227" i="464"/>
  <c r="E2226" i="464"/>
  <c r="E2225" i="464"/>
  <c r="E2224" i="464"/>
  <c r="E2223" i="464"/>
  <c r="E2222" i="464"/>
  <c r="E2221" i="464"/>
  <c r="E2220" i="464"/>
  <c r="E2219" i="464"/>
  <c r="E2218" i="464"/>
  <c r="E2217" i="464"/>
  <c r="E2216" i="464"/>
  <c r="E2215" i="464"/>
  <c r="E2214" i="464"/>
  <c r="E2213" i="464"/>
  <c r="E2212" i="464"/>
  <c r="E2211" i="464"/>
  <c r="E2210" i="464"/>
  <c r="E2209" i="464"/>
  <c r="E2208" i="464"/>
  <c r="E2207" i="464"/>
  <c r="E2206" i="464"/>
  <c r="E2205" i="464"/>
  <c r="E2204" i="464"/>
  <c r="E2203" i="464"/>
  <c r="E2202" i="464"/>
  <c r="E2201" i="464"/>
  <c r="E2200" i="464"/>
  <c r="E2199" i="464"/>
  <c r="E2198" i="464"/>
  <c r="E2197" i="464"/>
  <c r="E2196" i="464"/>
  <c r="E2195" i="464"/>
  <c r="E2194" i="464"/>
  <c r="E2193" i="464"/>
  <c r="E2191" i="464"/>
  <c r="E2192" i="464"/>
  <c r="E2190" i="464"/>
  <c r="E2189" i="464"/>
  <c r="E2188" i="464"/>
  <c r="E2187" i="464"/>
  <c r="E2186" i="464"/>
  <c r="E2185" i="464"/>
  <c r="E2184" i="464"/>
  <c r="E2183" i="464"/>
  <c r="E2182" i="464"/>
  <c r="E2181" i="464"/>
  <c r="E2180" i="464"/>
  <c r="E2179" i="464"/>
  <c r="E2178" i="464"/>
  <c r="E2177" i="464"/>
  <c r="E2176" i="464"/>
  <c r="E2175" i="464"/>
  <c r="E2174" i="464"/>
  <c r="E2173" i="464"/>
  <c r="E2172" i="464"/>
  <c r="E2171" i="464"/>
  <c r="E2170" i="464"/>
  <c r="E2169" i="464"/>
  <c r="E2168" i="464"/>
  <c r="E2167" i="464"/>
  <c r="E2166" i="464"/>
  <c r="E2165" i="464"/>
  <c r="E2164" i="464"/>
  <c r="E2163" i="464"/>
  <c r="E2162" i="464"/>
  <c r="E2161" i="464"/>
  <c r="E2160" i="464"/>
  <c r="E2159" i="464"/>
  <c r="E2158" i="464"/>
  <c r="E2157" i="464"/>
  <c r="E2156" i="464"/>
  <c r="E2155" i="464"/>
  <c r="E2154" i="464"/>
  <c r="E2153" i="464"/>
  <c r="E2152" i="464"/>
  <c r="AM29" i="387"/>
  <c r="AM28" i="387"/>
  <c r="AM27" i="387"/>
  <c r="AM26" i="387"/>
  <c r="AM15" i="387"/>
  <c r="AM14" i="387"/>
  <c r="AM13" i="387"/>
  <c r="AM12" i="387"/>
  <c r="AM11" i="387"/>
  <c r="AM9" i="387"/>
  <c r="AM8" i="387"/>
  <c r="AM6" i="387"/>
  <c r="AR42" i="387"/>
  <c r="E2151" i="464" l="1"/>
  <c r="E2150" i="464"/>
  <c r="E2149" i="464"/>
  <c r="E2148" i="464"/>
  <c r="E2147" i="464"/>
  <c r="E2146" i="464"/>
  <c r="E2145" i="464"/>
  <c r="E2144" i="464"/>
  <c r="E2143" i="464"/>
  <c r="E2142" i="464"/>
  <c r="F2142" i="464" s="1"/>
  <c r="E2141" i="464"/>
  <c r="F2141" i="464" s="1"/>
  <c r="E2140" i="464"/>
  <c r="F2140" i="464" s="1"/>
  <c r="E2139" i="464"/>
  <c r="F2139" i="464" s="1"/>
  <c r="E2138" i="464"/>
  <c r="F2138" i="464" s="1"/>
  <c r="E2137" i="464"/>
  <c r="F2137" i="464" s="1"/>
  <c r="E2136" i="464"/>
  <c r="E2135" i="464"/>
  <c r="E2134" i="464"/>
  <c r="F2134" i="464" s="1"/>
  <c r="E2133" i="464"/>
  <c r="F2133" i="464" s="1"/>
  <c r="E2132" i="464"/>
  <c r="F2132" i="464" s="1"/>
  <c r="E2131" i="464"/>
  <c r="F2131" i="464" s="1"/>
  <c r="E2130" i="464"/>
  <c r="F2130" i="464" s="1"/>
  <c r="E2129" i="464"/>
  <c r="F2129" i="464" s="1"/>
  <c r="E2128" i="464"/>
  <c r="F2128" i="464" s="1"/>
  <c r="E2127" i="464"/>
  <c r="E2126" i="464"/>
  <c r="F2126" i="464" s="1"/>
  <c r="E2125" i="464"/>
  <c r="F2125" i="464" s="1"/>
  <c r="E2124" i="464"/>
  <c r="F2124" i="464" s="1"/>
  <c r="E2123" i="464"/>
  <c r="F2123" i="464" s="1"/>
  <c r="E2122" i="464"/>
  <c r="F2122" i="464" s="1"/>
  <c r="E2121" i="464"/>
  <c r="F2121" i="464" s="1"/>
  <c r="E2120" i="464"/>
  <c r="E2119" i="464"/>
  <c r="E2118" i="464"/>
  <c r="F2118" i="464" s="1"/>
  <c r="E2117" i="464"/>
  <c r="F2117" i="464" s="1"/>
  <c r="E2116" i="464"/>
  <c r="F2116" i="464" s="1"/>
  <c r="E2115" i="464"/>
  <c r="F2115" i="464" s="1"/>
  <c r="E2114" i="464"/>
  <c r="F2114" i="464" s="1"/>
  <c r="E2113" i="464"/>
  <c r="F2113" i="464" s="1"/>
  <c r="AH49" i="386"/>
  <c r="AF41" i="386"/>
  <c r="AF40" i="386"/>
  <c r="E2112" i="464"/>
  <c r="E2111" i="464"/>
  <c r="E2110" i="464"/>
  <c r="E2109" i="464"/>
  <c r="E2108" i="464"/>
  <c r="E2107" i="464"/>
  <c r="F2107" i="464" s="1"/>
  <c r="E2106" i="464"/>
  <c r="F2106" i="464" s="1"/>
  <c r="E2105" i="464"/>
  <c r="F2105" i="464" s="1"/>
  <c r="E2104" i="464"/>
  <c r="F2104" i="464" s="1"/>
  <c r="E2103" i="464"/>
  <c r="F2103" i="464" s="1"/>
  <c r="E2102" i="464"/>
  <c r="E2101" i="464"/>
  <c r="E2100" i="464"/>
  <c r="E2099" i="464"/>
  <c r="E2098" i="464"/>
  <c r="F2098" i="464" s="1"/>
  <c r="E2097" i="464"/>
  <c r="F2097" i="464" s="1"/>
  <c r="E2091" i="464"/>
  <c r="E2087" i="464"/>
  <c r="E2096" i="464"/>
  <c r="E2095" i="464"/>
  <c r="E2094" i="464"/>
  <c r="E2093" i="464"/>
  <c r="E2092" i="464"/>
  <c r="E2090" i="464"/>
  <c r="E2089" i="464"/>
  <c r="E2088" i="464"/>
  <c r="E2086" i="464"/>
  <c r="E2085" i="464"/>
  <c r="E2084" i="464"/>
  <c r="E2083" i="464"/>
  <c r="E2082" i="464"/>
  <c r="E2081" i="464"/>
  <c r="O41" i="348"/>
  <c r="AR7" i="348"/>
  <c r="AP7" i="348"/>
  <c r="AU49" i="378" l="1"/>
  <c r="E2080" i="464"/>
  <c r="F60" i="426" s="1"/>
  <c r="E2079" i="464"/>
  <c r="B58" i="426" s="1"/>
  <c r="E2078" i="464"/>
  <c r="E2077" i="464"/>
  <c r="E2076" i="464"/>
  <c r="E2075" i="464"/>
  <c r="E2074" i="464"/>
  <c r="E2073" i="464"/>
  <c r="E2072" i="464"/>
  <c r="E2071" i="464"/>
  <c r="E2070" i="464"/>
  <c r="E2069" i="464"/>
  <c r="E2068" i="464"/>
  <c r="E2066" i="464"/>
  <c r="E2067" i="464"/>
  <c r="E2065" i="464"/>
  <c r="E2064" i="464"/>
  <c r="E2063" i="464"/>
  <c r="E2062" i="464"/>
  <c r="E2061" i="464"/>
  <c r="E2060" i="464"/>
  <c r="E2059" i="464"/>
  <c r="E2058" i="464"/>
  <c r="E2057" i="464"/>
  <c r="E2056" i="464"/>
  <c r="E2055" i="464"/>
  <c r="E2054" i="464"/>
  <c r="E2053" i="464"/>
  <c r="E2052" i="464"/>
  <c r="E2051" i="464"/>
  <c r="E2050" i="464"/>
  <c r="E2049" i="464"/>
  <c r="E2048" i="464"/>
  <c r="E2047" i="464"/>
  <c r="E2046" i="464"/>
  <c r="E2045" i="464"/>
  <c r="E2044" i="464"/>
  <c r="E2043" i="464"/>
  <c r="E2042" i="464"/>
  <c r="E2041" i="464"/>
  <c r="E2040" i="464"/>
  <c r="E2039" i="464"/>
  <c r="E2038" i="464"/>
  <c r="E2037" i="464"/>
  <c r="E2036" i="464"/>
  <c r="E2035" i="464"/>
  <c r="E2034" i="464"/>
  <c r="E2033" i="464"/>
  <c r="E2032" i="464"/>
  <c r="E2031" i="464"/>
  <c r="E2030" i="464"/>
  <c r="E2029" i="464"/>
  <c r="E2028" i="464"/>
  <c r="E2027" i="464"/>
  <c r="E2026" i="464"/>
  <c r="E2025" i="464"/>
  <c r="E2024" i="464"/>
  <c r="E2023" i="464"/>
  <c r="E2022" i="464"/>
  <c r="E2021" i="464"/>
  <c r="E2020" i="464"/>
  <c r="E2019" i="464"/>
  <c r="E2018" i="464"/>
  <c r="E2017" i="464"/>
  <c r="E2016" i="464"/>
  <c r="E2015" i="464"/>
  <c r="E2014" i="464"/>
  <c r="E2013" i="464"/>
  <c r="E2012" i="464"/>
  <c r="E2011" i="464"/>
  <c r="E2010" i="464"/>
  <c r="E2009" i="464"/>
  <c r="E2008" i="464"/>
  <c r="E2007" i="464"/>
  <c r="E2006" i="464"/>
  <c r="E2005" i="464"/>
  <c r="E2004" i="464"/>
  <c r="E2003" i="464"/>
  <c r="E2002" i="464"/>
  <c r="E2001" i="464"/>
  <c r="E2000" i="464"/>
  <c r="E1999" i="464"/>
  <c r="E1998" i="464"/>
  <c r="E1997" i="464"/>
  <c r="E1996" i="464"/>
  <c r="E1995" i="464"/>
  <c r="E1994" i="464"/>
  <c r="E1993" i="464"/>
  <c r="E1992" i="464"/>
  <c r="E1991" i="464"/>
  <c r="E1990" i="464"/>
  <c r="E1989" i="464"/>
  <c r="E1988" i="464"/>
  <c r="E1987" i="464"/>
  <c r="E1986" i="464"/>
  <c r="E1985" i="464"/>
  <c r="E1984" i="464"/>
  <c r="E1983" i="464"/>
  <c r="E1982" i="464"/>
  <c r="E1981" i="464"/>
  <c r="E1980" i="464"/>
  <c r="E1979" i="464"/>
  <c r="E1978" i="464"/>
  <c r="E1977" i="464"/>
  <c r="E1976" i="464"/>
  <c r="E1975" i="464"/>
  <c r="E1974" i="464"/>
  <c r="E1973" i="464"/>
  <c r="E1972" i="464"/>
  <c r="E1971" i="464"/>
  <c r="E1970" i="464"/>
  <c r="E1969" i="464"/>
  <c r="E1968" i="464"/>
  <c r="E1967" i="464"/>
  <c r="E1966" i="464"/>
  <c r="E1965" i="464"/>
  <c r="E1964" i="464"/>
  <c r="E1963" i="464"/>
  <c r="E1962" i="464"/>
  <c r="E1961" i="464"/>
  <c r="E1960" i="464"/>
  <c r="E1959" i="464"/>
  <c r="E1958" i="464"/>
  <c r="E1957" i="464"/>
  <c r="E1956" i="464"/>
  <c r="E1955" i="464"/>
  <c r="E1954" i="464"/>
  <c r="E1953" i="464"/>
  <c r="E1952" i="464"/>
  <c r="E1951" i="464"/>
  <c r="E1950" i="464"/>
  <c r="E1949" i="464"/>
  <c r="E1948" i="464"/>
  <c r="E1947" i="464"/>
  <c r="E1946" i="464"/>
  <c r="E1945" i="464"/>
  <c r="E1944" i="464"/>
  <c r="E1943" i="464"/>
  <c r="E1942" i="464"/>
  <c r="E1941" i="464"/>
  <c r="E1940" i="464"/>
  <c r="E1939" i="464"/>
  <c r="E1938" i="464"/>
  <c r="E1937" i="464"/>
  <c r="E1936" i="464"/>
  <c r="E1935" i="464"/>
  <c r="E1934" i="464"/>
  <c r="E1933" i="464"/>
  <c r="E1932" i="464"/>
  <c r="E1931" i="464"/>
  <c r="E1930" i="464"/>
  <c r="E1929" i="464"/>
  <c r="E1928" i="464"/>
  <c r="E1927" i="464"/>
  <c r="E1926" i="464"/>
  <c r="E1925" i="464"/>
  <c r="E1924" i="464"/>
  <c r="E1923" i="464"/>
  <c r="E1922" i="464"/>
  <c r="E1921" i="464"/>
  <c r="E1920" i="464"/>
  <c r="E1919" i="464"/>
  <c r="E1918" i="464"/>
  <c r="E1917" i="464"/>
  <c r="E1916" i="464"/>
  <c r="E1915" i="464"/>
  <c r="E1914" i="464"/>
  <c r="BC34" i="378"/>
  <c r="AZ34" i="378"/>
  <c r="AW34" i="378"/>
  <c r="AT34" i="378"/>
  <c r="AQ34" i="378"/>
  <c r="AN34" i="378"/>
  <c r="AK34" i="378"/>
  <c r="AH34" i="378"/>
  <c r="AE34" i="378"/>
  <c r="AB34" i="378"/>
  <c r="Y34" i="378"/>
  <c r="V34" i="378"/>
  <c r="S34" i="378"/>
  <c r="P34" i="378"/>
  <c r="M34" i="378"/>
  <c r="J34" i="378"/>
  <c r="BI33" i="378"/>
  <c r="BI32" i="378"/>
  <c r="BI31" i="378"/>
  <c r="BI30" i="378"/>
  <c r="BI27" i="378"/>
  <c r="BI26" i="378"/>
  <c r="BI25" i="378"/>
  <c r="BI24" i="378"/>
  <c r="BI23" i="378"/>
  <c r="BF33" i="378"/>
  <c r="BF32" i="378"/>
  <c r="BF31" i="378"/>
  <c r="BF30" i="378"/>
  <c r="BF27" i="378"/>
  <c r="BF26" i="378"/>
  <c r="BF25" i="378"/>
  <c r="BF24" i="378"/>
  <c r="BF23" i="378"/>
  <c r="BC28" i="378"/>
  <c r="AZ28" i="378"/>
  <c r="AW28" i="378"/>
  <c r="AT28" i="378"/>
  <c r="AQ28" i="378"/>
  <c r="AN28" i="378"/>
  <c r="AK28" i="378"/>
  <c r="AH28" i="378"/>
  <c r="AE28" i="378"/>
  <c r="AB28" i="378"/>
  <c r="Y28" i="378"/>
  <c r="V28" i="378"/>
  <c r="S28" i="378"/>
  <c r="P28" i="378"/>
  <c r="M28" i="378"/>
  <c r="J28" i="378"/>
  <c r="AK15" i="378"/>
  <c r="AK14" i="378"/>
  <c r="AK16" i="378" s="1"/>
  <c r="AE16" i="378"/>
  <c r="AB16" i="378"/>
  <c r="Y16" i="378"/>
  <c r="V16" i="378"/>
  <c r="S16" i="378"/>
  <c r="P16" i="378"/>
  <c r="M16" i="378"/>
  <c r="J16" i="378"/>
  <c r="AH15" i="378"/>
  <c r="AH14" i="378"/>
  <c r="P7" i="378"/>
  <c r="P6" i="378"/>
  <c r="E1913" i="464"/>
  <c r="E1912" i="464"/>
  <c r="F1912" i="464" s="1"/>
  <c r="E1911" i="464"/>
  <c r="F1911" i="464" s="1"/>
  <c r="E1910" i="464"/>
  <c r="F1910" i="464" s="1"/>
  <c r="E1909" i="464"/>
  <c r="F1909" i="464" s="1"/>
  <c r="E1908" i="464"/>
  <c r="F1908" i="464" s="1"/>
  <c r="E1907" i="464"/>
  <c r="F1907" i="464" s="1"/>
  <c r="E1906" i="464"/>
  <c r="F1906" i="464" s="1"/>
  <c r="E1905" i="464"/>
  <c r="F1905" i="464" s="1"/>
  <c r="AL38" i="148"/>
  <c r="E1904" i="464"/>
  <c r="F1904" i="464" s="1"/>
  <c r="E1903" i="464"/>
  <c r="F1903" i="464" s="1"/>
  <c r="E1902" i="464"/>
  <c r="E1901" i="464"/>
  <c r="F1901" i="464" s="1"/>
  <c r="E1900" i="464"/>
  <c r="F1900" i="464" s="1"/>
  <c r="E1899" i="464"/>
  <c r="F1899" i="464" s="1"/>
  <c r="E1898" i="464"/>
  <c r="F1898" i="464" s="1"/>
  <c r="E1897" i="464"/>
  <c r="F1897" i="464" s="1"/>
  <c r="E1896" i="464"/>
  <c r="F1896" i="464" s="1"/>
  <c r="E1895" i="464"/>
  <c r="F1895" i="464" s="1"/>
  <c r="E1894" i="464"/>
  <c r="F1894" i="464" s="1"/>
  <c r="E1893" i="464"/>
  <c r="E1892" i="464"/>
  <c r="E1891" i="464"/>
  <c r="F1891" i="464" s="1"/>
  <c r="E1890" i="464"/>
  <c r="E1889" i="464"/>
  <c r="F1889" i="464" s="1"/>
  <c r="E1888" i="464"/>
  <c r="E1887" i="464"/>
  <c r="F1887" i="464" s="1"/>
  <c r="E1886" i="464"/>
  <c r="E1885" i="464"/>
  <c r="F1885" i="464" s="1"/>
  <c r="E1884" i="464"/>
  <c r="E1883" i="464"/>
  <c r="F1883" i="464" s="1"/>
  <c r="E1882" i="464"/>
  <c r="E1881" i="464"/>
  <c r="F1881" i="464" s="1"/>
  <c r="E1880" i="464"/>
  <c r="E1879" i="464"/>
  <c r="F1879" i="464" s="1"/>
  <c r="E1878" i="464"/>
  <c r="E1877" i="464"/>
  <c r="F1877" i="464" s="1"/>
  <c r="E1876" i="464"/>
  <c r="E1875" i="464"/>
  <c r="F1875" i="464" s="1"/>
  <c r="F1873" i="464"/>
  <c r="E1872" i="464"/>
  <c r="E1871" i="464"/>
  <c r="E1870" i="464"/>
  <c r="F1870" i="464" s="1"/>
  <c r="E1869" i="464"/>
  <c r="F1869" i="464" s="1"/>
  <c r="E1868" i="464"/>
  <c r="F1868" i="464" s="1"/>
  <c r="E1867" i="464"/>
  <c r="F1867" i="464" s="1"/>
  <c r="E1866" i="464"/>
  <c r="F1866" i="464" s="1"/>
  <c r="E1865" i="464"/>
  <c r="F1865" i="464" s="1"/>
  <c r="E1864" i="464"/>
  <c r="F1864" i="464" s="1"/>
  <c r="F1863" i="464"/>
  <c r="E1861" i="464"/>
  <c r="F1861" i="464" s="1"/>
  <c r="E1862" i="464"/>
  <c r="F1862" i="464" s="1"/>
  <c r="E1860" i="464"/>
  <c r="F1860" i="464" s="1"/>
  <c r="E1859" i="464"/>
  <c r="F1859" i="464" s="1"/>
  <c r="E1858" i="464"/>
  <c r="F1858" i="464" s="1"/>
  <c r="E1857" i="464"/>
  <c r="F1857" i="464" s="1"/>
  <c r="E1856" i="464"/>
  <c r="F1856" i="464" s="1"/>
  <c r="E1855" i="464"/>
  <c r="F1855" i="464" s="1"/>
  <c r="E1854" i="464"/>
  <c r="F1854" i="464" s="1"/>
  <c r="E1853" i="464"/>
  <c r="F1853" i="464" s="1"/>
  <c r="E1852" i="464"/>
  <c r="F1852" i="464" s="1"/>
  <c r="E1851" i="464"/>
  <c r="F1851" i="464" s="1"/>
  <c r="AK53" i="368"/>
  <c r="AJ31" i="124"/>
  <c r="E1847" i="464"/>
  <c r="E1850" i="464"/>
  <c r="X40" i="148" s="1"/>
  <c r="E1849" i="464"/>
  <c r="T38" i="148" s="1"/>
  <c r="E1848" i="464"/>
  <c r="E1846" i="464"/>
  <c r="F1846" i="464" s="1"/>
  <c r="E1845" i="464"/>
  <c r="F1845" i="464" s="1"/>
  <c r="E1844" i="464"/>
  <c r="F1844" i="464" s="1"/>
  <c r="E1843" i="464"/>
  <c r="F1843" i="464" s="1"/>
  <c r="E1842" i="464"/>
  <c r="F1842" i="464" s="1"/>
  <c r="E1841" i="464"/>
  <c r="F1841" i="464" s="1"/>
  <c r="E1840" i="464"/>
  <c r="E1839" i="464"/>
  <c r="E1838" i="464"/>
  <c r="E1837" i="464"/>
  <c r="F1837" i="464" s="1"/>
  <c r="E1836" i="464"/>
  <c r="F1836" i="464" s="1"/>
  <c r="E1835" i="464"/>
  <c r="F1835" i="464" s="1"/>
  <c r="E1834" i="464"/>
  <c r="F1834" i="464" s="1"/>
  <c r="E1833" i="464"/>
  <c r="F1833" i="464" s="1"/>
  <c r="E1832" i="464"/>
  <c r="E1831" i="464"/>
  <c r="E1830" i="464"/>
  <c r="E1829" i="464"/>
  <c r="E1828" i="464"/>
  <c r="E1817" i="464"/>
  <c r="F1817" i="464" s="1"/>
  <c r="E1827" i="464"/>
  <c r="E1826" i="464"/>
  <c r="E1825" i="464"/>
  <c r="E1824" i="464"/>
  <c r="F1824" i="464" s="1"/>
  <c r="E1823" i="464"/>
  <c r="F1823" i="464" s="1"/>
  <c r="E1822" i="464"/>
  <c r="F1822" i="464" s="1"/>
  <c r="E1821" i="464"/>
  <c r="E1820" i="464"/>
  <c r="F1820" i="464" s="1"/>
  <c r="E1819" i="464"/>
  <c r="F1819" i="464" s="1"/>
  <c r="E1818" i="464"/>
  <c r="F1818" i="464" s="1"/>
  <c r="E1816" i="464"/>
  <c r="F1816" i="464" s="1"/>
  <c r="E1815" i="464"/>
  <c r="F1815" i="464" s="1"/>
  <c r="E1814" i="464"/>
  <c r="F1814" i="464" s="1"/>
  <c r="E1813" i="464"/>
  <c r="F1813" i="464" s="1"/>
  <c r="E1812" i="464"/>
  <c r="F1812" i="464" s="1"/>
  <c r="E1811" i="464"/>
  <c r="E1810" i="464"/>
  <c r="E1809" i="464"/>
  <c r="E1808" i="464"/>
  <c r="E1807" i="464"/>
  <c r="E1806" i="464"/>
  <c r="AP45" i="379"/>
  <c r="T32" i="379"/>
  <c r="T31" i="379"/>
  <c r="BI34" i="378" l="1"/>
  <c r="AH16" i="378"/>
  <c r="BF34" i="378"/>
  <c r="Q59" i="391"/>
  <c r="X67" i="392"/>
  <c r="Q41" i="393"/>
  <c r="P30" i="389"/>
  <c r="Y53" i="388"/>
  <c r="P43" i="390"/>
  <c r="W42" i="387"/>
  <c r="U61" i="391"/>
  <c r="U43" i="393"/>
  <c r="AB69" i="392"/>
  <c r="T45" i="390"/>
  <c r="T32" i="389"/>
  <c r="AC55" i="388"/>
  <c r="AA44" i="387"/>
  <c r="S53" i="368"/>
  <c r="AF38" i="348"/>
  <c r="T51" i="386"/>
  <c r="W55" i="368"/>
  <c r="AB36" i="348"/>
  <c r="P49" i="386"/>
  <c r="BI28" i="378"/>
  <c r="BF28" i="378"/>
  <c r="E1805" i="464" l="1"/>
  <c r="E1804" i="464"/>
  <c r="E1803" i="464"/>
  <c r="E1802" i="464"/>
  <c r="E1801" i="464"/>
  <c r="E1800" i="464"/>
  <c r="E1799" i="464"/>
  <c r="E1798" i="464"/>
  <c r="E1797" i="464"/>
  <c r="E1796" i="464"/>
  <c r="E1795" i="464"/>
  <c r="E1794" i="464"/>
  <c r="E1793" i="464"/>
  <c r="E1792" i="464"/>
  <c r="E1791" i="464"/>
  <c r="E1790" i="464"/>
  <c r="E1789" i="464"/>
  <c r="E1788" i="464"/>
  <c r="E1787" i="464"/>
  <c r="E1786" i="464"/>
  <c r="E1785" i="464"/>
  <c r="E1784" i="464"/>
  <c r="E1783" i="464"/>
  <c r="E1782" i="464"/>
  <c r="E1781" i="464"/>
  <c r="E1780" i="464"/>
  <c r="E1779" i="464"/>
  <c r="E1778" i="464"/>
  <c r="E1777" i="464"/>
  <c r="E1776" i="464"/>
  <c r="E1775" i="464"/>
  <c r="E1774" i="464"/>
  <c r="E1773" i="464"/>
  <c r="E1772" i="464"/>
  <c r="E1771" i="464"/>
  <c r="E1770" i="464"/>
  <c r="E1769" i="464"/>
  <c r="E1768" i="464"/>
  <c r="E1767" i="464"/>
  <c r="E1766" i="464"/>
  <c r="E1765" i="464"/>
  <c r="E1764" i="464"/>
  <c r="E1763" i="464"/>
  <c r="E1762" i="464"/>
  <c r="E1761" i="464"/>
  <c r="E1760" i="464"/>
  <c r="E1759" i="464"/>
  <c r="E1758" i="464"/>
  <c r="E1757" i="464"/>
  <c r="E1756" i="464"/>
  <c r="E1755" i="464"/>
  <c r="E1754" i="464"/>
  <c r="E1753" i="464"/>
  <c r="E1752" i="464"/>
  <c r="E1751" i="464"/>
  <c r="E1750" i="464"/>
  <c r="AH9" i="379"/>
  <c r="AH8" i="379"/>
  <c r="AH7" i="379"/>
  <c r="AH13" i="379"/>
  <c r="AH12" i="379"/>
  <c r="AH11" i="379"/>
  <c r="AH10" i="379"/>
  <c r="S13" i="379"/>
  <c r="S12" i="379"/>
  <c r="S11" i="379"/>
  <c r="S10" i="379"/>
  <c r="S9" i="379"/>
  <c r="S8" i="379"/>
  <c r="S7" i="379"/>
  <c r="AE14" i="379"/>
  <c r="AB14" i="379"/>
  <c r="Y14" i="379"/>
  <c r="V14" i="379"/>
  <c r="P14" i="379"/>
  <c r="M14" i="379"/>
  <c r="J14" i="379"/>
  <c r="G14" i="379"/>
  <c r="E1703" i="464"/>
  <c r="E1702" i="464"/>
  <c r="S14" i="379" l="1"/>
  <c r="AH14" i="379"/>
  <c r="AD28" i="380"/>
  <c r="E1618" i="464"/>
  <c r="E1619" i="464"/>
  <c r="E1617" i="464"/>
  <c r="E1616" i="464"/>
  <c r="E1614" i="464"/>
  <c r="E1613" i="464"/>
  <c r="E1612" i="464"/>
  <c r="E1611" i="464"/>
  <c r="AJ33" i="381"/>
  <c r="AD31" i="382"/>
  <c r="AG45" i="383"/>
  <c r="F1556" i="464" l="1"/>
  <c r="F1555" i="464"/>
  <c r="F1554" i="464"/>
  <c r="F1553" i="464"/>
  <c r="F1552" i="464"/>
  <c r="F1547" i="464"/>
  <c r="F1546" i="464"/>
  <c r="F1545" i="464"/>
  <c r="F1544" i="464"/>
  <c r="F1543" i="464"/>
  <c r="F1538" i="464"/>
  <c r="F1537" i="464"/>
  <c r="F1536" i="464"/>
  <c r="F1535" i="464"/>
  <c r="F1534" i="464"/>
  <c r="F1529" i="464"/>
  <c r="F1528" i="464"/>
  <c r="F1527" i="464"/>
  <c r="F1526" i="464"/>
  <c r="F1525" i="464"/>
  <c r="F1520" i="464"/>
  <c r="F1519" i="464"/>
  <c r="F1518" i="464"/>
  <c r="F1517" i="464"/>
  <c r="F1516" i="464"/>
  <c r="E1513" i="464"/>
  <c r="E1511" i="464"/>
  <c r="F1511" i="464" s="1"/>
  <c r="E1510" i="464"/>
  <c r="F1510" i="464" s="1"/>
  <c r="E1509" i="464"/>
  <c r="F1509" i="464" s="1"/>
  <c r="E1508" i="464"/>
  <c r="F1508" i="464" s="1"/>
  <c r="E1507" i="464"/>
  <c r="F1507" i="464" s="1"/>
  <c r="E1500" i="464"/>
  <c r="E1499" i="464"/>
  <c r="E1498" i="464"/>
  <c r="E1497" i="464"/>
  <c r="AF43" i="370"/>
  <c r="E1477" i="464"/>
  <c r="E1485" i="464"/>
  <c r="E1484" i="464"/>
  <c r="E1483" i="464"/>
  <c r="E1482" i="464"/>
  <c r="E1481" i="464"/>
  <c r="E1480" i="464"/>
  <c r="F1480" i="464" s="1"/>
  <c r="E1479" i="464"/>
  <c r="F1479" i="464" s="1"/>
  <c r="E1478" i="464"/>
  <c r="F1478" i="464" s="1"/>
  <c r="E1476" i="464"/>
  <c r="F1476" i="464" s="1"/>
  <c r="E1475" i="464"/>
  <c r="F1475" i="464" s="1"/>
  <c r="E1474" i="464"/>
  <c r="F1474" i="464" s="1"/>
  <c r="E1473" i="464"/>
  <c r="F1473" i="464" s="1"/>
  <c r="E1472" i="464"/>
  <c r="F1472" i="464" s="1"/>
  <c r="E1471" i="464"/>
  <c r="F1471" i="464" s="1"/>
  <c r="E1470" i="464"/>
  <c r="F1470" i="464" s="1"/>
  <c r="E1469" i="464"/>
  <c r="F1469" i="464" s="1"/>
  <c r="E1468" i="464"/>
  <c r="F1468" i="464" s="1"/>
  <c r="E1447" i="464"/>
  <c r="E1467" i="464"/>
  <c r="E1466" i="464"/>
  <c r="E1465" i="464"/>
  <c r="E1464" i="464"/>
  <c r="E1463" i="464"/>
  <c r="E1462" i="464"/>
  <c r="E1461" i="464"/>
  <c r="E1460" i="464"/>
  <c r="E1459" i="464"/>
  <c r="E1458" i="464"/>
  <c r="E1457" i="464"/>
  <c r="E1456" i="464"/>
  <c r="E1455" i="464"/>
  <c r="E1454" i="464"/>
  <c r="E1453" i="464"/>
  <c r="E1452" i="464"/>
  <c r="E1451" i="464"/>
  <c r="E1450" i="464"/>
  <c r="E1449" i="464"/>
  <c r="E1448" i="464"/>
  <c r="E1446" i="464"/>
  <c r="E1445" i="464"/>
  <c r="E1444" i="464"/>
  <c r="E1443" i="464"/>
  <c r="E1442" i="464"/>
  <c r="E1441" i="464"/>
  <c r="E1440" i="464"/>
  <c r="E1439" i="464"/>
  <c r="E1438" i="464"/>
  <c r="E1437" i="464"/>
  <c r="E1436" i="464"/>
  <c r="E1435" i="464"/>
  <c r="E1434" i="464"/>
  <c r="E1433" i="464"/>
  <c r="E1432" i="464"/>
  <c r="E1430" i="464"/>
  <c r="E1431" i="464"/>
  <c r="E1429" i="464"/>
  <c r="E1428" i="464"/>
  <c r="E1427" i="464"/>
  <c r="E1426" i="464"/>
  <c r="E1425" i="464"/>
  <c r="E1424" i="464"/>
  <c r="E1423" i="464"/>
  <c r="E1422" i="464"/>
  <c r="E1421" i="464"/>
  <c r="E1420" i="464"/>
  <c r="E1419" i="464"/>
  <c r="E1418" i="464"/>
  <c r="E1417" i="464"/>
  <c r="E1416" i="464"/>
  <c r="E1415" i="464"/>
  <c r="E1414" i="464"/>
  <c r="E1413" i="464"/>
  <c r="E1412" i="464"/>
  <c r="E1411" i="464"/>
  <c r="E1410" i="464"/>
  <c r="E1409" i="464"/>
  <c r="E1408" i="464"/>
  <c r="E1407" i="464"/>
  <c r="E1406" i="464"/>
  <c r="E1405" i="464"/>
  <c r="E1404" i="464"/>
  <c r="E1403" i="464"/>
  <c r="E1402" i="464"/>
  <c r="E1401" i="464"/>
  <c r="E1400" i="464"/>
  <c r="E1399" i="464"/>
  <c r="E1398" i="464"/>
  <c r="E1397" i="464"/>
  <c r="E1396" i="464"/>
  <c r="E1395" i="464"/>
  <c r="E1394" i="464"/>
  <c r="E1393" i="464"/>
  <c r="E1392" i="464"/>
  <c r="E1391" i="464"/>
  <c r="E1389" i="464"/>
  <c r="E1390" i="464"/>
  <c r="E1388" i="464"/>
  <c r="E1387" i="464"/>
  <c r="E1386" i="464"/>
  <c r="E1385" i="464"/>
  <c r="E1384" i="464"/>
  <c r="E1383" i="464"/>
  <c r="E1382" i="464"/>
  <c r="E1381" i="464"/>
  <c r="E1380" i="464"/>
  <c r="E1379" i="464"/>
  <c r="E1378" i="464"/>
  <c r="E1377" i="464"/>
  <c r="AO21" i="360"/>
  <c r="AJ21" i="360"/>
  <c r="AE21" i="360"/>
  <c r="Z21" i="360"/>
  <c r="U21" i="360"/>
  <c r="P21" i="360"/>
  <c r="K21" i="360"/>
  <c r="AT20" i="360"/>
  <c r="AT19" i="360"/>
  <c r="AT18" i="360"/>
  <c r="AT17" i="360"/>
  <c r="AT16" i="360"/>
  <c r="AT15" i="360"/>
  <c r="AT13" i="360"/>
  <c r="AT12" i="360"/>
  <c r="AT11" i="360"/>
  <c r="AT10" i="360"/>
  <c r="AT9" i="360"/>
  <c r="AT8" i="360"/>
  <c r="AT7" i="360"/>
  <c r="AJ32" i="360"/>
  <c r="AJ39" i="359"/>
  <c r="AO18" i="359"/>
  <c r="AJ18" i="359"/>
  <c r="AE18" i="359"/>
  <c r="Z18" i="359"/>
  <c r="U18" i="359"/>
  <c r="P18" i="359"/>
  <c r="K18" i="359"/>
  <c r="AT17" i="359"/>
  <c r="AT16" i="359"/>
  <c r="AT15" i="359"/>
  <c r="AT14" i="359"/>
  <c r="AT13" i="359"/>
  <c r="AT11" i="359"/>
  <c r="AT10" i="359"/>
  <c r="AT9" i="359"/>
  <c r="AT8" i="359"/>
  <c r="AT7" i="359"/>
  <c r="E1376" i="464"/>
  <c r="S32" i="360" s="1"/>
  <c r="E1375" i="464"/>
  <c r="E1374" i="464"/>
  <c r="E1373" i="464"/>
  <c r="E1372" i="464"/>
  <c r="E1371" i="464"/>
  <c r="E1370" i="464"/>
  <c r="E1369" i="464"/>
  <c r="E1368" i="464"/>
  <c r="E1367" i="464"/>
  <c r="E1365" i="464"/>
  <c r="E1366" i="464"/>
  <c r="E1364" i="464"/>
  <c r="E1363" i="464"/>
  <c r="E1362" i="464"/>
  <c r="E1361" i="464"/>
  <c r="E1360" i="464"/>
  <c r="E1359" i="464"/>
  <c r="E1358" i="464"/>
  <c r="E1357" i="464"/>
  <c r="E1356" i="464"/>
  <c r="E1355" i="464"/>
  <c r="E1354" i="464"/>
  <c r="E1353" i="464"/>
  <c r="E1352" i="464"/>
  <c r="E1351" i="464"/>
  <c r="E1350" i="464"/>
  <c r="E1349" i="464"/>
  <c r="E1348" i="464"/>
  <c r="E1347" i="464"/>
  <c r="E1346" i="464"/>
  <c r="E1345" i="464"/>
  <c r="E1344" i="464"/>
  <c r="E1343" i="464"/>
  <c r="E1342" i="464"/>
  <c r="E1341" i="464"/>
  <c r="E1340" i="464"/>
  <c r="E1339" i="464"/>
  <c r="E1338" i="464"/>
  <c r="E1337" i="464"/>
  <c r="E1336" i="464"/>
  <c r="E1335" i="464"/>
  <c r="E1334" i="464"/>
  <c r="E1333" i="464"/>
  <c r="E1332" i="464"/>
  <c r="E1331" i="464"/>
  <c r="E1330" i="464"/>
  <c r="E1329" i="464"/>
  <c r="E1328" i="464"/>
  <c r="E1327" i="464"/>
  <c r="E1326" i="464"/>
  <c r="E1325" i="464"/>
  <c r="E1324" i="464"/>
  <c r="E1323" i="464"/>
  <c r="E1322" i="464"/>
  <c r="E1321" i="464"/>
  <c r="E1320" i="464"/>
  <c r="E1319" i="464"/>
  <c r="E1318" i="464"/>
  <c r="E1317" i="464"/>
  <c r="E1316" i="464"/>
  <c r="E1315" i="464"/>
  <c r="E1314" i="464"/>
  <c r="E1313" i="464"/>
  <c r="E1312" i="464"/>
  <c r="E1311" i="464"/>
  <c r="E1310" i="464"/>
  <c r="E1309" i="464"/>
  <c r="E1308" i="464"/>
  <c r="E1307" i="464"/>
  <c r="E1306" i="464"/>
  <c r="E1305" i="464"/>
  <c r="E1299" i="464"/>
  <c r="F1299" i="464" s="1"/>
  <c r="E1304" i="464"/>
  <c r="E1303" i="464"/>
  <c r="F1303" i="464" s="1"/>
  <c r="E1302" i="464"/>
  <c r="F1302" i="464" s="1"/>
  <c r="E1301" i="464"/>
  <c r="F1301" i="464" s="1"/>
  <c r="E1300" i="464"/>
  <c r="E1298" i="464"/>
  <c r="E1297" i="464"/>
  <c r="F1297" i="464" s="1"/>
  <c r="E1296" i="464"/>
  <c r="F1296" i="464" s="1"/>
  <c r="E1295" i="464"/>
  <c r="F1295" i="464" s="1"/>
  <c r="E1294" i="464"/>
  <c r="F1294" i="464" s="1"/>
  <c r="E1293" i="464"/>
  <c r="F1293" i="464" s="1"/>
  <c r="E1292" i="464"/>
  <c r="F1292" i="464" s="1"/>
  <c r="E1291" i="464"/>
  <c r="F1291" i="464" s="1"/>
  <c r="F1290" i="464"/>
  <c r="E1289" i="464"/>
  <c r="F1289" i="464" s="1"/>
  <c r="E1288" i="464"/>
  <c r="F1288" i="464" s="1"/>
  <c r="E1287" i="464"/>
  <c r="F1287" i="464" s="1"/>
  <c r="E1286" i="464"/>
  <c r="F1286" i="464" s="1"/>
  <c r="E1285" i="464"/>
  <c r="E1284" i="464"/>
  <c r="F1284" i="464" s="1"/>
  <c r="E1283" i="464"/>
  <c r="F1283" i="464" s="1"/>
  <c r="E1282" i="464"/>
  <c r="F1282" i="464" s="1"/>
  <c r="E1281" i="464"/>
  <c r="F1281" i="464" s="1"/>
  <c r="E1280" i="464"/>
  <c r="F1280" i="464" s="1"/>
  <c r="E1279" i="464"/>
  <c r="F1279" i="464" s="1"/>
  <c r="E1278" i="464"/>
  <c r="F1278" i="464" s="1"/>
  <c r="E1277" i="464"/>
  <c r="F1277" i="464" s="1"/>
  <c r="E1275" i="464"/>
  <c r="F1275" i="464" s="1"/>
  <c r="E1272" i="464"/>
  <c r="F1272" i="464" s="1"/>
  <c r="E1276" i="464"/>
  <c r="F1276" i="464" s="1"/>
  <c r="E1274" i="464"/>
  <c r="F1274" i="464" s="1"/>
  <c r="E1273" i="464"/>
  <c r="E1271" i="464"/>
  <c r="F1271" i="464" s="1"/>
  <c r="E1270" i="464"/>
  <c r="F1270" i="464" s="1"/>
  <c r="E1269" i="464"/>
  <c r="F1269" i="464" s="1"/>
  <c r="E1268" i="464"/>
  <c r="F1268" i="464" s="1"/>
  <c r="E1267" i="464"/>
  <c r="E1266" i="464"/>
  <c r="F1266" i="464" s="1"/>
  <c r="E1265" i="464"/>
  <c r="F1265" i="464" s="1"/>
  <c r="AD54" i="230"/>
  <c r="E1261" i="464"/>
  <c r="E1264" i="464"/>
  <c r="E1263" i="464"/>
  <c r="E1262" i="464"/>
  <c r="E1260" i="464"/>
  <c r="F1260" i="464" s="1"/>
  <c r="E1259" i="464"/>
  <c r="E1258" i="464"/>
  <c r="E1257" i="464"/>
  <c r="E1256" i="464"/>
  <c r="E1255" i="464"/>
  <c r="F1255" i="464" s="1"/>
  <c r="E1249" i="464"/>
  <c r="E1246" i="464"/>
  <c r="E1254" i="464"/>
  <c r="E1253" i="464"/>
  <c r="E1252" i="464"/>
  <c r="E1251" i="464"/>
  <c r="E1250" i="464"/>
  <c r="E1248" i="464"/>
  <c r="E1247" i="464"/>
  <c r="E1245" i="464"/>
  <c r="AA34" i="345"/>
  <c r="U10" i="345"/>
  <c r="U9" i="345"/>
  <c r="U8" i="345"/>
  <c r="U7" i="345"/>
  <c r="U6" i="345"/>
  <c r="P11" i="345"/>
  <c r="K11" i="345"/>
  <c r="P31" i="382" l="1"/>
  <c r="R45" i="383"/>
  <c r="P28" i="380"/>
  <c r="S33" i="381"/>
  <c r="Q43" i="370"/>
  <c r="AT21" i="360"/>
  <c r="AT18" i="359"/>
  <c r="U11" i="345"/>
  <c r="E1231" i="464"/>
  <c r="E1244" i="464"/>
  <c r="E1243" i="464"/>
  <c r="E1242" i="464"/>
  <c r="E1241" i="464"/>
  <c r="E1240" i="464"/>
  <c r="E1239" i="464"/>
  <c r="E1238" i="464"/>
  <c r="E1237" i="464"/>
  <c r="E1236" i="464"/>
  <c r="E1235" i="464"/>
  <c r="E1234" i="464"/>
  <c r="E1233" i="464"/>
  <c r="E1232" i="464"/>
  <c r="E1230" i="464"/>
  <c r="E1229" i="464"/>
  <c r="E1228" i="464"/>
  <c r="E1227" i="464"/>
  <c r="E1226" i="464"/>
  <c r="E1225" i="464"/>
  <c r="E1224" i="464"/>
  <c r="E1223" i="464"/>
  <c r="E1222" i="464"/>
  <c r="E1221" i="464"/>
  <c r="E1211" i="464"/>
  <c r="E1220" i="464"/>
  <c r="E1219" i="464"/>
  <c r="E1218" i="464"/>
  <c r="E1217" i="464"/>
  <c r="E1216" i="464"/>
  <c r="E1215" i="464"/>
  <c r="E1214" i="464"/>
  <c r="E1213" i="464"/>
  <c r="E1212" i="464"/>
  <c r="E1210" i="464"/>
  <c r="E1209" i="464"/>
  <c r="E1208" i="464"/>
  <c r="E1207" i="464"/>
  <c r="E1206" i="464"/>
  <c r="E1205" i="464"/>
  <c r="E1204" i="464"/>
  <c r="E1203" i="464"/>
  <c r="E1202" i="464"/>
  <c r="E1201" i="464"/>
  <c r="E1200" i="464"/>
  <c r="E1199" i="464"/>
  <c r="E1198" i="464"/>
  <c r="E1197" i="464"/>
  <c r="E1196" i="464"/>
  <c r="E1195" i="464"/>
  <c r="E1194" i="464"/>
  <c r="E1193" i="464"/>
  <c r="E1192" i="464"/>
  <c r="E1191" i="464"/>
  <c r="E1190" i="464"/>
  <c r="E1189" i="464"/>
  <c r="E1188" i="464"/>
  <c r="E1187" i="464"/>
  <c r="E1186" i="464"/>
  <c r="E1185" i="464"/>
  <c r="E1184" i="464"/>
  <c r="E1183" i="464"/>
  <c r="E1182" i="464"/>
  <c r="E1181" i="464"/>
  <c r="E1180" i="464"/>
  <c r="E1179" i="464"/>
  <c r="E1178" i="464"/>
  <c r="E1177" i="464"/>
  <c r="E1176" i="464"/>
  <c r="E1175" i="464"/>
  <c r="E1174" i="464"/>
  <c r="E1173" i="464"/>
  <c r="E1172" i="464"/>
  <c r="E1171" i="464"/>
  <c r="E1170" i="464"/>
  <c r="E1169" i="464"/>
  <c r="E1168" i="464"/>
  <c r="E1167" i="464"/>
  <c r="E1166" i="464"/>
  <c r="E1165" i="464"/>
  <c r="BF7" i="344"/>
  <c r="BO7" i="344"/>
  <c r="BO14" i="344"/>
  <c r="BO13" i="344"/>
  <c r="BO12" i="344"/>
  <c r="BO11" i="344"/>
  <c r="BO10" i="344"/>
  <c r="BO9" i="344"/>
  <c r="BO8" i="344"/>
  <c r="BF14" i="344"/>
  <c r="BF13" i="344"/>
  <c r="BF12" i="344"/>
  <c r="BF11" i="344"/>
  <c r="BF10" i="344"/>
  <c r="BF9" i="344"/>
  <c r="BF8" i="344"/>
  <c r="AW14" i="344"/>
  <c r="AW13" i="344"/>
  <c r="AW12" i="344"/>
  <c r="AW11" i="344"/>
  <c r="AW10" i="344"/>
  <c r="AW9" i="344"/>
  <c r="AW8" i="344"/>
  <c r="AW7" i="344"/>
  <c r="Y14" i="344"/>
  <c r="Y13" i="344"/>
  <c r="Y12" i="344"/>
  <c r="Y11" i="344"/>
  <c r="Y10" i="344"/>
  <c r="Y9" i="344"/>
  <c r="Y8" i="344"/>
  <c r="Y7" i="344"/>
  <c r="P14" i="344"/>
  <c r="BM27" i="291" s="1"/>
  <c r="P13" i="344"/>
  <c r="P12" i="344"/>
  <c r="P11" i="344"/>
  <c r="P10" i="344"/>
  <c r="P9" i="344"/>
  <c r="P8" i="344"/>
  <c r="P7" i="344"/>
  <c r="BL15" i="344"/>
  <c r="BI15" i="344"/>
  <c r="BC15" i="344"/>
  <c r="AZ15" i="344"/>
  <c r="AT15" i="344"/>
  <c r="AQ15" i="344"/>
  <c r="V15" i="344"/>
  <c r="S15" i="344"/>
  <c r="M15" i="344"/>
  <c r="J15" i="344"/>
  <c r="AY27" i="344"/>
  <c r="E1164" i="464"/>
  <c r="E1163" i="464"/>
  <c r="E1162" i="464"/>
  <c r="E1161" i="464"/>
  <c r="E1160" i="464"/>
  <c r="E1159" i="464"/>
  <c r="E1158" i="464"/>
  <c r="E1157" i="464"/>
  <c r="E1156" i="464"/>
  <c r="E1155" i="464"/>
  <c r="E1154" i="464"/>
  <c r="E1153" i="464"/>
  <c r="E1152" i="464"/>
  <c r="E1151" i="464"/>
  <c r="E1150" i="464"/>
  <c r="E1149" i="464"/>
  <c r="E1148" i="464"/>
  <c r="E1147" i="464"/>
  <c r="E1146" i="464"/>
  <c r="E1145" i="464"/>
  <c r="E1144" i="464"/>
  <c r="E1143" i="464"/>
  <c r="E1142" i="464"/>
  <c r="E1141" i="464"/>
  <c r="E1140" i="464"/>
  <c r="E1139" i="464"/>
  <c r="E1138" i="464"/>
  <c r="E1137" i="464"/>
  <c r="E1136" i="464"/>
  <c r="E1135" i="464"/>
  <c r="E1134" i="464"/>
  <c r="E1133" i="464"/>
  <c r="E1132" i="464"/>
  <c r="E1131" i="464"/>
  <c r="E1130" i="464"/>
  <c r="E1129" i="464"/>
  <c r="E1128" i="464"/>
  <c r="E1127" i="464"/>
  <c r="E1126" i="464"/>
  <c r="E1125" i="464"/>
  <c r="E1124" i="464"/>
  <c r="E1123" i="464"/>
  <c r="E1122" i="464"/>
  <c r="E1121" i="464"/>
  <c r="E1120" i="464"/>
  <c r="E1119" i="464"/>
  <c r="E1118" i="464"/>
  <c r="E1117" i="464"/>
  <c r="AE48" i="343"/>
  <c r="AG33" i="343"/>
  <c r="AG32" i="343"/>
  <c r="AG31" i="343"/>
  <c r="AG30" i="343"/>
  <c r="AG29" i="343"/>
  <c r="AG28" i="343"/>
  <c r="AG27" i="343"/>
  <c r="AD33" i="343"/>
  <c r="AJ33" i="343" s="1"/>
  <c r="AD32" i="343"/>
  <c r="AD31" i="343"/>
  <c r="AD30" i="343"/>
  <c r="AD29" i="343"/>
  <c r="AD28" i="343"/>
  <c r="AD27" i="343"/>
  <c r="AA33" i="343"/>
  <c r="AA32" i="343"/>
  <c r="AA31" i="343"/>
  <c r="AA30" i="343"/>
  <c r="AA29" i="343"/>
  <c r="AA28" i="343"/>
  <c r="AA27" i="343"/>
  <c r="R33" i="343"/>
  <c r="R32" i="343"/>
  <c r="R31" i="343"/>
  <c r="R30" i="343"/>
  <c r="R29" i="343"/>
  <c r="R28" i="343"/>
  <c r="R27" i="343"/>
  <c r="X34" i="343"/>
  <c r="U34" i="343"/>
  <c r="O34" i="343"/>
  <c r="L34" i="343"/>
  <c r="AG11" i="343"/>
  <c r="AG10" i="343"/>
  <c r="AG9" i="343"/>
  <c r="AG8" i="343"/>
  <c r="AG7" i="343"/>
  <c r="AD11" i="343"/>
  <c r="AD10" i="343"/>
  <c r="AD9" i="343"/>
  <c r="AD8" i="343"/>
  <c r="AD7" i="343"/>
  <c r="AA7" i="343"/>
  <c r="AA11" i="343"/>
  <c r="AA10" i="343"/>
  <c r="AA9" i="343"/>
  <c r="AA8" i="343"/>
  <c r="R11" i="343"/>
  <c r="R10" i="343"/>
  <c r="R9" i="343"/>
  <c r="R8" i="343"/>
  <c r="R7" i="343"/>
  <c r="X12" i="343"/>
  <c r="U12" i="343"/>
  <c r="O12" i="343"/>
  <c r="L12" i="343"/>
  <c r="E1112" i="464"/>
  <c r="E1109" i="464"/>
  <c r="E1116" i="464"/>
  <c r="E1115" i="464"/>
  <c r="E1114" i="464"/>
  <c r="E1113" i="464"/>
  <c r="E1111" i="464"/>
  <c r="E1110" i="464"/>
  <c r="E1108" i="464"/>
  <c r="E1107" i="464"/>
  <c r="E1106" i="464"/>
  <c r="E1105" i="464"/>
  <c r="E1104" i="464"/>
  <c r="E1103" i="464"/>
  <c r="E1102" i="464"/>
  <c r="E1101" i="464"/>
  <c r="E1100" i="464"/>
  <c r="E1099" i="464"/>
  <c r="E1098" i="464"/>
  <c r="E1097" i="464"/>
  <c r="E1096" i="464"/>
  <c r="E1095" i="464"/>
  <c r="E1094" i="464"/>
  <c r="E1093" i="464"/>
  <c r="E1091" i="464"/>
  <c r="E1084" i="464"/>
  <c r="E1092" i="464"/>
  <c r="E1090" i="464"/>
  <c r="E1089" i="464"/>
  <c r="E1088" i="464"/>
  <c r="E1087" i="464"/>
  <c r="E1086" i="464"/>
  <c r="E1085" i="464"/>
  <c r="E1083" i="464"/>
  <c r="E1082" i="464"/>
  <c r="E1081" i="464"/>
  <c r="E1080" i="464"/>
  <c r="E1079" i="464"/>
  <c r="E1078" i="464"/>
  <c r="E1077" i="464"/>
  <c r="E1076" i="464"/>
  <c r="E1075" i="464"/>
  <c r="E1074" i="464"/>
  <c r="E1073" i="464"/>
  <c r="E1072" i="464"/>
  <c r="E1071" i="464"/>
  <c r="E1070" i="464"/>
  <c r="E1069" i="464"/>
  <c r="E1068" i="464"/>
  <c r="E1067" i="464"/>
  <c r="E1066" i="464"/>
  <c r="E1065" i="464"/>
  <c r="E1064" i="464"/>
  <c r="E1063" i="464"/>
  <c r="E1062" i="464"/>
  <c r="E1061" i="464"/>
  <c r="E1060" i="464"/>
  <c r="E1059" i="464"/>
  <c r="E1058" i="464"/>
  <c r="E1057" i="464"/>
  <c r="E1056" i="464"/>
  <c r="E1055" i="464"/>
  <c r="E1054" i="464"/>
  <c r="E1053" i="464"/>
  <c r="E1051" i="464"/>
  <c r="E1052" i="464"/>
  <c r="E1050" i="464"/>
  <c r="E1049" i="464"/>
  <c r="E1048" i="464"/>
  <c r="E1047" i="464"/>
  <c r="E1046" i="464"/>
  <c r="E1045" i="464"/>
  <c r="E1044" i="464"/>
  <c r="E1043" i="464"/>
  <c r="E1042" i="464"/>
  <c r="E1041" i="464"/>
  <c r="E1040" i="464"/>
  <c r="E1039" i="464"/>
  <c r="E1038" i="464"/>
  <c r="E1037" i="464"/>
  <c r="E1036" i="464"/>
  <c r="E1035" i="464"/>
  <c r="E1034" i="464"/>
  <c r="E1033" i="464"/>
  <c r="AH19" i="110"/>
  <c r="AB19" i="110"/>
  <c r="V19" i="110"/>
  <c r="P19" i="110"/>
  <c r="J19" i="110"/>
  <c r="AN18" i="110"/>
  <c r="AU18" i="110" s="1"/>
  <c r="AN17" i="110"/>
  <c r="AU17" i="110" s="1"/>
  <c r="AN16" i="110"/>
  <c r="AU16" i="110" s="1"/>
  <c r="AN15" i="110"/>
  <c r="AU15" i="110" s="1"/>
  <c r="AN14" i="110"/>
  <c r="AU14" i="110" s="1"/>
  <c r="AN13" i="110"/>
  <c r="AU13" i="110" s="1"/>
  <c r="AN12" i="110"/>
  <c r="AU12" i="110" s="1"/>
  <c r="AN11" i="110"/>
  <c r="AU11" i="110" s="1"/>
  <c r="AN10" i="110"/>
  <c r="AU10" i="110" s="1"/>
  <c r="AN9" i="110"/>
  <c r="AU9" i="110" s="1"/>
  <c r="AN8" i="110"/>
  <c r="AU8" i="110" s="1"/>
  <c r="AN7" i="110"/>
  <c r="AU7" i="110" s="1"/>
  <c r="V40" i="110"/>
  <c r="V39" i="110"/>
  <c r="V38" i="110"/>
  <c r="V37" i="110"/>
  <c r="V36" i="110"/>
  <c r="V35" i="110"/>
  <c r="V34" i="110"/>
  <c r="V33" i="110"/>
  <c r="V32" i="110"/>
  <c r="V31" i="110"/>
  <c r="V30" i="110"/>
  <c r="V29" i="110"/>
  <c r="P41" i="110"/>
  <c r="J41" i="110"/>
  <c r="AG46" i="110"/>
  <c r="E921" i="464"/>
  <c r="E911" i="464"/>
  <c r="E901" i="464"/>
  <c r="E891" i="464"/>
  <c r="E890" i="464"/>
  <c r="E889" i="464"/>
  <c r="E888" i="464"/>
  <c r="E887" i="464"/>
  <c r="E885" i="464"/>
  <c r="E886" i="464"/>
  <c r="E884" i="464"/>
  <c r="E883" i="464"/>
  <c r="E882" i="464"/>
  <c r="E881" i="464"/>
  <c r="AW33" i="291"/>
  <c r="AT33" i="291"/>
  <c r="R33" i="291"/>
  <c r="O33" i="291"/>
  <c r="AJ23" i="291"/>
  <c r="AW23" i="291"/>
  <c r="AT23" i="291"/>
  <c r="AG23" i="291"/>
  <c r="AD23" i="291"/>
  <c r="AA23" i="291"/>
  <c r="X23" i="291"/>
  <c r="R23" i="291"/>
  <c r="O23" i="291"/>
  <c r="L23" i="291"/>
  <c r="E880" i="464"/>
  <c r="E879" i="464"/>
  <c r="E878" i="464"/>
  <c r="E877" i="464"/>
  <c r="E876" i="464"/>
  <c r="E875" i="464"/>
  <c r="E874" i="464"/>
  <c r="E873" i="464"/>
  <c r="E872" i="464"/>
  <c r="E871" i="464"/>
  <c r="E870" i="464"/>
  <c r="E869" i="464"/>
  <c r="E868" i="464"/>
  <c r="E867" i="464"/>
  <c r="E866" i="464"/>
  <c r="E865" i="464"/>
  <c r="E864" i="464"/>
  <c r="E863" i="464"/>
  <c r="E862" i="464"/>
  <c r="E861" i="464"/>
  <c r="E860" i="464"/>
  <c r="E859" i="464"/>
  <c r="E858" i="464"/>
  <c r="E857" i="464"/>
  <c r="E856" i="464"/>
  <c r="E855" i="464"/>
  <c r="E854" i="464"/>
  <c r="E853" i="464"/>
  <c r="E852" i="464"/>
  <c r="E851" i="464"/>
  <c r="E850" i="464"/>
  <c r="E849" i="464"/>
  <c r="E848" i="464"/>
  <c r="E847" i="464"/>
  <c r="E846" i="464"/>
  <c r="E845" i="464"/>
  <c r="E844" i="464"/>
  <c r="E843" i="464"/>
  <c r="E842" i="464"/>
  <c r="E841" i="464"/>
  <c r="E840" i="464"/>
  <c r="E839" i="464"/>
  <c r="E838" i="464"/>
  <c r="E837" i="464"/>
  <c r="E836" i="464"/>
  <c r="E835" i="464"/>
  <c r="E834" i="464"/>
  <c r="E833" i="464"/>
  <c r="E832" i="464"/>
  <c r="E831" i="464"/>
  <c r="E830" i="464"/>
  <c r="E829" i="464"/>
  <c r="E828" i="464"/>
  <c r="E827" i="464"/>
  <c r="E826" i="464"/>
  <c r="E825" i="464"/>
  <c r="E824" i="464"/>
  <c r="E823" i="464"/>
  <c r="E822" i="464"/>
  <c r="E821" i="464"/>
  <c r="E820" i="464"/>
  <c r="E819" i="464"/>
  <c r="E817" i="464"/>
  <c r="E818" i="464"/>
  <c r="E816" i="464"/>
  <c r="E812" i="464"/>
  <c r="E815" i="464"/>
  <c r="E814" i="464"/>
  <c r="E813" i="464"/>
  <c r="E811" i="464"/>
  <c r="E810" i="464"/>
  <c r="E809" i="464"/>
  <c r="E808" i="464"/>
  <c r="E807" i="464"/>
  <c r="E806" i="464"/>
  <c r="E805" i="464"/>
  <c r="E804" i="464"/>
  <c r="E803" i="464"/>
  <c r="E802" i="464"/>
  <c r="E801" i="464"/>
  <c r="E800" i="464"/>
  <c r="E799" i="464"/>
  <c r="E798" i="464"/>
  <c r="E797" i="464"/>
  <c r="E796" i="464"/>
  <c r="E795" i="464"/>
  <c r="E794" i="464"/>
  <c r="E793" i="464"/>
  <c r="E792" i="464"/>
  <c r="E791" i="464"/>
  <c r="E790" i="464"/>
  <c r="E789" i="464"/>
  <c r="E788" i="464"/>
  <c r="E787" i="464"/>
  <c r="E786" i="464"/>
  <c r="E785" i="464"/>
  <c r="E784" i="464"/>
  <c r="E782" i="464"/>
  <c r="E783" i="464"/>
  <c r="E781" i="464"/>
  <c r="E780" i="464"/>
  <c r="E778" i="464"/>
  <c r="E779" i="464"/>
  <c r="E777" i="464"/>
  <c r="E776" i="464"/>
  <c r="E775" i="464"/>
  <c r="E774" i="464"/>
  <c r="E773" i="464"/>
  <c r="E772" i="464"/>
  <c r="E771" i="464"/>
  <c r="E770" i="464"/>
  <c r="E769" i="464"/>
  <c r="E768" i="464"/>
  <c r="E767" i="464"/>
  <c r="E766" i="464"/>
  <c r="E765" i="464"/>
  <c r="E764" i="464"/>
  <c r="E763" i="464"/>
  <c r="E762" i="464"/>
  <c r="E761" i="464"/>
  <c r="E760" i="464"/>
  <c r="E759" i="464"/>
  <c r="E758" i="464"/>
  <c r="E757" i="464"/>
  <c r="E756" i="464"/>
  <c r="E753" i="464"/>
  <c r="E755" i="464"/>
  <c r="E754" i="464"/>
  <c r="E752" i="464"/>
  <c r="E751" i="464"/>
  <c r="E750" i="464"/>
  <c r="E749" i="464"/>
  <c r="E748" i="464"/>
  <c r="E747" i="464"/>
  <c r="E746" i="464"/>
  <c r="E745" i="464"/>
  <c r="E744" i="464"/>
  <c r="E743" i="464"/>
  <c r="E742" i="464"/>
  <c r="E741" i="464"/>
  <c r="E740" i="464"/>
  <c r="E739" i="464"/>
  <c r="E738" i="464"/>
  <c r="E737" i="464"/>
  <c r="E736" i="464"/>
  <c r="E735" i="464"/>
  <c r="E734" i="464"/>
  <c r="E733" i="464"/>
  <c r="E732" i="464"/>
  <c r="E731" i="464"/>
  <c r="E730" i="464"/>
  <c r="E729" i="464"/>
  <c r="E728" i="464"/>
  <c r="E727" i="464"/>
  <c r="E726" i="464"/>
  <c r="E725" i="464"/>
  <c r="E724" i="464"/>
  <c r="E723" i="464"/>
  <c r="E722" i="464"/>
  <c r="E721" i="464"/>
  <c r="E720" i="464"/>
  <c r="E719" i="464"/>
  <c r="E718" i="464"/>
  <c r="E717" i="464"/>
  <c r="E712" i="464"/>
  <c r="E716" i="464"/>
  <c r="E715" i="464"/>
  <c r="E714" i="464"/>
  <c r="E713" i="464"/>
  <c r="E711" i="464"/>
  <c r="E710" i="464"/>
  <c r="E709" i="464"/>
  <c r="E708" i="464"/>
  <c r="E707" i="464"/>
  <c r="E706" i="464"/>
  <c r="E705" i="464"/>
  <c r="E704" i="464"/>
  <c r="E703" i="464"/>
  <c r="E702" i="464"/>
  <c r="E701" i="464"/>
  <c r="E700" i="464"/>
  <c r="E699" i="464"/>
  <c r="E698" i="464"/>
  <c r="E697" i="464"/>
  <c r="E696" i="464"/>
  <c r="E695" i="464"/>
  <c r="E694" i="464"/>
  <c r="E693" i="464"/>
  <c r="E692" i="464"/>
  <c r="E691" i="464"/>
  <c r="E690" i="464"/>
  <c r="E689" i="464"/>
  <c r="E688" i="464"/>
  <c r="E687" i="464"/>
  <c r="E686" i="464"/>
  <c r="E685" i="464"/>
  <c r="E684" i="464"/>
  <c r="E683" i="464"/>
  <c r="E682" i="464"/>
  <c r="E681" i="464"/>
  <c r="BF29" i="238"/>
  <c r="BF28" i="238"/>
  <c r="BF27" i="238"/>
  <c r="BF26" i="238"/>
  <c r="BF25" i="238"/>
  <c r="BF24" i="238"/>
  <c r="BF23" i="238"/>
  <c r="BF22" i="238"/>
  <c r="BF21" i="238"/>
  <c r="BF20" i="238"/>
  <c r="BF19" i="238"/>
  <c r="BF18" i="238"/>
  <c r="BF17" i="238"/>
  <c r="BF16" i="238"/>
  <c r="BF15" i="238"/>
  <c r="BF14" i="238"/>
  <c r="BF13" i="238"/>
  <c r="BF12" i="238"/>
  <c r="BF11" i="238"/>
  <c r="BF10" i="238"/>
  <c r="BC11" i="238"/>
  <c r="BC29" i="238"/>
  <c r="BC28" i="238"/>
  <c r="BC27" i="238"/>
  <c r="BC26" i="238"/>
  <c r="BC25" i="238"/>
  <c r="BC24" i="238"/>
  <c r="BC23" i="238"/>
  <c r="BC22" i="238"/>
  <c r="BC21" i="238"/>
  <c r="BC20" i="238"/>
  <c r="BC19" i="238"/>
  <c r="BC18" i="238"/>
  <c r="BC17" i="238"/>
  <c r="BC16" i="238"/>
  <c r="BC15" i="238"/>
  <c r="BC14" i="238"/>
  <c r="BC13" i="238"/>
  <c r="BC12" i="238"/>
  <c r="BC10" i="238"/>
  <c r="AZ29" i="238"/>
  <c r="AZ28" i="238"/>
  <c r="AZ27" i="238"/>
  <c r="AZ26" i="238"/>
  <c r="AZ25" i="238"/>
  <c r="AZ24" i="238"/>
  <c r="AZ23" i="238"/>
  <c r="AZ22" i="238"/>
  <c r="AZ21" i="238"/>
  <c r="AZ20" i="238"/>
  <c r="AZ19" i="238"/>
  <c r="AZ18" i="238"/>
  <c r="AZ17" i="238"/>
  <c r="AZ16" i="238"/>
  <c r="AZ15" i="238"/>
  <c r="AZ14" i="238"/>
  <c r="AZ13" i="238"/>
  <c r="AZ12" i="238"/>
  <c r="AZ11" i="238"/>
  <c r="AZ10" i="238"/>
  <c r="AN15" i="238"/>
  <c r="AN29" i="238"/>
  <c r="AN28" i="238"/>
  <c r="AN27" i="238"/>
  <c r="AN26" i="238"/>
  <c r="AN25" i="238"/>
  <c r="AN24" i="238"/>
  <c r="AN23" i="238"/>
  <c r="AN22" i="238"/>
  <c r="AN21" i="238"/>
  <c r="AN20" i="238"/>
  <c r="AN19" i="238"/>
  <c r="AN18" i="238"/>
  <c r="AN17" i="238"/>
  <c r="AN16" i="238"/>
  <c r="AN14" i="238"/>
  <c r="AN13" i="238"/>
  <c r="AN12" i="238"/>
  <c r="AN11" i="238"/>
  <c r="AN10" i="238"/>
  <c r="U29" i="238"/>
  <c r="U28" i="238"/>
  <c r="U27" i="238"/>
  <c r="U26" i="238"/>
  <c r="U25" i="238"/>
  <c r="U24" i="238"/>
  <c r="U23" i="238"/>
  <c r="U22" i="238"/>
  <c r="U21" i="238"/>
  <c r="U20" i="238"/>
  <c r="U19" i="238"/>
  <c r="U18" i="238"/>
  <c r="U17" i="238"/>
  <c r="U16" i="238"/>
  <c r="U15" i="238"/>
  <c r="U14" i="238"/>
  <c r="AQ14" i="238" s="1"/>
  <c r="BM14" i="238" s="1"/>
  <c r="U13" i="238"/>
  <c r="U12" i="238"/>
  <c r="AQ12" i="238" s="1"/>
  <c r="BM12" i="238" s="1"/>
  <c r="U11" i="238"/>
  <c r="AQ11" i="238" s="1"/>
  <c r="BM11" i="238" s="1"/>
  <c r="AW30" i="238"/>
  <c r="AT30" i="238"/>
  <c r="AJ30" i="238"/>
  <c r="AD30" i="238"/>
  <c r="AG30" i="238"/>
  <c r="AA30" i="238"/>
  <c r="X30" i="238"/>
  <c r="R30" i="238"/>
  <c r="O30" i="238"/>
  <c r="L30" i="238"/>
  <c r="U10" i="238"/>
  <c r="AT37" i="238"/>
  <c r="J16" i="344" l="1" a="1"/>
  <c r="J16" i="344" s="1"/>
  <c r="AJ29" i="343"/>
  <c r="U23" i="291"/>
  <c r="AN23" i="291"/>
  <c r="BM26" i="291"/>
  <c r="BM25" i="291"/>
  <c r="U33" i="291"/>
  <c r="BI14" i="238"/>
  <c r="BI18" i="238"/>
  <c r="BI22" i="238"/>
  <c r="BI26" i="238"/>
  <c r="BO15" i="344"/>
  <c r="BF15" i="344"/>
  <c r="BM20" i="291"/>
  <c r="BM19" i="291"/>
  <c r="BF33" i="291"/>
  <c r="BI13" i="238"/>
  <c r="BI17" i="238"/>
  <c r="BI21" i="238"/>
  <c r="BI25" i="238"/>
  <c r="BI29" i="238"/>
  <c r="AZ33" i="291"/>
  <c r="AQ16" i="238"/>
  <c r="BM16" i="238" s="1"/>
  <c r="AQ20" i="238"/>
  <c r="BM20" i="238" s="1"/>
  <c r="AQ24" i="238"/>
  <c r="BM24" i="238" s="1"/>
  <c r="AQ28" i="238"/>
  <c r="BM28" i="238" s="1"/>
  <c r="BI12" i="238"/>
  <c r="BI16" i="238"/>
  <c r="BI20" i="238"/>
  <c r="BI24" i="238"/>
  <c r="BI28" i="238"/>
  <c r="AJ10" i="343"/>
  <c r="AJ28" i="343"/>
  <c r="AJ32" i="343"/>
  <c r="AD12" i="343"/>
  <c r="AJ8" i="343"/>
  <c r="AJ31" i="343"/>
  <c r="BM11" i="291"/>
  <c r="BM12" i="291"/>
  <c r="BM16" i="291"/>
  <c r="AZ23" i="291"/>
  <c r="AQ17" i="238"/>
  <c r="BM17" i="238" s="1"/>
  <c r="AQ21" i="238"/>
  <c r="BM21" i="238" s="1"/>
  <c r="AQ25" i="238"/>
  <c r="BM25" i="238" s="1"/>
  <c r="AQ29" i="238"/>
  <c r="BM29" i="238" s="1"/>
  <c r="AQ13" i="238"/>
  <c r="BM13" i="238" s="1"/>
  <c r="BI11" i="238"/>
  <c r="AQ19" i="238"/>
  <c r="BM19" i="238" s="1"/>
  <c r="AQ23" i="238"/>
  <c r="BM23" i="238" s="1"/>
  <c r="AQ27" i="238"/>
  <c r="BM27" i="238" s="1"/>
  <c r="BI15" i="238"/>
  <c r="AW15" i="344"/>
  <c r="Y15" i="344"/>
  <c r="P15" i="344"/>
  <c r="AA34" i="343"/>
  <c r="AJ27" i="343"/>
  <c r="R34" i="343"/>
  <c r="AJ30" i="343"/>
  <c r="AG34" i="343"/>
  <c r="AD34" i="343"/>
  <c r="AJ11" i="343"/>
  <c r="AJ9" i="343"/>
  <c r="AG12" i="343"/>
  <c r="AA12" i="343"/>
  <c r="AJ7" i="343"/>
  <c r="R12" i="343"/>
  <c r="V41" i="110"/>
  <c r="AN19" i="110"/>
  <c r="BC33" i="291"/>
  <c r="BM13" i="291"/>
  <c r="BM21" i="291"/>
  <c r="BM14" i="291"/>
  <c r="BM18" i="291"/>
  <c r="BM22" i="291"/>
  <c r="BM17" i="291"/>
  <c r="BM15" i="291"/>
  <c r="BF23" i="291"/>
  <c r="BI19" i="238"/>
  <c r="BI23" i="238"/>
  <c r="BI27" i="238"/>
  <c r="AQ18" i="238"/>
  <c r="BM18" i="238" s="1"/>
  <c r="AQ22" i="238"/>
  <c r="BM22" i="238" s="1"/>
  <c r="AQ26" i="238"/>
  <c r="BM26" i="238" s="1"/>
  <c r="AQ15" i="238"/>
  <c r="BM15" i="238" s="1"/>
  <c r="BC30" i="238"/>
  <c r="AZ30" i="238"/>
  <c r="AN30" i="238"/>
  <c r="AQ10" i="238"/>
  <c r="BM10" i="238" s="1"/>
  <c r="BF30" i="238"/>
  <c r="U30" i="238"/>
  <c r="BI10" i="238"/>
  <c r="AQ23" i="291" l="1"/>
  <c r="O34" i="291"/>
  <c r="AQ16" i="344"/>
  <c r="BI33" i="291"/>
  <c r="BI30" i="238"/>
  <c r="AJ34" i="343"/>
  <c r="AQ30" i="238"/>
  <c r="AJ12" i="343"/>
  <c r="E680" i="464" l="1"/>
  <c r="E679" i="464"/>
  <c r="E678" i="464"/>
  <c r="E677" i="464"/>
  <c r="E676" i="464"/>
  <c r="E675" i="464"/>
  <c r="E674" i="464"/>
  <c r="E673" i="464"/>
  <c r="E671" i="464"/>
  <c r="E672" i="464"/>
  <c r="E670" i="464"/>
  <c r="E668" i="464"/>
  <c r="E669" i="464"/>
  <c r="E667" i="464"/>
  <c r="E666" i="464"/>
  <c r="E665" i="464"/>
  <c r="E664" i="464"/>
  <c r="E663" i="464"/>
  <c r="E662" i="464"/>
  <c r="E661" i="464"/>
  <c r="E660" i="464"/>
  <c r="AG38" i="342"/>
  <c r="P31" i="342"/>
  <c r="AL7" i="342"/>
  <c r="AL6" i="342"/>
  <c r="AC21" i="342"/>
  <c r="AC20" i="342"/>
  <c r="T21" i="342"/>
  <c r="T20" i="342"/>
  <c r="E658" i="464"/>
  <c r="E659" i="464"/>
  <c r="AL60" i="426" s="1"/>
  <c r="E657" i="464"/>
  <c r="E656" i="464"/>
  <c r="E655" i="464"/>
  <c r="E654" i="464"/>
  <c r="E653" i="464"/>
  <c r="E652" i="464"/>
  <c r="E651" i="464"/>
  <c r="E650" i="464"/>
  <c r="E649" i="464"/>
  <c r="E648" i="464"/>
  <c r="E647" i="464"/>
  <c r="E646" i="464"/>
  <c r="E645" i="464"/>
  <c r="E644" i="464"/>
  <c r="E643" i="464"/>
  <c r="E642" i="464"/>
  <c r="E641" i="464"/>
  <c r="E640" i="464"/>
  <c r="E639" i="464"/>
  <c r="E638" i="464"/>
  <c r="E637" i="464"/>
  <c r="E636" i="464"/>
  <c r="E635" i="464"/>
  <c r="E634" i="464"/>
  <c r="E633" i="464"/>
  <c r="E632" i="464"/>
  <c r="E631" i="464"/>
  <c r="E630" i="464"/>
  <c r="E629" i="464"/>
  <c r="E628" i="464"/>
  <c r="E627" i="464"/>
  <c r="E626" i="464"/>
  <c r="E625" i="464"/>
  <c r="E624" i="464"/>
  <c r="E623" i="464"/>
  <c r="E622" i="464"/>
  <c r="E621" i="464"/>
  <c r="E620" i="464"/>
  <c r="E619" i="464"/>
  <c r="E618" i="464"/>
  <c r="E617" i="464"/>
  <c r="E616" i="464"/>
  <c r="E615" i="464"/>
  <c r="E614" i="464"/>
  <c r="E613" i="464"/>
  <c r="E612" i="464"/>
  <c r="E611" i="464"/>
  <c r="E610" i="464"/>
  <c r="E609" i="464"/>
  <c r="E608" i="464"/>
  <c r="E607" i="464"/>
  <c r="E606" i="464"/>
  <c r="E605" i="464"/>
  <c r="E604" i="464"/>
  <c r="E603" i="464"/>
  <c r="E602" i="464"/>
  <c r="E601" i="464"/>
  <c r="E600" i="464"/>
  <c r="E599" i="464"/>
  <c r="E598" i="464"/>
  <c r="E597" i="464"/>
  <c r="E596" i="464"/>
  <c r="E595" i="464"/>
  <c r="E594" i="464"/>
  <c r="E593" i="464"/>
  <c r="E592" i="464"/>
  <c r="E591" i="464"/>
  <c r="E590" i="464"/>
  <c r="E589" i="464"/>
  <c r="E588" i="464"/>
  <c r="E587" i="464"/>
  <c r="E586" i="464"/>
  <c r="E585" i="464"/>
  <c r="E584" i="464"/>
  <c r="E583" i="464"/>
  <c r="E582" i="464"/>
  <c r="E581" i="464"/>
  <c r="E580" i="464"/>
  <c r="E579" i="464"/>
  <c r="E578" i="464"/>
  <c r="E577" i="464"/>
  <c r="E576" i="464"/>
  <c r="E575" i="464"/>
  <c r="E574" i="464"/>
  <c r="E573" i="464"/>
  <c r="E572" i="464"/>
  <c r="E571" i="464"/>
  <c r="E570" i="464"/>
  <c r="E569" i="464"/>
  <c r="E568" i="464"/>
  <c r="E567" i="464"/>
  <c r="E566" i="464"/>
  <c r="E565" i="464"/>
  <c r="E564" i="464"/>
  <c r="E563" i="464"/>
  <c r="E562" i="464"/>
  <c r="E561" i="464"/>
  <c r="E560" i="464"/>
  <c r="E559" i="464"/>
  <c r="E558" i="464"/>
  <c r="E557" i="464"/>
  <c r="E556" i="464"/>
  <c r="E555" i="464"/>
  <c r="E554" i="464"/>
  <c r="E553" i="464"/>
  <c r="E552" i="464"/>
  <c r="E551" i="464"/>
  <c r="E550" i="464"/>
  <c r="E549" i="464"/>
  <c r="E548" i="464"/>
  <c r="E547" i="464"/>
  <c r="E546" i="464"/>
  <c r="E545" i="464"/>
  <c r="E544" i="464"/>
  <c r="E543" i="464"/>
  <c r="E542" i="464"/>
  <c r="E541" i="464"/>
  <c r="E540" i="464"/>
  <c r="E539" i="464"/>
  <c r="E538" i="464"/>
  <c r="E537" i="464"/>
  <c r="E536" i="464"/>
  <c r="E535" i="464"/>
  <c r="E534" i="464"/>
  <c r="E533" i="464"/>
  <c r="E532" i="464"/>
  <c r="E531" i="464"/>
  <c r="E530" i="464"/>
  <c r="E529" i="464"/>
  <c r="E528" i="464"/>
  <c r="E527" i="464"/>
  <c r="E526" i="464"/>
  <c r="E525" i="464"/>
  <c r="E524" i="464"/>
  <c r="E523" i="464"/>
  <c r="E522" i="464"/>
  <c r="E521" i="464"/>
  <c r="E520" i="464"/>
  <c r="E519" i="464"/>
  <c r="E518" i="464"/>
  <c r="E517" i="464"/>
  <c r="E516" i="464"/>
  <c r="E515" i="464"/>
  <c r="E514" i="464"/>
  <c r="E513" i="464"/>
  <c r="E512" i="464"/>
  <c r="E511" i="464"/>
  <c r="AW27" i="341"/>
  <c r="BH15" i="341"/>
  <c r="BD15" i="341"/>
  <c r="BF15" i="341"/>
  <c r="BB15" i="341"/>
  <c r="AZ15" i="341"/>
  <c r="AX15" i="341"/>
  <c r="AR15" i="341"/>
  <c r="AT15" i="341"/>
  <c r="AV15" i="341"/>
  <c r="AP15" i="341"/>
  <c r="AN15" i="341"/>
  <c r="AK15" i="341"/>
  <c r="AH15" i="341"/>
  <c r="AD15" i="341"/>
  <c r="AA15" i="341"/>
  <c r="W15" i="341"/>
  <c r="T15" i="341"/>
  <c r="P15" i="341"/>
  <c r="M15" i="341"/>
  <c r="J15" i="341"/>
  <c r="G15" i="341"/>
  <c r="N22" i="342" l="1"/>
  <c r="AR6" i="342"/>
  <c r="AR7" i="342"/>
  <c r="R38" i="342"/>
  <c r="AH58" i="426"/>
  <c r="V40" i="342"/>
  <c r="AE10" i="345"/>
  <c r="AE29" i="344"/>
  <c r="AB39" i="238"/>
  <c r="V48" i="110"/>
  <c r="AA7" i="345"/>
  <c r="R46" i="110"/>
  <c r="AA27" i="344"/>
  <c r="X37" i="238"/>
  <c r="P48" i="343"/>
  <c r="AG33" i="110"/>
  <c r="E510" i="464"/>
  <c r="E509" i="464"/>
  <c r="E508" i="464"/>
  <c r="E507" i="464"/>
  <c r="E506" i="464"/>
  <c r="E505" i="464"/>
  <c r="E504" i="464"/>
  <c r="E503" i="464"/>
  <c r="E502" i="464"/>
  <c r="E501" i="464"/>
  <c r="E500" i="464"/>
  <c r="E499" i="464"/>
  <c r="E498" i="464"/>
  <c r="E497" i="464"/>
  <c r="E496" i="464"/>
  <c r="E495" i="464"/>
  <c r="E494" i="464"/>
  <c r="E493" i="464"/>
  <c r="E492" i="464"/>
  <c r="E491" i="464"/>
  <c r="E490" i="464"/>
  <c r="E489" i="464"/>
  <c r="E488" i="464"/>
  <c r="E487" i="464"/>
  <c r="E486" i="464"/>
  <c r="E485" i="464"/>
  <c r="E484" i="464"/>
  <c r="E483" i="464"/>
  <c r="E482" i="464"/>
  <c r="E481" i="464"/>
  <c r="E480" i="464"/>
  <c r="E479" i="464"/>
  <c r="E478" i="464"/>
  <c r="E477" i="464"/>
  <c r="E476" i="464"/>
  <c r="E475" i="464"/>
  <c r="E474" i="464"/>
  <c r="E473" i="464"/>
  <c r="E472" i="464"/>
  <c r="E471" i="464"/>
  <c r="E470" i="464"/>
  <c r="AD54" i="340"/>
  <c r="E469" i="464" l="1"/>
  <c r="E468" i="464"/>
  <c r="E467" i="464"/>
  <c r="E466" i="464"/>
  <c r="E465" i="464"/>
  <c r="E464" i="464"/>
  <c r="E463" i="464"/>
  <c r="E462" i="464"/>
  <c r="E461" i="464"/>
  <c r="E460" i="464"/>
  <c r="E459" i="464"/>
  <c r="E458" i="464"/>
  <c r="E457" i="464"/>
  <c r="E456" i="464"/>
  <c r="E455" i="464"/>
  <c r="E454" i="464"/>
  <c r="E453" i="464"/>
  <c r="E452" i="464"/>
  <c r="E451" i="464"/>
  <c r="E449" i="464"/>
  <c r="E450" i="464"/>
  <c r="E448" i="464"/>
  <c r="E447" i="464"/>
  <c r="E446" i="464"/>
  <c r="E445" i="464"/>
  <c r="E444" i="464"/>
  <c r="E443" i="464"/>
  <c r="E442" i="464"/>
  <c r="E441" i="464"/>
  <c r="E440" i="464"/>
  <c r="I51" i="339"/>
  <c r="S35" i="339"/>
  <c r="AB57" i="338"/>
  <c r="E439" i="464"/>
  <c r="E438" i="464"/>
  <c r="E437" i="464"/>
  <c r="E436" i="464"/>
  <c r="E435" i="464"/>
  <c r="E434" i="464"/>
  <c r="E433" i="464"/>
  <c r="E432" i="464"/>
  <c r="E431" i="464"/>
  <c r="E430" i="464"/>
  <c r="E429" i="464"/>
  <c r="E428" i="464"/>
  <c r="E427" i="464"/>
  <c r="E426" i="464"/>
  <c r="E425" i="464"/>
  <c r="E424" i="464"/>
  <c r="E423" i="464"/>
  <c r="E422" i="464"/>
  <c r="E421" i="464"/>
  <c r="E420" i="464"/>
  <c r="E419" i="464"/>
  <c r="E418" i="464"/>
  <c r="E417" i="464"/>
  <c r="E416" i="464"/>
  <c r="E415" i="464"/>
  <c r="E414" i="464"/>
  <c r="E413" i="464"/>
  <c r="E412" i="464"/>
  <c r="E411" i="464"/>
  <c r="E410" i="464"/>
  <c r="E409" i="464"/>
  <c r="E408" i="464"/>
  <c r="E407" i="464"/>
  <c r="E406" i="464"/>
  <c r="E405" i="464"/>
  <c r="E404" i="464"/>
  <c r="E403" i="464"/>
  <c r="E402" i="464"/>
  <c r="E401" i="464"/>
  <c r="E400" i="464"/>
  <c r="E399" i="464"/>
  <c r="E398" i="464"/>
  <c r="E397" i="464"/>
  <c r="E396" i="464"/>
  <c r="R52" i="338"/>
  <c r="R39" i="338"/>
  <c r="AZ50" i="336" l="1"/>
  <c r="E378" i="464"/>
  <c r="E395" i="464"/>
  <c r="E394" i="464"/>
  <c r="E393" i="464"/>
  <c r="E392" i="464"/>
  <c r="E391" i="464"/>
  <c r="E390" i="464"/>
  <c r="E389" i="464"/>
  <c r="E388" i="464"/>
  <c r="E387" i="464"/>
  <c r="E386" i="464"/>
  <c r="E385" i="464"/>
  <c r="E384" i="464"/>
  <c r="E383" i="464"/>
  <c r="E382" i="464"/>
  <c r="E381" i="464"/>
  <c r="E380" i="464"/>
  <c r="E379" i="464"/>
  <c r="E377" i="464"/>
  <c r="E376" i="464"/>
  <c r="E370" i="464"/>
  <c r="E369" i="464"/>
  <c r="E368" i="464"/>
  <c r="E364" i="464"/>
  <c r="E363" i="464"/>
  <c r="E362" i="464"/>
  <c r="E361" i="464"/>
  <c r="E360" i="464"/>
  <c r="E359" i="464"/>
  <c r="E358" i="464"/>
  <c r="E375" i="464"/>
  <c r="E374" i="464"/>
  <c r="E373" i="464"/>
  <c r="E372" i="464"/>
  <c r="E371" i="464"/>
  <c r="E367" i="464"/>
  <c r="E366" i="464"/>
  <c r="E365" i="464"/>
  <c r="E357" i="464"/>
  <c r="E356" i="464"/>
  <c r="E355" i="464"/>
  <c r="E354" i="464"/>
  <c r="E353" i="464"/>
  <c r="E352" i="464"/>
  <c r="E351" i="464"/>
  <c r="E350" i="464"/>
  <c r="E349" i="464"/>
  <c r="E348" i="464"/>
  <c r="E347" i="464"/>
  <c r="E346" i="464"/>
  <c r="E345" i="464"/>
  <c r="E344" i="464"/>
  <c r="E343" i="464"/>
  <c r="E342" i="464"/>
  <c r="E341" i="464"/>
  <c r="E340" i="464"/>
  <c r="E339" i="464"/>
  <c r="E338" i="464"/>
  <c r="E337" i="464"/>
  <c r="E336" i="464"/>
  <c r="E335" i="464"/>
  <c r="E334" i="464"/>
  <c r="E333" i="464"/>
  <c r="E332" i="464"/>
  <c r="E331" i="464"/>
  <c r="E330" i="464"/>
  <c r="E329" i="464"/>
  <c r="E328" i="464"/>
  <c r="E327" i="464"/>
  <c r="E326" i="464"/>
  <c r="E325" i="464"/>
  <c r="E324" i="464"/>
  <c r="E323" i="464"/>
  <c r="E322" i="464"/>
  <c r="E321" i="464"/>
  <c r="E320" i="464"/>
  <c r="E319" i="464"/>
  <c r="E318" i="464"/>
  <c r="E317" i="464"/>
  <c r="E316" i="464"/>
  <c r="E315" i="464"/>
  <c r="E314" i="464"/>
  <c r="E311" i="464"/>
  <c r="E313" i="464"/>
  <c r="E312" i="464"/>
  <c r="E310" i="464"/>
  <c r="E309" i="464"/>
  <c r="E308" i="464"/>
  <c r="E307" i="464"/>
  <c r="E306" i="464"/>
  <c r="E305" i="464"/>
  <c r="E304" i="464"/>
  <c r="E301" i="464"/>
  <c r="E303" i="464"/>
  <c r="E302" i="464"/>
  <c r="E300" i="464"/>
  <c r="E299" i="464"/>
  <c r="E298" i="464"/>
  <c r="E297" i="464"/>
  <c r="E296" i="464"/>
  <c r="E295" i="464"/>
  <c r="E294" i="464"/>
  <c r="E293" i="464"/>
  <c r="E292" i="464"/>
  <c r="E291" i="464"/>
  <c r="E290" i="464"/>
  <c r="E289" i="464"/>
  <c r="E288" i="464"/>
  <c r="E287" i="464"/>
  <c r="E286" i="464"/>
  <c r="E285" i="464"/>
  <c r="E284" i="464"/>
  <c r="E283" i="464"/>
  <c r="E282" i="464"/>
  <c r="E281" i="464"/>
  <c r="E280" i="464"/>
  <c r="E279" i="464"/>
  <c r="E278" i="464"/>
  <c r="E277" i="464"/>
  <c r="E276" i="464"/>
  <c r="E275" i="464"/>
  <c r="E274" i="464"/>
  <c r="E273" i="464"/>
  <c r="E272" i="464"/>
  <c r="F272" i="464" s="1"/>
  <c r="E271" i="464"/>
  <c r="F271" i="464" s="1"/>
  <c r="E270" i="464"/>
  <c r="F270" i="464" s="1"/>
  <c r="E269" i="464"/>
  <c r="E268" i="464"/>
  <c r="F268" i="464" s="1"/>
  <c r="E267" i="464"/>
  <c r="F267" i="464" s="1"/>
  <c r="E266" i="464"/>
  <c r="F266" i="464" s="1"/>
  <c r="E265" i="464"/>
  <c r="E264" i="464"/>
  <c r="F264" i="464" s="1"/>
  <c r="E263" i="464"/>
  <c r="F263" i="464" s="1"/>
  <c r="E262" i="464"/>
  <c r="F262" i="464" s="1"/>
  <c r="E261" i="464"/>
  <c r="E260" i="464"/>
  <c r="F260" i="464" s="1"/>
  <c r="E259" i="464"/>
  <c r="E258" i="464"/>
  <c r="E257" i="464"/>
  <c r="E256" i="464"/>
  <c r="F256" i="464" s="1"/>
  <c r="E255" i="464"/>
  <c r="F255" i="464" s="1"/>
  <c r="E254" i="464"/>
  <c r="E253" i="464"/>
  <c r="E252" i="464"/>
  <c r="E251" i="464"/>
  <c r="E250" i="464"/>
  <c r="E249" i="464"/>
  <c r="E248" i="464"/>
  <c r="E247" i="464"/>
  <c r="E246" i="464"/>
  <c r="E245" i="464"/>
  <c r="E244" i="464"/>
  <c r="E243" i="464"/>
  <c r="E242" i="464"/>
  <c r="E241" i="464"/>
  <c r="E240" i="464"/>
  <c r="E239" i="464"/>
  <c r="E238" i="464"/>
  <c r="E237" i="464"/>
  <c r="E236" i="464"/>
  <c r="E235" i="464"/>
  <c r="E234" i="464"/>
  <c r="E233" i="464"/>
  <c r="E232" i="464"/>
  <c r="E231" i="464"/>
  <c r="E230" i="464"/>
  <c r="E229" i="464"/>
  <c r="E228" i="464"/>
  <c r="E227" i="464"/>
  <c r="E226" i="464"/>
  <c r="E225" i="464"/>
  <c r="E224" i="464"/>
  <c r="E223" i="464"/>
  <c r="E222" i="464"/>
  <c r="E221" i="464"/>
  <c r="E220" i="464"/>
  <c r="E219" i="464"/>
  <c r="E218" i="464"/>
  <c r="E217" i="464"/>
  <c r="E216" i="464"/>
  <c r="E215" i="464"/>
  <c r="E214" i="464"/>
  <c r="E213" i="464"/>
  <c r="E212" i="464"/>
  <c r="E211" i="464"/>
  <c r="E210" i="464"/>
  <c r="E209" i="464"/>
  <c r="E208" i="464"/>
  <c r="E207" i="464"/>
  <c r="E206" i="464"/>
  <c r="E205" i="464"/>
  <c r="E204" i="464"/>
  <c r="E203" i="464"/>
  <c r="E202" i="464"/>
  <c r="E201" i="464"/>
  <c r="E200" i="464"/>
  <c r="E199" i="464"/>
  <c r="E198" i="464"/>
  <c r="E197" i="464"/>
  <c r="E196" i="464"/>
  <c r="E195" i="464"/>
  <c r="E194" i="464"/>
  <c r="E193" i="464"/>
  <c r="E192" i="464"/>
  <c r="E191" i="464"/>
  <c r="E190" i="464"/>
  <c r="E189" i="464"/>
  <c r="E188" i="464"/>
  <c r="E187" i="464"/>
  <c r="E186" i="464"/>
  <c r="E185" i="464"/>
  <c r="E184" i="464"/>
  <c r="E183" i="464"/>
  <c r="E182" i="464"/>
  <c r="E181" i="464"/>
  <c r="E180" i="464"/>
  <c r="E179" i="464"/>
  <c r="E178" i="464"/>
  <c r="E177" i="464"/>
  <c r="E176" i="464"/>
  <c r="E175" i="464"/>
  <c r="E174" i="464"/>
  <c r="E173" i="464"/>
  <c r="E172" i="464"/>
  <c r="E171" i="464"/>
  <c r="E170" i="464"/>
  <c r="E169" i="464"/>
  <c r="E168" i="464"/>
  <c r="E167" i="464"/>
  <c r="E166" i="464"/>
  <c r="E165" i="464"/>
  <c r="E164" i="464"/>
  <c r="E163" i="464"/>
  <c r="E162" i="464"/>
  <c r="E161" i="464"/>
  <c r="E160" i="464"/>
  <c r="E159" i="464"/>
  <c r="E158" i="464"/>
  <c r="E157" i="464"/>
  <c r="E156" i="464"/>
  <c r="E155" i="464"/>
  <c r="E154" i="464"/>
  <c r="E153" i="464"/>
  <c r="E152" i="464"/>
  <c r="E151" i="464"/>
  <c r="E150" i="464"/>
  <c r="E149" i="464"/>
  <c r="E148" i="464"/>
  <c r="E144" i="464"/>
  <c r="E122" i="464"/>
  <c r="E119" i="464"/>
  <c r="E138" i="464"/>
  <c r="E147" i="464"/>
  <c r="E146" i="464"/>
  <c r="E145" i="464"/>
  <c r="E143" i="464"/>
  <c r="E142" i="464"/>
  <c r="E141" i="464"/>
  <c r="E140" i="464"/>
  <c r="E139" i="464"/>
  <c r="E137" i="464"/>
  <c r="E136" i="464"/>
  <c r="E135" i="464"/>
  <c r="E134" i="464"/>
  <c r="E133" i="464"/>
  <c r="E132" i="464"/>
  <c r="E131" i="464"/>
  <c r="E130" i="464"/>
  <c r="E129" i="464"/>
  <c r="E128" i="464"/>
  <c r="E127" i="464"/>
  <c r="E126" i="464"/>
  <c r="E125" i="464"/>
  <c r="E124" i="464"/>
  <c r="E123" i="464"/>
  <c r="E121" i="464"/>
  <c r="E120" i="464"/>
  <c r="E118" i="464"/>
  <c r="E117" i="464"/>
  <c r="E116" i="464"/>
  <c r="E115" i="464"/>
  <c r="E114" i="464"/>
  <c r="E113" i="464"/>
  <c r="E112" i="464"/>
  <c r="E111" i="464"/>
  <c r="E110" i="464"/>
  <c r="E109" i="464"/>
  <c r="E108" i="464"/>
  <c r="E107" i="464"/>
  <c r="E106" i="464"/>
  <c r="E105" i="464"/>
  <c r="E104" i="464"/>
  <c r="E103" i="464"/>
  <c r="E102" i="464"/>
  <c r="E101" i="464"/>
  <c r="E100" i="464"/>
  <c r="E99" i="464"/>
  <c r="E98" i="464"/>
  <c r="E97" i="464"/>
  <c r="E96" i="464"/>
  <c r="E95" i="464"/>
  <c r="E94" i="464"/>
  <c r="E93" i="464"/>
  <c r="E92" i="464"/>
  <c r="E91" i="464"/>
  <c r="E90" i="464"/>
  <c r="E89" i="464"/>
  <c r="E88" i="464"/>
  <c r="E87" i="464"/>
  <c r="E86" i="464"/>
  <c r="E85" i="464"/>
  <c r="E84" i="464"/>
  <c r="E83" i="464"/>
  <c r="E82" i="464"/>
  <c r="E81" i="464"/>
  <c r="E80" i="464"/>
  <c r="E79" i="464"/>
  <c r="E78" i="464"/>
  <c r="E77" i="464"/>
  <c r="E76" i="464"/>
  <c r="E75" i="464"/>
  <c r="E74" i="464"/>
  <c r="AO35" i="336"/>
  <c r="AO36" i="336"/>
  <c r="AO37" i="336"/>
  <c r="AO38" i="336"/>
  <c r="AO39" i="336"/>
  <c r="AO40" i="336"/>
  <c r="AO34" i="336"/>
  <c r="AO33" i="336"/>
  <c r="AE35" i="336"/>
  <c r="AE36" i="336"/>
  <c r="AE37" i="336"/>
  <c r="AE38" i="336"/>
  <c r="AE39" i="336"/>
  <c r="AE40" i="336"/>
  <c r="AE34" i="336"/>
  <c r="AE33" i="336"/>
  <c r="W35" i="336"/>
  <c r="W36" i="336"/>
  <c r="W37" i="336"/>
  <c r="W38" i="336"/>
  <c r="W39" i="336"/>
  <c r="W40" i="336"/>
  <c r="W34" i="336"/>
  <c r="W33" i="336"/>
  <c r="BQ22" i="336"/>
  <c r="BQ23" i="336"/>
  <c r="BQ24" i="336"/>
  <c r="BQ25" i="336"/>
  <c r="BQ26" i="336"/>
  <c r="BQ27" i="336"/>
  <c r="BQ28" i="336"/>
  <c r="BQ29" i="336"/>
  <c r="BQ30" i="336"/>
  <c r="BQ31" i="336"/>
  <c r="BQ21" i="336"/>
  <c r="BQ20" i="336"/>
  <c r="BG22" i="336"/>
  <c r="BG23" i="336"/>
  <c r="BG24" i="336"/>
  <c r="BG25" i="336"/>
  <c r="BG26" i="336"/>
  <c r="BG27" i="336"/>
  <c r="BG28" i="336"/>
  <c r="BG29" i="336"/>
  <c r="BG30" i="336"/>
  <c r="BG31" i="336"/>
  <c r="BG21" i="336"/>
  <c r="BG20" i="336"/>
  <c r="AY22" i="336"/>
  <c r="AY23" i="336"/>
  <c r="AY24" i="336"/>
  <c r="AY25" i="336"/>
  <c r="AY26" i="336"/>
  <c r="AY27" i="336"/>
  <c r="AY28" i="336"/>
  <c r="AY29" i="336"/>
  <c r="AY30" i="336"/>
  <c r="AY31" i="336"/>
  <c r="AY21" i="336"/>
  <c r="AY20" i="336"/>
  <c r="AO22" i="336"/>
  <c r="AO23" i="336"/>
  <c r="AO24" i="336"/>
  <c r="AO25" i="336"/>
  <c r="AO26" i="336"/>
  <c r="AO27" i="336"/>
  <c r="AO28" i="336"/>
  <c r="AO29" i="336"/>
  <c r="AO30" i="336"/>
  <c r="AO31" i="336"/>
  <c r="AO21" i="336"/>
  <c r="AO20" i="336"/>
  <c r="AE29" i="336"/>
  <c r="AE31" i="336"/>
  <c r="AE30" i="336"/>
  <c r="AE28" i="336"/>
  <c r="AE27" i="336"/>
  <c r="AE26" i="336"/>
  <c r="AE25" i="336"/>
  <c r="AE24" i="336"/>
  <c r="AE23" i="336"/>
  <c r="AE22" i="336"/>
  <c r="AE21" i="336"/>
  <c r="W26" i="336"/>
  <c r="W27" i="336"/>
  <c r="W28" i="336"/>
  <c r="W29" i="336"/>
  <c r="W30" i="336"/>
  <c r="W31" i="336"/>
  <c r="E73" i="464"/>
  <c r="E72" i="464"/>
  <c r="E71" i="464"/>
  <c r="E70" i="464"/>
  <c r="E69" i="464"/>
  <c r="E68" i="464"/>
  <c r="E67" i="464"/>
  <c r="E66" i="464"/>
  <c r="E65" i="464"/>
  <c r="E64" i="464"/>
  <c r="E63" i="464"/>
  <c r="E62" i="464"/>
  <c r="E61" i="464"/>
  <c r="E60" i="464"/>
  <c r="E59" i="464"/>
  <c r="E58" i="464"/>
  <c r="E57" i="464"/>
  <c r="E56" i="464"/>
  <c r="E55" i="464"/>
  <c r="E54" i="464"/>
  <c r="E53" i="464"/>
  <c r="E52" i="464"/>
  <c r="E51" i="464"/>
  <c r="E50" i="464"/>
  <c r="E49" i="464"/>
  <c r="E48" i="464"/>
  <c r="E47" i="464"/>
  <c r="E46" i="464"/>
  <c r="E45" i="464"/>
  <c r="E44" i="464"/>
  <c r="E43" i="464"/>
  <c r="E42" i="464"/>
  <c r="E41" i="464"/>
  <c r="E40" i="464"/>
  <c r="E39" i="464"/>
  <c r="E38" i="464"/>
  <c r="E37" i="464"/>
  <c r="E36" i="464"/>
  <c r="E35" i="464"/>
  <c r="E34" i="464"/>
  <c r="BI9" i="336"/>
  <c r="BF9" i="336"/>
  <c r="BI8" i="336"/>
  <c r="BF8" i="336"/>
  <c r="BF7" i="336"/>
  <c r="BI7" i="336"/>
  <c r="E33" i="464"/>
  <c r="E32" i="464"/>
  <c r="E30" i="464"/>
  <c r="F29" i="341" s="1"/>
  <c r="E29" i="464"/>
  <c r="R37" i="133"/>
  <c r="E28" i="464"/>
  <c r="F28" i="464" s="1"/>
  <c r="E27" i="464"/>
  <c r="F27" i="464" s="1"/>
  <c r="E26" i="464"/>
  <c r="E25" i="464"/>
  <c r="F25" i="464" s="1"/>
  <c r="E24" i="464"/>
  <c r="F24" i="464" s="1"/>
  <c r="E23" i="464"/>
  <c r="F23" i="464" s="1"/>
  <c r="E22" i="464"/>
  <c r="F22" i="464" s="1"/>
  <c r="E20" i="464"/>
  <c r="E18" i="464"/>
  <c r="E17" i="464"/>
  <c r="E21" i="464"/>
  <c r="E19" i="464"/>
  <c r="E16" i="464"/>
  <c r="E15" i="464"/>
  <c r="E14" i="464"/>
  <c r="E13" i="464"/>
  <c r="E12" i="464"/>
  <c r="E11" i="464"/>
  <c r="E10" i="464"/>
  <c r="E9" i="464"/>
  <c r="E8" i="464"/>
  <c r="E7" i="464"/>
  <c r="E6" i="464"/>
  <c r="E5" i="464"/>
  <c r="E4" i="464"/>
  <c r="F4" i="464" s="1"/>
  <c r="AD41" i="336" l="1"/>
  <c r="BF41" i="336"/>
  <c r="AY41" i="336"/>
  <c r="BG41" i="336"/>
  <c r="BQ41" i="336"/>
  <c r="W41" i="336"/>
  <c r="AO41" i="336"/>
  <c r="F258" i="464"/>
  <c r="AE41" i="336"/>
  <c r="F254" i="464"/>
  <c r="F273" i="464"/>
  <c r="F269" i="464"/>
  <c r="F265" i="464"/>
  <c r="F261" i="464"/>
  <c r="F259" i="464"/>
  <c r="F60" i="460"/>
  <c r="F53" i="426"/>
  <c r="F35" i="462"/>
  <c r="F59" i="461"/>
  <c r="F62" i="460"/>
  <c r="F61" i="461"/>
  <c r="F55" i="426"/>
  <c r="F37" i="462"/>
  <c r="F58" i="459"/>
  <c r="D56" i="442"/>
  <c r="D58" i="442"/>
  <c r="F60" i="459"/>
  <c r="F68" i="453"/>
  <c r="F37" i="463"/>
  <c r="F73" i="454"/>
  <c r="F65" i="455"/>
  <c r="F70" i="453"/>
  <c r="F39" i="463"/>
  <c r="F67" i="455"/>
  <c r="F75" i="454"/>
  <c r="F44" i="451"/>
  <c r="F28" i="452"/>
  <c r="F46" i="451"/>
  <c r="F30" i="452"/>
  <c r="F32" i="450"/>
  <c r="F21" i="281"/>
  <c r="F43" i="448"/>
  <c r="F51" i="449"/>
  <c r="F44" i="229"/>
  <c r="F37" i="447"/>
  <c r="F37" i="280"/>
  <c r="F51" i="299"/>
  <c r="F59" i="391"/>
  <c r="F41" i="393"/>
  <c r="F67" i="392"/>
  <c r="F25" i="228"/>
  <c r="F43" i="298"/>
  <c r="F43" i="390"/>
  <c r="F30" i="389"/>
  <c r="F53" i="388"/>
  <c r="F42" i="387"/>
  <c r="F34" i="450"/>
  <c r="F53" i="449"/>
  <c r="F45" i="448"/>
  <c r="F23" i="281"/>
  <c r="F39" i="447"/>
  <c r="F39" i="280"/>
  <c r="F46" i="229"/>
  <c r="F27" i="228"/>
  <c r="F43" i="393"/>
  <c r="F45" i="298"/>
  <c r="F69" i="392"/>
  <c r="F53" i="299"/>
  <c r="F61" i="391"/>
  <c r="F45" i="390"/>
  <c r="F32" i="389"/>
  <c r="F55" i="388"/>
  <c r="F44" i="387"/>
  <c r="F49" i="386"/>
  <c r="F36" i="348"/>
  <c r="F49" i="378"/>
  <c r="F38" i="148"/>
  <c r="F51" i="386"/>
  <c r="F38" i="348"/>
  <c r="F51" i="378"/>
  <c r="F40" i="148"/>
  <c r="F257" i="464"/>
  <c r="F39" i="359"/>
  <c r="F31" i="124"/>
  <c r="F53" i="368"/>
  <c r="F45" i="379"/>
  <c r="F28" i="380"/>
  <c r="F31" i="382"/>
  <c r="F33" i="381"/>
  <c r="F45" i="383"/>
  <c r="F43" i="370"/>
  <c r="F32" i="360"/>
  <c r="F282" i="464"/>
  <c r="F41" i="359"/>
  <c r="F55" i="368"/>
  <c r="F33" i="124"/>
  <c r="F47" i="379"/>
  <c r="F33" i="382"/>
  <c r="F35" i="381"/>
  <c r="F47" i="383"/>
  <c r="F30" i="380"/>
  <c r="F45" i="370"/>
  <c r="F34" i="360"/>
  <c r="F286" i="464"/>
  <c r="F274" i="464"/>
  <c r="F278" i="464"/>
  <c r="F290" i="464"/>
  <c r="F276" i="464"/>
  <c r="F280" i="464"/>
  <c r="F284" i="464"/>
  <c r="F288" i="464"/>
  <c r="F292" i="464"/>
  <c r="F277" i="464"/>
  <c r="F281" i="464"/>
  <c r="F285" i="464"/>
  <c r="F289" i="464"/>
  <c r="F293" i="464"/>
  <c r="F275" i="464"/>
  <c r="F279" i="464"/>
  <c r="F283" i="464"/>
  <c r="F287" i="464"/>
  <c r="F291" i="464"/>
  <c r="F54" i="230"/>
  <c r="F34" i="345"/>
  <c r="F27" i="344"/>
  <c r="F48" i="343"/>
  <c r="F46" i="110"/>
  <c r="F37" i="238"/>
  <c r="F27" i="341"/>
  <c r="F38" i="342"/>
  <c r="F54" i="340"/>
  <c r="F46" i="339"/>
  <c r="F50" i="336"/>
  <c r="F57" i="338"/>
  <c r="AL29" i="341"/>
  <c r="T56" i="340"/>
  <c r="S59" i="338"/>
  <c r="T48" i="339"/>
  <c r="F36" i="345"/>
  <c r="F56" i="230"/>
  <c r="F48" i="110"/>
  <c r="F39" i="238"/>
  <c r="F29" i="344"/>
  <c r="F50" i="343"/>
  <c r="F40" i="342"/>
  <c r="F56" i="340"/>
  <c r="F52" i="336"/>
  <c r="F48" i="339"/>
  <c r="F59" i="338"/>
  <c r="AH27" i="341"/>
  <c r="P54" i="340"/>
  <c r="O57" i="338"/>
  <c r="P46" i="339"/>
  <c r="E2" i="464"/>
  <c r="F2" i="464" s="1"/>
  <c r="E3" i="464"/>
  <c r="F3" i="464" s="1"/>
  <c r="BI23" i="291" l="1"/>
  <c r="BC23" i="291"/>
  <c r="E3550" i="464"/>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<sst xmlns="http://schemas.openxmlformats.org/spreadsheetml/2006/main" count="25264" uniqueCount="11896">
  <si>
    <t>No</t>
  </si>
  <si>
    <t>No source of electricity</t>
  </si>
  <si>
    <t>LGU/SEF</t>
  </si>
  <si>
    <t>Republic of the Philippines</t>
  </si>
  <si>
    <t>DEPARTMENT OF EDUCATION</t>
  </si>
  <si>
    <t>GOVERNMENT ELEMENTARY SCHOOL PROFILE</t>
  </si>
  <si>
    <t>SCHOOL INFORMATION</t>
  </si>
  <si>
    <t>Address</t>
  </si>
  <si>
    <t>:</t>
  </si>
  <si>
    <t>Barangay</t>
  </si>
  <si>
    <t xml:space="preserve">Region </t>
  </si>
  <si>
    <t>Division</t>
  </si>
  <si>
    <t>School District</t>
  </si>
  <si>
    <t>Legislative District</t>
  </si>
  <si>
    <t xml:space="preserve">E-Mail Address    </t>
  </si>
  <si>
    <t>Male</t>
  </si>
  <si>
    <t>Female</t>
  </si>
  <si>
    <t>Certified True and Correct by  :</t>
  </si>
  <si>
    <t>School Head</t>
  </si>
  <si>
    <t>Grade 1</t>
  </si>
  <si>
    <t>Grade 2</t>
  </si>
  <si>
    <t>Grade 3</t>
  </si>
  <si>
    <t>Grade 4</t>
  </si>
  <si>
    <t>Grade 5</t>
  </si>
  <si>
    <t>Grade 6</t>
  </si>
  <si>
    <t>Others</t>
  </si>
  <si>
    <t>Number of positions assigned in the school per latest PSI-POP</t>
  </si>
  <si>
    <t>On leave</t>
  </si>
  <si>
    <t>Position(s) vacant</t>
  </si>
  <si>
    <t>TOTAL</t>
  </si>
  <si>
    <t>Col. 2</t>
  </si>
  <si>
    <t>Col. 3</t>
  </si>
  <si>
    <t>Col. 4</t>
  </si>
  <si>
    <t>Col. 5</t>
  </si>
  <si>
    <t>Col. 6</t>
  </si>
  <si>
    <t>Col. 7</t>
  </si>
  <si>
    <t>Col. 8</t>
  </si>
  <si>
    <t>Col. 9</t>
  </si>
  <si>
    <t>Head Teacher III</t>
  </si>
  <si>
    <t>Head Teacher II</t>
  </si>
  <si>
    <t>Head Teacher I</t>
  </si>
  <si>
    <t>Master Teacher II</t>
  </si>
  <si>
    <t>Master Teacher I</t>
  </si>
  <si>
    <t>Teacher III</t>
  </si>
  <si>
    <t>Teacher II</t>
  </si>
  <si>
    <t>Teacher I</t>
  </si>
  <si>
    <t>Position Title</t>
  </si>
  <si>
    <t>Not assigned to ancillary services</t>
  </si>
  <si>
    <t>Col. 1</t>
  </si>
  <si>
    <t>Class teaching less than 200 min. per day</t>
  </si>
  <si>
    <t>Class teaching 200 min. per day or more</t>
  </si>
  <si>
    <t>Assigned full-time to ancillary services</t>
  </si>
  <si>
    <t>NATIONALLY-FUNDED PERSONNEL</t>
  </si>
  <si>
    <t>Solar Power</t>
  </si>
  <si>
    <t>Generator</t>
  </si>
  <si>
    <t>Grid Supply</t>
  </si>
  <si>
    <t>INSTRUCTIONS</t>
  </si>
  <si>
    <t>Kindergarten</t>
  </si>
  <si>
    <t>Street/Sitio/Purok</t>
  </si>
  <si>
    <t>Local Gov't Unit (LGU) funded</t>
  </si>
  <si>
    <t xml:space="preserve">Personnel detailed to </t>
  </si>
  <si>
    <t>Col. 10</t>
  </si>
  <si>
    <t>Col. 11</t>
  </si>
  <si>
    <t>Col. 12</t>
  </si>
  <si>
    <t>Yes</t>
  </si>
  <si>
    <t>School MOOE</t>
  </si>
  <si>
    <t>LGU</t>
  </si>
  <si>
    <t>PTA</t>
  </si>
  <si>
    <t>Private Individual/Sector</t>
  </si>
  <si>
    <t>School Canteen Fund</t>
  </si>
  <si>
    <t>Rainwater Catchments</t>
  </si>
  <si>
    <t>Position Title :</t>
  </si>
  <si>
    <t>Master Teacher III</t>
  </si>
  <si>
    <t>Class</t>
  </si>
  <si>
    <t>Col. 13</t>
  </si>
  <si>
    <t>Col. 14</t>
  </si>
  <si>
    <t>Secondary school(s) within the division</t>
  </si>
  <si>
    <t>Col. 15</t>
  </si>
  <si>
    <t>Col. 16</t>
  </si>
  <si>
    <t>Col. 17</t>
  </si>
  <si>
    <t>Filipino</t>
  </si>
  <si>
    <t>Science</t>
  </si>
  <si>
    <t>POSITIONS ASSIGNED IN THE SCHOOL</t>
  </si>
  <si>
    <t>Col. 18</t>
  </si>
  <si>
    <t>Mathematics</t>
  </si>
  <si>
    <t xml:space="preserve">   Master Teacher III</t>
  </si>
  <si>
    <t xml:space="preserve">   Master Teacher II</t>
  </si>
  <si>
    <t xml:space="preserve">   Master Teacher I</t>
  </si>
  <si>
    <t xml:space="preserve">   Teacher III</t>
  </si>
  <si>
    <t xml:space="preserve">   Teacher II</t>
  </si>
  <si>
    <t xml:space="preserve">   Teacher I</t>
  </si>
  <si>
    <t xml:space="preserve">   Handling Grades 1-6</t>
  </si>
  <si>
    <t xml:space="preserve">   Handling SPED classes</t>
  </si>
  <si>
    <t xml:space="preserve">   Handling Kindergarten classes</t>
  </si>
  <si>
    <t>Funding Source</t>
  </si>
  <si>
    <t>Livestock</t>
  </si>
  <si>
    <t>Head Teacher IV</t>
  </si>
  <si>
    <t>Head Teacher V</t>
  </si>
  <si>
    <t>DepEd office(s) within the division</t>
  </si>
  <si>
    <t>Tsunami</t>
  </si>
  <si>
    <t>Flood</t>
  </si>
  <si>
    <t>Drought</t>
  </si>
  <si>
    <t>Earthquake</t>
  </si>
  <si>
    <t>Volcanic Eruption</t>
  </si>
  <si>
    <t>Landslide</t>
  </si>
  <si>
    <t xml:space="preserve">          This form shall be accomplished by the head of all government elementary schools. In the case of schools with  annexes,  extensions,  etc., a separate school profile shall be accomplished by every annex, extension,  etc.</t>
  </si>
  <si>
    <t>Mode</t>
  </si>
  <si>
    <t>Tax Declaration</t>
  </si>
  <si>
    <t>Deed of Absolute Sale</t>
  </si>
  <si>
    <t>Deed of Donation</t>
  </si>
  <si>
    <t>Contract of Usufruct</t>
  </si>
  <si>
    <t>None</t>
  </si>
  <si>
    <t>Encroachment</t>
  </si>
  <si>
    <t xml:space="preserve">     </t>
  </si>
  <si>
    <t>a.</t>
  </si>
  <si>
    <t>b.</t>
  </si>
  <si>
    <t>April</t>
  </si>
  <si>
    <t>May</t>
  </si>
  <si>
    <t xml:space="preserve">        </t>
  </si>
  <si>
    <t xml:space="preserve">         </t>
  </si>
  <si>
    <t>Internet Service Provider</t>
  </si>
  <si>
    <t xml:space="preserve">Does the school subscribe to any of the internet service provider/s listed above? </t>
  </si>
  <si>
    <t xml:space="preserve">Are there internet service providers in the area? </t>
  </si>
  <si>
    <t>DepEd office(s)/ school(s) outside the division or other government agencies</t>
  </si>
  <si>
    <t>Grade Level</t>
  </si>
  <si>
    <t>Number of Teachers</t>
  </si>
  <si>
    <t>Off Grid Supply</t>
  </si>
  <si>
    <t>Agricultural Crops</t>
  </si>
  <si>
    <t>Private Donations</t>
  </si>
  <si>
    <t>DepEd
non-DCP</t>
  </si>
  <si>
    <t>DepEd
DCP</t>
  </si>
  <si>
    <t>Types of Computer</t>
  </si>
  <si>
    <t xml:space="preserve">Legal Ownership Issues: </t>
  </si>
  <si>
    <t>Desktop Virtual Terminal</t>
  </si>
  <si>
    <t>Desktop</t>
  </si>
  <si>
    <t>(Check as appropriate)</t>
  </si>
  <si>
    <t>SPED</t>
  </si>
  <si>
    <t xml:space="preserve">   Master Teacher IV</t>
  </si>
  <si>
    <t xml:space="preserve">   SPED Teacher V</t>
  </si>
  <si>
    <t xml:space="preserve">   SPED Teacher IV</t>
  </si>
  <si>
    <t xml:space="preserve">   SPED Teacher III</t>
  </si>
  <si>
    <t xml:space="preserve">   SPED Teacher II</t>
  </si>
  <si>
    <t xml:space="preserve">   SPED Teacher I</t>
  </si>
  <si>
    <t xml:space="preserve">Reminder: </t>
  </si>
  <si>
    <t>SPED Teacher V</t>
  </si>
  <si>
    <t>SPED Teacher IV</t>
  </si>
  <si>
    <t>SPED Teacher III</t>
  </si>
  <si>
    <t>SPED Teacher II</t>
  </si>
  <si>
    <t>SPED Teacher I</t>
  </si>
  <si>
    <t>c.</t>
  </si>
  <si>
    <t>d.</t>
  </si>
  <si>
    <t>1.</t>
  </si>
  <si>
    <t>2.</t>
  </si>
  <si>
    <t>3.</t>
  </si>
  <si>
    <t>4.</t>
  </si>
  <si>
    <t>5.</t>
  </si>
  <si>
    <t>6.</t>
  </si>
  <si>
    <t>7.</t>
  </si>
  <si>
    <t>8.</t>
  </si>
  <si>
    <t>9.</t>
  </si>
  <si>
    <t>10.</t>
  </si>
  <si>
    <t>11.</t>
  </si>
  <si>
    <t>12.</t>
  </si>
  <si>
    <t>13.</t>
  </si>
  <si>
    <t>14.</t>
  </si>
  <si>
    <t>Academic Use</t>
  </si>
  <si>
    <t>Administrative Use</t>
  </si>
  <si>
    <t>e.</t>
  </si>
  <si>
    <t>a.1.</t>
  </si>
  <si>
    <t>a.2.</t>
  </si>
  <si>
    <t>a.3.</t>
  </si>
  <si>
    <t>a.4.</t>
  </si>
  <si>
    <t>f.</t>
  </si>
  <si>
    <t>g.</t>
  </si>
  <si>
    <t>h.</t>
  </si>
  <si>
    <t>LGU Fund</t>
  </si>
  <si>
    <t>PTA Fund</t>
  </si>
  <si>
    <t>Barangay Fund</t>
  </si>
  <si>
    <t>a. Teaching Positions</t>
  </si>
  <si>
    <t>Master Teacher IV</t>
  </si>
  <si>
    <t>Fish Pond</t>
  </si>
  <si>
    <t>Private Individual/Sector Fund</t>
  </si>
  <si>
    <t>Types of Internet Connection</t>
  </si>
  <si>
    <t xml:space="preserve">Reminders: </t>
  </si>
  <si>
    <t>June</t>
  </si>
  <si>
    <t>July</t>
  </si>
  <si>
    <t>Aug.</t>
  </si>
  <si>
    <t>Sept.</t>
  </si>
  <si>
    <t>Oct.</t>
  </si>
  <si>
    <t>Nov.</t>
  </si>
  <si>
    <t>Dec.</t>
  </si>
  <si>
    <t>Jan.</t>
  </si>
  <si>
    <t>Feb.</t>
  </si>
  <si>
    <t>Mar.</t>
  </si>
  <si>
    <t>Composting</t>
  </si>
  <si>
    <t>Posting of signage</t>
  </si>
  <si>
    <t>Use of paper plates/cups instead of plastic</t>
  </si>
  <si>
    <t>Designation of trash collection point</t>
  </si>
  <si>
    <t>Recycling Projects</t>
  </si>
  <si>
    <t>Use of recycled materials are teaching tool</t>
  </si>
  <si>
    <t>Poster making and/or slogan making contest</t>
  </si>
  <si>
    <t>School representative at the Barangay Solid</t>
  </si>
  <si>
    <t>Use of reusable food containerts</t>
  </si>
  <si>
    <t>Waste Management Committee</t>
  </si>
  <si>
    <t>Waste segregation</t>
  </si>
  <si>
    <t>Local business partners</t>
  </si>
  <si>
    <t>Parents</t>
  </si>
  <si>
    <t>Community leaders</t>
  </si>
  <si>
    <t>Municipal/City government</t>
  </si>
  <si>
    <t>Measles Containing Vaccine</t>
  </si>
  <si>
    <t>Human Papiloma Virus</t>
  </si>
  <si>
    <t>Passed</t>
  </si>
  <si>
    <t>Failed</t>
  </si>
  <si>
    <t>Nutritional Status</t>
  </si>
  <si>
    <t>Obese</t>
  </si>
  <si>
    <t>Overweight</t>
  </si>
  <si>
    <t>Normal</t>
  </si>
  <si>
    <t>Wasted</t>
  </si>
  <si>
    <t>Severely Wasted</t>
  </si>
  <si>
    <t>1. Is there a water source inside the school ground?</t>
  </si>
  <si>
    <t xml:space="preserve"> </t>
  </si>
  <si>
    <t>Piped water from local service provider</t>
  </si>
  <si>
    <t>Natural source</t>
  </si>
  <si>
    <t xml:space="preserve">Yes </t>
  </si>
  <si>
    <t xml:space="preserve">No  </t>
  </si>
  <si>
    <t>Safe water in refillable containers are provided in designated areas within the school</t>
  </si>
  <si>
    <t>Usage</t>
  </si>
  <si>
    <t>Functional</t>
  </si>
  <si>
    <t xml:space="preserve">Daily </t>
  </si>
  <si>
    <t>Once a week</t>
  </si>
  <si>
    <t>At least twice a week</t>
  </si>
  <si>
    <t>Less than once a week</t>
  </si>
  <si>
    <t>School Clinic</t>
  </si>
  <si>
    <t>Guidance Office</t>
  </si>
  <si>
    <t>Edukasyon sa Pagpapakatao (EsP)</t>
  </si>
  <si>
    <t>Physical Education</t>
  </si>
  <si>
    <t>Health</t>
  </si>
  <si>
    <t>Edukasyong Pantahanan at Pangkabuhayan (EPP)</t>
  </si>
  <si>
    <t>Extra-curricular activities</t>
  </si>
  <si>
    <t>2. Does the school have mechanism to ensure that the learners have safe drinking water?</t>
  </si>
  <si>
    <t>Teachers ask the learners to bring their own drinking water to school</t>
  </si>
  <si>
    <t>School Canteen</t>
  </si>
  <si>
    <t xml:space="preserve"> PLANNING SERVICE</t>
  </si>
  <si>
    <t>Education Management Information System Division</t>
  </si>
  <si>
    <t>MOOE</t>
  </si>
  <si>
    <t>Amount in PhP</t>
  </si>
  <si>
    <t>Electrical Supply Sources:</t>
  </si>
  <si>
    <t>Allocation</t>
  </si>
  <si>
    <t>Utilization</t>
  </si>
  <si>
    <t>Liquidation</t>
  </si>
  <si>
    <t>What is the funding source?</t>
  </si>
  <si>
    <t xml:space="preserve">Teachers detailed to </t>
  </si>
  <si>
    <t>Position(s) Vacant</t>
  </si>
  <si>
    <t>Non-Functional</t>
  </si>
  <si>
    <t>Vision Screening Results</t>
  </si>
  <si>
    <t>Number of Learners Dewormed</t>
  </si>
  <si>
    <t>Monthly</t>
  </si>
  <si>
    <t>Quarterly</t>
  </si>
  <si>
    <t>Number of Learners</t>
  </si>
  <si>
    <t xml:space="preserve">    </t>
  </si>
  <si>
    <t>1. Is your school compliant to the Ecological Solid Waste Management Act (RA 9003)?</t>
  </si>
  <si>
    <t>If Yes, where can the learners avail the sanitary pads?</t>
  </si>
  <si>
    <r>
      <t xml:space="preserve">Location descriptions for your school: </t>
    </r>
    <r>
      <rPr>
        <b/>
        <i/>
        <sz val="12"/>
        <rFont val="Times New Roman"/>
        <family val="1"/>
      </rPr>
      <t>(Check all applicable)</t>
    </r>
  </si>
  <si>
    <t>TITLE</t>
  </si>
  <si>
    <t>Page #</t>
  </si>
  <si>
    <t>BOX</t>
  </si>
  <si>
    <t>TABLE</t>
  </si>
  <si>
    <t>No.</t>
  </si>
  <si>
    <t>Province</t>
  </si>
  <si>
    <t>Telephone Number</t>
  </si>
  <si>
    <t>Fax Number</t>
  </si>
  <si>
    <t>(Previous Name, if any)</t>
  </si>
  <si>
    <t>Mobile Number</t>
  </si>
  <si>
    <t>Municipality/City</t>
  </si>
  <si>
    <t>Grades 1 to 6</t>
  </si>
  <si>
    <t>Website (if any)</t>
  </si>
  <si>
    <t>Zip Code</t>
  </si>
  <si>
    <t>Edukasyong Pantahanan at Pangkabuhayan (EPP)/
Technology and Livelihood Education (TLE)</t>
  </si>
  <si>
    <t>LED TV</t>
  </si>
  <si>
    <t>Types of ICT Equipment</t>
  </si>
  <si>
    <t>Network Switch</t>
  </si>
  <si>
    <t>Printer</t>
  </si>
  <si>
    <t>Projector</t>
  </si>
  <si>
    <t>UPS</t>
  </si>
  <si>
    <t>Wireless Router</t>
  </si>
  <si>
    <t>refers to a claim of a property against that</t>
  </si>
  <si>
    <t>School Site within:</t>
  </si>
  <si>
    <t>m.</t>
  </si>
  <si>
    <t>l.</t>
  </si>
  <si>
    <t>k.</t>
  </si>
  <si>
    <t>j.</t>
  </si>
  <si>
    <t>i.</t>
  </si>
  <si>
    <t>Document Type:</t>
  </si>
  <si>
    <t>Areas classified as Timberland and Forestland</t>
  </si>
  <si>
    <t>Protected Areas</t>
  </si>
  <si>
    <t>Lease Agreement</t>
  </si>
  <si>
    <t>With Illegal Settlers</t>
  </si>
  <si>
    <t>Special Land Use Permit (SLUP)</t>
  </si>
  <si>
    <t>Certificate of Stewardship</t>
  </si>
  <si>
    <t>With Adverse Claim</t>
  </si>
  <si>
    <t>Certificate of Land Ownership Award
(CLOA)</t>
  </si>
  <si>
    <t>Special Patent</t>
  </si>
  <si>
    <t>Presidential Proclamation</t>
  </si>
  <si>
    <t>With Certificate of Ancestral Land Title (CALT)?</t>
  </si>
  <si>
    <t>Deed of Exchange (Land Swapping)</t>
  </si>
  <si>
    <t>Expropriation</t>
  </si>
  <si>
    <t>Certificate of Land Ownership Award (CLOA)</t>
  </si>
  <si>
    <t>With Usufruct Agreement?</t>
  </si>
  <si>
    <t>Usufruct Agreement</t>
  </si>
  <si>
    <t>Transfer Certificate of Title (TCT)</t>
  </si>
  <si>
    <t>5. Within Ancestral Land :</t>
  </si>
  <si>
    <t>Purchase</t>
  </si>
  <si>
    <t>Original Certificate of Title (OCT)</t>
  </si>
  <si>
    <t>Donation</t>
  </si>
  <si>
    <t>With Certificate of Ancestral Domain Title (CADT)?</t>
  </si>
  <si>
    <t>Year
Acquired</t>
  </si>
  <si>
    <t>Private Entity / Individual/s</t>
  </si>
  <si>
    <t>Other Government Agency</t>
  </si>
  <si>
    <t>DepEd</t>
  </si>
  <si>
    <t>4. Within Ancestral Domain :</t>
  </si>
  <si>
    <t>Along the highway *</t>
  </si>
  <si>
    <t>By the hillside **</t>
  </si>
  <si>
    <t>On top of a mountain ***</t>
  </si>
  <si>
    <t>On a small island ****</t>
  </si>
  <si>
    <t>Near the coastline *****</t>
  </si>
  <si>
    <t>Near a river or waterway *****</t>
  </si>
  <si>
    <t>*</t>
  </si>
  <si>
    <t>**</t>
  </si>
  <si>
    <t>-  facing or directly beside a national road/public road</t>
  </si>
  <si>
    <t>***</t>
  </si>
  <si>
    <t>-  on an inclined or steeped area</t>
  </si>
  <si>
    <t>-  on an elevated area</t>
  </si>
  <si>
    <t>-  an island with an area less than 200 sq. km.</t>
  </si>
  <si>
    <t>-  near if within 1.5 km from the school</t>
  </si>
  <si>
    <t>****</t>
  </si>
  <si>
    <t>*****</t>
  </si>
  <si>
    <t>Provincial</t>
  </si>
  <si>
    <t>NUMBER OF FUNCTIONAL ICT EQUIPMENT BY FUNDING SOURCE</t>
  </si>
  <si>
    <t>Memorandum of Agreement or Understanding</t>
  </si>
  <si>
    <t>If Yes,</t>
  </si>
  <si>
    <t>Philippine National Police (PNP)</t>
  </si>
  <si>
    <t>Learners</t>
  </si>
  <si>
    <t>Weight</t>
  </si>
  <si>
    <t>Height</t>
  </si>
  <si>
    <t>Severely Stunted</t>
  </si>
  <si>
    <t>Stunted</t>
  </si>
  <si>
    <t>Tall</t>
  </si>
  <si>
    <t>Learners Nutritional Status in Weight:</t>
  </si>
  <si>
    <r>
      <rPr>
        <b/>
        <i/>
        <sz val="11"/>
        <rFont val="Times New Roman"/>
        <family val="1"/>
      </rPr>
      <t>Normal</t>
    </r>
    <r>
      <rPr>
        <sz val="11"/>
        <rFont val="Times New Roman"/>
        <family val="1"/>
      </rPr>
      <t xml:space="preserve"> - refers to a learner with normal weight for his/her age whose BMI-for-age fall between -2 to +2 z-score line or standard deviation (SD).</t>
    </r>
  </si>
  <si>
    <r>
      <rPr>
        <b/>
        <i/>
        <sz val="11"/>
        <rFont val="Times New Roman"/>
        <family val="1"/>
      </rPr>
      <t>Overweight</t>
    </r>
    <r>
      <rPr>
        <sz val="11"/>
        <rFont val="Times New Roman"/>
        <family val="1"/>
      </rPr>
      <t xml:space="preserve"> - refers to a learner weighing too much for his/her height and whose BMI-for-age fall between +2 to +3 z-score line or standard deviation (SD).</t>
    </r>
  </si>
  <si>
    <r>
      <rPr>
        <b/>
        <i/>
        <sz val="11"/>
        <rFont val="Times New Roman"/>
        <family val="1"/>
      </rPr>
      <t>Severely wasted</t>
    </r>
    <r>
      <rPr>
        <sz val="11"/>
        <rFont val="Times New Roman"/>
        <family val="1"/>
      </rPr>
      <t xml:space="preserve"> - refers to a very thin learner whose BMI-for-age  is below -3 z-score line or standard deviation (SD).</t>
    </r>
  </si>
  <si>
    <r>
      <rPr>
        <b/>
        <i/>
        <sz val="11"/>
        <rFont val="Times New Roman"/>
        <family val="1"/>
      </rPr>
      <t>Wasted</t>
    </r>
    <r>
      <rPr>
        <sz val="11"/>
        <rFont val="Times New Roman"/>
        <family val="1"/>
      </rPr>
      <t xml:space="preserve"> - refers to a thin learner whose BMI-for-age fall between -2 to -3 z-score line or standard deviation (SD).</t>
    </r>
  </si>
  <si>
    <t>Learners Nutritional Status in Height:</t>
  </si>
  <si>
    <r>
      <rPr>
        <b/>
        <i/>
        <sz val="11"/>
        <rFont val="Times New Roman"/>
        <family val="1"/>
      </rPr>
      <t>Severely Stunted</t>
    </r>
    <r>
      <rPr>
        <sz val="11"/>
        <rFont val="Times New Roman"/>
        <family val="1"/>
      </rPr>
      <t xml:space="preserve"> - refers to a learner who is very short for his/her age and whose height-for-age (HFA) fall below -3 z-score line or standard deviation (SD).</t>
    </r>
  </si>
  <si>
    <r>
      <rPr>
        <b/>
        <i/>
        <sz val="11"/>
        <rFont val="Times New Roman"/>
        <family val="1"/>
      </rPr>
      <t>Stunted</t>
    </r>
    <r>
      <rPr>
        <sz val="11"/>
        <rFont val="Times New Roman"/>
        <family val="1"/>
      </rPr>
      <t xml:space="preserve"> - refers to a learner who is short for his/her age and whose height-for-age (HFA) fall between -2 to -3 z-score line or standard deviation (SD).</t>
    </r>
  </si>
  <si>
    <r>
      <rPr>
        <b/>
        <i/>
        <sz val="11"/>
        <rFont val="Times New Roman"/>
        <family val="1"/>
      </rPr>
      <t>Normal</t>
    </r>
    <r>
      <rPr>
        <sz val="11"/>
        <rFont val="Times New Roman"/>
        <family val="1"/>
      </rPr>
      <t xml:space="preserve"> - refers to a learner with normal height for his/her age and whose height-for-age (HFA) fall between -2 to +2 z-score line or standard deviation (SD).</t>
    </r>
  </si>
  <si>
    <r>
      <rPr>
        <b/>
        <i/>
        <sz val="11"/>
        <rFont val="Times New Roman"/>
        <family val="1"/>
      </rPr>
      <t>Tall</t>
    </r>
    <r>
      <rPr>
        <sz val="11"/>
        <rFont val="Times New Roman"/>
        <family val="1"/>
      </rPr>
      <t xml:space="preserve"> - refers to a learner who is tall for his/her age and whose height-for-age (HFA) fall beyond +2 z-score line or standard deviation (SD).</t>
    </r>
  </si>
  <si>
    <t xml:space="preserve">     If Yes, what is the funding source of school feeding program?</t>
  </si>
  <si>
    <t>School-Based Feeding Program (SBFP)</t>
  </si>
  <si>
    <t xml:space="preserve">     If Yes, what is the funding source?</t>
  </si>
  <si>
    <t>Does the school have a provision for availability of sanitary pads?</t>
  </si>
  <si>
    <t>Notes:</t>
  </si>
  <si>
    <t>1.1. Main Water Supply Source:</t>
  </si>
  <si>
    <t>1.4. Is the water source inside the school ground being used for drinking?</t>
  </si>
  <si>
    <t>1.5. Has the water source inside the school been tested to determine safety of the water?</t>
  </si>
  <si>
    <t xml:space="preserve"> 2.1. If Yes, what mechanism is used?</t>
  </si>
  <si>
    <r>
      <t xml:space="preserve">1. Local piped water </t>
    </r>
    <r>
      <rPr>
        <sz val="11"/>
        <rFont val="Times New Roman"/>
        <family val="1"/>
      </rPr>
      <t>- water source coming from local water service providers.</t>
    </r>
  </si>
  <si>
    <r>
      <t>2. Water well</t>
    </r>
    <r>
      <rPr>
        <sz val="11"/>
        <rFont val="Times New Roman"/>
        <family val="1"/>
      </rPr>
      <t xml:space="preserve"> - an excavation structure in the ground by digging, driving, boring or drilling to access water in underground aquifiers.</t>
    </r>
  </si>
  <si>
    <r>
      <t>3. Rainwater catchment</t>
    </r>
    <r>
      <rPr>
        <sz val="11"/>
        <rFont val="Times New Roman"/>
        <family val="1"/>
      </rPr>
      <t xml:space="preserve"> - water sourced from rainwater and collected thru a rainwater collector.</t>
    </r>
  </si>
  <si>
    <r>
      <t>4. Natural source</t>
    </r>
    <r>
      <rPr>
        <b/>
        <sz val="11"/>
        <rFont val="Times New Roman"/>
        <family val="1"/>
      </rPr>
      <t xml:space="preserve"> - </t>
    </r>
    <r>
      <rPr>
        <sz val="11"/>
        <rFont val="Times New Roman"/>
        <family val="1"/>
      </rPr>
      <t>water sourced from a spring or stream that is either located inside the school grounds or located outside school grounds but water is supplied via pipes.</t>
    </r>
  </si>
  <si>
    <t>Number
of
Water Outlets</t>
  </si>
  <si>
    <t>with soap</t>
  </si>
  <si>
    <t>without soap</t>
  </si>
  <si>
    <t>Facilities for group handwashing</t>
  </si>
  <si>
    <t>Facilities for individual handwashing</t>
  </si>
  <si>
    <r>
      <rPr>
        <b/>
        <i/>
        <sz val="11"/>
        <rFont val="Times New Roman"/>
        <family val="1"/>
      </rPr>
      <t>2. Individual handwashing facility</t>
    </r>
    <r>
      <rPr>
        <sz val="11"/>
        <rFont val="Times New Roman"/>
        <family val="1"/>
      </rPr>
      <t xml:space="preserve"> - a facility in the classroom, drinking points, near toilets, near the canteen, etc. that learners can be used for handwashing at critical times.</t>
    </r>
  </si>
  <si>
    <r>
      <rPr>
        <b/>
        <i/>
        <sz val="11"/>
        <rFont val="Times New Roman"/>
        <family val="1"/>
      </rPr>
      <t>3. Functional facilities for handwashing</t>
    </r>
    <r>
      <rPr>
        <sz val="11"/>
        <rFont val="Times New Roman"/>
        <family val="1"/>
      </rPr>
      <t xml:space="preserve"> - the hand washing facility is accessible, with daily water supply, learner-appropriate height and with appropriate drainage.</t>
    </r>
  </si>
  <si>
    <r>
      <rPr>
        <b/>
        <i/>
        <sz val="11"/>
        <rFont val="Times New Roman"/>
        <family val="1"/>
      </rPr>
      <t>4. Non-functional facilities for handwashing</t>
    </r>
    <r>
      <rPr>
        <sz val="11"/>
        <rFont val="Times New Roman"/>
        <family val="1"/>
      </rPr>
      <t xml:space="preserve"> - the hand washing facility is broken, clogged or damaged in such a way that it cannot be used.</t>
    </r>
  </si>
  <si>
    <r>
      <rPr>
        <b/>
        <i/>
        <sz val="11"/>
        <rFont val="Times New Roman"/>
        <family val="1"/>
      </rPr>
      <t>Obese</t>
    </r>
    <r>
      <rPr>
        <sz val="11"/>
        <rFont val="Times New Roman"/>
        <family val="1"/>
      </rPr>
      <t xml:space="preserve"> - refers to a learner who is severely overweight for his/her height and whose BMI-for-age fall beyond +3 z-score line or standard deviation (SD).</t>
    </r>
  </si>
  <si>
    <t>Tetanus Diphtheria</t>
  </si>
  <si>
    <t>Special Education Fund  (SEF)</t>
  </si>
  <si>
    <t>Municipal/City</t>
  </si>
  <si>
    <t>School Principal IV</t>
  </si>
  <si>
    <t>School Principal III</t>
  </si>
  <si>
    <t>School Principal II</t>
  </si>
  <si>
    <t>School Principal I</t>
  </si>
  <si>
    <r>
      <t xml:space="preserve">Assigned to ancillary services as </t>
    </r>
    <r>
      <rPr>
        <b/>
        <u/>
        <sz val="10"/>
        <rFont val="Times New Roman"/>
        <family val="1"/>
      </rPr>
      <t>additional load</t>
    </r>
  </si>
  <si>
    <t>Learning Areas</t>
  </si>
  <si>
    <r>
      <t>MOOE Allocation</t>
    </r>
    <r>
      <rPr>
        <sz val="11"/>
        <rFont val="Times New Roman"/>
        <family val="1"/>
      </rPr>
      <t xml:space="preserve"> - refers to the MOOE provided for the previous fiscal year.</t>
    </r>
  </si>
  <si>
    <r>
      <t>MOOE Utilization</t>
    </r>
    <r>
      <rPr>
        <sz val="11"/>
        <rFont val="Times New Roman"/>
        <family val="1"/>
      </rPr>
      <t xml:space="preserve"> - refers to the amount of MOOE utilized from the MOOE allocation of the previous fiscal year.</t>
    </r>
  </si>
  <si>
    <r>
      <t>MOOE Liquidation</t>
    </r>
    <r>
      <rPr>
        <sz val="11"/>
        <rFont val="Times New Roman"/>
        <family val="1"/>
      </rPr>
      <t xml:space="preserve"> - refers to the amount of MOOE liquidated from the MOOE utilized from the MOOE allocation of the previous fiscal year.</t>
    </r>
  </si>
  <si>
    <t>NUMBER OF FUNCTIONAL COMPUTERS BY FUNDING SOURCE</t>
  </si>
  <si>
    <r>
      <rPr>
        <b/>
        <i/>
        <sz val="11"/>
        <rFont val="Times New Roman"/>
        <family val="1"/>
      </rPr>
      <t xml:space="preserve">1. </t>
    </r>
    <r>
      <rPr>
        <sz val="11"/>
        <rFont val="Times New Roman"/>
        <family val="1"/>
      </rPr>
      <t>Indicate the number of functional computers according to the following funding sources:</t>
    </r>
  </si>
  <si>
    <r>
      <rPr>
        <b/>
        <i/>
        <sz val="11"/>
        <rFont val="Times New Roman"/>
        <family val="1"/>
      </rPr>
      <t>3. Computer for Academic Use</t>
    </r>
    <r>
      <rPr>
        <sz val="11"/>
        <rFont val="Times New Roman"/>
        <family val="1"/>
      </rPr>
      <t xml:space="preserve"> - refers to computer units utilized in the classroom/laboratory as an aid to instruction.</t>
    </r>
  </si>
  <si>
    <r>
      <t>4. Computer for Administrative Use</t>
    </r>
    <r>
      <rPr>
        <sz val="11"/>
        <rFont val="Times New Roman"/>
        <family val="1"/>
      </rPr>
      <t xml:space="preserve"> - refers to computer units used for encoding administrative data of the school (e.g., enrolment, attendance, disbursements, financial statements, and other reports).</t>
    </r>
  </si>
  <si>
    <r>
      <t xml:space="preserve">Certificate of Title </t>
    </r>
    <r>
      <rPr>
        <sz val="11"/>
        <rFont val="Times New Roman"/>
        <family val="1"/>
      </rPr>
      <t>- refers to the transcript of the decree or registration made by the Register of Deeds.</t>
    </r>
  </si>
  <si>
    <r>
      <t xml:space="preserve">Transfer Certificate of Title (TCT) </t>
    </r>
    <r>
      <rPr>
        <sz val="11"/>
        <rFont val="Times New Roman"/>
        <family val="1"/>
      </rPr>
      <t xml:space="preserve">- refers to a document when the land title is </t>
    </r>
    <r>
      <rPr>
        <b/>
        <sz val="11"/>
        <rFont val="Times New Roman"/>
        <family val="1"/>
      </rPr>
      <t>cancelled and replaced</t>
    </r>
    <r>
      <rPr>
        <sz val="11"/>
        <rFont val="Times New Roman"/>
        <family val="1"/>
      </rPr>
      <t xml:space="preserve"> by another title by reason of sale or transfer.</t>
    </r>
  </si>
  <si>
    <r>
      <t xml:space="preserve">Certificate of Land Ownership Award (CLOA) </t>
    </r>
    <r>
      <rPr>
        <sz val="11"/>
        <rFont val="Times New Roman"/>
        <family val="1"/>
      </rPr>
      <t>- refers to a proof of ownership of the agrarian reform beneficiary with respect to private and agricultural land covered under RA 6657.</t>
    </r>
  </si>
  <si>
    <r>
      <t>Presidential Proclamation</t>
    </r>
    <r>
      <rPr>
        <sz val="11"/>
        <rFont val="Times New Roman"/>
        <family val="1"/>
      </rPr>
      <t xml:space="preserve"> - refers to a proclamation issued by the President reserving an untitled land for public use.</t>
    </r>
  </si>
  <si>
    <r>
      <t>Deed of Absolute Sale</t>
    </r>
    <r>
      <rPr>
        <sz val="11"/>
        <rFont val="Times New Roman"/>
        <family val="1"/>
      </rPr>
      <t xml:space="preserve"> - refers to a document executed by the vendor evidencing the absolute (without conditions) sale of the real property in favor of the vendee.</t>
    </r>
  </si>
  <si>
    <r>
      <t>Deed of Donation</t>
    </r>
    <r>
      <rPr>
        <sz val="11"/>
        <rFont val="Times New Roman"/>
        <family val="1"/>
      </rPr>
      <t xml:space="preserve"> - refers to a document executed by the donor, under the formalities required by law, evidencing the donation of the property.</t>
    </r>
  </si>
  <si>
    <r>
      <t>Certificate of Stewardship</t>
    </r>
    <r>
      <rPr>
        <sz val="11"/>
        <rFont val="Times New Roman"/>
        <family val="1"/>
      </rPr>
      <t xml:space="preserve"> - refers to a document awarded to individuals or families actually occupying or tilling portions of forest lands pursuant to LOI 1260 for a period of 25 years’ renewable for another 25 years.</t>
    </r>
  </si>
  <si>
    <r>
      <t>Special Land Use Permit (SLUP)</t>
    </r>
    <r>
      <rPr>
        <sz val="11"/>
        <rFont val="Times New Roman"/>
        <family val="1"/>
      </rPr>
      <t xml:space="preserve"> - refers to a privilege granted by the State to a person to occupy, possess and manage in consideration of specified return, any public forest lands for a specific use or purpose.</t>
    </r>
  </si>
  <si>
    <r>
      <t>Memorandum of Agreement or Understanding/Lease Agreement</t>
    </r>
    <r>
      <rPr>
        <sz val="11"/>
        <rFont val="Times New Roman"/>
        <family val="1"/>
      </rPr>
      <t xml:space="preserve"> - refers to a document executed by the legal owner/occupant of the land setting unnecessary the conditions on the use of the property.</t>
    </r>
  </si>
  <si>
    <r>
      <t>Others</t>
    </r>
    <r>
      <rPr>
        <sz val="11"/>
        <rFont val="Times New Roman"/>
        <family val="1"/>
      </rPr>
      <t xml:space="preserve"> - refers to the other documents that are competent proof of ownership and occupancy.</t>
    </r>
  </si>
  <si>
    <t>Araling Panlipunan (AP)</t>
  </si>
  <si>
    <r>
      <rPr>
        <b/>
        <i/>
        <sz val="11"/>
        <rFont val="Times New Roman"/>
        <family val="1"/>
      </rPr>
      <t>1. Group handwashing facility</t>
    </r>
    <r>
      <rPr>
        <sz val="11"/>
        <rFont val="Times New Roman"/>
        <family val="1"/>
      </rPr>
      <t xml:space="preserve"> - a facility to be used in supervised handwashing and toothbrushing activtity that can accommodate at least 10 learners.</t>
    </r>
  </si>
  <si>
    <r>
      <rPr>
        <b/>
        <i/>
        <sz val="11"/>
        <rFont val="Times New Roman"/>
        <family val="1"/>
      </rPr>
      <t>5. Water Outlet</t>
    </r>
    <r>
      <rPr>
        <sz val="11"/>
        <rFont val="Times New Roman"/>
        <family val="1"/>
      </rPr>
      <t xml:space="preserve"> - any opening where water comes out for handwashing (e.g., Faucets, Punch Pipes, etc.).</t>
    </r>
  </si>
  <si>
    <t>Near a faultline *****</t>
  </si>
  <si>
    <t>Armed Forces of the Philippines (AFP)</t>
  </si>
  <si>
    <t>Talking Calculator</t>
  </si>
  <si>
    <t>Tape Measure</t>
  </si>
  <si>
    <t>Microtoise</t>
  </si>
  <si>
    <t>Stadiometer</t>
  </si>
  <si>
    <t>Annually</t>
  </si>
  <si>
    <t>Legumes</t>
  </si>
  <si>
    <t>Fruit-bearing</t>
  </si>
  <si>
    <t>Rootcrops</t>
  </si>
  <si>
    <t>Goal Ball</t>
  </si>
  <si>
    <t>Number of Officiating Official/s</t>
  </si>
  <si>
    <t>Multiple Disabilities</t>
  </si>
  <si>
    <t>1.b.</t>
  </si>
  <si>
    <t>2.b.</t>
  </si>
  <si>
    <t>Partnership with the Barangay Anti-Drug Abuse Council</t>
  </si>
  <si>
    <t>Enrollment by Program</t>
  </si>
  <si>
    <t>HOMEBOUND</t>
  </si>
  <si>
    <t>HOSPITAL BOUND</t>
  </si>
  <si>
    <t>Age Profile</t>
  </si>
  <si>
    <t>Grade Placement</t>
  </si>
  <si>
    <t>Length of Time in the Program</t>
  </si>
  <si>
    <t>5-10 years old</t>
  </si>
  <si>
    <t>11-15 years old</t>
  </si>
  <si>
    <t>16-20 years old</t>
  </si>
  <si>
    <t>21-25 years old</t>
  </si>
  <si>
    <t>5-10 years</t>
  </si>
  <si>
    <t xml:space="preserve">Years in Service </t>
  </si>
  <si>
    <t>ID/
Difficulty in Remembering</t>
  </si>
  <si>
    <t>VI/
Difficulty in Seeing</t>
  </si>
  <si>
    <t>ASD/
Difficulty in Performing Adaptive Skills</t>
  </si>
  <si>
    <t>OH/
Difficulty in Mobility</t>
  </si>
  <si>
    <t>EBD/
Difficulty in Displaying Interpersonal Behavior</t>
  </si>
  <si>
    <t>Braille Machine</t>
  </si>
  <si>
    <t>Job Access with Speech (JAWS)</t>
  </si>
  <si>
    <t>LCD Projector</t>
  </si>
  <si>
    <t>Computer Printer</t>
  </si>
  <si>
    <t>One Touch Magic Screen</t>
  </si>
  <si>
    <t>Braille Printer/Embosser</t>
  </si>
  <si>
    <t>Telescope</t>
  </si>
  <si>
    <t>Talking Desktop</t>
  </si>
  <si>
    <t>Screen Reader</t>
  </si>
  <si>
    <t>Big Keys Keyboard</t>
  </si>
  <si>
    <t>Remote Control with enlarged Buttons</t>
  </si>
  <si>
    <t>Musical Instruments</t>
  </si>
  <si>
    <t>Sewing Machine</t>
  </si>
  <si>
    <t>Braille Translation Software</t>
  </si>
  <si>
    <t>Braille Embosser-Double sided</t>
  </si>
  <si>
    <t>Accessible Graphing Talking Calculator</t>
  </si>
  <si>
    <t>Ergonomic trackballs</t>
  </si>
  <si>
    <t>Foot Mouse</t>
  </si>
  <si>
    <t>Crutches</t>
  </si>
  <si>
    <t>Wheelchair</t>
  </si>
  <si>
    <t>Tape Recorder</t>
  </si>
  <si>
    <t>Amplified Answering Machines</t>
  </si>
  <si>
    <t>Telephone Amplifiers</t>
  </si>
  <si>
    <t>Hearing Aid</t>
  </si>
  <si>
    <t>Clerical Chair</t>
  </si>
  <si>
    <t>Cake Turntable</t>
  </si>
  <si>
    <t>Pie Pan</t>
  </si>
  <si>
    <t>Sheet Pan</t>
  </si>
  <si>
    <t>Mixing Bowl</t>
  </si>
  <si>
    <t>Double Boiler</t>
  </si>
  <si>
    <t>Pastry Blender</t>
  </si>
  <si>
    <t>Gas Range</t>
  </si>
  <si>
    <t>Refrigerator</t>
  </si>
  <si>
    <t>Measuring Cups</t>
  </si>
  <si>
    <t>Measuring Spoons</t>
  </si>
  <si>
    <t>Kitchen Knife</t>
  </si>
  <si>
    <t>Strainer</t>
  </si>
  <si>
    <t>Wooden Spoons</t>
  </si>
  <si>
    <t>Blender Machine</t>
  </si>
  <si>
    <t>Frying Pan</t>
  </si>
  <si>
    <t>Pastry Tubes</t>
  </si>
  <si>
    <t>Roasting Pan</t>
  </si>
  <si>
    <t>Spatula</t>
  </si>
  <si>
    <t>Tong</t>
  </si>
  <si>
    <t>Portable Electric Drill</t>
  </si>
  <si>
    <t>Claw Hammer</t>
  </si>
  <si>
    <t>Cross Cut Saw</t>
  </si>
  <si>
    <t>Gloves</t>
  </si>
  <si>
    <t>Seedling Tray</t>
  </si>
  <si>
    <t>Sprinkler</t>
  </si>
  <si>
    <t>Prunning Shear</t>
  </si>
  <si>
    <t>Spade</t>
  </si>
  <si>
    <t>Garden Hose</t>
  </si>
  <si>
    <t>Dipping Can</t>
  </si>
  <si>
    <t>First Aid Kit</t>
  </si>
  <si>
    <t>Rubber Mat</t>
  </si>
  <si>
    <t>Water Jug</t>
  </si>
  <si>
    <t>Whistle</t>
  </si>
  <si>
    <t>Stop Watch</t>
  </si>
  <si>
    <t>Buzzer</t>
  </si>
  <si>
    <t>Sleeping Bag</t>
  </si>
  <si>
    <t>Tent</t>
  </si>
  <si>
    <t>Safety Wall Mirror</t>
  </si>
  <si>
    <t>Speech Synthesizer</t>
  </si>
  <si>
    <t>Big Bubbles Kit</t>
  </si>
  <si>
    <t>Number of Devices</t>
  </si>
  <si>
    <t xml:space="preserve">   Handling ALIVE classes</t>
  </si>
  <si>
    <t xml:space="preserve">Notes: </t>
  </si>
  <si>
    <t>Types of Devices</t>
  </si>
  <si>
    <t>A.  ASSISTIVE TECHNOLOGY DEVICES</t>
  </si>
  <si>
    <t>Bluetooth Hearing Aid</t>
  </si>
  <si>
    <t>Chair with Writing Board</t>
  </si>
  <si>
    <t>Microsoft Screen Magnifier</t>
  </si>
  <si>
    <t>Computer Set</t>
  </si>
  <si>
    <t>Fire Extinguisher</t>
  </si>
  <si>
    <t>Bachelor Degree</t>
  </si>
  <si>
    <t>Master Degree Units</t>
  </si>
  <si>
    <t>Doctorate Degree Units</t>
  </si>
  <si>
    <t xml:space="preserve">Master Degree </t>
  </si>
  <si>
    <t>Doctorate Degree</t>
  </si>
  <si>
    <t>With Diagnosis from Licensed Medical Specialist:</t>
  </si>
  <si>
    <t>With Manifestations:</t>
  </si>
  <si>
    <t>Date Tested:</t>
  </si>
  <si>
    <t>Ping (ms):</t>
  </si>
  <si>
    <t>Upload (Mbps):</t>
  </si>
  <si>
    <t>Time Tested:</t>
  </si>
  <si>
    <t>Download (Mbps):</t>
  </si>
  <si>
    <t>Earthquake Drill</t>
  </si>
  <si>
    <t>Flood Evacuation Drill</t>
  </si>
  <si>
    <t>Fire Drill</t>
  </si>
  <si>
    <t xml:space="preserve">TOTAL </t>
  </si>
  <si>
    <t xml:space="preserve">TOTAL  </t>
  </si>
  <si>
    <t>Types of Equipment and Tools</t>
  </si>
  <si>
    <t xml:space="preserve">     1. Does the school have a designated school clinic?</t>
  </si>
  <si>
    <t>Type of Weighing Scale</t>
  </si>
  <si>
    <t>Number of Units Available in the School</t>
  </si>
  <si>
    <t>Bathroom</t>
  </si>
  <si>
    <t>Beam balance</t>
  </si>
  <si>
    <t>Steel tape</t>
  </si>
  <si>
    <t>Water from an accessible water source is treated (i.e., boiled, etc.)</t>
  </si>
  <si>
    <t>1.3. Who pays for the Cost of Monthly Bills/Maintenance?</t>
  </si>
  <si>
    <t>Does the school display the following IEC materials:</t>
  </si>
  <si>
    <t>1.a.</t>
  </si>
  <si>
    <t>"No Smoking" Signages (EO 26, s.2017, DO 48, s.2016)</t>
  </si>
  <si>
    <t>Poster at the school gate about prohibition of selling of cigarettes within 100 meters from the perimeter of the school (EO 26, s.2017)</t>
  </si>
  <si>
    <t>2.a.</t>
  </si>
  <si>
    <t>Measures Against Tobacco Industry Interference:</t>
  </si>
  <si>
    <t>3.a.</t>
  </si>
  <si>
    <t>3.b.</t>
  </si>
  <si>
    <t xml:space="preserve">How many of these partnerships have the proper partnership instrument needed (e.g., service contract, memorandum of agreement (MOA), deed of donation (DOD)/deed of acceptance, memorandum of understanding, etc.)? </t>
  </si>
  <si>
    <t>3.c.</t>
  </si>
  <si>
    <t>How many of the partnerships with memoranda of agreement/deeds of donation include a provision in the MOA/DOD that the partner/donor is not connected to the tobacco industry, does not received funding from tobacco companies, or does not sell cigarettes?</t>
  </si>
  <si>
    <t>1. Does the school implement a preventive drug education program?</t>
  </si>
  <si>
    <t>Curriculum integration</t>
  </si>
  <si>
    <t>3. Does the school have a National Drug Education Program (NDEP) Coordinator?</t>
  </si>
  <si>
    <t>4. How many classrooms have NDEP Corners?</t>
  </si>
  <si>
    <t>Details</t>
  </si>
  <si>
    <t>Against Male Learners</t>
  </si>
  <si>
    <t>Against Female Learners</t>
  </si>
  <si>
    <t>Cases</t>
  </si>
  <si>
    <t>Among Learners</t>
  </si>
  <si>
    <t>Among School Personnel</t>
  </si>
  <si>
    <t>1.5.a. If Yes, did the test results show that the water source inside the school is safe to drink?</t>
  </si>
  <si>
    <t>1.5.b. How frequent is the water source tested for safety?</t>
  </si>
  <si>
    <t>1.5.c. When was the last time the water source was tested?</t>
  </si>
  <si>
    <t>1.6. Are there times in the year when water is not available for an extended period of time?</t>
  </si>
  <si>
    <t xml:space="preserve">     1. Does the school have a feeding program?</t>
  </si>
  <si>
    <t>2. Availability of agriculture and fishery resources in the school :</t>
  </si>
  <si>
    <t>Leafy vegetables</t>
  </si>
  <si>
    <t xml:space="preserve">     3. Does agricultural and fishery in the school used for feeding program?</t>
  </si>
  <si>
    <t>1.a. Managed by:</t>
  </si>
  <si>
    <t>1.b. Sanitary Permit</t>
  </si>
  <si>
    <t>1.c. Validity Date</t>
  </si>
  <si>
    <t>1.d. Do canteen personnel/food handlers have health certificates?</t>
  </si>
  <si>
    <t>School</t>
  </si>
  <si>
    <t>Teacher-Coop</t>
  </si>
  <si>
    <t>Sports Program</t>
  </si>
  <si>
    <t>Sports
Club/s</t>
  </si>
  <si>
    <t>Number of   
PE teacher/s
with sports specialization</t>
  </si>
  <si>
    <t>Number of
 Non PE teacher/s
 with sports specialization</t>
  </si>
  <si>
    <t>Sports 
Facilities</t>
  </si>
  <si>
    <t>Sporting Events</t>
  </si>
  <si>
    <t>Sports
 Event/s</t>
  </si>
  <si>
    <t>Number of
Coach/es</t>
  </si>
  <si>
    <r>
      <t xml:space="preserve">Decayed, Missing, and Filled Teeth (DMFT) - </t>
    </r>
    <r>
      <rPr>
        <b/>
        <i/>
        <sz val="12"/>
        <rFont val="Times New Roman"/>
        <family val="1"/>
      </rPr>
      <t>Permanent Teeth</t>
    </r>
  </si>
  <si>
    <r>
      <t xml:space="preserve">Decayed, Missing, and Filled Teeth (DMFT) Index </t>
    </r>
    <r>
      <rPr>
        <sz val="11"/>
        <rFont val="Times New Roman"/>
        <family val="1"/>
      </rPr>
      <t>- refers to the common method use in oral epidemology for assessing dental carries prevalence as well as dental treatment needs among populations.</t>
    </r>
  </si>
  <si>
    <r>
      <t>Gum Disease</t>
    </r>
    <r>
      <rPr>
        <sz val="11"/>
        <rFont val="Times New Roman"/>
        <family val="1"/>
      </rPr>
      <t xml:space="preserve"> - refers to an inflammation of the gum line that can progress to affect the bone that surrounds and supports the teeth.</t>
    </r>
  </si>
  <si>
    <r>
      <t>Dental Anomalies</t>
    </r>
    <r>
      <rPr>
        <sz val="11"/>
        <rFont val="Times New Roman"/>
        <family val="1"/>
      </rPr>
      <t xml:space="preserve"> - refers to the craniofacial abnormalities of form, function or position of the teeth, bones, and tissues of the jaw and mouth.</t>
    </r>
  </si>
  <si>
    <r>
      <t xml:space="preserve">Fluoridization - </t>
    </r>
    <r>
      <rPr>
        <sz val="11"/>
        <rFont val="Times New Roman"/>
        <family val="1"/>
      </rPr>
      <t>refers t</t>
    </r>
    <r>
      <rPr>
        <b/>
        <sz val="11"/>
        <rFont val="Times New Roman"/>
        <family val="1"/>
      </rPr>
      <t xml:space="preserve">o </t>
    </r>
    <r>
      <rPr>
        <sz val="11"/>
        <rFont val="Times New Roman"/>
        <family val="1"/>
      </rPr>
      <t>the topical application of fluoride compounds onto the tooth surface to reduce the incidence of dental caries.
 </t>
    </r>
    <r>
      <rPr>
        <b/>
        <i/>
        <sz val="11"/>
        <rFont val="Times New Roman"/>
        <family val="1"/>
      </rPr>
      <t xml:space="preserve">
</t>
    </r>
  </si>
  <si>
    <t>B.  ADAPTIVE DEVICES</t>
  </si>
  <si>
    <t>Braille Embosser-Single sided</t>
  </si>
  <si>
    <t>Highest Educational Attainment</t>
  </si>
  <si>
    <t>DRRM</t>
  </si>
  <si>
    <t>Head Teacher VI</t>
  </si>
  <si>
    <t>Guidance Coordinator III</t>
  </si>
  <si>
    <t>Guidance Coordinator II</t>
  </si>
  <si>
    <t>Guidance Counselor III</t>
  </si>
  <si>
    <t>Guidance Counselor II</t>
  </si>
  <si>
    <t>Security Guard</t>
  </si>
  <si>
    <t>Utility Worker I</t>
  </si>
  <si>
    <t>Qualified Teachers</t>
  </si>
  <si>
    <t>Trained Teachers</t>
  </si>
  <si>
    <t>DepEd Subsidized Contract of Service (COS) Teachers/Asatidz</t>
  </si>
  <si>
    <t>Braille 
LR</t>
  </si>
  <si>
    <t>Digital Talking Book/
E-text</t>
  </si>
  <si>
    <t>Large Print Font 16</t>
  </si>
  <si>
    <t>1. Visual Impairment</t>
  </si>
  <si>
    <t>Large Print Font 17</t>
  </si>
  <si>
    <t>2. Hearing Impairment</t>
  </si>
  <si>
    <t>Large Print Font 18</t>
  </si>
  <si>
    <t>3. Learning Disability</t>
  </si>
  <si>
    <t>Large Print Font 19</t>
  </si>
  <si>
    <t>4. Intellectual Disability</t>
  </si>
  <si>
    <t>Large Print Font 20</t>
  </si>
  <si>
    <t>Large Print Font 21</t>
  </si>
  <si>
    <t>6. Emotional-Behavioral Disorder</t>
  </si>
  <si>
    <t>Large Print Font 22</t>
  </si>
  <si>
    <t>7. Orthopedic/Physical Handicap</t>
  </si>
  <si>
    <t>Large Print Font 23</t>
  </si>
  <si>
    <t>8. Speech /Language Disorder</t>
  </si>
  <si>
    <t>Large Print Font 24</t>
  </si>
  <si>
    <t>9. Cerebral Palsy</t>
  </si>
  <si>
    <t>Large Print Font 25</t>
  </si>
  <si>
    <t>10. Special Health Problem/Chronic Disease</t>
  </si>
  <si>
    <t>Large Print Font 26</t>
  </si>
  <si>
    <t>11. Multiple Disabilities</t>
  </si>
  <si>
    <t>Large Print Font 27</t>
  </si>
  <si>
    <t>Large Print Font 28</t>
  </si>
  <si>
    <t>Large Print Font 29</t>
  </si>
  <si>
    <t>Large Print Font 30</t>
  </si>
  <si>
    <t>Sign language dictionary</t>
  </si>
  <si>
    <t>Sharpie  pens</t>
  </si>
  <si>
    <t>Stylus and Slates 
(Board slates)</t>
  </si>
  <si>
    <t>Tailor Slate</t>
  </si>
  <si>
    <t>Drawing Kit</t>
  </si>
  <si>
    <t>Bocce Ball Sets</t>
  </si>
  <si>
    <t>ICT Integration</t>
  </si>
  <si>
    <t>ICT Literacy/Content</t>
  </si>
  <si>
    <t>Software</t>
  </si>
  <si>
    <t>Hardware</t>
  </si>
  <si>
    <t>Constructivist</t>
  </si>
  <si>
    <t>Inquiry based</t>
  </si>
  <si>
    <t>Reflective</t>
  </si>
  <si>
    <t>Collaborative</t>
  </si>
  <si>
    <t>Integrative</t>
  </si>
  <si>
    <t>Inclusive Education</t>
  </si>
  <si>
    <t>Training on ICT</t>
  </si>
  <si>
    <t>Human-Induced Hazards</t>
  </si>
  <si>
    <t>Child Protection Policy</t>
  </si>
  <si>
    <t>Policy on the Protection of Children in Armed Conflict</t>
  </si>
  <si>
    <t>Declaration of Schools as Zones of Peace</t>
  </si>
  <si>
    <t>Guidelines on the Protection of Children during Armed Conflict</t>
  </si>
  <si>
    <t>Strengthening Fire Safety and Awareness Program</t>
  </si>
  <si>
    <t>Comprehensive DRRM in Basic Education Framework</t>
  </si>
  <si>
    <t>Family Earthquake Preparedness</t>
  </si>
  <si>
    <t>School Watching and Hazard Mapping</t>
  </si>
  <si>
    <t>DepEd DRRM Information Management and Coordination Protocol</t>
  </si>
  <si>
    <t>Guidelines on the Implementation of EO 66 (Suspension of Classes)</t>
  </si>
  <si>
    <t>Disaster Preparedness in Schools</t>
  </si>
  <si>
    <t>Reiteration of CCA-DRR at the School Level</t>
  </si>
  <si>
    <t>Title</t>
  </si>
  <si>
    <t>Lockdown Drill</t>
  </si>
  <si>
    <t>Storm Surge Drill</t>
  </si>
  <si>
    <t>Tsunami Drill</t>
  </si>
  <si>
    <t>School has taken appropriate actions based on the results of the Family Earthquake Preparedness Plan</t>
  </si>
  <si>
    <t>MISOSA</t>
  </si>
  <si>
    <t>E-Impact</t>
  </si>
  <si>
    <t>Temporary Learning Spaces (TLS)</t>
  </si>
  <si>
    <t>Splinter</t>
  </si>
  <si>
    <t>Safety Shoes</t>
  </si>
  <si>
    <t>Emergency Whistle</t>
  </si>
  <si>
    <t>Safety Coat</t>
  </si>
  <si>
    <t>Emergency Head Lamp</t>
  </si>
  <si>
    <t>Life Vest / Life Jacket</t>
  </si>
  <si>
    <t>C-Collar</t>
  </si>
  <si>
    <t>Personnel</t>
  </si>
  <si>
    <t>Partners</t>
  </si>
  <si>
    <t>Tropical Cyclone</t>
  </si>
  <si>
    <t>Fire</t>
  </si>
  <si>
    <t>Civilian Violence</t>
  </si>
  <si>
    <t>Bomb Threats / Bombing</t>
  </si>
  <si>
    <t>Armed Conflict</t>
  </si>
  <si>
    <t>Araling Panlipunan</t>
  </si>
  <si>
    <t>Subjects</t>
  </si>
  <si>
    <t>Tree Planting</t>
  </si>
  <si>
    <t>Recycling</t>
  </si>
  <si>
    <t>Solid Waste Management</t>
  </si>
  <si>
    <t>Gulayan sa Paaralan</t>
  </si>
  <si>
    <t>Basic First Aid</t>
  </si>
  <si>
    <t>Art, essay, slogan, etc. contests for peace</t>
  </si>
  <si>
    <t>Peace Conferences or Camps</t>
  </si>
  <si>
    <t>Staff Safety and Security in the Field</t>
  </si>
  <si>
    <t>22.</t>
  </si>
  <si>
    <t>Basic Life Support and Occupational First Aid</t>
  </si>
  <si>
    <t>21.</t>
  </si>
  <si>
    <t>20.</t>
  </si>
  <si>
    <t>Conflict Sensitive Education</t>
  </si>
  <si>
    <t>19.</t>
  </si>
  <si>
    <t>Understanding Peace and Conflict</t>
  </si>
  <si>
    <t>18.</t>
  </si>
  <si>
    <t>Climate Change Global, National and Local Frameworks</t>
  </si>
  <si>
    <t>17.</t>
  </si>
  <si>
    <t>Understanding Climate Change</t>
  </si>
  <si>
    <t>16.</t>
  </si>
  <si>
    <t>DRRM Mainstreaming in the Planning Cycle</t>
  </si>
  <si>
    <t>15.</t>
  </si>
  <si>
    <t>Understanding Common Hazards</t>
  </si>
  <si>
    <t xml:space="preserve">Contingency Planning for Basic Education </t>
  </si>
  <si>
    <t>Resource Mobilization and Partnership</t>
  </si>
  <si>
    <t>Basic Education in Emergencies (EiE) Supplies and Logistics</t>
  </si>
  <si>
    <t>Camp Management Guidelines for DepEd</t>
  </si>
  <si>
    <t>School-Based DRRM</t>
  </si>
  <si>
    <t xml:space="preserve">Information Management </t>
  </si>
  <si>
    <t>Alternative Delivery Modes</t>
  </si>
  <si>
    <t xml:space="preserve">Education in Emergencies (EiE) </t>
  </si>
  <si>
    <t>Inclusive and Child-centered DRRM</t>
  </si>
  <si>
    <t>The Comprehensive Disaster Risk Reduction and Management in Education Framework and Other DRRM-CCAM Related Policies</t>
  </si>
  <si>
    <t xml:space="preserve">International and National Foundations of DRRM in the Education Sector </t>
  </si>
  <si>
    <t>DRRM and Climate Change Terminologies</t>
  </si>
  <si>
    <r>
      <rPr>
        <b/>
        <i/>
        <sz val="12"/>
        <rFont val="Times New Roman"/>
        <family val="1"/>
      </rPr>
      <t>ICT Integration</t>
    </r>
    <r>
      <rPr>
        <sz val="12"/>
        <rFont val="Times New Roman"/>
        <family val="1"/>
      </rPr>
      <t xml:space="preserve"> - it is a strategy  to incorporate information and communications technology into all facets of education and training, including the administrative functions and models required to support learning.</t>
    </r>
  </si>
  <si>
    <r>
      <rPr>
        <b/>
        <i/>
        <sz val="12"/>
        <rFont val="Times New Roman"/>
        <family val="1"/>
      </rPr>
      <t>ICT Literacy/Content -</t>
    </r>
    <r>
      <rPr>
        <sz val="12"/>
        <rFont val="Times New Roman"/>
        <family val="1"/>
      </rPr>
      <t xml:space="preserve"> knowledge to use digital technology, communication tools, and/or networks appropriately to solve information problems in order to function in an information society.</t>
    </r>
  </si>
  <si>
    <t>Learning Resouces for LWDs</t>
  </si>
  <si>
    <t>Quantity Needed for DepEd Procured Learning Resources</t>
  </si>
  <si>
    <t>Quantity Needed</t>
  </si>
  <si>
    <t>LWDs Materials:</t>
  </si>
  <si>
    <r>
      <rPr>
        <b/>
        <sz val="12"/>
        <rFont val="Times New Roman"/>
        <family val="1"/>
      </rPr>
      <t>Duralexglasses, mugs, bowls, and plates</t>
    </r>
    <r>
      <rPr>
        <sz val="12"/>
        <rFont val="Times New Roman"/>
        <family val="1"/>
      </rPr>
      <t xml:space="preserve"> - are</t>
    </r>
    <r>
      <rPr>
        <b/>
        <sz val="12"/>
        <rFont val="Times New Roman"/>
        <family val="1"/>
      </rPr>
      <t xml:space="preserve"> </t>
    </r>
    <r>
      <rPr>
        <sz val="12"/>
        <rFont val="Times New Roman"/>
        <family val="1"/>
      </rPr>
      <t>breakable but LWD friendly.</t>
    </r>
  </si>
  <si>
    <t>Moro National Liberation Front (MNLF)</t>
  </si>
  <si>
    <t>Bangsamoro Islamic Freedom Fighters (BIFF)</t>
  </si>
  <si>
    <t>Maute Group</t>
  </si>
  <si>
    <t>Abu Sayyaf Group (ASG)</t>
  </si>
  <si>
    <t>Killing and maiming of children</t>
  </si>
  <si>
    <t>Recruitment or use of children as soldiers</t>
  </si>
  <si>
    <t>Sexual violence against children</t>
  </si>
  <si>
    <t>Abduction of children</t>
  </si>
  <si>
    <t>Attacks against schools or hospitals</t>
  </si>
  <si>
    <t>Denial of humanitarian access for children</t>
  </si>
  <si>
    <t>Result of Disaster Incidences</t>
  </si>
  <si>
    <t>Number of Classrooms used as Evacuation Center</t>
  </si>
  <si>
    <t>Number of Days the Classrooms were used as Evacuation Center</t>
  </si>
  <si>
    <t>Training on Pedagogy</t>
  </si>
  <si>
    <t>(Signature Over Printed Name) / Date</t>
  </si>
  <si>
    <t>1a.</t>
  </si>
  <si>
    <t>Armed conflict incident experienced in the past months</t>
  </si>
  <si>
    <t>1b.</t>
  </si>
  <si>
    <t>Communist Party of the Philippines/
New People's Army/
National Democratic Front (CPP-NPA-NDF)</t>
  </si>
  <si>
    <t>2a.</t>
  </si>
  <si>
    <t>Validated by DRRM Coordinator:</t>
  </si>
  <si>
    <t>School Head  :</t>
  </si>
  <si>
    <t>Result of Disaster Incidences / Emergencies</t>
  </si>
  <si>
    <t>Number of School Days lost due to class suspensions resulting from natural hazards</t>
  </si>
  <si>
    <t>Number of School Days lost due to class suspensions resulting from armed conflict</t>
  </si>
  <si>
    <t>23.</t>
  </si>
  <si>
    <t>24.</t>
  </si>
  <si>
    <t>25.</t>
  </si>
  <si>
    <t>Validated by Phy. Facilities Coordinator/Div. Engineer:</t>
  </si>
  <si>
    <t>School Head    :</t>
  </si>
  <si>
    <t>Peacebuilding</t>
  </si>
  <si>
    <t>Teaching Personnel</t>
  </si>
  <si>
    <t>Non-Teaching Personnel</t>
  </si>
  <si>
    <t>Validated by Division SPED Coordinator:</t>
  </si>
  <si>
    <t>Validated by Division Accountant:</t>
  </si>
  <si>
    <t>Validated by Senior Education Program Specialist (HRTD):</t>
  </si>
  <si>
    <t>Validated by Division ALIVE Coordinator:</t>
  </si>
  <si>
    <t>Validated by Information Technology Officer:</t>
  </si>
  <si>
    <t>Validated by Division School Health Coordinator/Medical Officer/Nurse:</t>
  </si>
  <si>
    <t>Validated by Division Sports Coordinator:</t>
  </si>
  <si>
    <t xml:space="preserve">  Natural Hazards</t>
  </si>
  <si>
    <t>Storm Surge</t>
  </si>
  <si>
    <t xml:space="preserve">  Human-Induced Hazards</t>
  </si>
  <si>
    <t>Bomb Threat in School Premises</t>
  </si>
  <si>
    <t>Bombing in School Premises</t>
  </si>
  <si>
    <t>Crime against learner/s</t>
  </si>
  <si>
    <t>Crime against non-teaching personnel</t>
  </si>
  <si>
    <t>Crime against school head/s</t>
  </si>
  <si>
    <t>Crime against school property</t>
  </si>
  <si>
    <t>Crime against teaching personnel</t>
  </si>
  <si>
    <t>Hostage-taking within school premises</t>
  </si>
  <si>
    <t>Shooting incident within school vicinity</t>
  </si>
  <si>
    <t>Validated by Division HR Personnel:</t>
  </si>
  <si>
    <t>TOTAL
Locally-funded Teachers</t>
  </si>
  <si>
    <t xml:space="preserve">          The head of the school shall sign the forms certifying  to  the  correctness  of  the  data,  and  shall  be  responsible  and  accountable for any inaccuracy or false data/information reported. He/She shall submit the accomplished forms to the respective Schools Division Office (SDO).</t>
  </si>
  <si>
    <t>Validated by Division Youth Formation Coordinator:</t>
  </si>
  <si>
    <t>Validated by Planning Officer III (PRS-SGOD):</t>
  </si>
  <si>
    <t>Classification of Learners with Disabilities:</t>
  </si>
  <si>
    <r>
      <rPr>
        <b/>
        <i/>
        <sz val="12"/>
        <rFont val="Times New Roman"/>
        <family val="1"/>
      </rPr>
      <t>Equipment/Tools  or Devices</t>
    </r>
    <r>
      <rPr>
        <b/>
        <sz val="12"/>
        <rFont val="Times New Roman"/>
        <family val="1"/>
      </rPr>
      <t xml:space="preserve"> for LWDs </t>
    </r>
    <r>
      <rPr>
        <sz val="12"/>
        <rFont val="Times New Roman"/>
        <family val="1"/>
      </rPr>
      <t>are instructional supports and which are appropriate assistive/materials or  technology.  These are  powerful tool to increase a child's independence and depending on  disability or difficulty as down  syndrome, hearing loss, intellectual and learning disabilities, muscular dystrophy. This includes devices, equipment, instruments and software .</t>
    </r>
  </si>
  <si>
    <r>
      <t xml:space="preserve">Braille -  </t>
    </r>
    <r>
      <rPr>
        <sz val="12"/>
        <rFont val="Times New Roman"/>
        <family val="1"/>
      </rPr>
      <t>is a tactile</t>
    </r>
    <r>
      <rPr>
        <b/>
        <sz val="12"/>
        <rFont val="Times New Roman"/>
        <family val="1"/>
      </rPr>
      <t xml:space="preserve"> </t>
    </r>
    <r>
      <rPr>
        <sz val="12"/>
        <rFont val="Times New Roman"/>
        <family val="1"/>
      </rPr>
      <t>system of reading and writing made up of raised dot patterns for letters, numbers, and punctuation marks use by people with visual impairment. Braille may be either embossed (a permanently printed document) or refreshable (electronically generated and accessed via a braille display device).</t>
    </r>
  </si>
  <si>
    <r>
      <t xml:space="preserve">Digital Talking Book/ E-text - </t>
    </r>
    <r>
      <rPr>
        <sz val="12"/>
        <rFont val="Times New Roman"/>
        <family val="1"/>
      </rPr>
      <t xml:space="preserve">provides electronic content that is delivered on a computer or another device. Electronic content can be  changed in many ways (e.g., size, contrast, read aloud) to accommodate the needs and preferences of a learner. Content is presented dependent on the technology and learner's needs. </t>
    </r>
  </si>
  <si>
    <r>
      <t>Large Print</t>
    </r>
    <r>
      <rPr>
        <sz val="12"/>
        <rFont val="Times New Roman"/>
        <family val="1"/>
      </rPr>
      <t xml:space="preserve"> - refers to formatting of book or other text document where the typeface (or font), and medium are considerably larger than usual to accommodate learners who have poor vision.</t>
    </r>
  </si>
  <si>
    <r>
      <rPr>
        <b/>
        <sz val="12"/>
        <rFont val="Times New Roman"/>
        <family val="1"/>
      </rPr>
      <t xml:space="preserve">Sign language charts with text  and braille - </t>
    </r>
    <r>
      <rPr>
        <sz val="12"/>
        <rFont val="Times New Roman"/>
        <family val="1"/>
      </rPr>
      <t>with  braille and text (numbers 0-9, alphabet, why, where, when, what, who, how, colors, and other basic  sign language)</t>
    </r>
  </si>
  <si>
    <r>
      <rPr>
        <b/>
        <sz val="12"/>
        <rFont val="Times New Roman"/>
        <family val="1"/>
      </rPr>
      <t>Stylus and Slates (board slates) -</t>
    </r>
    <r>
      <rPr>
        <sz val="12"/>
        <rFont val="Times New Roman"/>
        <family val="1"/>
      </rPr>
      <t xml:space="preserve"> are  tools used by learners with visual impairment to  write braille that they can read without assistance.</t>
    </r>
  </si>
  <si>
    <r>
      <rPr>
        <b/>
        <sz val="12"/>
        <rFont val="Times New Roman"/>
        <family val="1"/>
      </rPr>
      <t>Taylor Slate</t>
    </r>
    <r>
      <rPr>
        <sz val="12"/>
        <rFont val="Times New Roman"/>
        <family val="1"/>
      </rPr>
      <t xml:space="preserve"> - is arithmetic and algebra device consists of a rectangular aluminum type frame, 432 octagonal cells are stamped in the top in an 18 x 24 grid, with a recessed compartment at one end for holding the extra type when the frame is in use. </t>
    </r>
  </si>
  <si>
    <r>
      <t xml:space="preserve">Kindergarten </t>
    </r>
    <r>
      <rPr>
        <sz val="14"/>
        <rFont val="Times New Roman"/>
        <family val="1"/>
      </rPr>
      <t>*</t>
    </r>
  </si>
  <si>
    <r>
      <t xml:space="preserve">Elementary </t>
    </r>
    <r>
      <rPr>
        <sz val="10"/>
        <rFont val="Times New Roman"/>
        <family val="1"/>
      </rPr>
      <t>(</t>
    </r>
    <r>
      <rPr>
        <sz val="11"/>
        <rFont val="Times New Roman"/>
        <family val="1"/>
      </rPr>
      <t>excluding handling ALIVE classes</t>
    </r>
    <r>
      <rPr>
        <sz val="10"/>
        <rFont val="Times New Roman"/>
        <family val="1"/>
      </rPr>
      <t>)</t>
    </r>
  </si>
  <si>
    <r>
      <t xml:space="preserve">Kindergarten </t>
    </r>
    <r>
      <rPr>
        <b/>
        <sz val="14"/>
        <rFont val="Times New Roman"/>
        <family val="1"/>
      </rPr>
      <t>*</t>
    </r>
  </si>
  <si>
    <r>
      <t>1.</t>
    </r>
    <r>
      <rPr>
        <b/>
        <i/>
        <sz val="14"/>
        <rFont val="Times New Roman"/>
        <family val="1"/>
      </rPr>
      <t xml:space="preserve"> *</t>
    </r>
    <r>
      <rPr>
        <b/>
        <i/>
        <sz val="12"/>
        <rFont val="Times New Roman"/>
        <family val="1"/>
      </rPr>
      <t xml:space="preserve"> - Those serving two or more schools simultaneously shall be counted only in the school with the most teaching loads or number of learners handled, in that order.</t>
    </r>
  </si>
  <si>
    <t>Personnel borrowed from other school(s)/ DepEd office(s)</t>
  </si>
  <si>
    <t>Guidance Coordinator I</t>
  </si>
  <si>
    <t>Guidance Counselor I</t>
  </si>
  <si>
    <t>Teachers borrowed from other school(s)/ DepEd office(s)</t>
  </si>
  <si>
    <r>
      <rPr>
        <b/>
        <i/>
        <sz val="12"/>
        <rFont val="Times New Roman"/>
        <family val="1"/>
      </rPr>
      <t>Software</t>
    </r>
    <r>
      <rPr>
        <sz val="12"/>
        <rFont val="Times New Roman"/>
        <family val="1"/>
      </rPr>
      <t xml:space="preserve"> - refers to the programs and other operating information used by a computer. </t>
    </r>
  </si>
  <si>
    <r>
      <rPr>
        <b/>
        <i/>
        <sz val="12"/>
        <rFont val="Times New Roman"/>
        <family val="1"/>
      </rPr>
      <t>Hardware</t>
    </r>
    <r>
      <rPr>
        <sz val="12"/>
        <rFont val="Times New Roman"/>
        <family val="1"/>
      </rPr>
      <t xml:space="preserve"> - refers to the machines, writing, and other physical components of a computer or other electronic system. </t>
    </r>
  </si>
  <si>
    <r>
      <t xml:space="preserve">Others - </t>
    </r>
    <r>
      <rPr>
        <sz val="12"/>
        <rFont val="Times New Roman"/>
        <family val="1"/>
      </rPr>
      <t>refers to the other training on ICT.</t>
    </r>
  </si>
  <si>
    <t>Years of Teaching LWDs</t>
  </si>
  <si>
    <t>Augmentative/Alternative  Communication (AAC) Systems</t>
  </si>
  <si>
    <t>HI/
Difficulty in Hearing</t>
  </si>
  <si>
    <t xml:space="preserve">     3. How many weighing scales does the school have?</t>
  </si>
  <si>
    <t>Does the school have a guidance office?</t>
  </si>
  <si>
    <t>Is the person in charge of the guidance office a Registered Guidance Counselor?</t>
  </si>
  <si>
    <t>Does the school currently use a “screening tool” for identification of learners at risk of mental health conditions?</t>
  </si>
  <si>
    <t>Self-Care</t>
  </si>
  <si>
    <t>Cancer Cases among Learners</t>
  </si>
  <si>
    <t>Cancer Cases</t>
  </si>
  <si>
    <t>Leukemia</t>
  </si>
  <si>
    <t>Brain and Spinal Cancer</t>
  </si>
  <si>
    <t>Other Types of Cancer</t>
  </si>
  <si>
    <t>Breast Cancer</t>
  </si>
  <si>
    <t>Lung Cancer</t>
  </si>
  <si>
    <t>Number of Pregnant Learners</t>
  </si>
  <si>
    <t>In School</t>
  </si>
  <si>
    <t>On Alternative Delivery Mode (ADM)</t>
  </si>
  <si>
    <t>Dropped</t>
  </si>
  <si>
    <t>Number of Impregnator-Learners</t>
  </si>
  <si>
    <t>Transferred</t>
  </si>
  <si>
    <t>Does the school have an operational teen center?</t>
  </si>
  <si>
    <t>Participated in HIV/AIDS Training</t>
  </si>
  <si>
    <t>Screened for ARH Concerns</t>
  </si>
  <si>
    <t>Catered to by Teen Centers</t>
  </si>
  <si>
    <t>Red Cross Youth</t>
  </si>
  <si>
    <t>Trained on 
Adolescent Job Aid (AJA)</t>
  </si>
  <si>
    <t>Trained on Adolescent Health Education and Practical Training 
(ADEPT)</t>
  </si>
  <si>
    <t>HIV/AIDS Training</t>
  </si>
  <si>
    <t>Does the school have a designated OK sa DepEd focal person (DO 28, s. 2018)?</t>
  </si>
  <si>
    <t>Does the school officially manage a Facebook page?</t>
  </si>
  <si>
    <t>If Yes, what is the Facebook page address?  (facebook.com/________)</t>
  </si>
  <si>
    <t>Is there at least one store or shop with in 100 meters from any point of the perimeter of the school that sells:</t>
  </si>
  <si>
    <t xml:space="preserve">Tobacco products (e.g., cigarettes)?	</t>
  </si>
  <si>
    <t xml:space="preserve">Vape or e-cigarettes?	</t>
  </si>
  <si>
    <t>4.a.</t>
  </si>
  <si>
    <t>4.b.</t>
  </si>
  <si>
    <t>Tobacco (Cigarette) Smokers
but are not ENDS/ENNDS
(Vape/E-cigarette) Users</t>
  </si>
  <si>
    <t>ENDS/ENNDS
(Vape/E-cigarette) Users but are not Tobacco (Cigarette) Smokers</t>
  </si>
  <si>
    <t>Tobacco (Cigarette) Smokers and
also ENDS/ENNDS
(Vape/E-cigarette) Users</t>
  </si>
  <si>
    <t>4.c.</t>
  </si>
  <si>
    <t>Smoked Tobacco (Cigarette)
but not used ENDS/ENNDS
(Vape/E-cigarette)</t>
  </si>
  <si>
    <t>Used ENDS/ENNDS
(Vape/E-cigarette) but Smoked
Tobacco (Cigarette)</t>
  </si>
  <si>
    <t>Smoked Tobacco (Cigarette) and
also Used ENDS/ENNDS
(Vape/E-cigarette)</t>
  </si>
  <si>
    <t>Certified True and Correct by:</t>
  </si>
  <si>
    <t>Does the school have a Child Protection Committee (CPC)?</t>
  </si>
  <si>
    <t>If Yes, how often does the CPC meet?</t>
  </si>
  <si>
    <t>How many cases were referred to appropriate authority (e.g PNP, LSWDO, NGOs, etc)?</t>
  </si>
  <si>
    <t>Does the school have a Student Code of Conduct?</t>
  </si>
  <si>
    <t>Incidents recorded</t>
  </si>
  <si>
    <t>Perpetrator</t>
  </si>
  <si>
    <t>School Personnel</t>
  </si>
  <si>
    <t>Outsider</t>
  </si>
  <si>
    <t>Number of reported incidents of violence against children by grade level and sex</t>
  </si>
  <si>
    <t>Number of reported incidents of bullying or peer abuse by grade level and sex</t>
  </si>
  <si>
    <t>Usual reasons for bullying that were recorded by the school</t>
  </si>
  <si>
    <t>Reasons</t>
  </si>
  <si>
    <t>Cancer Cases among School Personnel</t>
  </si>
  <si>
    <t>Number of School Personnel</t>
  </si>
  <si>
    <t xml:space="preserve">Prevalence of the Use of Cigarettes and E-cigarettes/Vapes Among Learners and School Personnel
</t>
  </si>
  <si>
    <t xml:space="preserve">   10.a.  Cancer</t>
  </si>
  <si>
    <t>Number of Equipment and Tools</t>
  </si>
  <si>
    <t>Classification/Types of Disabilities</t>
  </si>
  <si>
    <t>Number of Teachers Handling Learners with Types of Disabilities</t>
  </si>
  <si>
    <r>
      <t xml:space="preserve">1. </t>
    </r>
    <r>
      <rPr>
        <b/>
        <i/>
        <sz val="14"/>
        <rFont val="Times New Roman"/>
        <family val="1"/>
      </rPr>
      <t>*</t>
    </r>
    <r>
      <rPr>
        <b/>
        <i/>
        <sz val="12"/>
        <rFont val="Times New Roman"/>
        <family val="1"/>
      </rPr>
      <t xml:space="preserve"> -  Those serving two or more schools simultaneously shall be counted only in the school with the most teaching loads or number of learners handled, in that order.</t>
    </r>
  </si>
  <si>
    <t xml:space="preserve">Number of Teachers    </t>
  </si>
  <si>
    <t xml:space="preserve">Number of Teachers  </t>
  </si>
  <si>
    <t>Two (2) or More Types of LWDs (Mixed LWD)</t>
  </si>
  <si>
    <t>Validated by Division IPEd Focal Person/Coordinator:</t>
  </si>
  <si>
    <t>Teachers shall be counted only once. If a teacher is teaching more than one grade, he/she shall be counted to the grade level where he/she teaches the most number of hours.
However, if he/she teaches an equal number of hours per grade level, he/she shall be counted to the highest grade level assignment.</t>
  </si>
  <si>
    <t xml:space="preserve">Does the school have experience in working with the IP community for the development of contextualized lesson plans, development of learning resources and other activities? </t>
  </si>
  <si>
    <t>Number of teachers residing within and outside the school municipality</t>
  </si>
  <si>
    <t xml:space="preserve">Occasional dangerous geographical challenges affecting learners coming to school (e.g., river to be crossed by learners swells during rains; area to school or of the school prone to landslides) </t>
  </si>
  <si>
    <t>Cannot be reached by regular cars or through regular public utility vehicles (PUVs; jeep, bus, tricycle); specialized transportation (e.g., single motor or habal-habal, skylab, horse, bangka) and/or walking is needed</t>
  </si>
  <si>
    <t xml:space="preserve">Peace and order tensions in the community experienced at least once in the past five years caused by the presence of armed groups and/or potential violence; areas that have experienced worse, like armed conflict or evacuation in the past 5 years are included </t>
  </si>
  <si>
    <t>Teachers Residence</t>
  </si>
  <si>
    <t xml:space="preserve">   Kindergarten</t>
  </si>
  <si>
    <t xml:space="preserve">   Grade 1</t>
  </si>
  <si>
    <t xml:space="preserve">   Grade 2</t>
  </si>
  <si>
    <t xml:space="preserve">   Grade 3</t>
  </si>
  <si>
    <t xml:space="preserve">   Grade 4</t>
  </si>
  <si>
    <t xml:space="preserve">   Grade 5</t>
  </si>
  <si>
    <t xml:space="preserve">   Grade 6</t>
  </si>
  <si>
    <t xml:space="preserve">   TOTAL</t>
  </si>
  <si>
    <t>Cancer Survivors</t>
  </si>
  <si>
    <t>Died due to Cancer</t>
  </si>
  <si>
    <t>In</t>
  </si>
  <si>
    <t>Out</t>
  </si>
  <si>
    <t>Number of Learners Reached by Adolescent Reproductive Health Trainings/Activities</t>
  </si>
  <si>
    <t>Trained as Peer Educators for Adolescent Sexual and Reproductive Health (ASRH)</t>
  </si>
  <si>
    <t>In the previous school year, did the school observe “One Health Week” as part of OK sa DepEd?</t>
  </si>
  <si>
    <t xml:space="preserve">Number of Teachers </t>
  </si>
  <si>
    <t xml:space="preserve">Number of Learners </t>
  </si>
  <si>
    <t>a tobacco (cigarette) smoker but not an ENDS/ENNDS (vape/e-cigarette) user?</t>
  </si>
  <si>
    <t>an ENDS/ENNDs (vape/e-cigarette) user but not a tobacco (cigarette) smoker?</t>
  </si>
  <si>
    <t>both a tobacco (cigarette) smoker and an ENDS/ENNDS (vape/e-cigarette) user?</t>
  </si>
  <si>
    <t>neither a tobacco (cigarette) smoker nor an ENDS/ENNDS (vape/e-cigarette) user?</t>
  </si>
  <si>
    <t>Validated by Division Child Protection Focal Person/Coordinator:</t>
  </si>
  <si>
    <t>IPEd</t>
  </si>
  <si>
    <t>(Check/provide appropriate answers)</t>
  </si>
  <si>
    <t>(Provide appropriate answers)</t>
  </si>
  <si>
    <t>(Check/Provide appropriate answers)</t>
  </si>
  <si>
    <t>(Provide the number of times the following hazards occurred in your school and its immediate surroundings)</t>
  </si>
  <si>
    <t>Check if the school has the following conditions:</t>
  </si>
  <si>
    <t>If there is check in any of the above conditions, provide answers to the following:</t>
  </si>
  <si>
    <t>Others, (specify)</t>
  </si>
  <si>
    <t xml:space="preserve">B. Number of learners who underwent vision screening </t>
  </si>
  <si>
    <t xml:space="preserve">C. Number of learners by nutritional status </t>
  </si>
  <si>
    <t>Suicide</t>
  </si>
  <si>
    <t>Attempted Suicide</t>
  </si>
  <si>
    <t>(Continuation from previous page, Table 2)</t>
  </si>
  <si>
    <t>2. How is the school implementing Solid Waste Management?</t>
  </si>
  <si>
    <t xml:space="preserve">3. Who are the school stakeholders actively engaged on the implementation of solid waste management?   </t>
  </si>
  <si>
    <r>
      <rPr>
        <b/>
        <i/>
        <sz val="12"/>
        <rFont val="Times New Roman"/>
        <family val="1"/>
      </rPr>
      <t>Qualified teacher</t>
    </r>
    <r>
      <rPr>
        <b/>
        <i/>
        <sz val="11"/>
        <rFont val="Times New Roman"/>
        <family val="1"/>
      </rPr>
      <t xml:space="preserve"> - </t>
    </r>
    <r>
      <rPr>
        <sz val="11"/>
        <rFont val="Times New Roman"/>
        <family val="1"/>
      </rPr>
      <t>locally-funded teacher who has the minimum academic qualifications necessary to teach Elementary School Education.  He/She must be a Licensure Examination for Teacher (LET) passer given by the Professional Regulation Commission (PRC) and the Board for Professional Teachers (BPT) or a Professional  Board Examination for Teachers (PBET) passer given by the Civil Service Commission (CSC) and Department of Education, Culture and Sports (DECS [now DepEd]).</t>
    </r>
  </si>
  <si>
    <r>
      <rPr>
        <b/>
        <i/>
        <sz val="12"/>
        <rFont val="Times New Roman"/>
        <family val="1"/>
      </rPr>
      <t>Trained teacher</t>
    </r>
    <r>
      <rPr>
        <b/>
        <i/>
        <sz val="11"/>
        <rFont val="Times New Roman"/>
        <family val="1"/>
      </rPr>
      <t xml:space="preserve"> - </t>
    </r>
    <r>
      <rPr>
        <sz val="11"/>
        <rFont val="Times New Roman"/>
        <family val="1"/>
      </rPr>
      <t>locally funded teacher who received at least the minimum organized teacher-training requirements (pre-service or in-service) to teach Elementary School Education.</t>
    </r>
  </si>
  <si>
    <t xml:space="preserve">2.      -  Total of Qualified / Trained Teachers shall be less than or equal to the Total of Locally-funded Teachers in Table 7.  </t>
  </si>
  <si>
    <t>1. Totals in column 12 shall tally with entries in column 2.</t>
  </si>
  <si>
    <t>Note: Number of teachers who received training relevant to the subject matter they are teaching for the past twelve (12) months.</t>
  </si>
  <si>
    <t xml:space="preserve">Reminder:  If a teacher is receiving more than one training on ICT, he/she can be counted more than once. </t>
  </si>
  <si>
    <t xml:space="preserve">Reminder:  If a teacher is receiving more than one training on pedagogy, he/she can be counted more than once. </t>
  </si>
  <si>
    <t>If a  teacher is teaching more than one grade, he/she shall be counted to the grade level where he/she teaches the most number of hours. 
However, if he/she teaches an equal number of hours per grade level, he/she shall be counted to the highest grade level assignment.</t>
  </si>
  <si>
    <t>Reminder:  A teacher shall be counted based on his/her highest level of educational attainment regardless if it is related to his/her specialization/subject or not (i.e., Master of Public  Administration [MPA], Master in Business Administration [MBA], etc.).</t>
  </si>
  <si>
    <t xml:space="preserve">If Yes, check the purpose: </t>
  </si>
  <si>
    <r>
      <t>Grid Supply</t>
    </r>
    <r>
      <rPr>
        <sz val="11"/>
        <rFont val="Times New Roman"/>
        <family val="1"/>
      </rPr>
      <t xml:space="preserve"> - electricity coming from major or local power distributors (e.g.,</t>
    </r>
    <r>
      <rPr>
        <b/>
        <sz val="11"/>
        <rFont val="Times New Roman"/>
        <family val="1"/>
      </rPr>
      <t xml:space="preserve"> electric cooperatives such as ANTECO, BASELCO, CASURECO, MERALCO, NAPOCOR, etc.</t>
    </r>
    <r>
      <rPr>
        <sz val="11"/>
        <rFont val="Times New Roman"/>
        <family val="1"/>
      </rPr>
      <t>).</t>
    </r>
  </si>
  <si>
    <r>
      <t>Off Grid Supply</t>
    </r>
    <r>
      <rPr>
        <sz val="11"/>
        <rFont val="Times New Roman"/>
        <family val="1"/>
      </rPr>
      <t xml:space="preserve"> - electricity coming from alternative source of power (e.g., </t>
    </r>
    <r>
      <rPr>
        <b/>
        <sz val="11"/>
        <rFont val="Times New Roman"/>
        <family val="1"/>
      </rPr>
      <t>solar power, generator, hydro electric, micro hydro, wind turbine, windmill, etc.</t>
    </r>
    <r>
      <rPr>
        <sz val="11"/>
        <rFont val="Times New Roman"/>
        <family val="1"/>
      </rPr>
      <t>).</t>
    </r>
  </si>
  <si>
    <r>
      <t>Is the</t>
    </r>
    <r>
      <rPr>
        <i/>
        <sz val="12"/>
        <rFont val="Times New Roman"/>
        <family val="1"/>
      </rPr>
      <t xml:space="preserve"> </t>
    </r>
    <r>
      <rPr>
        <b/>
        <i/>
        <sz val="12"/>
        <rFont val="Times New Roman"/>
        <family val="1"/>
      </rPr>
      <t>school head</t>
    </r>
    <r>
      <rPr>
        <i/>
        <sz val="12"/>
        <rFont val="Times New Roman"/>
        <family val="1"/>
      </rPr>
      <t xml:space="preserve"> </t>
    </r>
    <r>
      <rPr>
        <sz val="12"/>
        <rFont val="Times New Roman"/>
        <family val="1"/>
      </rPr>
      <t xml:space="preserve">____  </t>
    </r>
    <r>
      <rPr>
        <i/>
        <sz val="12"/>
        <rFont val="Times New Roman"/>
        <family val="1"/>
      </rPr>
      <t>(Check only one)</t>
    </r>
  </si>
  <si>
    <r>
      <t xml:space="preserve">Number of reported incidents of </t>
    </r>
    <r>
      <rPr>
        <i/>
        <sz val="12"/>
        <rFont val="Times New Roman"/>
        <family val="1"/>
      </rPr>
      <t>violence against children committed in schools</t>
    </r>
    <r>
      <rPr>
        <sz val="12"/>
        <rFont val="Times New Roman"/>
        <family val="1"/>
      </rPr>
      <t xml:space="preserve"> by type of violence:</t>
    </r>
  </si>
  <si>
    <r>
      <t xml:space="preserve">Number of reported incidents of </t>
    </r>
    <r>
      <rPr>
        <i/>
        <sz val="12"/>
        <rFont val="Times New Roman"/>
        <family val="1"/>
      </rPr>
      <t>bullying or peer abuse</t>
    </r>
    <r>
      <rPr>
        <sz val="12"/>
        <rFont val="Times New Roman"/>
        <family val="1"/>
      </rPr>
      <t xml:space="preserve"> by type of violence:</t>
    </r>
  </si>
  <si>
    <r>
      <rPr>
        <b/>
        <i/>
        <sz val="12"/>
        <rFont val="Times New Roman"/>
        <family val="1"/>
      </rPr>
      <t>Within</t>
    </r>
    <r>
      <rPr>
        <sz val="12"/>
        <rFont val="Times New Roman"/>
        <family val="1"/>
      </rPr>
      <t xml:space="preserve"> the School Municipality</t>
    </r>
  </si>
  <si>
    <r>
      <rPr>
        <b/>
        <i/>
        <sz val="12"/>
        <rFont val="Times New Roman"/>
        <family val="1"/>
      </rPr>
      <t xml:space="preserve">Outside </t>
    </r>
    <r>
      <rPr>
        <sz val="12"/>
        <rFont val="Times New Roman"/>
        <family val="1"/>
      </rPr>
      <t>the School Municipality</t>
    </r>
  </si>
  <si>
    <t>6. Legal Ownership Issues :</t>
  </si>
  <si>
    <t>(Check appropriate answers)</t>
  </si>
  <si>
    <t xml:space="preserve">      1.a.  Muslim</t>
  </si>
  <si>
    <t xml:space="preserve">      1.b.  Non-Muslim</t>
  </si>
  <si>
    <t xml:space="preserve"> Reminders:</t>
  </si>
  <si>
    <t xml:space="preserve">   1. For 10.a., out of the total number of learners with Special Health Problems / Chronic Disease, determine the number of learners who are cancer patients, living with cancer and cancer survivor.</t>
  </si>
  <si>
    <t xml:space="preserve">   3. Table 2 shall be accomplished ONLY by Elementary Schools and SPED Centers with SPED classes/programs.</t>
  </si>
  <si>
    <t>LWDs With Diagnosis from Licensed Medical Specialist:</t>
  </si>
  <si>
    <t>LWDs With Manifestations:</t>
  </si>
  <si>
    <t>Validated by Senior Education Program Specialist (PRS-SGOD):</t>
  </si>
  <si>
    <t xml:space="preserve">    Signature Over Printed Name / Date</t>
  </si>
  <si>
    <r>
      <rPr>
        <b/>
        <i/>
        <sz val="11"/>
        <rFont val="Times New Roman"/>
        <family val="1"/>
      </rPr>
      <t>1. Full-time Teachers</t>
    </r>
    <r>
      <rPr>
        <sz val="11"/>
        <rFont val="Times New Roman"/>
        <family val="1"/>
      </rPr>
      <t xml:space="preserve"> – refers to teachers who carry/render full-time class teaching load of 360 minutes or more per day with or without assigned ancillary services. </t>
    </r>
  </si>
  <si>
    <r>
      <t xml:space="preserve">1. * Number of teachers that shall be </t>
    </r>
    <r>
      <rPr>
        <b/>
        <i/>
        <u/>
        <sz val="13"/>
        <rFont val="Times New Roman"/>
        <family val="1"/>
      </rPr>
      <t>counted only once</t>
    </r>
    <r>
      <rPr>
        <b/>
        <i/>
        <sz val="13"/>
        <rFont val="Times New Roman"/>
        <family val="1"/>
      </rPr>
      <t xml:space="preserve"> </t>
    </r>
  </si>
  <si>
    <r>
      <t>Cancer Patients</t>
    </r>
    <r>
      <rPr>
        <sz val="11"/>
        <rFont val="Times New Roman"/>
        <family val="1"/>
      </rPr>
      <t xml:space="preserve"> - are those with symptomatic and/or under definitive or palliative treatment.</t>
    </r>
  </si>
  <si>
    <r>
      <t xml:space="preserve">Living with Cancer </t>
    </r>
    <r>
      <rPr>
        <sz val="11"/>
        <rFont val="Times New Roman"/>
        <family val="1"/>
      </rPr>
      <t>- are those with microscopic or residual disease, asymptomatic, or with supportive treatment subclinical symptoms on maintenance or supportive treatment.</t>
    </r>
  </si>
  <si>
    <r>
      <t>Cancer Survivors</t>
    </r>
    <r>
      <rPr>
        <sz val="11"/>
        <rFont val="Times New Roman"/>
        <family val="1"/>
      </rPr>
      <t xml:space="preserve"> - are those who have completed all of their anti-cancer therapy and presently show no signs of disease.
 </t>
    </r>
  </si>
  <si>
    <r>
      <t xml:space="preserve">Violence Against Children </t>
    </r>
    <r>
      <rPr>
        <sz val="11"/>
        <rFont val="Times New Roman"/>
        <family val="1"/>
      </rPr>
      <t>- refers to a single act or series of acts committed by school administrators, academic, and non-academic personnel against a child (DO 40 s.2012)</t>
    </r>
    <r>
      <rPr>
        <b/>
        <i/>
        <sz val="11"/>
        <rFont val="Times New Roman"/>
        <family val="1"/>
      </rPr>
      <t>.</t>
    </r>
  </si>
  <si>
    <r>
      <t>Incidents recorded</t>
    </r>
    <r>
      <rPr>
        <sz val="11"/>
        <rFont val="Times New Roman"/>
        <family val="1"/>
      </rPr>
      <t xml:space="preserve"> - refers to incidence of violence reported to the school regardless of criminal or admin case filed</t>
    </r>
    <r>
      <rPr>
        <b/>
        <i/>
        <sz val="11"/>
        <rFont val="Times New Roman"/>
        <family val="1"/>
      </rPr>
      <t>.</t>
    </r>
  </si>
  <si>
    <r>
      <t>Perpetrator</t>
    </r>
    <r>
      <rPr>
        <sz val="11"/>
        <rFont val="Times New Roman"/>
        <family val="1"/>
      </rPr>
      <t xml:space="preserve"> - refers to an adult, including any school personnel, teaching or non-teaching.</t>
    </r>
  </si>
  <si>
    <r>
      <t>Other Acts of Violence</t>
    </r>
    <r>
      <rPr>
        <sz val="11"/>
        <rFont val="Times New Roman"/>
        <family val="1"/>
      </rPr>
      <t xml:space="preserve"> - refers to physical, sexual, or psychological nature that are prejudicial to the child (DO 40 s.2012)</t>
    </r>
    <r>
      <rPr>
        <b/>
        <i/>
        <sz val="11"/>
        <rFont val="Times New Roman"/>
        <family val="1"/>
      </rPr>
      <t>.</t>
    </r>
  </si>
  <si>
    <r>
      <t>Bullying or peer abuse</t>
    </r>
    <r>
      <rPr>
        <sz val="11"/>
        <rFont val="Times New Roman"/>
        <family val="1"/>
      </rPr>
      <t xml:space="preserve"> - refers to any severe, or repeated use by one or more students of a written, verbal or electronic expression, or a physical act or gesture, or any combination thereof, directed at another student (DO 55 s.2013).</t>
    </r>
  </si>
  <si>
    <r>
      <t>Incidents recorded</t>
    </r>
    <r>
      <rPr>
        <sz val="11"/>
        <rFont val="Times New Roman"/>
        <family val="1"/>
      </rPr>
      <t xml:space="preserve"> - refers to incidence of bullying reported to the school regardless of criminal or admin case filed.</t>
    </r>
  </si>
  <si>
    <r>
      <t>Physical Bullying</t>
    </r>
    <r>
      <rPr>
        <sz val="11"/>
        <rFont val="Times New Roman"/>
        <family val="1"/>
      </rPr>
      <t xml:space="preserve"> - refers to any unwanted physical contact between the bully and the victim.</t>
    </r>
  </si>
  <si>
    <r>
      <t>Cyber Bullying</t>
    </r>
    <r>
      <rPr>
        <sz val="11"/>
        <rFont val="Times New Roman"/>
        <family val="1"/>
      </rPr>
      <t xml:space="preserve"> - refers to any bullying done through using technology or any electronic means (e.g instant messaging, social media, etc).</t>
    </r>
  </si>
  <si>
    <r>
      <t>Gender-based Bullying</t>
    </r>
    <r>
      <rPr>
        <sz val="11"/>
        <rFont val="Times New Roman"/>
        <family val="1"/>
      </rPr>
      <t xml:space="preserve"> - refers to any act that humiliates or excludes a person on the basis of perceived or actual sexual orientation and gender identity.</t>
    </r>
  </si>
  <si>
    <r>
      <t xml:space="preserve">Social Bullying </t>
    </r>
    <r>
      <rPr>
        <sz val="11"/>
        <rFont val="Times New Roman"/>
        <family val="1"/>
      </rPr>
      <t>- refers to any social behaviour intended hurt others or to belittle another individual (e.g verbal, social exclusion).</t>
    </r>
  </si>
  <si>
    <t>School ID:</t>
  </si>
  <si>
    <t>School Name</t>
  </si>
  <si>
    <t>(Official Name)</t>
  </si>
  <si>
    <t>)</t>
  </si>
  <si>
    <r>
      <t>Check (</t>
    </r>
    <r>
      <rPr>
        <b/>
        <i/>
        <sz val="12"/>
        <rFont val="Webdings"/>
        <family val="1"/>
        <charset val="2"/>
      </rPr>
      <t>a</t>
    </r>
    <r>
      <rPr>
        <b/>
        <i/>
        <sz val="12"/>
        <rFont val="Times New Roman"/>
        <family val="1"/>
      </rPr>
      <t>) if the school has the following Curricular Offering Classification (COC):</t>
    </r>
  </si>
  <si>
    <t>with SPED Classes/Programs</t>
  </si>
  <si>
    <t>Noted by the Schools Division Office:</t>
  </si>
  <si>
    <t xml:space="preserve">Head of the Office  :  </t>
  </si>
  <si>
    <t>Position Title          :</t>
  </si>
  <si>
    <t>Visual Impairment</t>
  </si>
  <si>
    <t>Hearing Impairment</t>
  </si>
  <si>
    <t>Learning Disability</t>
  </si>
  <si>
    <t>Intellectual Disability</t>
  </si>
  <si>
    <t>Autism Spectrum Disorder</t>
  </si>
  <si>
    <t>Emotional-Behavioral Disorder</t>
  </si>
  <si>
    <t>Orthopedic/Physical Handicap</t>
  </si>
  <si>
    <t>Speech/Language Disorder</t>
  </si>
  <si>
    <t>Cerebral Palsy</t>
  </si>
  <si>
    <t>Special Health Problem/Chronic Disease</t>
  </si>
  <si>
    <t>10.a.</t>
  </si>
  <si>
    <t>Cancer</t>
  </si>
  <si>
    <t>Difficulty in Seeing</t>
  </si>
  <si>
    <t>Difficulty in Hearing</t>
  </si>
  <si>
    <t>Difficulty in Applying Knowledge</t>
  </si>
  <si>
    <t>Difficulty in Remembering, Concentrating,
Paying Attention and Understanding</t>
  </si>
  <si>
    <t>Difficulty in Applying Adaptive Skills</t>
  </si>
  <si>
    <t>Difficulty in Displaying Inter-Personal Behavior</t>
  </si>
  <si>
    <t>Difficulty in Mobility
(Walking, Climbing and Grasping)</t>
  </si>
  <si>
    <t>Difficulty in Communicating</t>
  </si>
  <si>
    <t>11-15 years</t>
  </si>
  <si>
    <t>16-20 years</t>
  </si>
  <si>
    <t>21-25 years</t>
  </si>
  <si>
    <r>
      <t>2</t>
    </r>
    <r>
      <rPr>
        <b/>
        <sz val="12"/>
        <rFont val="Times New Roman"/>
        <family val="1"/>
      </rPr>
      <t xml:space="preserve">. </t>
    </r>
    <r>
      <rPr>
        <sz val="12"/>
        <rFont val="Times New Roman"/>
        <family val="1"/>
      </rPr>
      <t>Special Science Elementary School (SSES)</t>
    </r>
  </si>
  <si>
    <r>
      <t>1.</t>
    </r>
    <r>
      <rPr>
        <sz val="11"/>
        <rFont val="Times New Roman"/>
        <family val="1"/>
      </rPr>
      <t xml:space="preserve"> Madrasah Education Program (MEP):
  </t>
    </r>
    <r>
      <rPr>
        <sz val="12"/>
        <rFont val="Times New Roman"/>
        <family val="1"/>
      </rPr>
      <t xml:space="preserve">  Arabic Language and Islamic Values Education (ALIVE)</t>
    </r>
  </si>
  <si>
    <r>
      <t xml:space="preserve">With Manifestations - </t>
    </r>
    <r>
      <rPr>
        <sz val="12"/>
        <rFont val="Times New Roman"/>
        <family val="1"/>
      </rPr>
      <t>refers to learners manifesting difficulties in particular activities (e.g., cognitive, communication, mobility, hearing, seeing, etc.) who were observed by teachers on daily lessons/activities or through anecdotals.</t>
    </r>
  </si>
  <si>
    <r>
      <rPr>
        <b/>
        <i/>
        <sz val="12"/>
        <rFont val="Times New Roman"/>
        <family val="1"/>
      </rPr>
      <t>Hospital Bound</t>
    </r>
    <r>
      <rPr>
        <b/>
        <sz val="12"/>
        <rFont val="Times New Roman"/>
        <family val="1"/>
      </rPr>
      <t xml:space="preserve"> </t>
    </r>
    <r>
      <rPr>
        <sz val="12"/>
        <rFont val="Times New Roman"/>
        <family val="1"/>
      </rPr>
      <t>- refers to an educational program designed for LWDs with severe disturbance, profound level of disability, bed-bound, with crippling, chronic or serious health disabilities/impairments and recovering patient (LWDs).</t>
    </r>
  </si>
  <si>
    <r>
      <rPr>
        <b/>
        <i/>
        <sz val="12"/>
        <rFont val="Times New Roman"/>
        <family val="1"/>
      </rPr>
      <t>Age Profile (Homebound/Hospital bound)</t>
    </r>
    <r>
      <rPr>
        <b/>
        <sz val="12"/>
        <rFont val="Times New Roman"/>
        <family val="1"/>
      </rPr>
      <t xml:space="preserve"> </t>
    </r>
    <r>
      <rPr>
        <sz val="12"/>
        <rFont val="Times New Roman"/>
        <family val="1"/>
      </rPr>
      <t>-  refers to a range of age per type of learners with disabilities.</t>
    </r>
  </si>
  <si>
    <r>
      <t>Hearing Impairment</t>
    </r>
    <r>
      <rPr>
        <sz val="12"/>
        <rFont val="Times New Roman"/>
        <family val="1"/>
      </rPr>
      <t xml:space="preserve"> - refers to a learner with an impairment, whether permanent or fluctuating that adversely affects a child’s educational performance such as deafness.</t>
    </r>
  </si>
  <si>
    <r>
      <t>Learning Disability</t>
    </r>
    <r>
      <rPr>
        <sz val="12"/>
        <rFont val="Times New Roman"/>
        <family val="1"/>
      </rPr>
      <t xml:space="preserve"> - refers to a learner with a disorder in perception, listening, thinking, reading, writing, spelling, and arithmetic although normal in sensory, emotional and intellectual abilities.</t>
    </r>
  </si>
  <si>
    <r>
      <t>Intellectual Disability</t>
    </r>
    <r>
      <rPr>
        <sz val="12"/>
        <rFont val="Times New Roman"/>
        <family val="1"/>
      </rPr>
      <t xml:space="preserve"> - refers to a learner with significantly subaverage general intellectual functioning which originates during the developmental period and associated with impairment in adoptive behavior like maturation, learning and social adjustment.</t>
    </r>
  </si>
  <si>
    <r>
      <t>Autism Spectrum Disorder</t>
    </r>
    <r>
      <rPr>
        <sz val="12"/>
        <rFont val="Times New Roman"/>
        <family val="1"/>
      </rPr>
      <t xml:space="preserve"> - refers to a learner characterized by varying degrees of impairment in communication skills and social interactions and in restrictive, repetitive patterns of behavior.</t>
    </r>
  </si>
  <si>
    <r>
      <t>Emotional-Behavioral Disorder</t>
    </r>
    <r>
      <rPr>
        <sz val="12"/>
        <rFont val="Times New Roman"/>
        <family val="1"/>
      </rPr>
      <t xml:space="preserve"> - refers to a learner with a condition exhibiting one or more of the following characteristics over a long period of time and to a marked degree that adversely affects a child's educational performance: (i) an inability to learn that cannot be explained by intellectual, sensory, or health factors, (ii) an inability to build or maintain satisfactory interpersonal relationships with peers and teachers, (iii) inappropriate types of behavior or feelings under normal circumstances, (iv) a general pervasive mood of unhappiness or depression, (v)  a tendency to develop physical symptoms or fears associated with personal or school factors.</t>
    </r>
  </si>
  <si>
    <r>
      <t>Special Health Problem/Chronic Illness</t>
    </r>
    <r>
      <rPr>
        <sz val="12"/>
        <rFont val="Times New Roman"/>
        <family val="1"/>
      </rPr>
      <t xml:space="preserve"> - refers to a learner with a chronic or acute health problems such as asthma, attention deficit disorder or attention deficit hyperactivity disorder, diabetes, epilepsy, a heart condition, hemophilia, lead poisoning, leukemia, nephritis, rheumatic fever, sickle cell anemia, and Tourette syndrome; that adversely affect a child's educational performance.</t>
    </r>
  </si>
  <si>
    <r>
      <t>Multiple Disabilities</t>
    </r>
    <r>
      <rPr>
        <sz val="12"/>
        <rFont val="Times New Roman"/>
        <family val="1"/>
      </rPr>
      <t xml:space="preserve"> - refers to a learner with a combination of disabilities that causes severe educational needs that require multiple special education programs such as mental retardation-blindness or mental retardation-orthopedic impairment.</t>
    </r>
  </si>
  <si>
    <r>
      <t xml:space="preserve">Difficulty in Seeing </t>
    </r>
    <r>
      <rPr>
        <sz val="12"/>
        <rFont val="Times New Roman"/>
        <family val="1"/>
      </rPr>
      <t>- refers to a learner that manifest difficulty in vision that even with correction, adversely affects a child educational performance. They include those that are totally blind, functionally blind or low vision.</t>
    </r>
  </si>
  <si>
    <r>
      <t>Difficulty in Hearing</t>
    </r>
    <r>
      <rPr>
        <sz val="12"/>
        <rFont val="Times New Roman"/>
        <family val="1"/>
      </rPr>
      <t xml:space="preserve"> - refers to a learner  that have difficulty in hearing, hard of hearing, suffering from hearing loss or deafness.</t>
    </r>
  </si>
  <si>
    <r>
      <t>Difficulty in Performing Adaptive Skills (self-care)</t>
    </r>
    <r>
      <rPr>
        <sz val="12"/>
        <rFont val="Times New Roman"/>
        <family val="1"/>
      </rPr>
      <t xml:space="preserve"> - refers to a learner manifesting difficulty in washing oneself, caring of body parts, toileting, dressing, eating and drinking.</t>
    </r>
  </si>
  <si>
    <r>
      <t>Difficulty in Displaying Interpersonal Behavior (Emotional and Behavioral)</t>
    </r>
    <r>
      <rPr>
        <sz val="12"/>
        <rFont val="Times New Roman"/>
        <family val="1"/>
      </rPr>
      <t xml:space="preserve"> - refers to a learner whose conditions are characterized by emotional or behavioral responses in school programs so different from appropriate age, cultural or ethnic norms which affects their educational performance (academic, social, vocational or personal skills) more than temporary and responses are stressful to environment behavior is exhibited in two different settings (one of which is school related). They are also unresponsive to direct intervention in general education.</t>
    </r>
  </si>
  <si>
    <r>
      <t>Difficulty in Mobility (Walking, Climbing and Grasping)</t>
    </r>
    <r>
      <rPr>
        <sz val="12"/>
        <rFont val="Times New Roman"/>
        <family val="1"/>
      </rPr>
      <t xml:space="preserve"> - refers to a learner that manifest difficulty in maintaining one’s position or changing a body position. They include those diagnosed as having cerebral palsy, spina bifida and muscular dystrophy.</t>
    </r>
  </si>
  <si>
    <t>LD/
Difficulty in Applying Knowledge</t>
  </si>
  <si>
    <t>0-3
years</t>
  </si>
  <si>
    <t>4-6
years</t>
  </si>
  <si>
    <t>7-9
years</t>
  </si>
  <si>
    <t>10-12
years</t>
  </si>
  <si>
    <t>13-15
years</t>
  </si>
  <si>
    <t>16 years
and
above</t>
  </si>
  <si>
    <t>13 years
and
above</t>
  </si>
  <si>
    <r>
      <rPr>
        <b/>
        <i/>
        <sz val="12"/>
        <rFont val="Times New Roman"/>
        <family val="1"/>
      </rPr>
      <t xml:space="preserve">   1.</t>
    </r>
    <r>
      <rPr>
        <sz val="12"/>
        <rFont val="Times New Roman"/>
        <family val="1"/>
      </rPr>
      <t xml:space="preserve"> </t>
    </r>
    <r>
      <rPr>
        <b/>
        <i/>
        <sz val="12"/>
        <rFont val="Times New Roman"/>
        <family val="1"/>
      </rPr>
      <t xml:space="preserve"> If a teacher is handling group of learners with two (2) or more types of disabilities, he/she shall be counted in "Multiple Disabilities".</t>
    </r>
  </si>
  <si>
    <r>
      <rPr>
        <b/>
        <i/>
        <sz val="12"/>
        <rFont val="Times New Roman"/>
        <family val="1"/>
      </rPr>
      <t xml:space="preserve">   2.</t>
    </r>
    <r>
      <rPr>
        <sz val="12"/>
        <rFont val="Times New Roman"/>
        <family val="1"/>
      </rPr>
      <t xml:space="preserve"> </t>
    </r>
    <r>
      <rPr>
        <b/>
        <i/>
        <sz val="12"/>
        <rFont val="Times New Roman"/>
        <family val="1"/>
      </rPr>
      <t xml:space="preserve"> If a teacher is handling learners with different disabilities or combinations of LWDs, he/she shall be counted in "Two (2) or More Types of LWDs (Mixed LWDs)".</t>
    </r>
  </si>
  <si>
    <r>
      <rPr>
        <b/>
        <i/>
        <sz val="12"/>
        <rFont val="Times New Roman"/>
        <family val="1"/>
      </rPr>
      <t xml:space="preserve">   3.</t>
    </r>
    <r>
      <rPr>
        <sz val="12"/>
        <rFont val="Times New Roman"/>
        <family val="1"/>
      </rPr>
      <t xml:space="preserve"> </t>
    </r>
    <r>
      <rPr>
        <b/>
        <i/>
        <sz val="12"/>
        <rFont val="Times New Roman"/>
        <family val="1"/>
      </rPr>
      <t>Years in Service</t>
    </r>
    <r>
      <rPr>
        <sz val="12"/>
        <rFont val="Times New Roman"/>
        <family val="1"/>
      </rPr>
      <t xml:space="preserve"> - refers to the  number of years in  service as a teacher.</t>
    </r>
  </si>
  <si>
    <r>
      <rPr>
        <b/>
        <i/>
        <sz val="12"/>
        <rFont val="Times New Roman"/>
        <family val="1"/>
      </rPr>
      <t xml:space="preserve">   4. Years of Teaching LWDs </t>
    </r>
    <r>
      <rPr>
        <sz val="12"/>
        <rFont val="Times New Roman"/>
        <family val="1"/>
      </rPr>
      <t>- refers to the number of years of teaching LWD.</t>
    </r>
  </si>
  <si>
    <t xml:space="preserve">2.     -  Total of Locally-funded Teachers can be greater than or equal to the Total of Qualified / Trained Teachers in Table 8.  </t>
  </si>
  <si>
    <r>
      <t xml:space="preserve">TOTAL
</t>
    </r>
    <r>
      <rPr>
        <b/>
        <sz val="8"/>
        <rFont val="Times New Roman"/>
        <family val="1"/>
      </rPr>
      <t>(Col.5+Col.6 +
 Col.7+Col.11 )</t>
    </r>
  </si>
  <si>
    <t>(Col.16+Col.17)</t>
  </si>
  <si>
    <t>(Col.4+Col.14)</t>
  </si>
  <si>
    <t>(Col.3+Col.13)</t>
  </si>
  <si>
    <t>Administrative Assistant III
(Senior Bookkeeper)</t>
  </si>
  <si>
    <t>Administrative Assistant II
(Disbursing Officer II)</t>
  </si>
  <si>
    <t>Position Title   :</t>
  </si>
  <si>
    <t>2. For the definitions, refer to Teaching Personnel Data (Table 11).</t>
  </si>
  <si>
    <t>(Col.8+Col.9+
Col.10)</t>
  </si>
  <si>
    <t>(Col.13+Col.14)</t>
  </si>
  <si>
    <t>(Col.3+Col.4)</t>
  </si>
  <si>
    <t xml:space="preserve">    Handling ALS classes (Mobile Teacher)</t>
  </si>
  <si>
    <t xml:space="preserve">    District ALS Coordinator</t>
  </si>
  <si>
    <t xml:space="preserve">    School ALS Coordinator</t>
  </si>
  <si>
    <t xml:space="preserve">     Handling Full Time Ancilliary Services </t>
  </si>
  <si>
    <r>
      <t>Nationally-funded personnel</t>
    </r>
    <r>
      <rPr>
        <sz val="12"/>
        <rFont val="Times New Roman"/>
        <family val="1"/>
      </rPr>
      <t xml:space="preserve"> - teaching, teaching-related and non-teaching personnel having plantilla positions, including those with provisional appointments.</t>
    </r>
  </si>
  <si>
    <r>
      <t>Number of positions assigned in the school per latest PSI-POP</t>
    </r>
    <r>
      <rPr>
        <sz val="12"/>
        <rFont val="Times New Roman"/>
        <family val="1"/>
      </rPr>
      <t xml:space="preserve"> - number of plantilla items assigned to the school.</t>
    </r>
  </si>
  <si>
    <r>
      <t xml:space="preserve">Number of teachers actually working in the school </t>
    </r>
    <r>
      <rPr>
        <sz val="12"/>
        <rFont val="Times New Roman"/>
        <family val="1"/>
      </rPr>
      <t>- teaching, teaching-related and non-teaching personnel with plantilla positions who are actually performing their specific assignments in the school.</t>
    </r>
  </si>
  <si>
    <r>
      <t>On leave personnel</t>
    </r>
    <r>
      <rPr>
        <i/>
        <sz val="12"/>
        <rFont val="Times New Roman"/>
        <family val="1"/>
      </rPr>
      <t xml:space="preserve"> - </t>
    </r>
    <r>
      <rPr>
        <sz val="12"/>
        <rFont val="Times New Roman"/>
        <family val="1"/>
      </rPr>
      <t>personnel who are on leave for the whole school year approved by the School Division Superintendent.</t>
    </r>
  </si>
  <si>
    <r>
      <t xml:space="preserve">Position(s) vacant </t>
    </r>
    <r>
      <rPr>
        <sz val="12"/>
        <rFont val="Times New Roman"/>
        <family val="1"/>
      </rPr>
      <t>- plantilla positions that are unfilled whether existing plantilla or newly created positions.</t>
    </r>
  </si>
  <si>
    <r>
      <t>Personnel detailed to DepEd office(s) within the division</t>
    </r>
    <r>
      <rPr>
        <sz val="12"/>
        <rFont val="Times New Roman"/>
        <family val="1"/>
      </rPr>
      <t xml:space="preserve"> - personnel assigned/designated to the district office or to the division office.</t>
    </r>
  </si>
  <si>
    <r>
      <t>Personnel detailed to Secondary school(s) within the division</t>
    </r>
    <r>
      <rPr>
        <sz val="12"/>
        <rFont val="Times New Roman"/>
        <family val="1"/>
      </rPr>
      <t xml:space="preserve"> - personnel assigned/designated to secondary schools within the division.</t>
    </r>
  </si>
  <si>
    <r>
      <t>Personnel detailed to DepEd office(s)/school(s) outside the division or other government agencies</t>
    </r>
    <r>
      <rPr>
        <sz val="12"/>
        <rFont val="Times New Roman"/>
        <family val="1"/>
      </rPr>
      <t xml:space="preserve"> - personnel assigned/designated to other DepEd office(s)/school(s) outside the division or other government agencies.</t>
    </r>
  </si>
  <si>
    <r>
      <t xml:space="preserve">Personnel borrowed from other school(s)/ DepEd office(s) - </t>
    </r>
    <r>
      <rPr>
        <sz val="12"/>
        <rFont val="Times New Roman"/>
        <family val="1"/>
      </rPr>
      <t>personnel who are actually working in the school but whose items belong from secondary school(s) or from other DepEd office(s) like the district, division, regional, central office or from other school division(s).</t>
    </r>
  </si>
  <si>
    <r>
      <t>In Table 11</t>
    </r>
    <r>
      <rPr>
        <b/>
        <i/>
        <vertAlign val="subscript"/>
        <sz val="13"/>
        <rFont val="Times New Roman"/>
        <family val="1"/>
      </rPr>
      <t>a</t>
    </r>
    <r>
      <rPr>
        <b/>
        <i/>
        <sz val="13"/>
        <rFont val="Times New Roman"/>
        <family val="1"/>
      </rPr>
      <t>,  totals in column 12 shall tally with entries in column 2.</t>
    </r>
  </si>
  <si>
    <r>
      <t>In Table 11</t>
    </r>
    <r>
      <rPr>
        <b/>
        <i/>
        <vertAlign val="subscript"/>
        <sz val="13"/>
        <rFont val="Times New Roman"/>
        <family val="1"/>
      </rPr>
      <t>b</t>
    </r>
    <r>
      <rPr>
        <b/>
        <i/>
        <sz val="13"/>
        <rFont val="Times New Roman"/>
        <family val="1"/>
      </rPr>
      <t xml:space="preserve">, if a teacher is handling two or more assignments, he/she shall be counted in his/her assignment where he/she has the most number of loads. </t>
    </r>
  </si>
  <si>
    <r>
      <t>Totals in Tables 11</t>
    </r>
    <r>
      <rPr>
        <b/>
        <i/>
        <vertAlign val="subscript"/>
        <sz val="13"/>
        <rFont val="Times New Roman"/>
        <family val="1"/>
      </rPr>
      <t>a</t>
    </r>
    <r>
      <rPr>
        <b/>
        <i/>
        <sz val="13"/>
        <rFont val="Times New Roman"/>
        <family val="1"/>
      </rPr>
      <t xml:space="preserve"> &amp; 11</t>
    </r>
    <r>
      <rPr>
        <b/>
        <i/>
        <vertAlign val="subscript"/>
        <sz val="13"/>
        <rFont val="Times New Roman"/>
        <family val="1"/>
      </rPr>
      <t>b</t>
    </r>
    <r>
      <rPr>
        <b/>
        <i/>
        <sz val="13"/>
        <rFont val="Times New Roman"/>
        <family val="1"/>
      </rPr>
      <t xml:space="preserve"> shall tally. </t>
    </r>
  </si>
  <si>
    <t xml:space="preserve">Carries full-time class teaching load
(360 min. or more)            </t>
  </si>
  <si>
    <t xml:space="preserve">Assigned part-time to class teaching,
part-time to ancillary services                     </t>
  </si>
  <si>
    <r>
      <t xml:space="preserve">TOTAL </t>
    </r>
    <r>
      <rPr>
        <b/>
        <sz val="10"/>
        <rFont val="Times New Roman"/>
        <family val="1"/>
      </rPr>
      <t xml:space="preserve">
(Col.2+Col.3+Col.4+    Col.5+Col.6)</t>
    </r>
  </si>
  <si>
    <t xml:space="preserve">Table 14. TEACHERS WHO RECEIVED TRAINING ON INFORMATION AND COMMUNICATIONS TECHNOLOGY (ICT) </t>
  </si>
  <si>
    <r>
      <rPr>
        <b/>
        <i/>
        <sz val="12"/>
        <rFont val="Times New Roman"/>
        <family val="1"/>
      </rPr>
      <t>Constructivist teaching -</t>
    </r>
    <r>
      <rPr>
        <sz val="12"/>
        <rFont val="Times New Roman"/>
        <family val="1"/>
      </rPr>
      <t xml:space="preserve"> based on the belief that learning occurs as learners are actively involved in a process of meaning and knowledge construction as opposed to passively receiving information.</t>
    </r>
  </si>
  <si>
    <r>
      <rPr>
        <b/>
        <i/>
        <sz val="12"/>
        <rFont val="Times New Roman"/>
        <family val="1"/>
      </rPr>
      <t>Inquiry based</t>
    </r>
    <r>
      <rPr>
        <sz val="12"/>
        <rFont val="Times New Roman"/>
        <family val="1"/>
      </rPr>
      <t xml:space="preserve"> - is a form of active learning that starts by posing questions, problems or scenarios-rather than simply presenting established facts or portraying a smooth path to knowledge.</t>
    </r>
  </si>
  <si>
    <r>
      <rPr>
        <b/>
        <i/>
        <sz val="12"/>
        <rFont val="Times New Roman"/>
        <family val="1"/>
      </rPr>
      <t>Reflective teaching</t>
    </r>
    <r>
      <rPr>
        <sz val="12"/>
        <rFont val="Times New Roman"/>
        <family val="1"/>
      </rPr>
      <t xml:space="preserve"> - means looking at what you do in the classroom, thinking about why you do it, and thinking about if it works - a process of self-observation and self-evaluation.</t>
    </r>
  </si>
  <si>
    <r>
      <rPr>
        <b/>
        <i/>
        <sz val="12"/>
        <rFont val="Times New Roman"/>
        <family val="1"/>
      </rPr>
      <t>Collaborative learning</t>
    </r>
    <r>
      <rPr>
        <sz val="12"/>
        <rFont val="Times New Roman"/>
        <family val="1"/>
      </rPr>
      <t xml:space="preserve"> - is a method of teaching and learning in which learners team together to explore a significant question or create a meaningful project.</t>
    </r>
  </si>
  <si>
    <r>
      <t xml:space="preserve">Others - </t>
    </r>
    <r>
      <rPr>
        <sz val="12"/>
        <rFont val="Times New Roman"/>
        <family val="1"/>
      </rPr>
      <t>refers to the other training on Pedagogy.</t>
    </r>
  </si>
  <si>
    <t>English</t>
  </si>
  <si>
    <t>Music, Art, Physical Education, Health (MAPEH)</t>
  </si>
  <si>
    <r>
      <t xml:space="preserve">2. ** Number of teachers that can be </t>
    </r>
    <r>
      <rPr>
        <b/>
        <i/>
        <u/>
        <sz val="13"/>
        <rFont val="Times New Roman"/>
        <family val="1"/>
      </rPr>
      <t xml:space="preserve">counted more than once </t>
    </r>
  </si>
  <si>
    <t xml:space="preserve">Table 18. NUMBER OF TEACHERS BY HIGHEST EDUCATIONAL ATTAINMENT
</t>
  </si>
  <si>
    <t>Do you conduct Action Research in your school?</t>
  </si>
  <si>
    <t>If Yes, indicate the number of Action Research conducted:</t>
  </si>
  <si>
    <t>Do you conduct LAC Session/s in your school?</t>
  </si>
  <si>
    <t>If Yes, indicate the number of LAC Session/s conducted:</t>
  </si>
  <si>
    <t>1.b.  On-going</t>
  </si>
  <si>
    <t>Validated by Curriculum Implementation Division (CID) Personnel:</t>
  </si>
  <si>
    <t>What is/are the subject/s handled by the adviser?</t>
  </si>
  <si>
    <t xml:space="preserve">What is the highest academic degree of the adviser? </t>
  </si>
  <si>
    <t>Have your division won any National Award?</t>
  </si>
  <si>
    <t>How many times have the Youth Formation Coordinator (YFC)/Project Development Officer I (PDO I) visited the school?</t>
  </si>
  <si>
    <t>Do you have a Supreme Pupils Government (SPG) Council?</t>
  </si>
  <si>
    <t>Do you have a SPG Adviser?</t>
  </si>
  <si>
    <t xml:space="preserve"> Are the SPG Adviser deloaded of some of their subjects handled?</t>
  </si>
  <si>
    <t>Does the school collect fees for the SPG acivities?</t>
  </si>
  <si>
    <t>Did the school incorporate a budget for SPG as part of SIP/APP?</t>
  </si>
  <si>
    <t>Does the school have a room dedicated for the SPG Council?</t>
  </si>
  <si>
    <t>Do you provide Compensatory Time Off (CTO) for activities conducted by SPG advisers during Saturday?</t>
  </si>
  <si>
    <t>Have the school SPG joined a division search for best SPG Council?</t>
  </si>
  <si>
    <t>Have the school lead in National Greening Program?</t>
  </si>
  <si>
    <t>Have the SPG organized the participation of learners in Brigada Eskwela?</t>
  </si>
  <si>
    <t>Have the school SPG  conducted activities to prevent learners from dropping-out of schools?</t>
  </si>
  <si>
    <t>Have the school SPG conducted English Speaking Campaigns and Reading and Tutorial Services?</t>
  </si>
  <si>
    <t>Have the school SPG conducted activities to support Anti-Drug Abuse Education and Campaign?</t>
  </si>
  <si>
    <t>Have the school SPG assisted in ensuring that the school is a smoke/tobacco free place?</t>
  </si>
  <si>
    <t>Have the school SPG lead learners in organizing activities which start during the Teachers' Month Campaign every September and which culminate during the World Teachers' Day celebration on October 5?</t>
  </si>
  <si>
    <t>Have the school SPG encourage and support the participation of learners in recognized co-curricular clubs/organizations and activities?</t>
  </si>
  <si>
    <t>Have the school conduct activities and awareness campaigns to encourage parents to enlist their five (5) year old children for kindergarten?</t>
  </si>
  <si>
    <t xml:space="preserve">Have the school conducted book and toy drive and other school supplies for donation to schools with kindergarten? </t>
  </si>
  <si>
    <t>Do you have a school guidance counselor?</t>
  </si>
  <si>
    <t>How many years he/she is assigned as guidance counselor?</t>
  </si>
  <si>
    <t>Do you have a guidance advocate?</t>
  </si>
  <si>
    <t>How many years he/she is as guidance advocate?</t>
  </si>
  <si>
    <t>Have you conducted a career guidance activity?</t>
  </si>
  <si>
    <t xml:space="preserve">Has the school funded a career guidance activity? </t>
  </si>
  <si>
    <t>Do you have a guidance office?</t>
  </si>
  <si>
    <t>If Yes, shall provide data on Guidance Counselor in Table 10.</t>
  </si>
  <si>
    <t>Other
Government
Agencies</t>
  </si>
  <si>
    <t xml:space="preserve">                    TOTAL</t>
  </si>
  <si>
    <r>
      <rPr>
        <b/>
        <i/>
        <sz val="11"/>
        <rFont val="Times New Roman"/>
        <family val="1"/>
      </rPr>
      <t>a. DepEd DCP</t>
    </r>
    <r>
      <rPr>
        <sz val="11"/>
        <rFont val="Times New Roman"/>
        <family val="1"/>
      </rPr>
      <t xml:space="preserve"> - computers procured through the DepEd Computerization Program.</t>
    </r>
  </si>
  <si>
    <r>
      <t>b. DepEd non-DCP</t>
    </r>
    <r>
      <rPr>
        <sz val="11"/>
        <rFont val="Times New Roman"/>
        <family val="1"/>
      </rPr>
      <t xml:space="preserve"> - computers procured through other DepEd downloaded funds.</t>
    </r>
  </si>
  <si>
    <r>
      <rPr>
        <b/>
        <i/>
        <sz val="11"/>
        <rFont val="Times New Roman"/>
        <family val="1"/>
      </rPr>
      <t>c. LGU/SEF</t>
    </r>
    <r>
      <rPr>
        <sz val="11"/>
        <rFont val="Times New Roman"/>
        <family val="1"/>
      </rPr>
      <t xml:space="preserve"> - computers procured from the Special Education Fund (SEF) and the budgets of Local Government Units (LGU): provincial, municipal or barangay units.</t>
    </r>
  </si>
  <si>
    <r>
      <rPr>
        <b/>
        <i/>
        <sz val="11"/>
        <rFont val="Times New Roman"/>
        <family val="1"/>
      </rPr>
      <t>d. PTA</t>
    </r>
    <r>
      <rPr>
        <sz val="11"/>
        <rFont val="Times New Roman"/>
        <family val="1"/>
      </rPr>
      <t xml:space="preserve"> - computers funded from the Parents-Teachers Association (PTA).</t>
    </r>
  </si>
  <si>
    <r>
      <rPr>
        <b/>
        <i/>
        <sz val="11"/>
        <rFont val="Times New Roman"/>
        <family val="1"/>
      </rPr>
      <t>e. Private Donations</t>
    </r>
    <r>
      <rPr>
        <b/>
        <sz val="11"/>
        <rFont val="Times New Roman"/>
        <family val="1"/>
      </rPr>
      <t xml:space="preserve"> </t>
    </r>
    <r>
      <rPr>
        <sz val="11"/>
        <rFont val="Times New Roman"/>
        <family val="1"/>
      </rPr>
      <t>- computers donated/procured by private individuals, corporations, alumni associations, non-government organizations, philanthropic organizations or through foreign-assisted funds.</t>
    </r>
  </si>
  <si>
    <r>
      <rPr>
        <b/>
        <i/>
        <sz val="11"/>
        <rFont val="Times New Roman"/>
        <family val="1"/>
      </rPr>
      <t>f. Other Government Agencies</t>
    </r>
    <r>
      <rPr>
        <sz val="11"/>
        <rFont val="Times New Roman"/>
        <family val="1"/>
      </rPr>
      <t xml:space="preserve"> - computers funded from other government agencies such as DTI, DOST, CICT, etc.</t>
    </r>
  </si>
  <si>
    <r>
      <rPr>
        <b/>
        <i/>
        <sz val="11"/>
        <rFont val="Times New Roman"/>
        <family val="1"/>
      </rPr>
      <t>g. Others</t>
    </r>
    <r>
      <rPr>
        <b/>
        <sz val="11"/>
        <rFont val="Times New Roman"/>
        <family val="1"/>
      </rPr>
      <t xml:space="preserve"> </t>
    </r>
    <r>
      <rPr>
        <sz val="11"/>
        <rFont val="Times New Roman"/>
        <family val="1"/>
      </rPr>
      <t>- computers procured from other sources not listed above.</t>
    </r>
  </si>
  <si>
    <r>
      <rPr>
        <b/>
        <i/>
        <sz val="11"/>
        <rFont val="Times New Roman"/>
        <family val="1"/>
      </rPr>
      <t>2. Computer</t>
    </r>
    <r>
      <rPr>
        <sz val="11"/>
        <rFont val="Times New Roman"/>
        <family val="1"/>
      </rPr>
      <t xml:space="preserve"> - refers to electronic devices for storing and processing data such as :</t>
    </r>
  </si>
  <si>
    <r>
      <rPr>
        <b/>
        <i/>
        <sz val="11"/>
        <rFont val="Times New Roman"/>
        <family val="1"/>
      </rPr>
      <t>a. Desktop</t>
    </r>
    <r>
      <rPr>
        <sz val="11"/>
        <rFont val="Times New Roman"/>
        <family val="1"/>
      </rPr>
      <t xml:space="preserve"> - refers to a computer that is designed to be used on a table.</t>
    </r>
  </si>
  <si>
    <r>
      <rPr>
        <sz val="12"/>
        <rFont val="Times New Roman"/>
        <family val="1"/>
      </rPr>
      <t xml:space="preserve">   </t>
    </r>
    <r>
      <rPr>
        <b/>
        <i/>
        <sz val="12"/>
        <rFont val="Times New Roman"/>
        <family val="1"/>
      </rPr>
      <t>(Reminder: Do not count the computer host.)</t>
    </r>
  </si>
  <si>
    <r>
      <rPr>
        <b/>
        <i/>
        <sz val="11"/>
        <rFont val="Times New Roman"/>
        <family val="1"/>
      </rPr>
      <t>LED TV</t>
    </r>
    <r>
      <rPr>
        <sz val="11"/>
        <rFont val="Times New Roman"/>
        <family val="1"/>
      </rPr>
      <t xml:space="preserve"> - refers to a type of television that uses light-emitting diodes (LED).</t>
    </r>
  </si>
  <si>
    <r>
      <t>Network Switch</t>
    </r>
    <r>
      <rPr>
        <sz val="11"/>
        <rFont val="Times New Roman"/>
        <family val="1"/>
      </rPr>
      <t xml:space="preserve"> - refers to a device used to network multiple computers together.</t>
    </r>
  </si>
  <si>
    <r>
      <rPr>
        <b/>
        <i/>
        <sz val="11"/>
        <rFont val="Times New Roman"/>
        <family val="1"/>
      </rPr>
      <t>Printer</t>
    </r>
    <r>
      <rPr>
        <sz val="11"/>
        <rFont val="Times New Roman"/>
        <family val="1"/>
      </rPr>
      <t xml:space="preserve"> - refers to a machine for printing text or illustrations on paper.</t>
    </r>
  </si>
  <si>
    <r>
      <rPr>
        <b/>
        <i/>
        <sz val="11"/>
        <rFont val="Times New Roman"/>
        <family val="1"/>
      </rPr>
      <t>Projector</t>
    </r>
    <r>
      <rPr>
        <sz val="11"/>
        <rFont val="Times New Roman"/>
        <family val="1"/>
      </rPr>
      <t>- refers to a machine that projects images onto a screen or a wall.</t>
    </r>
  </si>
  <si>
    <r>
      <rPr>
        <b/>
        <i/>
        <sz val="11"/>
        <rFont val="Times New Roman"/>
        <family val="1"/>
      </rPr>
      <t>Uninterruptible Power Source (UPS)</t>
    </r>
    <r>
      <rPr>
        <b/>
        <sz val="11"/>
        <rFont val="Times New Roman"/>
        <family val="1"/>
      </rPr>
      <t xml:space="preserve"> </t>
    </r>
    <r>
      <rPr>
        <sz val="11"/>
        <rFont val="Times New Roman"/>
        <family val="1"/>
      </rPr>
      <t>- refers to an electronic equipment that provides battery backup when the electrical power source fails.</t>
    </r>
  </si>
  <si>
    <r>
      <rPr>
        <b/>
        <i/>
        <sz val="11"/>
        <rFont val="Times New Roman"/>
        <family val="1"/>
      </rPr>
      <t>Wireless Router</t>
    </r>
    <r>
      <rPr>
        <sz val="11"/>
        <rFont val="Times New Roman"/>
        <family val="1"/>
      </rPr>
      <t xml:space="preserve"> - refers to electronic device that works as router and as a wireless access point, to provide access to the internet or a private computer network.</t>
    </r>
  </si>
  <si>
    <t xml:space="preserve">If Yes, check the appropriate internet service provider/s servicing the area: </t>
  </si>
  <si>
    <t>WIT Global (Satellite)</t>
  </si>
  <si>
    <t>For administrative use</t>
  </si>
  <si>
    <t>For classroom instruction use</t>
  </si>
  <si>
    <t>How fast is your internet connection when not in use? Use www.speedtest.net to test the speed.</t>
  </si>
  <si>
    <t>Average Monthly Expense</t>
  </si>
  <si>
    <r>
      <t>(</t>
    </r>
    <r>
      <rPr>
        <b/>
        <i/>
        <sz val="10"/>
        <rFont val="Times New Roman"/>
        <family val="1"/>
      </rPr>
      <t>Wired, Fixed wireless, Satellite, 
USB Modem</t>
    </r>
    <r>
      <rPr>
        <b/>
        <sz val="10"/>
        <rFont val="Times New Roman"/>
        <family val="1"/>
      </rPr>
      <t>)</t>
    </r>
  </si>
  <si>
    <r>
      <t>(</t>
    </r>
    <r>
      <rPr>
        <b/>
        <i/>
        <sz val="10"/>
        <rFont val="Times New Roman"/>
        <family val="1"/>
      </rPr>
      <t>Select from available ISPs above</t>
    </r>
    <r>
      <rPr>
        <b/>
        <sz val="10"/>
        <rFont val="Times New Roman"/>
        <family val="1"/>
      </rPr>
      <t>)</t>
    </r>
  </si>
  <si>
    <r>
      <t>(</t>
    </r>
    <r>
      <rPr>
        <b/>
        <i/>
        <sz val="10"/>
        <rFont val="Times New Roman"/>
        <family val="1"/>
      </rPr>
      <t>in PhP</t>
    </r>
    <r>
      <rPr>
        <b/>
        <sz val="10"/>
        <rFont val="Times New Roman"/>
        <family val="1"/>
      </rPr>
      <t>)</t>
    </r>
  </si>
  <si>
    <r>
      <t>(</t>
    </r>
    <r>
      <rPr>
        <b/>
        <i/>
        <sz val="10"/>
        <rFont val="Times New Roman"/>
        <family val="1"/>
      </rPr>
      <t>DepEd DICP, MOOE, School Funds, LGU/SEF, PTA, Private Donations, Other Government Agencies, etc.</t>
    </r>
    <r>
      <rPr>
        <b/>
        <sz val="10"/>
        <rFont val="Times New Roman"/>
        <family val="1"/>
      </rPr>
      <t>)</t>
    </r>
  </si>
  <si>
    <t>1. Types of Internet Connection:</t>
  </si>
  <si>
    <r>
      <rPr>
        <b/>
        <i/>
        <sz val="11"/>
        <rFont val="Times New Roman"/>
        <family val="1"/>
      </rPr>
      <t>a. Wired</t>
    </r>
    <r>
      <rPr>
        <b/>
        <sz val="11"/>
        <rFont val="Times New Roman"/>
        <family val="1"/>
      </rPr>
      <t xml:space="preserve"> -</t>
    </r>
    <r>
      <rPr>
        <sz val="11"/>
        <rFont val="Times New Roman"/>
        <family val="1"/>
      </rPr>
      <t xml:space="preserve"> internet connection using the phone lines from the service provider to a client.</t>
    </r>
  </si>
  <si>
    <r>
      <rPr>
        <b/>
        <i/>
        <sz val="11"/>
        <rFont val="Times New Roman"/>
        <family val="1"/>
      </rPr>
      <t>b. Fixed wireless</t>
    </r>
    <r>
      <rPr>
        <b/>
        <sz val="11"/>
        <rFont val="Times New Roman"/>
        <family val="1"/>
      </rPr>
      <t xml:space="preserve"> </t>
    </r>
    <r>
      <rPr>
        <sz val="11"/>
        <rFont val="Times New Roman"/>
        <family val="1"/>
      </rPr>
      <t>- internet connection through radio frequency bands with directional radio antenna on each end of the signal.</t>
    </r>
  </si>
  <si>
    <r>
      <rPr>
        <b/>
        <i/>
        <sz val="11"/>
        <rFont val="Times New Roman"/>
        <family val="1"/>
      </rPr>
      <t>c. Satellite</t>
    </r>
    <r>
      <rPr>
        <sz val="11"/>
        <rFont val="Times New Roman"/>
        <family val="1"/>
      </rPr>
      <t xml:space="preserve"> - internet connection using satellite dish supplied by an internet provider.</t>
    </r>
  </si>
  <si>
    <r>
      <rPr>
        <b/>
        <i/>
        <sz val="11"/>
        <rFont val="Times New Roman"/>
        <family val="1"/>
      </rPr>
      <t>d. USB Modem</t>
    </r>
    <r>
      <rPr>
        <sz val="11"/>
        <rFont val="Times New Roman"/>
        <family val="1"/>
      </rPr>
      <t xml:space="preserve"> - internet connection using USB dongle (e.g., SMART Bro, Globe Tattoo).</t>
    </r>
  </si>
  <si>
    <r>
      <t>Maintenance and Other Operating Expenses (MOOE)</t>
    </r>
    <r>
      <rPr>
        <sz val="11"/>
        <rFont val="Times New Roman"/>
        <family val="1"/>
      </rPr>
      <t xml:space="preserve"> - is the allocated funds for public elementary and secondary schools that can be spent on activities and necessities (i.e. electricity and water) that support learning programs and help maintain a safe and healthy environment in schools.</t>
    </r>
  </si>
  <si>
    <r>
      <t>No source of electricity</t>
    </r>
    <r>
      <rPr>
        <sz val="11"/>
        <rFont val="Times New Roman"/>
        <family val="1"/>
      </rPr>
      <t xml:space="preserve"> - without existing electrical supply at all.</t>
    </r>
  </si>
  <si>
    <r>
      <t xml:space="preserve">Average Cost of Monthly Bills/Maintenance: </t>
    </r>
    <r>
      <rPr>
        <i/>
        <sz val="12"/>
        <rFont val="Times New Roman"/>
        <family val="1"/>
      </rPr>
      <t>(Indicate the amount in PhP)</t>
    </r>
  </si>
  <si>
    <r>
      <t xml:space="preserve">Number of </t>
    </r>
    <r>
      <rPr>
        <b/>
        <u/>
        <sz val="12"/>
        <rFont val="Times New Roman"/>
        <family val="1"/>
      </rPr>
      <t>hours</t>
    </r>
    <r>
      <rPr>
        <sz val="12"/>
        <rFont val="Times New Roman"/>
        <family val="1"/>
      </rPr>
      <t xml:space="preserve"> that the electricity is usually available in a day:</t>
    </r>
  </si>
  <si>
    <t xml:space="preserve">1. School Site Ownership and / or Proof of Occupancy
      </t>
  </si>
  <si>
    <r>
      <t>2. Total Land Area</t>
    </r>
    <r>
      <rPr>
        <i/>
        <sz val="11"/>
        <rFont val="Times New Roman"/>
        <family val="1"/>
      </rPr>
      <t xml:space="preserve"> (in square meters)</t>
    </r>
    <r>
      <rPr>
        <sz val="12"/>
        <rFont val="Times New Roman"/>
        <family val="1"/>
      </rPr>
      <t xml:space="preserve">: </t>
    </r>
  </si>
  <si>
    <t xml:space="preserve">   a. Ownership in the name of:</t>
  </si>
  <si>
    <t>3. Mode of Acquisition of School Site:</t>
  </si>
  <si>
    <t xml:space="preserve">   b. With Document? </t>
  </si>
  <si>
    <t>If Yes, what Document Type:</t>
  </si>
  <si>
    <t>7. School Site within :</t>
  </si>
  <si>
    <r>
      <t xml:space="preserve">School Site Ownership and / or Proof of Occupancy </t>
    </r>
    <r>
      <rPr>
        <sz val="11"/>
        <rFont val="Times New Roman"/>
        <family val="1"/>
      </rPr>
      <t>- refers to any legal and official document that acts as a competent proof of one's ownership and/or occupancy of the subject property.</t>
    </r>
  </si>
  <si>
    <r>
      <t xml:space="preserve">Original Certificate of Title (OCT) </t>
    </r>
    <r>
      <rPr>
        <sz val="11"/>
        <rFont val="Times New Roman"/>
        <family val="1"/>
      </rPr>
      <t>- refers to a document when the land has been adjudicated and decreed in the name of its owner in registration proceeding and the title issued for the</t>
    </r>
    <r>
      <rPr>
        <b/>
        <sz val="11"/>
        <rFont val="Times New Roman"/>
        <family val="1"/>
      </rPr>
      <t xml:space="preserve"> first time</t>
    </r>
    <r>
      <rPr>
        <sz val="11"/>
        <rFont val="Times New Roman"/>
        <family val="1"/>
      </rPr>
      <t xml:space="preserve"> is pursuant of such decree.</t>
    </r>
  </si>
  <si>
    <r>
      <t>Tax Declaration</t>
    </r>
    <r>
      <rPr>
        <sz val="11"/>
        <rFont val="Times New Roman"/>
        <family val="1"/>
      </rPr>
      <t xml:space="preserve"> - refers to a document issued by the Assessor's Office of the jurisdiction (e.g., city or municipality) evidencing the payment of taxes on the use of the real property.</t>
    </r>
  </si>
  <si>
    <r>
      <t>Total Land Area</t>
    </r>
    <r>
      <rPr>
        <sz val="11"/>
        <rFont val="Times New Roman"/>
        <family val="1"/>
      </rPr>
      <t xml:space="preserve"> - refers to the size in square meters of all areas designated as land used for some particular purpose such as school building.</t>
    </r>
  </si>
  <si>
    <r>
      <t>Mode of Acquisition of School Site</t>
    </r>
    <r>
      <rPr>
        <sz val="11"/>
        <rFont val="Times New Roman"/>
        <family val="1"/>
      </rPr>
      <t xml:space="preserve"> - refers to the means of acquiring the school site.</t>
    </r>
  </si>
  <si>
    <r>
      <t>Donation</t>
    </r>
    <r>
      <rPr>
        <i/>
        <sz val="11"/>
        <rFont val="Times New Roman"/>
        <family val="1"/>
      </rPr>
      <t xml:space="preserve"> </t>
    </r>
    <r>
      <rPr>
        <sz val="11"/>
        <rFont val="Times New Roman"/>
        <family val="1"/>
      </rPr>
      <t>- includes the four (4) types of donation: .</t>
    </r>
  </si>
  <si>
    <r>
      <t>Simple Donation</t>
    </r>
    <r>
      <rPr>
        <sz val="11"/>
        <rFont val="Times New Roman"/>
        <family val="1"/>
      </rPr>
      <t xml:space="preserve"> - refers to a type of donation whereby a person, through an act of liberality disposes a piece of land in favor of the government.</t>
    </r>
  </si>
  <si>
    <r>
      <t>Conditional Donation</t>
    </r>
    <r>
      <rPr>
        <sz val="11"/>
        <rFont val="Times New Roman"/>
        <family val="1"/>
      </rPr>
      <t xml:space="preserve"> - refers to a type of donation which imposes a condition (e.g., "that the land shall be used only for education"). In such case, the property is reverted to the owner when the condition as stipulated in the donation is not met.</t>
    </r>
  </si>
  <si>
    <r>
      <t>Inter Vivos Donation</t>
    </r>
    <r>
      <rPr>
        <sz val="11"/>
        <rFont val="Times New Roman"/>
        <family val="1"/>
      </rPr>
      <t xml:space="preserve"> - refers to a type of donation that is in effect during the lifetime of the donor. </t>
    </r>
  </si>
  <si>
    <r>
      <t>Mortis Causa</t>
    </r>
    <r>
      <rPr>
        <sz val="11"/>
        <rFont val="Times New Roman"/>
        <family val="1"/>
      </rPr>
      <t xml:space="preserve"> - refers to a type of donation that takes effect only after the donor's death. Donations by mortis causa should conform to the formalities required of the last will.</t>
    </r>
  </si>
  <si>
    <r>
      <t>Purchase</t>
    </r>
    <r>
      <rPr>
        <sz val="11"/>
        <rFont val="Times New Roman"/>
        <family val="1"/>
      </rPr>
      <t xml:space="preserve"> - refers to a mode of acquisition of school sites by direct purchase from the legal owner who voluntarily sold it as evidenced by a Deed of Sale duly executed, notarized and registered with the Register of Deeds.</t>
    </r>
  </si>
  <si>
    <r>
      <t>Expropriation</t>
    </r>
    <r>
      <rPr>
        <sz val="11"/>
        <rFont val="Times New Roman"/>
        <family val="1"/>
      </rPr>
      <t xml:space="preserve"> - refers to a mode of acquisition of school sites by the government through the exercise its power of eminent domain (i.e. by taking private property for public use upon payment of just compensation).</t>
    </r>
  </si>
  <si>
    <r>
      <t>Exchange (Land Swapping)</t>
    </r>
    <r>
      <rPr>
        <sz val="11"/>
        <rFont val="Times New Roman"/>
        <family val="1"/>
      </rPr>
      <t xml:space="preserve"> - refers to a mode of acquisition of school sites by exchanging an existing school site for a new site for justifiable reasons as identified by law.</t>
    </r>
  </si>
  <si>
    <r>
      <t>Presidential Proclamation</t>
    </r>
    <r>
      <rPr>
        <sz val="11"/>
        <rFont val="Times New Roman"/>
        <family val="1"/>
      </rPr>
      <t xml:space="preserve"> - refers to a mode of acquisition of school sites by virtue of a declaration by the President under the procedures established by law.</t>
    </r>
  </si>
  <si>
    <r>
      <t>Within Ancestral Domain</t>
    </r>
    <r>
      <rPr>
        <sz val="11"/>
        <rFont val="Times New Roman"/>
        <family val="1"/>
      </rPr>
      <t xml:space="preserve"> - refers to all areas generally belonging to Indigenous Cultural Communities / Indigenous People (ICCs/IPs) comprising lands, inland waters, coastal areas, and natural resources therein, held under a claim of ownership, occupied or possessed by ICCs/IPs, communally or individually since time immemorial. It covers the total environment, including the spiritual and cultural bonds to the areas which the ICCs/IPs possess, occupy and use and to which they have claims of ownership.</t>
    </r>
  </si>
  <si>
    <r>
      <t>Certificate of Ancestral Domain Titles (CADT)</t>
    </r>
    <r>
      <rPr>
        <sz val="11"/>
        <rFont val="Times New Roman"/>
        <family val="1"/>
      </rPr>
      <t xml:space="preserve"> - refers refers to a title formally recognizing the rights of possession and ownership of ICCs/IPs over their ancestral domains identified and delineated in accordance with RA No. 837 otherwise known as the Indigenous People’s Rights Act of 1973.</t>
    </r>
  </si>
  <si>
    <r>
      <t>Within Ancestral Land</t>
    </r>
    <r>
      <rPr>
        <sz val="11"/>
        <rFont val="Times New Roman"/>
        <family val="1"/>
      </rPr>
      <t xml:space="preserve"> - refers to occupied land, possessed and utilized by individuals, families and clans who are members of the ICCs/IPs since time immemorial. Ancestral lands include residential lots, rice terraces or paddies, private forests, swidden farms and tree lots. These may be found within ancestral domains.</t>
    </r>
  </si>
  <si>
    <r>
      <t>Certificate of Ancestral Land Title (CALT)</t>
    </r>
    <r>
      <rPr>
        <sz val="11"/>
        <rFont val="Times New Roman"/>
        <family val="1"/>
      </rPr>
      <t xml:space="preserve"> - refers to a title formally recognizing the rights of ICCs/IPs over their ancestral lands.</t>
    </r>
  </si>
  <si>
    <r>
      <t>Adverse Claim</t>
    </r>
    <r>
      <rPr>
        <sz val="11"/>
        <rFont val="Times New Roman"/>
        <family val="1"/>
      </rPr>
      <t xml:space="preserve"> - refers to a written statement setting forth claim to the title or right to possession over a registered property, alleging how and under whom such alleged right was acquired.</t>
    </r>
  </si>
  <si>
    <r>
      <t>Encroachment</t>
    </r>
    <r>
      <rPr>
        <sz val="11"/>
        <rFont val="Times New Roman"/>
        <family val="1"/>
      </rPr>
      <t xml:space="preserve"> - refers to unlawful interference or gaining upon the land, property, other possessions, or the rights of another.</t>
    </r>
  </si>
  <si>
    <r>
      <t>With Illegal Settlers</t>
    </r>
    <r>
      <rPr>
        <sz val="11"/>
        <rFont val="Times New Roman"/>
        <family val="1"/>
      </rPr>
      <t xml:space="preserve"> - refers to groups of housing units illegally constructed on a land that the occupants have no legal claim.</t>
    </r>
  </si>
  <si>
    <r>
      <t>Protected Areas</t>
    </r>
    <r>
      <rPr>
        <sz val="11"/>
        <rFont val="Times New Roman"/>
        <family val="1"/>
      </rPr>
      <t xml:space="preserve"> – refers to identified portions of land and water set aside by reason of their unique physical and biological significance, managed to enhance biological diversity and protected against destructive human exploitation, such as National Parks, Natural Parks, Natural Monuments, Protected Landscape, Protected Seascape, Game Refuge and Bird Sanctuaries, Resource Reserves, Managed Resource Protected Areas, Marine Reserves, Watershed Forest Reserves, Natural Biotic Areas, Wildlife Sanctuaries, and Wilderness Areas.</t>
    </r>
  </si>
  <si>
    <r>
      <t>Timberland and Forestland</t>
    </r>
    <r>
      <rPr>
        <sz val="11"/>
        <rFont val="Times New Roman"/>
        <family val="1"/>
      </rPr>
      <t xml:space="preserve"> – refers to lands of the public domain which have been the subject of the present system of land classification and determined to be needed for forest purposes. Eventually, these lands will be proclaimed as forest reserves by the President.</t>
    </r>
  </si>
  <si>
    <t>Type of Vaccines</t>
  </si>
  <si>
    <r>
      <t xml:space="preserve">TOTAL
</t>
    </r>
    <r>
      <rPr>
        <b/>
        <sz val="11"/>
        <rFont val="Times New Roman"/>
        <family val="1"/>
      </rPr>
      <t>(Kindergarten to Grade 3)</t>
    </r>
  </si>
  <si>
    <t>Learners with Disabilities
(Non-Graded)</t>
  </si>
  <si>
    <t xml:space="preserve">     2. Does the school have a designated Clinic Teacher?	</t>
  </si>
  <si>
    <t xml:space="preserve">Others, (specify) </t>
  </si>
  <si>
    <t xml:space="preserve">     5. How many first aid kits does the school have?</t>
  </si>
  <si>
    <t xml:space="preserve">     6. How many medical thermometers does the school have?</t>
  </si>
  <si>
    <t xml:space="preserve">     7. How many blood pressure apparatus does the school have?</t>
  </si>
  <si>
    <t xml:space="preserve">     8. How many school personnel has a training on basic life support and/or first aid?</t>
  </si>
  <si>
    <t>TOTAL
Number of Wash
Facilities</t>
  </si>
  <si>
    <t>No. of DMFT</t>
  </si>
  <si>
    <r>
      <t xml:space="preserve">Number of learners who sought </t>
    </r>
    <r>
      <rPr>
        <i/>
        <sz val="12"/>
        <rFont val="Times New Roman"/>
        <family val="1"/>
      </rPr>
      <t>guidance counseling or life coaching</t>
    </r>
    <r>
      <rPr>
        <sz val="12"/>
        <rFont val="Times New Roman"/>
        <family val="1"/>
      </rPr>
      <t xml:space="preserve"> from the school’s guidance counselor or guidance advocate:</t>
    </r>
  </si>
  <si>
    <r>
      <t xml:space="preserve">How many </t>
    </r>
    <r>
      <rPr>
        <i/>
        <sz val="12"/>
        <rFont val="Times New Roman"/>
        <family val="1"/>
      </rPr>
      <t>teachers</t>
    </r>
    <r>
      <rPr>
        <sz val="12"/>
        <rFont val="Times New Roman"/>
        <family val="1"/>
      </rPr>
      <t xml:space="preserve"> are tobacco (cigarette) smokers and/or ENDS/ENNDS (vape/e-cigarette) users?</t>
    </r>
  </si>
  <si>
    <r>
      <t xml:space="preserve">In the </t>
    </r>
    <r>
      <rPr>
        <i/>
        <sz val="12"/>
        <rFont val="Times New Roman"/>
        <family val="1"/>
      </rPr>
      <t>previous school year</t>
    </r>
    <r>
      <rPr>
        <sz val="12"/>
        <rFont val="Times New Roman"/>
        <family val="1"/>
      </rPr>
      <t>, how many</t>
    </r>
    <r>
      <rPr>
        <i/>
        <sz val="12"/>
        <rFont val="Times New Roman"/>
        <family val="1"/>
      </rPr>
      <t xml:space="preserve"> learners</t>
    </r>
    <r>
      <rPr>
        <sz val="12"/>
        <rFont val="Times New Roman"/>
        <family val="1"/>
      </rPr>
      <t xml:space="preserve"> were recorded by the school to have smoked tobacco and/or used ENDS/ENNDS?</t>
    </r>
  </si>
  <si>
    <t>2. Which of the following components are part of the school's preventive drug education program?</t>
  </si>
  <si>
    <t>Does the school have a canteen?</t>
  </si>
  <si>
    <r>
      <t xml:space="preserve">1. How often are the sanitation facilites cleaned? </t>
    </r>
    <r>
      <rPr>
        <i/>
        <sz val="12"/>
        <rFont val="Times New Roman"/>
        <family val="1"/>
      </rPr>
      <t>(Check only one)</t>
    </r>
  </si>
  <si>
    <t>1.2. Who Pays for the Cost of Monthly Bills/Maintenance?</t>
  </si>
  <si>
    <r>
      <t xml:space="preserve">1.1. Average Cost of Monthly Bills/Maintenance: </t>
    </r>
    <r>
      <rPr>
        <i/>
        <sz val="12"/>
        <rFont val="Times New Roman"/>
        <family val="1"/>
      </rPr>
      <t>(Indicate the amount in Php)</t>
    </r>
  </si>
  <si>
    <t xml:space="preserve"> Physical Violence</t>
  </si>
  <si>
    <t xml:space="preserve"> Sexual Violence</t>
  </si>
  <si>
    <t xml:space="preserve"> Psychological Violence</t>
  </si>
  <si>
    <t xml:space="preserve"> Other Acts of Violence</t>
  </si>
  <si>
    <t xml:space="preserve"> Physical Bullying</t>
  </si>
  <si>
    <t xml:space="preserve"> Cyber Bullying</t>
  </si>
  <si>
    <t xml:space="preserve"> Gender-based Bullying</t>
  </si>
  <si>
    <t xml:space="preserve"> Social Bullying</t>
  </si>
  <si>
    <t xml:space="preserve"> Physical appearance</t>
  </si>
  <si>
    <t xml:space="preserve"> Status in life (e.g. poor)</t>
  </si>
  <si>
    <t xml:space="preserve"> Skin colour</t>
  </si>
  <si>
    <t xml:space="preserve"> Age (young or old)</t>
  </si>
  <si>
    <t xml:space="preserve"> Gender</t>
  </si>
  <si>
    <t xml:space="preserve"> Race or ethnicity</t>
  </si>
  <si>
    <t xml:space="preserve"> Religion</t>
  </si>
  <si>
    <t xml:space="preserve"> Disability</t>
  </si>
  <si>
    <t>Archery</t>
  </si>
  <si>
    <t>Women Artistic Gymnastics (WAG)</t>
  </si>
  <si>
    <t>Arnis</t>
  </si>
  <si>
    <t>Ryhtmic Gymnastics (RG)</t>
  </si>
  <si>
    <t>Athletics (throwing)</t>
  </si>
  <si>
    <t>Pencak Silat</t>
  </si>
  <si>
    <t>Athletics (running)</t>
  </si>
  <si>
    <t>Sepak Takraw</t>
  </si>
  <si>
    <t>Badminton</t>
  </si>
  <si>
    <t>Softball</t>
  </si>
  <si>
    <t>Basketball</t>
  </si>
  <si>
    <t>Swimming</t>
  </si>
  <si>
    <t>Baseball</t>
  </si>
  <si>
    <t>Table Tennis</t>
  </si>
  <si>
    <t>Billards</t>
  </si>
  <si>
    <t>Taekwondo</t>
  </si>
  <si>
    <t>Boxing</t>
  </si>
  <si>
    <t>Tennis</t>
  </si>
  <si>
    <t>Chess</t>
  </si>
  <si>
    <t>Volleyball</t>
  </si>
  <si>
    <t>Dance Sports</t>
  </si>
  <si>
    <t>26.</t>
  </si>
  <si>
    <t>Wrestling</t>
  </si>
  <si>
    <t>Football</t>
  </si>
  <si>
    <t>27.</t>
  </si>
  <si>
    <t>Wushu</t>
  </si>
  <si>
    <t>Futsal</t>
  </si>
  <si>
    <t>28.</t>
  </si>
  <si>
    <t>Bocce</t>
  </si>
  <si>
    <t>Aerobic Gymnastics</t>
  </si>
  <si>
    <t>29.</t>
  </si>
  <si>
    <t>Men Artistic Gymnastics (MAG)</t>
  </si>
  <si>
    <r>
      <t xml:space="preserve">Sports events </t>
    </r>
    <r>
      <rPr>
        <b/>
        <sz val="12"/>
        <rFont val="Times New Roman"/>
        <family val="1"/>
      </rPr>
      <t>-</t>
    </r>
    <r>
      <rPr>
        <sz val="12"/>
        <rFont val="Times New Roman"/>
        <family val="1"/>
      </rPr>
      <t xml:space="preserve"> current sports events being offered by the school.</t>
    </r>
  </si>
  <si>
    <r>
      <t xml:space="preserve">Sports clubs </t>
    </r>
    <r>
      <rPr>
        <b/>
        <sz val="12"/>
        <rFont val="Times New Roman"/>
        <family val="1"/>
      </rPr>
      <t>-</t>
    </r>
    <r>
      <rPr>
        <sz val="12"/>
        <rFont val="Times New Roman"/>
        <family val="1"/>
      </rPr>
      <t xml:space="preserve"> current sports clubs being offered by the school.</t>
    </r>
  </si>
  <si>
    <r>
      <t>Sports facilities</t>
    </r>
    <r>
      <rPr>
        <sz val="12"/>
        <rFont val="Times New Roman"/>
        <family val="1"/>
      </rPr>
      <t xml:space="preserve"> - current venues being used for sports events.</t>
    </r>
  </si>
  <si>
    <t>(Check multiple sports events, clubs, and facilities being offered in the school)</t>
  </si>
  <si>
    <t>Number of
Non-teaching
personnel with
sports specialization</t>
  </si>
  <si>
    <t>Reminder: PE teacher/s, Non PE teacher/s and Non-teaching personnel may identify multiple sporting events.</t>
  </si>
  <si>
    <r>
      <t xml:space="preserve">Women Artistic Gymnastics </t>
    </r>
    <r>
      <rPr>
        <sz val="12"/>
        <rFont val="Times New Roman"/>
        <family val="1"/>
      </rPr>
      <t>(</t>
    </r>
    <r>
      <rPr>
        <sz val="13"/>
        <rFont val="Times New Roman"/>
        <family val="1"/>
      </rPr>
      <t>WAG</t>
    </r>
    <r>
      <rPr>
        <sz val="12"/>
        <rFont val="Times New Roman"/>
        <family val="1"/>
      </rPr>
      <t>)</t>
    </r>
  </si>
  <si>
    <r>
      <rPr>
        <b/>
        <i/>
        <sz val="12"/>
        <rFont val="Times New Roman"/>
        <family val="1"/>
      </rPr>
      <t>Coaches</t>
    </r>
    <r>
      <rPr>
        <sz val="12"/>
        <rFont val="Times New Roman"/>
        <family val="1"/>
      </rPr>
      <t xml:space="preserve"> - identified personnel (DepEd funded) who is qualified/currently handling the identified sporting event.</t>
    </r>
  </si>
  <si>
    <r>
      <rPr>
        <b/>
        <i/>
        <sz val="12"/>
        <rFont val="Times New Roman"/>
        <family val="1"/>
      </rPr>
      <t>Officiating Officials</t>
    </r>
    <r>
      <rPr>
        <sz val="12"/>
        <rFont val="Times New Roman"/>
        <family val="1"/>
      </rPr>
      <t xml:space="preserve"> - identified personnel (DepEd funded) who is qualified/can handle officiating the identified sporting event.</t>
    </r>
  </si>
  <si>
    <r>
      <rPr>
        <b/>
        <i/>
        <sz val="12"/>
        <rFont val="Times New Roman"/>
        <family val="1"/>
      </rPr>
      <t>PE teachers</t>
    </r>
    <r>
      <rPr>
        <sz val="12"/>
        <rFont val="Times New Roman"/>
        <family val="1"/>
      </rPr>
      <t xml:space="preserve"> - identified BSPE personnel (DepEd funded) and their sports specialization.</t>
    </r>
  </si>
  <si>
    <r>
      <rPr>
        <b/>
        <i/>
        <sz val="12"/>
        <rFont val="Times New Roman"/>
        <family val="1"/>
      </rPr>
      <t>Non PE teachers</t>
    </r>
    <r>
      <rPr>
        <sz val="12"/>
        <rFont val="Times New Roman"/>
        <family val="1"/>
      </rPr>
      <t xml:space="preserve"> - identified personnel teaching academics (DepEd funded) and their sports specialization.</t>
    </r>
  </si>
  <si>
    <r>
      <rPr>
        <b/>
        <i/>
        <sz val="12"/>
        <rFont val="Times New Roman"/>
        <family val="1"/>
      </rPr>
      <t>Non-teaching personnel</t>
    </r>
    <r>
      <rPr>
        <sz val="12"/>
        <rFont val="Times New Roman"/>
        <family val="1"/>
      </rPr>
      <t xml:space="preserve"> - identified non academic personnel (DepEd funded) and their sports specialization.</t>
    </r>
  </si>
  <si>
    <t>Fire **</t>
  </si>
  <si>
    <r>
      <t xml:space="preserve">Health Threat
</t>
    </r>
    <r>
      <rPr>
        <i/>
        <sz val="13"/>
        <rFont val="Times New Roman"/>
        <family val="1"/>
      </rPr>
      <t>(i.e. Dengue, Malaria, Measles, food poisoning, disease outbreak)</t>
    </r>
  </si>
  <si>
    <t>(See definitions on the next page)</t>
  </si>
  <si>
    <t>(See continuation of definitions on the next page)</t>
  </si>
  <si>
    <r>
      <t>1b1.</t>
    </r>
    <r>
      <rPr>
        <b/>
        <i/>
        <sz val="13"/>
        <color theme="0"/>
        <rFont val="Times New Roman"/>
        <family val="1"/>
      </rPr>
      <t xml:space="preserve"> </t>
    </r>
    <r>
      <rPr>
        <b/>
        <i/>
        <u/>
        <sz val="13"/>
        <color theme="0"/>
        <rFont val="Times New Roman"/>
        <family val="1"/>
      </rPr>
      <t>State Actors:</t>
    </r>
  </si>
  <si>
    <r>
      <t xml:space="preserve">1b2. </t>
    </r>
    <r>
      <rPr>
        <b/>
        <i/>
        <u/>
        <sz val="13"/>
        <color theme="0"/>
        <rFont val="Times New Roman"/>
        <family val="1"/>
      </rPr>
      <t>Non-State Actors:</t>
    </r>
  </si>
  <si>
    <t>DO 82 s.2010</t>
  </si>
  <si>
    <t>DO 83 s.2011</t>
  </si>
  <si>
    <t>DO 43 s.2012</t>
  </si>
  <si>
    <t>DO 21 s.2015</t>
  </si>
  <si>
    <t>DO 23 s.2015</t>
  </si>
  <si>
    <t>DO 27 s.2015</t>
  </si>
  <si>
    <t>DO 37 s.2015</t>
  </si>
  <si>
    <t>DO 28 s.2016</t>
  </si>
  <si>
    <t>DM 221 s.2013</t>
  </si>
  <si>
    <t>DO 44 s.2005</t>
  </si>
  <si>
    <t>DO 57 s.2017</t>
  </si>
  <si>
    <t>DO 40 s.2012</t>
  </si>
  <si>
    <r>
      <t xml:space="preserve">Cancer </t>
    </r>
    <r>
      <rPr>
        <sz val="12"/>
        <rFont val="Times New Roman"/>
        <family val="1"/>
      </rPr>
      <t>- refers to a learner who are cancer patients, living with cancer and cancer survivor.</t>
    </r>
  </si>
  <si>
    <t>Table 4. NUMBER OF FUNCTIONAL EQUIPMENT AND TOOLS FOR LWDs</t>
  </si>
  <si>
    <r>
      <t xml:space="preserve">Gulayan sa Paaralan, If </t>
    </r>
    <r>
      <rPr>
        <i/>
        <sz val="12"/>
        <rFont val="Times New Roman"/>
        <family val="1"/>
      </rPr>
      <t>check,</t>
    </r>
    <r>
      <rPr>
        <sz val="12"/>
        <rFont val="Times New Roman"/>
        <family val="1"/>
      </rPr>
      <t xml:space="preserve"> which of the following types of vegetables are present in the school garden?</t>
    </r>
  </si>
  <si>
    <t>TOTAL
Nationally-funded personnel working
in the school</t>
  </si>
  <si>
    <t>TOTAL
Nationally-funded teachers working
in the school</t>
  </si>
  <si>
    <t>Number of teachers actually working
in the school</t>
  </si>
  <si>
    <t>Counted only once *</t>
  </si>
  <si>
    <t>Counted more than once **</t>
  </si>
  <si>
    <r>
      <t>In Table 11</t>
    </r>
    <r>
      <rPr>
        <b/>
        <i/>
        <vertAlign val="subscript"/>
        <sz val="13"/>
        <rFont val="Times New Roman"/>
        <family val="1"/>
      </rPr>
      <t>a</t>
    </r>
    <r>
      <rPr>
        <b/>
        <i/>
        <sz val="13"/>
        <rFont val="Times New Roman"/>
        <family val="1"/>
      </rPr>
      <t xml:space="preserve">, totals in column 18 shall tally with entries in Table 12 column 7. </t>
    </r>
  </si>
  <si>
    <t xml:space="preserve">     4. Which of the following tools does the school use for taking height?</t>
  </si>
  <si>
    <t>TOTAL (Kindergarten to Grade 6)</t>
  </si>
  <si>
    <r>
      <t xml:space="preserve">TOTAL
</t>
    </r>
    <r>
      <rPr>
        <b/>
        <sz val="11"/>
        <rFont val="Times New Roman"/>
        <family val="1"/>
      </rPr>
      <t>(Kindergarten to 
 LWDs Non-Graded)</t>
    </r>
  </si>
  <si>
    <r>
      <rPr>
        <b/>
        <i/>
        <sz val="12"/>
        <rFont val="Times New Roman"/>
        <family val="1"/>
      </rPr>
      <t>Length of time (Homebound/Hospital bound)</t>
    </r>
    <r>
      <rPr>
        <sz val="11"/>
        <rFont val="Times New Roman"/>
        <family val="1"/>
      </rPr>
      <t xml:space="preserve"> - refers to the number of years that the learner spent in the program.</t>
    </r>
  </si>
  <si>
    <r>
      <rPr>
        <b/>
        <i/>
        <sz val="12"/>
        <rFont val="Times New Roman"/>
        <family val="1"/>
      </rPr>
      <t>Grade Placement (Homebound/Hospital bound)</t>
    </r>
    <r>
      <rPr>
        <sz val="12"/>
        <rFont val="Times New Roman"/>
        <family val="1"/>
      </rPr>
      <t xml:space="preserve"> - refers to what program the learners are placed or enrolled. </t>
    </r>
  </si>
  <si>
    <r>
      <rPr>
        <b/>
        <sz val="10"/>
        <rFont val="Times New Roman"/>
        <family val="1"/>
      </rPr>
      <t xml:space="preserve">Kindergarten
</t>
    </r>
    <r>
      <rPr>
        <b/>
        <sz val="11"/>
        <rFont val="Times New Roman"/>
        <family val="1"/>
      </rPr>
      <t>to
 Grade 6</t>
    </r>
  </si>
  <si>
    <t>Transition
Program</t>
  </si>
  <si>
    <r>
      <t xml:space="preserve">   2. LWDs </t>
    </r>
    <r>
      <rPr>
        <b/>
        <i/>
        <u/>
        <sz val="12"/>
        <rFont val="Times New Roman"/>
        <family val="1"/>
      </rPr>
      <t>with two or more manifestations</t>
    </r>
    <r>
      <rPr>
        <b/>
        <i/>
        <sz val="12"/>
        <rFont val="Times New Roman"/>
        <family val="1"/>
      </rPr>
      <t>, shall be counted under dominant/prevalent manifestation/difficulty.</t>
    </r>
  </si>
  <si>
    <r>
      <t xml:space="preserve">TOTAL
</t>
    </r>
    <r>
      <rPr>
        <b/>
        <sz val="11"/>
        <rFont val="Times New Roman"/>
        <family val="1"/>
      </rPr>
      <t>(Kindergarten to Grade 6)</t>
    </r>
  </si>
  <si>
    <r>
      <t>Difficulty in Communicating</t>
    </r>
    <r>
      <rPr>
        <sz val="12"/>
        <rFont val="Times New Roman"/>
        <family val="1"/>
      </rPr>
      <t xml:space="preserve"> - refers to a learner whose developmental conditions are causing problems in communication, learning and social behaviors. It is typically characterized by difficulty in: Understanding others; Producing message; Communicating using devices.
</t>
    </r>
  </si>
  <si>
    <r>
      <t>Difficulty in Applying Knowledge</t>
    </r>
    <r>
      <rPr>
        <sz val="12"/>
        <rFont val="Times New Roman"/>
        <family val="1"/>
      </rPr>
      <t xml:space="preserve"> - refers to a learner that has a problem that interferes with learning basic skills such as reading, writing, acquiring skills and/or math. It can also delay higher level thinking skills such as organization, time planning, abstract reasoning, long and short term memory and attention.</t>
    </r>
  </si>
  <si>
    <r>
      <t>Visual Impairment</t>
    </r>
    <r>
      <rPr>
        <sz val="12"/>
        <rFont val="Times New Roman"/>
        <family val="1"/>
      </rPr>
      <t xml:space="preserve"> - refers to a learner with an impairment that even with correction, adversely affects a child's educational performance. This includes both partial sight and blindness.</t>
    </r>
  </si>
  <si>
    <r>
      <t>Cerebral Palsy</t>
    </r>
    <r>
      <rPr>
        <sz val="12"/>
        <rFont val="Times New Roman"/>
        <family val="1"/>
      </rPr>
      <t xml:space="preserve"> - refers to a learner that  is caused by damage to developing brain either before or during birth, or in the first few years of life. The impairment depends on where in the brain the damage occurs.</t>
    </r>
  </si>
  <si>
    <r>
      <t>Difficulty in Remembering, Concentrating, Paying Attention and Understanding</t>
    </r>
    <r>
      <rPr>
        <sz val="12"/>
        <rFont val="Times New Roman"/>
        <family val="1"/>
      </rPr>
      <t xml:space="preserve"> - refers to a learner that manifest significant limitations in general intellectual functioning; in adaptive functioning (communication, self-care, home living, health and safety, social skills, functional academics, community use, leisure and work) which exist concurrently; it includes those medically diagnosed as learners with: Reading Disability or Dyslexia; Written Expression Disability; Spelling Disability; Handwriting Disability or Dysgraphia; Mathematical Disability or Dyscalculia.</t>
    </r>
  </si>
  <si>
    <r>
      <t>Orthopedic /Physical Handicap</t>
    </r>
    <r>
      <rPr>
        <sz val="12"/>
        <rFont val="Times New Roman"/>
        <family val="1"/>
      </rPr>
      <t xml:space="preserve"> - refers to a learner with any condition that interferes with a child's ability to use his or her body.</t>
    </r>
  </si>
  <si>
    <r>
      <t>Speech/Language Disorder</t>
    </r>
    <r>
      <rPr>
        <sz val="12"/>
        <rFont val="Times New Roman"/>
        <family val="1"/>
      </rPr>
      <t xml:space="preserve"> - refers to a learner with a communication disorder, such as stuttering, impaired articulation, a language impairment, or a voice impairment, that adversely affects a child’s educational performance.</t>
    </r>
  </si>
  <si>
    <t>Table 3. NUMBER OF FUNCTIONAL ASSISTIVE TECHNOLOGY AND ADAPTIVE</t>
  </si>
  <si>
    <t>Head Mouse &amp; Eye Trackers</t>
  </si>
  <si>
    <t>Pencil (Claw) Grips Small</t>
  </si>
  <si>
    <t>Pencil (Claw) Grips Medium</t>
  </si>
  <si>
    <t>Pencil (Claw) Grips Large</t>
  </si>
  <si>
    <t>Sign language charts with Text and Braille</t>
  </si>
  <si>
    <t xml:space="preserve"> Duralex glasses, mugs, bowls, plates</t>
  </si>
  <si>
    <t>ComDics/
Difficuly in Communicating</t>
  </si>
  <si>
    <t>Reminder: Table 6 shall be accomplished ONLY by Elementary Schools and SPED Centers with SPED classes/programs.</t>
  </si>
  <si>
    <t>Reminder: Table 5 shall be accomplished ONLY by Elementary Schools and SPED Centers with SPED classes/programs.</t>
  </si>
  <si>
    <r>
      <t xml:space="preserve">Special Education Fund (SEF) Teachers </t>
    </r>
    <r>
      <rPr>
        <sz val="11"/>
        <rFont val="Times New Roman"/>
        <family val="1"/>
      </rPr>
      <t>- teachers whose salaries are being paid by the Local School Board Fund (Provincial or Municipal/City) where the school is located.</t>
    </r>
  </si>
  <si>
    <r>
      <t>Local Government Unit (LGU) funded Teachers</t>
    </r>
    <r>
      <rPr>
        <sz val="11"/>
        <rFont val="Times New Roman"/>
        <family val="1"/>
      </rPr>
      <t xml:space="preserve"> - teachers paid out of the general fund (not the SEF) of the LGU.</t>
    </r>
  </si>
  <si>
    <r>
      <t>Others</t>
    </r>
    <r>
      <rPr>
        <sz val="11"/>
        <rFont val="Times New Roman"/>
        <family val="1"/>
      </rPr>
      <t xml:space="preserve"> - teachers who are being funded by other sources not mentioned above (e.g., Parents-Teachers Association, etc.).</t>
    </r>
  </si>
  <si>
    <t>Number of personnel actually working
in the school</t>
  </si>
  <si>
    <t>Table 16. NUMBER OF TEACHERS BY GRADE LEVEL</t>
  </si>
  <si>
    <t>Table 17. NUMBER OF TEACHERS BY TEACHING ASSIGNMENT IN GRADES 4 TO 6</t>
  </si>
  <si>
    <r>
      <t xml:space="preserve">TOTAL
</t>
    </r>
    <r>
      <rPr>
        <b/>
        <sz val="10"/>
        <rFont val="Times New Roman"/>
        <family val="1"/>
      </rPr>
      <t>(</t>
    </r>
    <r>
      <rPr>
        <b/>
        <sz val="9"/>
        <rFont val="Times New Roman"/>
        <family val="1"/>
      </rPr>
      <t>Kindergarten</t>
    </r>
    <r>
      <rPr>
        <b/>
        <sz val="10"/>
        <rFont val="Times New Roman"/>
        <family val="1"/>
      </rPr>
      <t xml:space="preserve"> to Grade 6)</t>
    </r>
  </si>
  <si>
    <t>Number of Teachers Reached by Adolescent Reproductive Health Trainings/Activities</t>
  </si>
  <si>
    <t>TOTAL
(Kindergarten
to Grade 6)</t>
  </si>
  <si>
    <r>
      <rPr>
        <b/>
        <i/>
        <sz val="12"/>
        <rFont val="Times New Roman"/>
        <family val="1"/>
      </rPr>
      <t>Disaster -</t>
    </r>
    <r>
      <rPr>
        <sz val="12"/>
        <rFont val="Times New Roman"/>
        <family val="1"/>
      </rPr>
      <t xml:space="preserve"> A serious disruption of the functioning of a community or a society involving widespread human, material, economic or environmental losses and impacts, which exceeds  the ability of the affected community or society to cope using its own resources. 
</t>
    </r>
    <r>
      <rPr>
        <b/>
        <sz val="12"/>
        <rFont val="Times New Roman"/>
        <family val="1"/>
      </rPr>
      <t>Source of Definition: UNISDR Terminologies. https://www.unisdr.org/files/7817_UNISDRTerminologyEnglish.pdf</t>
    </r>
  </si>
  <si>
    <r>
      <rPr>
        <b/>
        <i/>
        <sz val="12"/>
        <rFont val="Times New Roman"/>
        <family val="1"/>
      </rPr>
      <t>Crime against learners / personnel -</t>
    </r>
    <r>
      <rPr>
        <i/>
        <sz val="12"/>
        <rFont val="Times New Roman"/>
        <family val="1"/>
      </rPr>
      <t xml:space="preserve"> </t>
    </r>
    <r>
      <rPr>
        <sz val="12"/>
        <rFont val="Times New Roman"/>
        <family val="1"/>
      </rPr>
      <t xml:space="preserve">Murder / Homicide, Physical Injuries, etc.
</t>
    </r>
    <r>
      <rPr>
        <b/>
        <sz val="12"/>
        <rFont val="Times New Roman"/>
        <family val="1"/>
      </rPr>
      <t>Source of Definition</t>
    </r>
    <r>
      <rPr>
        <sz val="12"/>
        <rFont val="Times New Roman"/>
        <family val="1"/>
      </rPr>
      <t>:</t>
    </r>
    <r>
      <rPr>
        <b/>
        <sz val="12"/>
        <rFont val="Times New Roman"/>
        <family val="1"/>
      </rPr>
      <t>DO No. 23, s. 2014. http://www.deped.gov.ph/wp-content/uploads/2014/04/DO_s2014_023.pdf</t>
    </r>
  </si>
  <si>
    <r>
      <rPr>
        <b/>
        <i/>
        <sz val="12"/>
        <rFont val="Times New Roman"/>
        <family val="1"/>
      </rPr>
      <t>Crime against school property</t>
    </r>
    <r>
      <rPr>
        <i/>
        <sz val="12"/>
        <rFont val="Times New Roman"/>
        <family val="1"/>
      </rPr>
      <t xml:space="preserve"> -</t>
    </r>
    <r>
      <rPr>
        <sz val="12"/>
        <rFont val="Times New Roman"/>
        <family val="1"/>
      </rPr>
      <t xml:space="preserve"> Theft, Robbery, Arson, etc.
</t>
    </r>
    <r>
      <rPr>
        <b/>
        <sz val="12"/>
        <rFont val="Times New Roman"/>
        <family val="1"/>
      </rPr>
      <t>Source of Definition: DO No. 23, s. 2014. http://www.deped.gov.ph/wp-content/uploads/2014/04/DO_s2014_023.pdf</t>
    </r>
  </si>
  <si>
    <r>
      <rPr>
        <b/>
        <i/>
        <sz val="12"/>
        <rFont val="Times New Roman"/>
        <family val="1"/>
      </rPr>
      <t>Earthquake -</t>
    </r>
    <r>
      <rPr>
        <sz val="12"/>
        <rFont val="Times New Roman"/>
        <family val="1"/>
      </rPr>
      <t xml:space="preserve"> A weak to violent shaking of the ground produced by the sudden movement of rock materials below the earth’s surface that originate from the tectonic plate boundary. Tectonic earthquakes are produced by sudden movement along faults and plate boundaries. Earthquakes induced by rising lava or magma beneath active volcanoes is called volcanic earthquakes.
</t>
    </r>
    <r>
      <rPr>
        <b/>
        <sz val="12"/>
        <rFont val="Times New Roman"/>
        <family val="1"/>
      </rPr>
      <t>Source of Definition:DOST-PHIVOLCS: Introduction to Earthquake. https://www.phivolcs.dost.gov.ph/index.php/earthquake/introduction-to-earthquake</t>
    </r>
  </si>
  <si>
    <r>
      <rPr>
        <b/>
        <i/>
        <sz val="12"/>
        <rFont val="Times New Roman"/>
        <family val="1"/>
      </rPr>
      <t>Flood</t>
    </r>
    <r>
      <rPr>
        <i/>
        <sz val="12"/>
        <rFont val="Times New Roman"/>
        <family val="1"/>
      </rPr>
      <t xml:space="preserve"> - </t>
    </r>
    <r>
      <rPr>
        <sz val="12"/>
        <rFont val="Times New Roman"/>
        <family val="1"/>
      </rPr>
      <t xml:space="preserve">A progressive abnormal increase in the elevation of the surface level of streamflow until it reaches a maximum height from which the level slowly drops to what is its normal level. The sequence described all takes place within a certain period of time.
</t>
    </r>
    <r>
      <rPr>
        <b/>
        <sz val="12"/>
        <rFont val="Times New Roman"/>
        <family val="1"/>
      </rPr>
      <t>Source of Definition:DOST-PAGASA Learning Tools: Floods. bagong.pagasa.dost.gov.ph/learning-tools/floods</t>
    </r>
  </si>
  <si>
    <r>
      <rPr>
        <b/>
        <i/>
        <sz val="12"/>
        <rFont val="Times New Roman"/>
        <family val="1"/>
      </rPr>
      <t xml:space="preserve">Landslide </t>
    </r>
    <r>
      <rPr>
        <i/>
        <sz val="12"/>
        <rFont val="Times New Roman"/>
        <family val="1"/>
      </rPr>
      <t xml:space="preserve">- </t>
    </r>
    <r>
      <rPr>
        <sz val="12"/>
        <rFont val="Times New Roman"/>
        <family val="1"/>
      </rPr>
      <t xml:space="preserve">A mass movement of rock, soil, and debris down a slope due to gravity. It occurs when the driving force is greater than the resisting force. It is a natural process that occurs in steep slopes. The movement may range from very slow to rapid. It can affect areas both near and far from the source.
</t>
    </r>
    <r>
      <rPr>
        <b/>
        <sz val="12"/>
        <rFont val="Times New Roman"/>
        <family val="1"/>
      </rPr>
      <t>Source of Definition: DOST-PHIVOLCS: Introduction to Landslide. https://www.phivolcs.dost.gov.ph/index.php/landslide/introduction-to-landslide</t>
    </r>
  </si>
  <si>
    <r>
      <rPr>
        <b/>
        <i/>
        <sz val="12"/>
        <rFont val="Times New Roman"/>
        <family val="1"/>
      </rPr>
      <t>Storm Surge</t>
    </r>
    <r>
      <rPr>
        <i/>
        <sz val="12"/>
        <rFont val="Times New Roman"/>
        <family val="1"/>
      </rPr>
      <t xml:space="preserve"> - </t>
    </r>
    <r>
      <rPr>
        <sz val="12"/>
        <rFont val="Times New Roman"/>
        <family val="1"/>
      </rPr>
      <t xml:space="preserve">An abnormal increase in water level in seashores when a storm nears coastal lines caused by strong winds brought by low pressure at the eye wall.
</t>
    </r>
    <r>
      <rPr>
        <b/>
        <sz val="12"/>
        <rFont val="Times New Roman"/>
        <family val="1"/>
      </rPr>
      <t>Source of Definition: DOST-PAGASA Learning Tools: Meteorological Terms, Storm Surge. http://bagong.pagasa.dost.gov.ph/learning-tools/meteorological-terms</t>
    </r>
  </si>
  <si>
    <r>
      <rPr>
        <b/>
        <i/>
        <sz val="12"/>
        <rFont val="Times New Roman"/>
        <family val="1"/>
      </rPr>
      <t xml:space="preserve">Tsunami </t>
    </r>
    <r>
      <rPr>
        <i/>
        <sz val="12"/>
        <rFont val="Times New Roman"/>
        <family val="1"/>
      </rPr>
      <t xml:space="preserve">- </t>
    </r>
    <r>
      <rPr>
        <sz val="12"/>
        <rFont val="Times New Roman"/>
        <family val="1"/>
      </rPr>
      <t xml:space="preserve">An ocean wave produced by a submarine earthquake, landslide, or volcanic eruption that may reach enormous dimensions and have sufficient energy to travel across entire oceans.
</t>
    </r>
    <r>
      <rPr>
        <b/>
        <sz val="12"/>
        <rFont val="Times New Roman"/>
        <family val="1"/>
      </rPr>
      <t>Source of Definition: DOST-PAGASA Learning Tools: Meteorological Terms, Tsunami. http://bagong.pagasa.dost.gov.ph/learning-tools/meteorological-terms</t>
    </r>
  </si>
  <si>
    <r>
      <rPr>
        <b/>
        <i/>
        <sz val="12"/>
        <rFont val="Times New Roman"/>
        <family val="1"/>
      </rPr>
      <t xml:space="preserve">Volcanic Eruption </t>
    </r>
    <r>
      <rPr>
        <i/>
        <sz val="12"/>
        <rFont val="Times New Roman"/>
        <family val="1"/>
      </rPr>
      <t>-</t>
    </r>
    <r>
      <rPr>
        <sz val="12"/>
        <rFont val="Times New Roman"/>
        <family val="1"/>
      </rPr>
      <t xml:space="preserve"> The transport of magma or gases to the Earth's surface, which can be accompanied with tremors and eruptions; and the interaction of magma and water underneath the Earth's surface which can result in phreatic eruptions
</t>
    </r>
    <r>
      <rPr>
        <b/>
        <sz val="12"/>
        <rFont val="Times New Roman"/>
        <family val="1"/>
      </rPr>
      <t>Source of Definition: DOST PHIVOLCS: Introduction to Volcanoes. https://www.phivolcs.dost.gov.ph/index.php/volcano-hazard/introduction-to-volcanoes</t>
    </r>
  </si>
  <si>
    <r>
      <t xml:space="preserve">TOTAL
</t>
    </r>
    <r>
      <rPr>
        <b/>
        <sz val="9"/>
        <rFont val="Times New Roman"/>
        <family val="1"/>
      </rPr>
      <t>(Kindergarten to LWDs Non-Graded)</t>
    </r>
  </si>
  <si>
    <t>Types of Violence</t>
  </si>
  <si>
    <t>Types of Bullying</t>
  </si>
  <si>
    <r>
      <rPr>
        <b/>
        <i/>
        <sz val="12"/>
        <rFont val="Times New Roman"/>
        <family val="1"/>
      </rPr>
      <t>Integrated approach</t>
    </r>
    <r>
      <rPr>
        <sz val="12"/>
        <rFont val="Times New Roman"/>
        <family val="1"/>
      </rPr>
      <t xml:space="preserve"> - allows learners to explore, gather, process, refine and represent information about topics they want to investigate without the constraints imposed by traditional subject barriers (Pigdon and Wolly, 1992).</t>
    </r>
  </si>
  <si>
    <r>
      <rPr>
        <b/>
        <i/>
        <sz val="12"/>
        <rFont val="Times New Roman"/>
        <family val="1"/>
      </rPr>
      <t xml:space="preserve">Inclusive Education </t>
    </r>
    <r>
      <rPr>
        <sz val="12"/>
        <rFont val="Times New Roman"/>
        <family val="1"/>
      </rPr>
      <t>- embraces the philosophy of accepting all children regardless of race, size, shape, color, ability or disability with support from school staff, learners, parents and the community (DepED Order No. 72,  s. 2009).</t>
    </r>
  </si>
  <si>
    <r>
      <rPr>
        <b/>
        <i/>
        <sz val="12"/>
        <rFont val="Times New Roman"/>
        <family val="1"/>
      </rPr>
      <t xml:space="preserve">Pedagogy - </t>
    </r>
    <r>
      <rPr>
        <sz val="12"/>
        <rFont val="Times New Roman"/>
        <family val="1"/>
      </rPr>
      <t>strategies/approaches in teaching and learning. Based on RA 10533; Rule 2, Section 10.2.</t>
    </r>
  </si>
  <si>
    <t xml:space="preserve">Table 15. TEACHERS WHO RECEIVED TRAINING ON PEDAGOGY </t>
  </si>
  <si>
    <r>
      <rPr>
        <b/>
        <i/>
        <sz val="11"/>
        <rFont val="Times New Roman"/>
        <family val="1"/>
      </rPr>
      <t>2. Part-time Teachers</t>
    </r>
    <r>
      <rPr>
        <sz val="11"/>
        <rFont val="Times New Roman"/>
        <family val="1"/>
      </rPr>
      <t xml:space="preserve"> – refers to teachers who carry/render part-time class teaching load of less than 360 minutes per day and part-time to ancillary services.</t>
    </r>
  </si>
  <si>
    <r>
      <t>3. Ancillary services</t>
    </r>
    <r>
      <rPr>
        <sz val="11"/>
        <rFont val="Times New Roman"/>
        <family val="1"/>
      </rPr>
      <t xml:space="preserve"> - those rendered as a guidance teacher, librarian, property custodian, office clerk, canteen manager, coordinator (ALS, Boy/Girl Scout, etc.), teacher nurse. Class advisorship is not included.</t>
    </r>
  </si>
  <si>
    <r>
      <t>2. Adaptive Device</t>
    </r>
    <r>
      <rPr>
        <sz val="12"/>
        <rFont val="Times New Roman"/>
        <family val="1"/>
      </rPr>
      <t xml:space="preserve"> - refers to any device that are used to assist with completing activities of daily living.</t>
    </r>
  </si>
  <si>
    <r>
      <t>1. Assistive Technology Device</t>
    </r>
    <r>
      <rPr>
        <sz val="12"/>
        <rFont val="Times New Roman"/>
        <family val="1"/>
      </rPr>
      <t xml:space="preserve"> - refers to any device that helps someone do something that might not otherwise be able to do well or at all. Generally, the term is used for devices that help people overcome a handicap such as a mobility, vision, mental, dexterity or hearing loss.
</t>
    </r>
  </si>
  <si>
    <r>
      <t>Transition Program or Self-Contained Non-Graded</t>
    </r>
    <r>
      <rPr>
        <sz val="12"/>
        <rFont val="Times New Roman"/>
        <family val="1"/>
      </rPr>
      <t xml:space="preserve"> - refers to the coordinated set of activities for LWDs ages 5 to 14 who are placed in a self-contained non-graded classes. It is designed within an outcome-oriented process that promotes movement from home to school, school to functional life and school to employment/enterprenuership; including vocational training, integrated employment, continuing  adult education, and services and community participation.</t>
    </r>
  </si>
  <si>
    <t>Reminder: Table 3 shall be accomplished ONLY by Elementary Schools and SPED Centers with SPED classes/programs.</t>
  </si>
  <si>
    <t>Reminder:  Table 4 shall be accomplished ONLY by Elementary Schools and SPED Centers with SPED classes/programs.</t>
  </si>
  <si>
    <r>
      <t xml:space="preserve">DepEd procured Learning Resources (LRs ) -  </t>
    </r>
    <r>
      <rPr>
        <sz val="12"/>
        <rFont val="Times New Roman"/>
        <family val="1"/>
      </rPr>
      <t>refers to the instructional materials provided by the Central Office.</t>
    </r>
  </si>
  <si>
    <r>
      <rPr>
        <b/>
        <sz val="12"/>
        <rFont val="Times New Roman"/>
        <family val="1"/>
      </rPr>
      <t>Goal Ball</t>
    </r>
    <r>
      <rPr>
        <sz val="12"/>
        <rFont val="Times New Roman"/>
        <family val="1"/>
      </rPr>
      <t xml:space="preserve"> - is a sport equipment use in paragames.</t>
    </r>
  </si>
  <si>
    <r>
      <rPr>
        <b/>
        <sz val="12"/>
        <rFont val="Times New Roman"/>
        <family val="1"/>
      </rPr>
      <t xml:space="preserve">Bocce Ball Sets - </t>
    </r>
    <r>
      <rPr>
        <sz val="12"/>
        <rFont val="Times New Roman"/>
        <family val="1"/>
      </rPr>
      <t>are sport equipment use in paragames.</t>
    </r>
  </si>
  <si>
    <r>
      <rPr>
        <b/>
        <sz val="12"/>
        <rFont val="Times New Roman"/>
        <family val="1"/>
      </rPr>
      <t xml:space="preserve">Drawing kit - </t>
    </r>
    <r>
      <rPr>
        <sz val="12"/>
        <rFont val="Times New Roman"/>
        <family val="1"/>
      </rPr>
      <t>is a set of brailled ruler, triangles, protractor, compass, and drawing board that are  used to draw raised geometrical figures.</t>
    </r>
  </si>
  <si>
    <r>
      <rPr>
        <b/>
        <sz val="12"/>
        <rFont val="Times New Roman"/>
        <family val="1"/>
      </rPr>
      <t>Sharpie  pens</t>
    </r>
    <r>
      <rPr>
        <sz val="12"/>
        <rFont val="Times New Roman"/>
        <family val="1"/>
      </rPr>
      <t xml:space="preserve"> - are pens for low vision learners that create easy to see and read, highly visible, crisp, bold, black line which  do not smudge or bleed through in most paper.</t>
    </r>
  </si>
  <si>
    <r>
      <rPr>
        <b/>
        <sz val="12"/>
        <rFont val="Times New Roman"/>
        <family val="1"/>
      </rPr>
      <t xml:space="preserve">Sign language dictionary - </t>
    </r>
    <r>
      <rPr>
        <sz val="12"/>
        <rFont val="Times New Roman"/>
        <family val="1"/>
      </rPr>
      <t>it’s a compilation of term and language done through finger signing.</t>
    </r>
  </si>
  <si>
    <r>
      <rPr>
        <b/>
        <sz val="12"/>
        <rFont val="Times New Roman"/>
        <family val="1"/>
      </rPr>
      <t>Pencil (Claw),  Grips (small, medium, and large) -</t>
    </r>
    <r>
      <rPr>
        <sz val="12"/>
        <rFont val="Times New Roman"/>
        <family val="1"/>
      </rPr>
      <t xml:space="preserve"> for  all grade levels are  pencil grips that place the fingers of the learners  in the correct position.</t>
    </r>
  </si>
  <si>
    <r>
      <t>Totals in column 7 of this table shall be equal to the totals in Table 11</t>
    </r>
    <r>
      <rPr>
        <b/>
        <i/>
        <vertAlign val="subscript"/>
        <sz val="13"/>
        <rFont val="Times New Roman"/>
        <family val="1"/>
      </rPr>
      <t>a</t>
    </r>
    <r>
      <rPr>
        <b/>
        <i/>
        <sz val="13"/>
        <rFont val="Times New Roman"/>
        <family val="1"/>
      </rPr>
      <t xml:space="preserve"> (column 18 - Total Nationally-funded teachers working in the school).</t>
    </r>
  </si>
  <si>
    <t xml:space="preserve"> Others</t>
  </si>
  <si>
    <t>If Yes, indicate the number of learners who participated in the activities that covered each of the following topics.</t>
  </si>
  <si>
    <t>Mental Health and Psychosocial Issues and Conditions including Depression</t>
  </si>
  <si>
    <t>Other Topics</t>
  </si>
  <si>
    <t>Suicide
Prevention</t>
  </si>
  <si>
    <t>Psychological
First Aid</t>
  </si>
  <si>
    <t>Addressing
the Problem of Bullying</t>
  </si>
  <si>
    <r>
      <t xml:space="preserve">Did the school conduct trainings or extra-curricular activities for </t>
    </r>
    <r>
      <rPr>
        <b/>
        <i/>
        <sz val="12"/>
        <rFont val="Times New Roman"/>
        <family val="1"/>
      </rPr>
      <t>learners</t>
    </r>
    <r>
      <rPr>
        <sz val="12"/>
        <rFont val="Times New Roman"/>
        <family val="1"/>
      </rPr>
      <t xml:space="preserve"> related to any of the topics below?</t>
    </r>
  </si>
  <si>
    <r>
      <t xml:space="preserve">Did the school conduct trainings or extra-curricular activities for </t>
    </r>
    <r>
      <rPr>
        <b/>
        <i/>
        <sz val="12"/>
        <rFont val="Times New Roman"/>
        <family val="1"/>
      </rPr>
      <t>teachers</t>
    </r>
    <r>
      <rPr>
        <sz val="12"/>
        <rFont val="Times New Roman"/>
        <family val="1"/>
      </rPr>
      <t xml:space="preserve"> related to any of the topics below?</t>
    </r>
  </si>
  <si>
    <t>If Yes, indicate the number of teachers who participated in the activities that covered each of the following topics.</t>
  </si>
  <si>
    <t>Learners with Cancer</t>
  </si>
  <si>
    <t>School Personnel with Cancer</t>
  </si>
  <si>
    <t>Cancer Patients
(Symptomatic)</t>
  </si>
  <si>
    <t>Living with Cancer
(Asymptomatic)</t>
  </si>
  <si>
    <r>
      <rPr>
        <b/>
        <i/>
        <sz val="12"/>
        <rFont val="Times New Roman"/>
        <family val="1"/>
      </rPr>
      <t>Homebound</t>
    </r>
    <r>
      <rPr>
        <b/>
        <sz val="12"/>
        <rFont val="Times New Roman"/>
        <family val="1"/>
      </rPr>
      <t xml:space="preserve"> -</t>
    </r>
    <r>
      <rPr>
        <sz val="12"/>
        <rFont val="Times New Roman"/>
        <family val="1"/>
      </rPr>
      <t xml:space="preserve"> refers to an educational  program designed for children with disabilities who are enrolled in the nearest school to their residence, but can not go to school on a regular schedule. Community volunteers, para-teacher, parents or any member of the family are trained to assist the child at home.  </t>
    </r>
  </si>
  <si>
    <t xml:space="preserve">Learners with Disabilities under the Homebound and Hospital Bound Program: </t>
  </si>
  <si>
    <t>Reminder:  This table shall be filled out if the school subscribe to any internet service provider or if the answer is "YES" in Box 6 Item number 2.</t>
  </si>
  <si>
    <t>1.c.  To be conducted</t>
  </si>
  <si>
    <t>Entries of Grades 4, 5 and 6 (counted only once) of this table shall be less than or equal to the totals of Grades 4, 5 and 6 in Table 17.</t>
  </si>
  <si>
    <t>Date Established (Year)</t>
  </si>
  <si>
    <t>SY 2021-2022</t>
  </si>
  <si>
    <t xml:space="preserve">Notebook </t>
  </si>
  <si>
    <t xml:space="preserve">Android Tablet </t>
  </si>
  <si>
    <t>Tablet PC</t>
  </si>
  <si>
    <t>Notebook</t>
  </si>
  <si>
    <t xml:space="preserve">Tablet PC </t>
  </si>
  <si>
    <r>
      <rPr>
        <b/>
        <i/>
        <sz val="11"/>
        <rFont val="Times New Roman"/>
        <family val="1"/>
      </rPr>
      <t>e. Desktop Virtual Terminal</t>
    </r>
    <r>
      <rPr>
        <sz val="11"/>
        <rFont val="Times New Roman"/>
        <family val="1"/>
      </rPr>
      <t xml:space="preserve"> - refers to a computer terminal consisting of  monitor, keyboard and mouse connected to a terminal device that connects to a computer host.</t>
    </r>
  </si>
  <si>
    <t>Lapel</t>
  </si>
  <si>
    <t>Signal Capacity</t>
  </si>
  <si>
    <t>a. SMART</t>
  </si>
  <si>
    <t>g. TOUCH MOBILE</t>
  </si>
  <si>
    <t>b. GLOBE</t>
  </si>
  <si>
    <t>f. RED MOBILE</t>
  </si>
  <si>
    <t>Types of Printer / Photocopier</t>
  </si>
  <si>
    <t>Brand / Model</t>
  </si>
  <si>
    <t>Purpose</t>
  </si>
  <si>
    <t>Name of Station</t>
  </si>
  <si>
    <t>Owner</t>
  </si>
  <si>
    <t>Contact Details of Partner/s</t>
  </si>
  <si>
    <t>Telephone / Cellphone Number</t>
  </si>
  <si>
    <t>E-mail Address</t>
  </si>
  <si>
    <t>Frequency</t>
  </si>
  <si>
    <t>NTC License Number</t>
  </si>
  <si>
    <t xml:space="preserve">A. Number of Teachers Using DepEd TV as part of Delivering Instruction and Include in the Daily Learning Plan </t>
  </si>
  <si>
    <t>Frequent</t>
  </si>
  <si>
    <t>Seldom</t>
  </si>
  <si>
    <t>Never</t>
  </si>
  <si>
    <t>B. Preferred Method of Teachers Using DepEd TV as a Medium</t>
  </si>
  <si>
    <t>Broadcast TV (Live)</t>
  </si>
  <si>
    <t>DepEd YouTube Channel</t>
  </si>
  <si>
    <t>Facebook (Live)</t>
  </si>
  <si>
    <t>Downloaded Version</t>
  </si>
  <si>
    <t>Technology and Livelihood Education</t>
  </si>
  <si>
    <r>
      <t>Contract of Usufruct</t>
    </r>
    <r>
      <rPr>
        <sz val="11"/>
        <rFont val="Times New Roman"/>
        <family val="1"/>
      </rPr>
      <t xml:space="preserve"> - refers to a document which stipulates that DepEd/school is allowed of full use or perpetual right of use of property without consideration as long as the property is used solely for educational or designated purposes.</t>
    </r>
  </si>
  <si>
    <t>temporarily occupy, manage and develop in consideration of a government share, any forestland of the public domain for specific use for a period of 25 years.</t>
  </si>
  <si>
    <t>n.</t>
  </si>
  <si>
    <t xml:space="preserve">Note: In case the school head does not have adequate information on the items listed above, the assistance of the Industrial Arts Teacher/Division Physical Facilities Coordinator/Division Project Engineer can be asked.        </t>
  </si>
  <si>
    <t>Special Forest Landuse Agreement(FLAg)</t>
  </si>
  <si>
    <r>
      <t>ICT Equipment -</t>
    </r>
    <r>
      <rPr>
        <i/>
        <sz val="11"/>
        <rFont val="Times New Roman"/>
        <family val="1"/>
      </rPr>
      <t xml:space="preserve"> refers to electronic devices such as hardware and software that are intended to perform information processing and communication functions.</t>
    </r>
  </si>
  <si>
    <r>
      <rPr>
        <b/>
        <i/>
        <sz val="11"/>
        <rFont val="Times New Roman"/>
        <family val="1"/>
      </rPr>
      <t xml:space="preserve">3. Funding Source - </t>
    </r>
    <r>
      <rPr>
        <sz val="11"/>
        <rFont val="Times New Roman"/>
        <family val="1"/>
      </rPr>
      <t xml:space="preserve"> refers to the financial resource of the government or other entity set aside for specific purposes to finance specific programs and projects.</t>
    </r>
  </si>
  <si>
    <r>
      <rPr>
        <b/>
        <i/>
        <sz val="11"/>
        <rFont val="Times New Roman"/>
        <family val="1"/>
      </rPr>
      <t>2. Average Monthly Expense</t>
    </r>
    <r>
      <rPr>
        <sz val="11"/>
        <rFont val="Times New Roman"/>
        <family val="1"/>
      </rPr>
      <t xml:space="preserve"> - refers to the average cost spent in Philippine Peso for the internet connection by type, ISP and funding source.</t>
    </r>
  </si>
  <si>
    <t>h. Others</t>
  </si>
  <si>
    <t>Types of Printer / Photocopier:</t>
  </si>
  <si>
    <t>Types of Radio:</t>
  </si>
  <si>
    <r>
      <rPr>
        <b/>
        <i/>
        <sz val="11"/>
        <rFont val="Times New Roman"/>
        <family val="1"/>
      </rPr>
      <t>Purpose</t>
    </r>
    <r>
      <rPr>
        <sz val="11"/>
        <rFont val="Times New Roman"/>
        <family val="1"/>
      </rPr>
      <t xml:space="preserve"> - refers to the purpose of the school radio if for administrative use, for classroom instruction use or for both administrative &amp; classroom instruction use.</t>
    </r>
  </si>
  <si>
    <t>Table 27. MOOE ALLOCATION, UTILIZATION AND LIQUIDATION</t>
  </si>
  <si>
    <t>(Continuation of definitions from previous page, Box 9)</t>
  </si>
  <si>
    <t>Number of OERs Developed Locally as an 
Original Work</t>
  </si>
  <si>
    <t>Number of OERs Developed Locally as an 
Edited/Remix/Reuse Work</t>
  </si>
  <si>
    <t>1st Quarter</t>
  </si>
  <si>
    <t>2nd Quarter</t>
  </si>
  <si>
    <t>3rd Quarter</t>
  </si>
  <si>
    <t>4th Quarter</t>
  </si>
  <si>
    <t xml:space="preserve"> TOTAL</t>
  </si>
  <si>
    <r>
      <t xml:space="preserve">Open Educational Resources (OERs) - </t>
    </r>
    <r>
      <rPr>
        <sz val="11"/>
        <rFont val="Times New Roman"/>
        <family val="1"/>
      </rPr>
      <t xml:space="preserve">refers to teaching, learning, and research materials in any medium – digital or otherwise – that reside in the public  domain or have been released under an open license that permits no-cost access, use, adaptation and redistribution by others with no or limited restrictions.
(Source: UNESCO) </t>
    </r>
  </si>
  <si>
    <r>
      <t xml:space="preserve">Distance Learning Modality - </t>
    </r>
    <r>
      <rPr>
        <sz val="11"/>
        <rFont val="Times New Roman"/>
        <family val="1"/>
      </rPr>
      <t xml:space="preserve">refers to the print or non-print based resources medium used to augment instruction if face-to-face instruction is not possible. </t>
    </r>
  </si>
  <si>
    <r>
      <t xml:space="preserve">Original Work - </t>
    </r>
    <r>
      <rPr>
        <sz val="11"/>
        <rFont val="Times New Roman"/>
        <family val="1"/>
      </rPr>
      <t>refers to the resources which is based on the creative design, self concept, and contents of the respective teacher/author.</t>
    </r>
  </si>
  <si>
    <r>
      <t xml:space="preserve">Edited Work - </t>
    </r>
    <r>
      <rPr>
        <sz val="11"/>
        <rFont val="Times New Roman"/>
        <family val="1"/>
      </rPr>
      <t>refers to the rewording and changing of basic concepts in the contents of the original material without violating the Creative Commons rule.</t>
    </r>
  </si>
  <si>
    <r>
      <t>Remix Work</t>
    </r>
    <r>
      <rPr>
        <sz val="11"/>
        <rFont val="Times New Roman"/>
        <family val="1"/>
      </rPr>
      <t xml:space="preserve"> - refers to the editing of a content as well as putting an original concepts and ideas to the material to enhance the resources without violating the Creative Commons rule.</t>
    </r>
  </si>
  <si>
    <r>
      <t xml:space="preserve">Reuse Work - </t>
    </r>
    <r>
      <rPr>
        <sz val="11"/>
        <rFont val="Times New Roman"/>
        <family val="1"/>
      </rPr>
      <t>refers to the use of old or exixting resources without any modification or alteration in the contents.</t>
    </r>
  </si>
  <si>
    <r>
      <t xml:space="preserve">1st Quarter to 4th Quarter - </t>
    </r>
    <r>
      <rPr>
        <sz val="11"/>
        <rFont val="Times New Roman"/>
        <family val="1"/>
      </rPr>
      <t>refers to the quarter or period of instruction.</t>
    </r>
  </si>
  <si>
    <t>Amount of Time Spent 
Using DepEd TV</t>
  </si>
  <si>
    <r>
      <t>Downloaded Version</t>
    </r>
    <r>
      <rPr>
        <sz val="11"/>
        <rFont val="Times New Roman"/>
        <family val="1"/>
      </rPr>
      <t xml:space="preserve"> - refers to the video-based lessons that are stored in a USB flashdrive to watch it readily as plug and play.</t>
    </r>
  </si>
  <si>
    <r>
      <t xml:space="preserve">DepEd TV - </t>
    </r>
    <r>
      <rPr>
        <sz val="11"/>
        <rFont val="Times New Roman"/>
        <family val="1"/>
      </rPr>
      <t>refers to the the blended learning modality of DepEd that is focused on video-based lessons to direct instruction using produced contents based in the Most Essential Learning Competencies (MELC) and self learning modules of the department.</t>
    </r>
  </si>
  <si>
    <r>
      <t>Instructional Strategy</t>
    </r>
    <r>
      <rPr>
        <sz val="11"/>
        <rFont val="Times New Roman"/>
        <family val="1"/>
      </rPr>
      <t xml:space="preserve"> - refers to approach that links and associates content-based material to real life situations to make teaching and learning effective, compelling, and engaging.</t>
    </r>
  </si>
  <si>
    <r>
      <t xml:space="preserve">Frequent - </t>
    </r>
    <r>
      <rPr>
        <sz val="11"/>
        <rFont val="Times New Roman"/>
        <family val="1"/>
      </rPr>
      <t>refers to the all week use of DepEd TV</t>
    </r>
    <r>
      <rPr>
        <b/>
        <i/>
        <sz val="11"/>
        <rFont val="Times New Roman"/>
        <family val="1"/>
      </rPr>
      <t>.</t>
    </r>
  </si>
  <si>
    <r>
      <t xml:space="preserve">Seldom - </t>
    </r>
    <r>
      <rPr>
        <sz val="11"/>
        <rFont val="Times New Roman"/>
        <family val="1"/>
      </rPr>
      <t>refers to at least three (3) times in a week use of DepEd TV</t>
    </r>
    <r>
      <rPr>
        <b/>
        <i/>
        <sz val="11"/>
        <rFont val="Times New Roman"/>
        <family val="1"/>
      </rPr>
      <t>.</t>
    </r>
  </si>
  <si>
    <r>
      <t xml:space="preserve">Never - </t>
    </r>
    <r>
      <rPr>
        <sz val="11"/>
        <rFont val="Times New Roman"/>
        <family val="1"/>
      </rPr>
      <t>refers to not using the DepEd TV as part of instructional plan.</t>
    </r>
  </si>
  <si>
    <t xml:space="preserve">Table 26. NUMBER OF OPEN EDUCATIONAL RESOURCES (OERs) USED AS DISTANCE LEARNING MODALITY </t>
  </si>
  <si>
    <t>Types of Radio</t>
  </si>
  <si>
    <t>Number of Units</t>
  </si>
  <si>
    <t>(UHF Two-Way Radio, 
VHF Two-Way Radio)</t>
  </si>
  <si>
    <t>(For administrative use,
 For classroom instruction use,
 For both administrative &amp; classroom instruction use)</t>
  </si>
  <si>
    <r>
      <t>UHF -</t>
    </r>
    <r>
      <rPr>
        <sz val="11"/>
        <rFont val="Times New Roman"/>
        <family val="1"/>
      </rPr>
      <t xml:space="preserve"> refers to the Two-Way Radio that uses Ultra High Frequency (UHF).</t>
    </r>
  </si>
  <si>
    <r>
      <t xml:space="preserve">VHF - </t>
    </r>
    <r>
      <rPr>
        <sz val="11"/>
        <rFont val="Times New Roman"/>
        <family val="1"/>
      </rPr>
      <t>refers to the Two-Way Radio that uses Very High Frequency (VHF).</t>
    </r>
  </si>
  <si>
    <r>
      <t xml:space="preserve">Frequency - </t>
    </r>
    <r>
      <rPr>
        <sz val="11"/>
        <rFont val="Times New Roman"/>
        <family val="1"/>
      </rPr>
      <t>refers to the band at which wireless telecommunications signals are being transmitted and broadcast. This ranges from 3 kHz to 300 GHz.</t>
    </r>
  </si>
  <si>
    <r>
      <rPr>
        <b/>
        <i/>
        <sz val="11"/>
        <rFont val="Times New Roman"/>
        <family val="1"/>
      </rPr>
      <t>NTC License Number</t>
    </r>
    <r>
      <rPr>
        <sz val="11"/>
        <rFont val="Times New Roman"/>
        <family val="1"/>
      </rPr>
      <t xml:space="preserve"> - refers to the license number of the issued National Telecommunications Commission (NTC) permit. </t>
    </r>
  </si>
  <si>
    <r>
      <rPr>
        <b/>
        <i/>
        <sz val="11"/>
        <rFont val="Times New Roman"/>
        <family val="1"/>
      </rPr>
      <t>Number of Units</t>
    </r>
    <r>
      <rPr>
        <sz val="11"/>
        <rFont val="Times New Roman"/>
        <family val="1"/>
      </rPr>
      <t xml:space="preserve"> - refers to the number of possessed units.</t>
    </r>
  </si>
  <si>
    <t>Note:  This table shall be filled out if the school implements radio-based instruction.</t>
  </si>
  <si>
    <t>Types of Broadcasting Station</t>
  </si>
  <si>
    <t>Status of Partnership</t>
  </si>
  <si>
    <t>Date of Broadcasting Started</t>
  </si>
  <si>
    <t xml:space="preserve">(Local TV, CATV, DTT, AM/FM Radio Station) </t>
  </si>
  <si>
    <t>(e.g. 594 kHz/ 
97.1 MHz)</t>
  </si>
  <si>
    <t>(e.g. ESD-RCE-2126881)</t>
  </si>
  <si>
    <t xml:space="preserve">(w/ signed MOA, Ongoing, for MOA signing)  </t>
  </si>
  <si>
    <t>(mm/dd/yyyy)</t>
  </si>
  <si>
    <r>
      <t xml:space="preserve">Types of Broadcasting Station - </t>
    </r>
    <r>
      <rPr>
        <sz val="11"/>
        <rFont val="Times New Roman"/>
        <family val="1"/>
      </rPr>
      <t>refers to</t>
    </r>
    <r>
      <rPr>
        <b/>
        <i/>
        <sz val="11"/>
        <rFont val="Times New Roman"/>
        <family val="1"/>
      </rPr>
      <t xml:space="preserve"> </t>
    </r>
    <r>
      <rPr>
        <sz val="11"/>
        <rFont val="Times New Roman"/>
        <family val="1"/>
      </rPr>
      <t>the</t>
    </r>
    <r>
      <rPr>
        <b/>
        <i/>
        <sz val="11"/>
        <rFont val="Times New Roman"/>
        <family val="1"/>
      </rPr>
      <t xml:space="preserve"> </t>
    </r>
    <r>
      <rPr>
        <sz val="11"/>
        <rFont val="Times New Roman"/>
        <family val="1"/>
      </rPr>
      <t>transmission of audio (sound)/video intended to reach a wide audience</t>
    </r>
    <r>
      <rPr>
        <b/>
        <i/>
        <sz val="11"/>
        <rFont val="Times New Roman"/>
        <family val="1"/>
      </rPr>
      <t>.</t>
    </r>
  </si>
  <si>
    <r>
      <t xml:space="preserve">Local TV - </t>
    </r>
    <r>
      <rPr>
        <sz val="11"/>
        <rFont val="Times New Roman"/>
        <family val="1"/>
      </rPr>
      <t>refers to the local content or local television</t>
    </r>
    <r>
      <rPr>
        <b/>
        <i/>
        <sz val="11"/>
        <rFont val="Times New Roman"/>
        <family val="1"/>
      </rPr>
      <t>.</t>
    </r>
  </si>
  <si>
    <r>
      <t xml:space="preserve">Community Antenna Television (CATV) - </t>
    </r>
    <r>
      <rPr>
        <sz val="11"/>
        <rFont val="Times New Roman"/>
        <family val="1"/>
      </rPr>
      <t>refers to the use a “community antenna” to receive broadcast signals to retransmit via cables to homes and establishments in the local area subscribing to the service.</t>
    </r>
  </si>
  <si>
    <r>
      <t xml:space="preserve">Digital Terrestrial Television (DTT) - </t>
    </r>
    <r>
      <rPr>
        <sz val="11"/>
        <rFont val="Times New Roman"/>
        <family val="1"/>
      </rPr>
      <t xml:space="preserve">refers to the television stations broadcast in digital format. </t>
    </r>
  </si>
  <si>
    <r>
      <t xml:space="preserve">AM Radio Station - </t>
    </r>
    <r>
      <rPr>
        <sz val="11"/>
        <rFont val="Times New Roman"/>
        <family val="1"/>
      </rPr>
      <t>refers to the</t>
    </r>
    <r>
      <rPr>
        <b/>
        <i/>
        <sz val="11"/>
        <rFont val="Times New Roman"/>
        <family val="1"/>
      </rPr>
      <t xml:space="preserve"> </t>
    </r>
    <r>
      <rPr>
        <sz val="11"/>
        <rFont val="Times New Roman"/>
        <family val="1"/>
      </rPr>
      <t>radio broadcasting using Amplitude Modulation (AM)</t>
    </r>
    <r>
      <rPr>
        <b/>
        <i/>
        <sz val="11"/>
        <rFont val="Times New Roman"/>
        <family val="1"/>
      </rPr>
      <t>.</t>
    </r>
  </si>
  <si>
    <r>
      <t xml:space="preserve">FM Radio Station - </t>
    </r>
    <r>
      <rPr>
        <sz val="11"/>
        <rFont val="Times New Roman"/>
        <family val="1"/>
      </rPr>
      <t>refers to the</t>
    </r>
    <r>
      <rPr>
        <b/>
        <i/>
        <sz val="11"/>
        <rFont val="Times New Roman"/>
        <family val="1"/>
      </rPr>
      <t xml:space="preserve"> </t>
    </r>
    <r>
      <rPr>
        <sz val="11"/>
        <rFont val="Times New Roman"/>
        <family val="1"/>
      </rPr>
      <t>radio broadcasting using Frequency Modulation (FM)</t>
    </r>
    <r>
      <rPr>
        <b/>
        <i/>
        <sz val="11"/>
        <rFont val="Times New Roman"/>
        <family val="1"/>
      </rPr>
      <t>.</t>
    </r>
  </si>
  <si>
    <r>
      <t xml:space="preserve">Name of Station - </t>
    </r>
    <r>
      <rPr>
        <sz val="11"/>
        <rFont val="Times New Roman"/>
        <family val="1"/>
      </rPr>
      <t xml:space="preserve">refers to the name of the broadcasting station. </t>
    </r>
  </si>
  <si>
    <r>
      <t xml:space="preserve">NTC License Number -  </t>
    </r>
    <r>
      <rPr>
        <sz val="11"/>
        <rFont val="Times New Roman"/>
        <family val="1"/>
      </rPr>
      <t xml:space="preserve">refers to the license number of the issued National Telecommunications Commission (NTC) permit. </t>
    </r>
  </si>
  <si>
    <r>
      <t xml:space="preserve">Owner - </t>
    </r>
    <r>
      <rPr>
        <sz val="11"/>
        <rFont val="Times New Roman"/>
        <family val="1"/>
      </rPr>
      <t>refers to the full</t>
    </r>
    <r>
      <rPr>
        <b/>
        <i/>
        <sz val="11"/>
        <rFont val="Times New Roman"/>
        <family val="1"/>
      </rPr>
      <t xml:space="preserve"> </t>
    </r>
    <r>
      <rPr>
        <sz val="11"/>
        <rFont val="Times New Roman"/>
        <family val="1"/>
      </rPr>
      <t xml:space="preserve">name of the owner. </t>
    </r>
  </si>
  <si>
    <r>
      <t xml:space="preserve">Status of Partnership - </t>
    </r>
    <r>
      <rPr>
        <sz val="11"/>
        <rFont val="Times New Roman"/>
        <family val="1"/>
      </rPr>
      <t xml:space="preserve">refers to the MOA status of the partnership. </t>
    </r>
  </si>
  <si>
    <r>
      <t xml:space="preserve">Date of Broadcasting Started - </t>
    </r>
    <r>
      <rPr>
        <sz val="11"/>
        <rFont val="Times New Roman"/>
        <family val="1"/>
      </rPr>
      <t xml:space="preserve">refers to the date when a contract begins. </t>
    </r>
  </si>
  <si>
    <r>
      <t xml:space="preserve">Contact Details of Partner/s - </t>
    </r>
    <r>
      <rPr>
        <sz val="11"/>
        <rFont val="Times New Roman"/>
        <family val="1"/>
      </rPr>
      <t xml:space="preserve">refers to the telephone/cellphone number, address, and e-mail address to reach out the said partner. </t>
    </r>
  </si>
  <si>
    <t>Note:  This table shall be filled out if the school implements broadcasting station and partnered to any broadcasting service provider.</t>
  </si>
  <si>
    <t>(in PhP)</t>
  </si>
  <si>
    <t>(DepEd DICP, MOOE, School Funds, LGU/SEF, PTA, Private Donations, Other Government Agencies, Others)</t>
  </si>
  <si>
    <r>
      <rPr>
        <b/>
        <i/>
        <sz val="11"/>
        <rFont val="Times New Roman"/>
        <family val="1"/>
      </rPr>
      <t>Laser Printer</t>
    </r>
    <r>
      <rPr>
        <sz val="11"/>
        <rFont val="Times New Roman"/>
        <family val="1"/>
      </rPr>
      <t xml:space="preserve"> - refers to a printer that uses laser to print documents.</t>
    </r>
  </si>
  <si>
    <r>
      <rPr>
        <b/>
        <i/>
        <sz val="11"/>
        <rFont val="Times New Roman"/>
        <family val="1"/>
      </rPr>
      <t>LED Printer</t>
    </r>
    <r>
      <rPr>
        <sz val="11"/>
        <rFont val="Times New Roman"/>
        <family val="1"/>
      </rPr>
      <t xml:space="preserve"> - refers to a printer that uses light-emitting diode (LED) to print documents.</t>
    </r>
  </si>
  <si>
    <r>
      <rPr>
        <b/>
        <i/>
        <sz val="11"/>
        <rFont val="Times New Roman"/>
        <family val="1"/>
      </rPr>
      <t>Multifunction Printer</t>
    </r>
    <r>
      <rPr>
        <sz val="11"/>
        <rFont val="Times New Roman"/>
        <family val="1"/>
      </rPr>
      <t xml:space="preserve"> - refers to a machine that has a scanner, photocopier, printer, and fax machine all rolled into one unit.</t>
    </r>
  </si>
  <si>
    <r>
      <rPr>
        <b/>
        <i/>
        <sz val="11"/>
        <rFont val="Times New Roman"/>
        <family val="1"/>
      </rPr>
      <t>Solid Ink Printer</t>
    </r>
    <r>
      <rPr>
        <sz val="11"/>
        <rFont val="Times New Roman"/>
        <family val="1"/>
      </rPr>
      <t xml:space="preserve"> - refers to a technology using a unique type of tinting, which is previously melted into a fluid.</t>
    </r>
  </si>
  <si>
    <r>
      <rPr>
        <b/>
        <i/>
        <sz val="11"/>
        <rFont val="Times New Roman"/>
        <family val="1"/>
      </rPr>
      <t>Photocopier</t>
    </r>
    <r>
      <rPr>
        <sz val="11"/>
        <rFont val="Times New Roman"/>
        <family val="1"/>
      </rPr>
      <t xml:space="preserve"> - refers to a machine that makes copies of documents and other visual images.</t>
    </r>
  </si>
  <si>
    <r>
      <rPr>
        <b/>
        <i/>
        <sz val="11"/>
        <rFont val="Times New Roman"/>
        <family val="1"/>
      </rPr>
      <t>Others</t>
    </r>
    <r>
      <rPr>
        <sz val="11"/>
        <rFont val="Times New Roman"/>
        <family val="1"/>
      </rPr>
      <t xml:space="preserve"> - refers to a printer/photocopier that are not mentioned above.</t>
    </r>
  </si>
  <si>
    <r>
      <t>Brand/Model</t>
    </r>
    <r>
      <rPr>
        <b/>
        <sz val="11"/>
        <rFont val="Times New Roman"/>
        <family val="1"/>
      </rPr>
      <t xml:space="preserve"> </t>
    </r>
    <r>
      <rPr>
        <sz val="11"/>
        <rFont val="Times New Roman"/>
        <family val="1"/>
      </rPr>
      <t>- refers to the product manufactured by a particular company under a particular name.</t>
    </r>
  </si>
  <si>
    <r>
      <t xml:space="preserve">Average Monthly Expense - </t>
    </r>
    <r>
      <rPr>
        <sz val="11"/>
        <rFont val="Times New Roman"/>
        <family val="1"/>
      </rPr>
      <t>refers to the</t>
    </r>
    <r>
      <rPr>
        <b/>
        <i/>
        <sz val="11"/>
        <rFont val="Times New Roman"/>
        <family val="1"/>
      </rPr>
      <t xml:space="preserve"> </t>
    </r>
    <r>
      <rPr>
        <sz val="11"/>
        <rFont val="Times New Roman"/>
        <family val="1"/>
      </rPr>
      <t>average cost spent in Philippine Peso for the printer/photocopier use by type, brand/model, funding source and purpose.</t>
    </r>
  </si>
  <si>
    <r>
      <t>Funding Source</t>
    </r>
    <r>
      <rPr>
        <sz val="11"/>
        <rFont val="Times New Roman"/>
        <family val="1"/>
      </rPr>
      <t xml:space="preserve"> - refers to the identified source of financial support/fund type.</t>
    </r>
  </si>
  <si>
    <r>
      <t xml:space="preserve">Purpose - </t>
    </r>
    <r>
      <rPr>
        <sz val="11"/>
        <rFont val="Times New Roman"/>
        <family val="1"/>
      </rPr>
      <t>refers to the purpose of printer/photocopier if for administrative use, for classroom instruction use or for both administrative &amp; classroom instruction use.</t>
    </r>
  </si>
  <si>
    <t>(Inkjet Printer, Laser Printer,
 LED Printer, Multifunction Printer, 
Solid Ink Printer, Photocopier, Others)</t>
  </si>
  <si>
    <r>
      <rPr>
        <b/>
        <i/>
        <sz val="11"/>
        <rFont val="Times New Roman"/>
        <family val="1"/>
      </rPr>
      <t>Inkjet Printer</t>
    </r>
    <r>
      <rPr>
        <sz val="11"/>
        <rFont val="Times New Roman"/>
        <family val="1"/>
      </rPr>
      <t xml:space="preserve"> - refers to a printer that uses ink to print documents.</t>
    </r>
  </si>
  <si>
    <t>Cellular Service Provider</t>
  </si>
  <si>
    <t xml:space="preserve">Types of Cellular Wireless Technology </t>
  </si>
  <si>
    <t>(SMART, GLOBE, TALK n TEXT, 
SUN, DITO, RED MOBILE, 
TOUCH MOBILE, Others)</t>
  </si>
  <si>
    <t>(Check all applicable)</t>
  </si>
  <si>
    <t>(2G/3G/LTE/5G)</t>
  </si>
  <si>
    <t>Text/SMS</t>
  </si>
  <si>
    <t>Video Call</t>
  </si>
  <si>
    <t>Call</t>
  </si>
  <si>
    <t>No Signal at all</t>
  </si>
  <si>
    <t>Send/View Images</t>
  </si>
  <si>
    <r>
      <rPr>
        <b/>
        <i/>
        <sz val="11"/>
        <rFont val="Times New Roman"/>
        <family val="1"/>
      </rPr>
      <t>1. Cellular Service Provider</t>
    </r>
    <r>
      <rPr>
        <sz val="11"/>
        <rFont val="Times New Roman"/>
        <family val="1"/>
      </rPr>
      <t xml:space="preserve"> - refers to an authorized telecommunication company to provide cellular , mobile, and telephone service in a specified service area.</t>
    </r>
  </si>
  <si>
    <t>d. SUN</t>
  </si>
  <si>
    <t>e. DITO</t>
  </si>
  <si>
    <t>c. TALK n TEXT</t>
  </si>
  <si>
    <r>
      <rPr>
        <b/>
        <i/>
        <sz val="11"/>
        <rFont val="Times New Roman"/>
        <family val="1"/>
      </rPr>
      <t>2. Signal Capacity</t>
    </r>
    <r>
      <rPr>
        <sz val="11"/>
        <rFont val="Times New Roman"/>
        <family val="1"/>
      </rPr>
      <t xml:space="preserve"> - refers to the ability of the cellular's signal to perform activities.</t>
    </r>
  </si>
  <si>
    <r>
      <t xml:space="preserve">a. Text/ SMS - </t>
    </r>
    <r>
      <rPr>
        <sz val="11"/>
        <rFont val="Times New Roman"/>
        <family val="1"/>
      </rPr>
      <t>refers to the ability to receive and send text or Small Message Service (SMS).</t>
    </r>
  </si>
  <si>
    <r>
      <t xml:space="preserve">b. Call - </t>
    </r>
    <r>
      <rPr>
        <sz val="11"/>
        <rFont val="Times New Roman"/>
        <family val="1"/>
      </rPr>
      <t>refers to the ability to complete a call without signal drop</t>
    </r>
    <r>
      <rPr>
        <b/>
        <sz val="11"/>
        <rFont val="Times New Roman"/>
        <family val="1"/>
      </rPr>
      <t>.</t>
    </r>
  </si>
  <si>
    <r>
      <t xml:space="preserve">c. Send / View images - </t>
    </r>
    <r>
      <rPr>
        <sz val="11"/>
        <rFont val="Times New Roman"/>
        <family val="1"/>
      </rPr>
      <t>refers to the ability to receive and send images without image corruption</t>
    </r>
    <r>
      <rPr>
        <b/>
        <sz val="11"/>
        <rFont val="Times New Roman"/>
        <family val="1"/>
      </rPr>
      <t>.</t>
    </r>
  </si>
  <si>
    <r>
      <t>d. Video Call</t>
    </r>
    <r>
      <rPr>
        <sz val="11"/>
        <rFont val="Times New Roman"/>
        <family val="1"/>
      </rPr>
      <t xml:space="preserve"> - refers to the ability to initiate and receive video call without interruption. </t>
    </r>
  </si>
  <si>
    <r>
      <t>e. No Signal at all</t>
    </r>
    <r>
      <rPr>
        <sz val="11"/>
        <rFont val="Times New Roman"/>
        <family val="1"/>
      </rPr>
      <t xml:space="preserve"> - refers to the cellular's reception/signal with no ability to perform all the above-mentioned activities.</t>
    </r>
  </si>
  <si>
    <r>
      <rPr>
        <b/>
        <i/>
        <sz val="11"/>
        <rFont val="Times New Roman"/>
        <family val="1"/>
      </rPr>
      <t>3. Types of Cellular Wireless Technology</t>
    </r>
    <r>
      <rPr>
        <sz val="11"/>
        <rFont val="Times New Roman"/>
        <family val="1"/>
      </rPr>
      <t xml:space="preserve"> - refers to the type/level of wireless mobile telecommunications technology available.</t>
    </r>
  </si>
  <si>
    <r>
      <rPr>
        <b/>
        <i/>
        <sz val="11"/>
        <rFont val="Times New Roman"/>
        <family val="1"/>
      </rPr>
      <t xml:space="preserve">a. 2G (Second Generation) </t>
    </r>
    <r>
      <rPr>
        <sz val="11"/>
        <rFont val="Times New Roman"/>
        <family val="1"/>
      </rPr>
      <t>- refers to a cellular wireless technology that offers a theoretical maximum transfer speed of 40 kbit/s (5 KB/s)</t>
    </r>
    <r>
      <rPr>
        <b/>
        <sz val="11"/>
        <rFont val="Times New Roman"/>
        <family val="1"/>
      </rPr>
      <t>.</t>
    </r>
  </si>
  <si>
    <r>
      <rPr>
        <b/>
        <i/>
        <sz val="11"/>
        <rFont val="Times New Roman"/>
        <family val="1"/>
      </rPr>
      <t>b. 3G (Third Generation)</t>
    </r>
    <r>
      <rPr>
        <b/>
        <sz val="11"/>
        <rFont val="Times New Roman"/>
        <family val="1"/>
      </rPr>
      <t xml:space="preserve"> </t>
    </r>
    <r>
      <rPr>
        <sz val="11"/>
        <rFont val="Times New Roman"/>
        <family val="1"/>
      </rPr>
      <t>-  refers to a cellular wireless technology that offers a speed of at least 7.2 Mbps.</t>
    </r>
  </si>
  <si>
    <r>
      <t>c. LTE (Long Term Evolution) -</t>
    </r>
    <r>
      <rPr>
        <sz val="11"/>
        <rFont val="Times New Roman"/>
        <family val="1"/>
      </rPr>
      <t xml:space="preserve"> refers to a mobile wireless technology that offers a speed of 50 Mbps to 100 Mbps.</t>
    </r>
  </si>
  <si>
    <r>
      <t>d. 5G (FifthGeneration) -</t>
    </r>
    <r>
      <rPr>
        <sz val="11"/>
        <rFont val="Times New Roman"/>
        <family val="1"/>
      </rPr>
      <t xml:space="preserve"> refers to a cellular wireless technology that offers a speed of around 1 Gbps to 20 Gbps.</t>
    </r>
  </si>
  <si>
    <r>
      <rPr>
        <b/>
        <i/>
        <sz val="11"/>
        <rFont val="Times New Roman"/>
        <family val="1"/>
      </rPr>
      <t>4. Average Monthly Expense</t>
    </r>
    <r>
      <rPr>
        <sz val="11"/>
        <rFont val="Times New Roman"/>
        <family val="1"/>
      </rPr>
      <t xml:space="preserve"> - refers to the average cost spent in Philippine Peso for the cellular communication by type of cellular wireless technology, cellular service provider and funding source.</t>
    </r>
  </si>
  <si>
    <r>
      <rPr>
        <b/>
        <i/>
        <sz val="11"/>
        <rFont val="Times New Roman"/>
        <family val="1"/>
      </rPr>
      <t>5. Funding Source</t>
    </r>
    <r>
      <rPr>
        <sz val="11"/>
        <rFont val="Times New Roman"/>
        <family val="1"/>
      </rPr>
      <t xml:space="preserve"> - refers to the identified source of financial support/fund type</t>
    </r>
    <r>
      <rPr>
        <b/>
        <sz val="11"/>
        <rFont val="Times New Roman"/>
        <family val="1"/>
      </rPr>
      <t>.</t>
    </r>
  </si>
  <si>
    <t>Note:  This table shall be filled out if the school subscribe to any cellular service provider.</t>
  </si>
  <si>
    <t xml:space="preserve">     These are classified according to the following:</t>
  </si>
  <si>
    <r>
      <t>Enrollment by Program -</t>
    </r>
    <r>
      <rPr>
        <i/>
        <sz val="12"/>
        <rFont val="Times New Roman"/>
        <family val="1"/>
      </rPr>
      <t xml:space="preserve"> </t>
    </r>
    <r>
      <rPr>
        <sz val="12"/>
        <rFont val="Times New Roman"/>
        <family val="1"/>
      </rPr>
      <t>refers to the number of learners according to programs offered in elementary school.</t>
    </r>
  </si>
  <si>
    <r>
      <t>Locally-funded teachers working in the school</t>
    </r>
    <r>
      <rPr>
        <sz val="11"/>
        <rFont val="Times New Roman"/>
        <family val="1"/>
      </rPr>
      <t xml:space="preserve"> - teachers not having plantilla positions and whose compensation is chargeable against the local budget. </t>
    </r>
  </si>
  <si>
    <r>
      <t xml:space="preserve">ASATIDZ DepEd Subsidized/COS Teachers - </t>
    </r>
    <r>
      <rPr>
        <sz val="11"/>
        <rFont val="Times New Roman"/>
        <family val="1"/>
      </rPr>
      <t>assigned to teach ALIVE classes and not having plantilla positions but paid by DepEd through honorarium.</t>
    </r>
  </si>
  <si>
    <t>Reminder: Those serving two or more schools simultaneously shall be counted only in the school with the most teaching loads or number of learners handled, in that order.</t>
  </si>
  <si>
    <t>If a teacher is teaching more than one learning area or grade level, he/she can be counted more than once. 
Totals of Grades 4, 5 and 6 of this table shall be greater than or equal to the entries of Grades 4, 5 and 6 in Table 16.</t>
  </si>
  <si>
    <t>1.
 2.</t>
  </si>
  <si>
    <t>Number of learners examined</t>
  </si>
  <si>
    <t>No. of learners with DMFT</t>
  </si>
  <si>
    <r>
      <t xml:space="preserve">Decayed, Missing, and Filled Teeth (dmft) - </t>
    </r>
    <r>
      <rPr>
        <b/>
        <i/>
        <sz val="12"/>
        <rFont val="Times New Roman"/>
        <family val="1"/>
      </rPr>
      <t>Temporary Teeth</t>
    </r>
  </si>
  <si>
    <t>No. of learners with dmft</t>
  </si>
  <si>
    <t>No. of dmft</t>
  </si>
  <si>
    <t>Number of learners found to have gum disease</t>
  </si>
  <si>
    <t>Number of learners with other significant dental anomalies</t>
  </si>
  <si>
    <t>Number of learners who underwent flouridization</t>
  </si>
  <si>
    <t>Number of learners with findings</t>
  </si>
  <si>
    <t>Number of learners given interventions by clinic teachers and 
DepEd health personnel</t>
  </si>
  <si>
    <t>Number of learners referred to city/rural health units or other 
private health professionals</t>
  </si>
  <si>
    <t>(Provide the number of cases of suicide and attempted suicide among learners and school personnel that were recorded by the school)</t>
  </si>
  <si>
    <t>During SY 2021-2022</t>
  </si>
  <si>
    <t>Apr.</t>
  </si>
  <si>
    <r>
      <t xml:space="preserve">ENDS/ENNDS - </t>
    </r>
    <r>
      <rPr>
        <sz val="12"/>
        <rFont val="Times New Roman"/>
        <family val="1"/>
      </rPr>
      <t>stands for Electronic Nicotine Delivery Systems and Electronic Non-Nicotine Delivery Systems, which include vape and e-cigarettes.</t>
    </r>
  </si>
  <si>
    <r>
      <rPr>
        <b/>
        <i/>
        <sz val="12"/>
        <rFont val="Times New Roman"/>
        <family val="1"/>
      </rPr>
      <t>Sanitary Permit</t>
    </r>
    <r>
      <rPr>
        <sz val="12"/>
        <rFont val="Times New Roman"/>
        <family val="1"/>
      </rPr>
      <t xml:space="preserve"> - is the official document issued by proper authorities to an establishment that has been determined to have met the minimum requirements for the sanitary operation.</t>
    </r>
  </si>
  <si>
    <t>(Continuation from previous page, Table 34)</t>
  </si>
  <si>
    <t>Tropical Cyclones</t>
  </si>
  <si>
    <t>`</t>
  </si>
  <si>
    <t>Definition of Terms:</t>
  </si>
  <si>
    <r>
      <rPr>
        <b/>
        <i/>
        <sz val="12"/>
        <rFont val="Times New Roman"/>
        <family val="1"/>
      </rPr>
      <t xml:space="preserve">Drought </t>
    </r>
    <r>
      <rPr>
        <i/>
        <sz val="12"/>
        <rFont val="Times New Roman"/>
        <family val="1"/>
      </rPr>
      <t xml:space="preserve">- </t>
    </r>
    <r>
      <rPr>
        <sz val="12"/>
        <rFont val="Times New Roman"/>
        <family val="1"/>
      </rPr>
      <t xml:space="preserve">Pronounced absence or marked deficiency of precipitation. It is characterized by a deficiency in water supply that is the result of constantly below average precipitation. 
</t>
    </r>
    <r>
      <rPr>
        <b/>
        <sz val="12"/>
        <rFont val="Times New Roman"/>
        <family val="1"/>
      </rPr>
      <t>Sources of Definition: 
DO No. 23, s. 2014. Enclosure No. 4: Definition of Terms. http://www.deped.gov.ph/wp-content/uploads/2014/04/DO_s2014_023.pdf
ReliefWeb Glossary of Humanitarian Terms. GLIDE Working Group, Global Identifier Number, 2006. https://www.who.int/hac/about/reliefweb-aug2008.pdf</t>
    </r>
  </si>
  <si>
    <r>
      <rPr>
        <b/>
        <i/>
        <sz val="12"/>
        <rFont val="Times New Roman"/>
        <family val="1"/>
      </rPr>
      <t>Fire</t>
    </r>
    <r>
      <rPr>
        <i/>
        <sz val="12"/>
        <rFont val="Times New Roman"/>
        <family val="1"/>
      </rPr>
      <t xml:space="preserve"> -</t>
    </r>
    <r>
      <rPr>
        <sz val="12"/>
        <rFont val="Times New Roman"/>
        <family val="1"/>
      </rPr>
      <t xml:space="preserve"> A destructive burning (as of a building). Include in this category urban, industrial or rural fires, but not including wild (forest) fires. Limited to those induced or highly connected to natural phenomena, such as storms, earthquakes, droughts, etc. 
</t>
    </r>
    <r>
      <rPr>
        <b/>
        <sz val="12"/>
        <rFont val="Times New Roman"/>
        <family val="1"/>
      </rPr>
      <t>*</t>
    </r>
    <r>
      <rPr>
        <sz val="12"/>
        <rFont val="Times New Roman"/>
        <family val="1"/>
      </rPr>
      <t xml:space="preserve"> Includes forest or bush fires, or burning as consequence of other natural hazard, such as earthquakes.
</t>
    </r>
    <r>
      <rPr>
        <b/>
        <sz val="12"/>
        <rFont val="Times New Roman"/>
        <family val="1"/>
      </rPr>
      <t>**</t>
    </r>
    <r>
      <rPr>
        <sz val="12"/>
        <rFont val="Times New Roman"/>
        <family val="1"/>
      </rPr>
      <t xml:space="preserve"> Includes fires due to human negligence, such as electrical wiring failure
</t>
    </r>
    <r>
      <rPr>
        <b/>
        <sz val="12"/>
        <rFont val="Times New Roman"/>
        <family val="1"/>
      </rPr>
      <t>Source of Definition: ReliefWeb Glossary of Humanitarian Terms. GLIDE Working Group, Global Identifier Number, 2006. https://www.who.int/hac/about/reliefweb-aug2008.pdf</t>
    </r>
  </si>
  <si>
    <r>
      <rPr>
        <b/>
        <i/>
        <sz val="12"/>
        <rFont val="Times New Roman"/>
        <family val="1"/>
      </rPr>
      <t>Human-Induced Hazards -</t>
    </r>
    <r>
      <rPr>
        <sz val="12"/>
        <rFont val="Times New Roman"/>
        <family val="1"/>
      </rPr>
      <t xml:space="preserve">Are induced entirely or predominantly by human activities and choices that adversely affect other persons. The Sendai Framework for Disaster Risk Reduction 2015-2030 categorized these hazards as one of the following: (a) Environmental hazards may include chemical, natural and biological hazards. They can be created by environmental degradation or physical or chemical pollution in the air, water and soil. Examples include soil degradation, deforestation, loss of biodiversity, salinization and sea-level rise. (b) Technological hazards originate from technological or industrial conditions, dangerous procedures, infrastructure failures or specific human activities. Examples include industrial pollution, nuclear radiation, toxic wastes, dam failures, transport accidents, factory explosions, fires and chemical spills. While the UNISDR subjects armed conflicts and other situations of social instability to the International Humanitarian Law and National Legislation, the DRRMS classifies these violent incidents as human-induced. 
</t>
    </r>
    <r>
      <rPr>
        <b/>
        <sz val="12"/>
        <rFont val="Times New Roman"/>
        <family val="1"/>
      </rPr>
      <t>Source of Definition:</t>
    </r>
    <r>
      <rPr>
        <sz val="12"/>
        <rFont val="Times New Roman"/>
        <family val="1"/>
      </rPr>
      <t xml:space="preserve"> </t>
    </r>
    <r>
      <rPr>
        <b/>
        <sz val="12"/>
        <rFont val="Times New Roman"/>
        <family val="1"/>
      </rPr>
      <t>Sendai Framework for Disaster Risk Reduction 2015-2030. https://www.unisdr.org/files/43291_sendaiframeworkfordrren.pdf</t>
    </r>
  </si>
  <si>
    <r>
      <rPr>
        <b/>
        <i/>
        <sz val="12"/>
        <rFont val="Times New Roman"/>
        <family val="1"/>
      </rPr>
      <t xml:space="preserve">Tropical Cyclones </t>
    </r>
    <r>
      <rPr>
        <i/>
        <sz val="12"/>
        <rFont val="Times New Roman"/>
        <family val="1"/>
      </rPr>
      <t xml:space="preserve">- </t>
    </r>
    <r>
      <rPr>
        <sz val="12"/>
        <rFont val="Times New Roman"/>
        <family val="1"/>
      </rPr>
      <t xml:space="preserve">A non-frontal, synoptic-scale cyclone developing over tropical and sub-tropical waters at any level and having a definitely organized circulation. In other parts of the world, these are referred to as hurricanes, typhoons or simply tropical cyclones depending on the region. Includes Tropical Depression, Tropical Storm, Severe Tropical Storm, Typhoon, and Super Typhoon 
</t>
    </r>
    <r>
      <rPr>
        <b/>
        <sz val="12"/>
        <rFont val="Times New Roman"/>
        <family val="1"/>
      </rPr>
      <t>Source of Definition: DOST-PAGASA: About Tropical Cyclones. http://bagong.pagasa.dost.gov.ph/information/about-tropical-cyclone</t>
    </r>
  </si>
  <si>
    <t>Grave Child Rights Violations (GCRVs)</t>
  </si>
  <si>
    <t>Number of reports of GCRVs within the school and immediate surroundings that were filed through government channels</t>
  </si>
  <si>
    <t>(Check the boxes or provide the correct numbers for all DRRM, CCAM, and Peacebuilding initiatives conducted)</t>
  </si>
  <si>
    <t>Part 1. DRRM, CCAM, and Peacebuilding Policies</t>
  </si>
  <si>
    <t>School has adopted/ localized existing policies relating to DRRM, CCAM, and Peacebuilding</t>
  </si>
  <si>
    <t>Policy Number</t>
  </si>
  <si>
    <t>A. DRRM-CCAM Policies</t>
  </si>
  <si>
    <t>Guidelines on the Coordination for Establishment of Schools in Resettlement Sites Due to Disasters and/or Emergencies</t>
  </si>
  <si>
    <t>School-based Disaster Preparedness and Response Measures For Tropical Cyclones, Flooding, and Other Weather-related Disturbances and Calamities</t>
  </si>
  <si>
    <t>DM 084 s.2019</t>
  </si>
  <si>
    <t>Observance of the National Disaster Consciousness Month 2019</t>
  </si>
  <si>
    <t>B. Peacebuilding Policies</t>
  </si>
  <si>
    <t>National Policy Framework on Learners and Schools as Zones of Peace</t>
  </si>
  <si>
    <t>Number of learners consulted in the development or enhancement of DRRM, CCAM, and Peacebuilding school-level policies</t>
  </si>
  <si>
    <t>LGU or Barangay Officials</t>
  </si>
  <si>
    <t>NGOs</t>
  </si>
  <si>
    <t>Part 2. DRRM, CCAM, and Peacebuilding Plans</t>
  </si>
  <si>
    <t>School has a comprehensive School DRRM, CCAM, and Peacebuilding Plan</t>
  </si>
  <si>
    <t>External Partners</t>
  </si>
  <si>
    <t>School DRRM, CCAM, and Peacebuilding Plans considered the needs of learners with disabilities</t>
  </si>
  <si>
    <t xml:space="preserve">School DRRM, CCAM, and Peacebuilding Plans considered Indigenous Knowledge Systems and Practices (IKSP) </t>
  </si>
  <si>
    <t xml:space="preserve">School DRRM, CCAM, and Peacebuilding Plans are gender-sensitive </t>
  </si>
  <si>
    <t>Number of learners who participated in the development of the School DRRM, CCAM, and Peacebuilding Plans</t>
  </si>
  <si>
    <t>Part 3. DRRM, CCAM, and Peacebuilding Organizational and Budget Support</t>
  </si>
  <si>
    <t xml:space="preserve">School has a functional DRRM Team with defined roles and responsibilities </t>
  </si>
  <si>
    <t>School has designated a School DRRM Coordinator</t>
  </si>
  <si>
    <t>Number, cost, and percentage of DRRM, CCAM, and Peacebuilding Programs, Projects, and Activities (PPAs) included in the school's budget</t>
  </si>
  <si>
    <t>Number of PPAs</t>
  </si>
  <si>
    <t>Cost of PPAs</t>
  </si>
  <si>
    <t>% in the School's Budget
(e.g. 99.54%)</t>
  </si>
  <si>
    <t>Part 4. Data and Information Management</t>
  </si>
  <si>
    <t>Number of personnel trained on data management</t>
  </si>
  <si>
    <t>Number of trainings conducted for teaching and non-teaching personnel on data management</t>
  </si>
  <si>
    <t>Number of programs developed or enhanced by the school based on research</t>
  </si>
  <si>
    <t xml:space="preserve">School has used DRRMS-developed DRRM-, CCAM-, and Peacebuilding-related software for data collection and reporting </t>
  </si>
  <si>
    <t>Part 5. Monitoring and Evaluation</t>
  </si>
  <si>
    <t>School carries out monitoring and evaluation to assess sustainable implementation of DRRM, CCAM, and Peacebuilding initiatives</t>
  </si>
  <si>
    <t>School has used the Comprehensive School Safety (CSS) monitoring tool to keep track of their DRRM, CCAM and Peacebuilding initiatives</t>
  </si>
  <si>
    <t>Number of DRRM-, CCAM-, and Peacebuilding-related good practices documented by the school</t>
  </si>
  <si>
    <t>Documented Good Practices</t>
  </si>
  <si>
    <t>DRRM and CCAM</t>
  </si>
  <si>
    <t>Number of programs developed or enhanced by the school as a result of their monitoring and evaluation</t>
  </si>
  <si>
    <t>Part 1. School Safety, and Disaster Prevention and Mitigation</t>
  </si>
  <si>
    <t>Number of identified safe and unsafe instructional and non-instructional spaces</t>
  </si>
  <si>
    <t>Learning Facilities</t>
  </si>
  <si>
    <t>Safe</t>
  </si>
  <si>
    <t>Unsafe</t>
  </si>
  <si>
    <t>Instructional Spaces</t>
  </si>
  <si>
    <t>Non-instructional Spaces</t>
  </si>
  <si>
    <t>Number of instructional spaces retroffited</t>
  </si>
  <si>
    <t>Number of non-instructional spaces retroffited</t>
  </si>
  <si>
    <t>Number of instructional spaces constructed using inclusive and resilient designs</t>
  </si>
  <si>
    <t>Number of non-instructional spaces constructed using inclusive and resilient designs</t>
  </si>
  <si>
    <t>Flood Wall</t>
  </si>
  <si>
    <t>Fire Wall</t>
  </si>
  <si>
    <t>Sea Wall</t>
  </si>
  <si>
    <t>Slope Protection</t>
  </si>
  <si>
    <t>Non- structural slope protection</t>
  </si>
  <si>
    <t>Vegetation (e.g. mangrove, shrubs, and trees)</t>
  </si>
  <si>
    <t>Porous Landscaping</t>
  </si>
  <si>
    <t>Pruning of trees</t>
  </si>
  <si>
    <t>School conducts regular inspection of instructional and non-instructional spaces</t>
  </si>
  <si>
    <t>School Head has allotted budget for routine maintenance of instructional and non-instructional spaces</t>
  </si>
  <si>
    <t>School has undertaken regular repair of damaged instructional and non-instructional spaces</t>
  </si>
  <si>
    <t>Part 2. Rehabilitation and Recovery</t>
  </si>
  <si>
    <t>School has placed safety precautions for all new and ongoing building construction (e.g. fencing, signages, access)</t>
  </si>
  <si>
    <t>Basic Education Facilities Fund</t>
  </si>
  <si>
    <t>Quick Response Fund</t>
  </si>
  <si>
    <t>National Disaster Risk Reduction and Management Fund</t>
  </si>
  <si>
    <t>Part 1. School-level Risk Assessment, Plans, and Partnerships</t>
  </si>
  <si>
    <t>School has conducted Student-led School Watching and Hazard Mapping</t>
  </si>
  <si>
    <t>School has incorporated results of Student-led School Watching and Hazard Mapping in the School DRRM, CCAM, and Peacebuilding Plans and SIP</t>
  </si>
  <si>
    <t>School Watching Team made use of available hazard maps in coordination with concerned agencies such as of PHIVOLCS, MGB, PAGASA and LGUs for the Student-led School Watching and Hazard Mapping</t>
  </si>
  <si>
    <t>School Watching Team presented and submitted the results of Student-led School Watching and Hazard Mapping to the School Planning Team</t>
  </si>
  <si>
    <t>School Planning Team has linked the results of the School Watching and Hazard Mapping with the school's education data to better understand its risk</t>
  </si>
  <si>
    <t>7a. Standard Contents:</t>
  </si>
  <si>
    <t>Hazard and Vulnerabilty Assessment with baseline data</t>
  </si>
  <si>
    <t>Evacuation Plan</t>
  </si>
  <si>
    <t>Student-Family Reunification Plan that is disseminated to learners, teachers and parents</t>
  </si>
  <si>
    <t>Established tracking system of learners and personnel in the event of a disaster</t>
  </si>
  <si>
    <t>Response and early recovery measures</t>
  </si>
  <si>
    <t>Pre-identified spaces for putting up of TLS and WASH facilities</t>
  </si>
  <si>
    <t>Pre-identified spaces for evacuation center</t>
  </si>
  <si>
    <t>Identified instructional and non-instructional spaces to be used as temporary evacuation centers for disasters/ emergencies, if applicable</t>
  </si>
  <si>
    <t>Class resumption strategies</t>
  </si>
  <si>
    <t>List of available safety and emergency supplies and equipment</t>
  </si>
  <si>
    <t>List of partners to be mobilized in the event of a disaster/ emergency</t>
  </si>
  <si>
    <t xml:space="preserve">Established DRRM Team with defined roles and responsibilities </t>
  </si>
  <si>
    <t>Lockdown Protocol in cases of armed conflict</t>
  </si>
  <si>
    <t>7b. COVID-19 Considerations:</t>
  </si>
  <si>
    <t>Pre-identified spaces to be used as quarantine or isolation facilities and other COVID-19 related activities</t>
  </si>
  <si>
    <t>Health and Safety Protocols</t>
  </si>
  <si>
    <t>List of available Personal Protective Equipment (PPE)</t>
  </si>
  <si>
    <t>Management of COVID-19 cases, including coordination with the LGU</t>
  </si>
  <si>
    <t>School has documented Terms and Conditions for the use its facilities as quarantine or isolation areas for COVID-19, following DepEd Office Memorandum OM-OSEC-2020-02</t>
  </si>
  <si>
    <t>School has presented the results of the Family Earthquake Preparedness Plan to the PTA and LGU</t>
  </si>
  <si>
    <t>School has developed and implemented a DRRM Communication Plan</t>
  </si>
  <si>
    <t>School implemented DRRM, CCAM, and Peacebuilding PPAs with partners</t>
  </si>
  <si>
    <t>School has participated in the different DRRM, CCAM, and Peacebuilding activities of the LGUs and other partners</t>
  </si>
  <si>
    <t>Number of partners mobilized to support the school's DRRM and CCAM PPAs, including those after a disaster/ emergency</t>
  </si>
  <si>
    <t>Number of partners mobilized to support the school's Peacebuilding programs and activities, including those after an armed conflict</t>
  </si>
  <si>
    <t>Number of DRRM, CCAM, and Peacebuilding PPAs the school has implemented with partners</t>
  </si>
  <si>
    <t>Number of DRRM, CCAM, and Peacebuilding trainings conducted by partners for teaching and non-teaching personnel</t>
  </si>
  <si>
    <t>Part 2. Disaster Preparedness</t>
  </si>
  <si>
    <t>School has conducted Brigada Eskwela to ensure school safety and that disaster preparedness measures are in place</t>
  </si>
  <si>
    <t>School is provided with safety and emergency supplies and equipment from DepEd and partners</t>
  </si>
  <si>
    <t>Number of safety and emergency, response, and rescue supplies and equipment in the schools provided by DepEd and partners</t>
  </si>
  <si>
    <t>2-fold Aluminum Stretcher</t>
  </si>
  <si>
    <t>Cadaver bag</t>
  </si>
  <si>
    <t>Cot (Battlefield Bed)</t>
  </si>
  <si>
    <t>CPR board</t>
  </si>
  <si>
    <t>First Aid Kit for each learner</t>
  </si>
  <si>
    <t>Handheld / Base Radios</t>
  </si>
  <si>
    <t>LED flashlight rechargeable</t>
  </si>
  <si>
    <t>LED search light, 850 lumens</t>
  </si>
  <si>
    <t>Medical cushion</t>
  </si>
  <si>
    <t>Portable P.A. system</t>
  </si>
  <si>
    <t>Safety Helmet</t>
  </si>
  <si>
    <t>Steel boxes</t>
  </si>
  <si>
    <t xml:space="preserve">Steel cabinets </t>
  </si>
  <si>
    <t>Traffic Vest</t>
  </si>
  <si>
    <t>Transport bags, 45 L</t>
  </si>
  <si>
    <t>Universal head immobilizer</t>
  </si>
  <si>
    <t>Bicycle</t>
  </si>
  <si>
    <t>Fire Cabinet</t>
  </si>
  <si>
    <t>Fire Hose</t>
  </si>
  <si>
    <t>Life Vest (For coastal and island schools only)</t>
  </si>
  <si>
    <t>Motor Banca (For coastal and island schools only)</t>
  </si>
  <si>
    <t>Power Sprayer</t>
  </si>
  <si>
    <t>Hazard-specific Drills</t>
  </si>
  <si>
    <t>Number of school personnel that participated in the hazard-specific drills</t>
  </si>
  <si>
    <t>Number of learners that participated in the hazard-specific drills</t>
  </si>
  <si>
    <t>IP Learners</t>
  </si>
  <si>
    <t>Muslim Learners</t>
  </si>
  <si>
    <t>School conducted Brigada Eskwela in the aftermath of a disaster/ emergency to ensure learning continuity</t>
  </si>
  <si>
    <t>School submitted Rapid Assessment of Damage Report (RADAR) to the DRRMS Central Office, within 72 hours after the onslaught of a hazard in the area, if affected by a disaster</t>
  </si>
  <si>
    <t>Number of response interventions received from the following:</t>
  </si>
  <si>
    <t>4a. From the DRRMS (through the Division Office)</t>
  </si>
  <si>
    <t>Fund Support for Clean-up and Minor Repairs</t>
  </si>
  <si>
    <t>Fund Support for Temporary Learning Spaces</t>
  </si>
  <si>
    <t>Fund Support for Temporary WASH</t>
  </si>
  <si>
    <t>Fund Support for Emergency School Feeding</t>
  </si>
  <si>
    <t>Hygiene Kits</t>
  </si>
  <si>
    <t>Learners' Kits</t>
  </si>
  <si>
    <t>Teachers' Kits</t>
  </si>
  <si>
    <t>Materials for Alternative Delivery Modes</t>
  </si>
  <si>
    <t>4b. From Partners</t>
  </si>
  <si>
    <t>Donations in cash or in-kind</t>
  </si>
  <si>
    <t>Emergency School Feeding</t>
  </si>
  <si>
    <t>Materials for MHPSS</t>
  </si>
  <si>
    <t>Temporary Learning Spaces or Tents</t>
  </si>
  <si>
    <t>Temporary WASH Facilities</t>
  </si>
  <si>
    <t>School has implemented resumption strategies and Alternative Delivery Modes to ensure education continuity due to a disaster resulting from natural hazards</t>
  </si>
  <si>
    <t>Resumption Strategies</t>
  </si>
  <si>
    <t>Number of Days</t>
  </si>
  <si>
    <t>Class Shifting</t>
  </si>
  <si>
    <t>Make-up Classes</t>
  </si>
  <si>
    <t>Modular Learning</t>
  </si>
  <si>
    <t>Online Learning</t>
  </si>
  <si>
    <t>Peer Group Learning</t>
  </si>
  <si>
    <t>Programmed Teaching</t>
  </si>
  <si>
    <t>Home School</t>
  </si>
  <si>
    <t>Night High School</t>
  </si>
  <si>
    <t>Open High School Program</t>
  </si>
  <si>
    <t>Number of MHPSS interventions for learners and personnel funded and conducted by partners</t>
  </si>
  <si>
    <t>School has received replacement of damaged school furniture due to disasters/ emergencies</t>
  </si>
  <si>
    <t>School has received replacement of damaged DepEd Computerization Program (DCP) due to disasters/ emergencies</t>
  </si>
  <si>
    <t>School has received replacement of damaged learning resources due to disasters/ emergencies</t>
  </si>
  <si>
    <t>School has utilized established feedback and accountability mechanisms for learners to report issues and concerns, observations, and good practices on response, rehabilitation and recovery interventions</t>
  </si>
  <si>
    <t>Part 1. Curriculum Integration</t>
  </si>
  <si>
    <t>ALS</t>
  </si>
  <si>
    <t>CCAM</t>
  </si>
  <si>
    <t>School has assessed DRRM-, CCAM-, and Peacebuilding-related competencies through measurable learning outcomes</t>
  </si>
  <si>
    <t>Part 2. Information, Education, and Communication (IEC) and Advocacy</t>
  </si>
  <si>
    <t>School used DRRMS-developed DRRM, CCAM and Peacebuilding Information, Education and Communication Materials (IEC) materials</t>
  </si>
  <si>
    <t>School has DRRM, CCAM, and Peacebuilding corners, with updated IEC materials posted in it</t>
  </si>
  <si>
    <t>Number of school personnel trained by partners on DRRM, CCAM, and Peacebuilding</t>
  </si>
  <si>
    <t>Celebration and commemoration of special events related to DRRM</t>
  </si>
  <si>
    <t>DRRM Camp</t>
  </si>
  <si>
    <t>DRRM Youth Council</t>
  </si>
  <si>
    <t>DRRM Youth Action Campaigns</t>
  </si>
  <si>
    <t>DRRM-related Campus Journalism Activities (Photojournalism, Editorial Cartoons, Comic Script Writing, Broadcasting and News Writing)</t>
  </si>
  <si>
    <t>Art, essay, slogan, etc. contests for climate change adaptation and mitigation</t>
  </si>
  <si>
    <t>Change the Current: A Climate Action Online Training for Adolescents</t>
  </si>
  <si>
    <t>Climate Change Adaptation and Mitigation Conferences or Camps</t>
  </si>
  <si>
    <t>Climate Changemakers Online Training for Teaching Personnel</t>
  </si>
  <si>
    <t>Environmental Jounalism Training</t>
  </si>
  <si>
    <t>Installation of a Material Recovery Facility</t>
  </si>
  <si>
    <t>KaLIKHAsan Climate Action Action Advocacy Show</t>
  </si>
  <si>
    <t>Youth Strike for Climate</t>
  </si>
  <si>
    <t>Celebration and commemoration of special events related to climate change</t>
  </si>
  <si>
    <t>Creation of youth networks or organizations for peace</t>
  </si>
  <si>
    <t>Online MHPSS Activities</t>
  </si>
  <si>
    <t>School used DepEd developed learning resources on DRRM, CCAM, and Peacebuilding</t>
  </si>
  <si>
    <t>Number of DRRM, CCAM, and Peacebuilding trainings conducted for learners</t>
  </si>
  <si>
    <t>Number of DRRM, CCAM, Peacebuilding PPAs led by learners</t>
  </si>
  <si>
    <t>School used DepEd developed and DepEd approved standardized training manuals on DRRM, CCAM, and Peacebuilding</t>
  </si>
  <si>
    <t>Number of teaching and non-teaching personnel trained on DRRMS Training Modules</t>
  </si>
  <si>
    <t>DRRMS Training Modules</t>
  </si>
  <si>
    <t>MHPSS / Psychological First Aid</t>
  </si>
  <si>
    <t xml:space="preserve">Number of teaching and non-teaching personnel who completed the accredited training courses on DRRM, CCAM, and Peacebuilding </t>
  </si>
  <si>
    <t>Number of teachers trained in integrating DRRM, CCAM and Peacebuilding in their daily learning log</t>
  </si>
  <si>
    <t>School has used DepEd developed MHPSS standardized training manuals</t>
  </si>
  <si>
    <t>Number of MHPSS trainings conducted for learners and personnel</t>
  </si>
  <si>
    <t>MHPSS Trainings</t>
  </si>
  <si>
    <t>Number of school personnel trained in MHPSS and Psychological First Aid</t>
  </si>
  <si>
    <t>Number of times armed conflict occurred in your school and its immediate surroundings</t>
  </si>
  <si>
    <t>Number of times the following state/non-state actors were involved in the armed conflict incidents</t>
  </si>
  <si>
    <t>(Continuation from previous page, Table 35)</t>
  </si>
  <si>
    <r>
      <t xml:space="preserve">Armed conflict - </t>
    </r>
    <r>
      <rPr>
        <sz val="12"/>
        <rFont val="Times New Roman"/>
        <family val="1"/>
      </rPr>
      <t>refers to armed confrontations occurring between government forces and one or more armed groups, or between such groups arising in the Philippine territory. These shall include activities which</t>
    </r>
    <r>
      <rPr>
        <b/>
        <i/>
        <sz val="12"/>
        <rFont val="Times New Roman"/>
        <family val="1"/>
      </rPr>
      <t xml:space="preserve"> </t>
    </r>
    <r>
      <rPr>
        <sz val="12"/>
        <rFont val="Times New Roman"/>
        <family val="1"/>
      </rPr>
      <t>may lead to, or are undertaken in preparation of armed confrontation or armed violence that put children‘s lives at risk and their rights violated. (R.A. 11188) 
                         - Armed conflict incidents include armed encounters such as the All-Out-War in 2000, the September 2013 Zamboanga Siege, the 2017 Marawi Siege, among others.</t>
    </r>
    <r>
      <rPr>
        <b/>
        <i/>
        <sz val="12"/>
        <rFont val="Times New Roman"/>
        <family val="1"/>
      </rPr>
      <t xml:space="preserve">
Source of Definition: R.A. 11188, or the Special Protection of Children in Situations of Armed Conflict (2017)</t>
    </r>
  </si>
  <si>
    <r>
      <t xml:space="preserve">Grave Child Rights Violations - </t>
    </r>
    <r>
      <rPr>
        <sz val="12"/>
        <rFont val="Times New Roman"/>
        <family val="1"/>
      </rPr>
      <t>refers to the offenses committed against children that constitute flagrant violations of their human rights and have severe consequences in their lives.</t>
    </r>
    <r>
      <rPr>
        <b/>
        <i/>
        <sz val="12"/>
        <rFont val="Times New Roman"/>
        <family val="1"/>
      </rPr>
      <t xml:space="preserve">
Source of Definition: DO No. 57, s. 2017 Policy on the Protection of Children in Armed Conflict, based on UN Security Council Resolution Nos. 1539, 1612, 1882, 1998 http://www.deped.gov.ph/wp-content/uploads/2017/11/DO_s2017_057.pdf</t>
    </r>
  </si>
  <si>
    <r>
      <t>State and/or Non-State Actors -</t>
    </r>
    <r>
      <rPr>
        <sz val="12"/>
        <rFont val="Times New Roman"/>
        <family val="1"/>
      </rPr>
      <t xml:space="preserve"> refers to parties involved in non-international armed conflict in which hostilities occur between governmental (state) armed forces and non-governmental (non-state) armed groups or between such groups only.</t>
    </r>
    <r>
      <rPr>
        <b/>
        <i/>
        <sz val="12"/>
        <rFont val="Times New Roman"/>
        <family val="1"/>
      </rPr>
      <t xml:space="preserve">
Source of Definition: D. Schindler, The Different Types of Armed Conflicts According to the Geneva Conventions and Protocols, RCADI, Vol. 163, 1979-II, p. 147. as cited in International Committee of the Red Cross (ICRC): "How is the Term "Armed Conflict" Defined in International Humanitarian Law?". https://www.icrc.org/en/doc/assets/files/other/opinion-paper-armed-conflict.pdf</t>
    </r>
  </si>
  <si>
    <t xml:space="preserve">Does the school celebrate IP Day? </t>
  </si>
  <si>
    <t>Does the school celebrate IP Month?</t>
  </si>
  <si>
    <t>Is the school head an IP?</t>
  </si>
  <si>
    <t>Did the school head attended the Orientation on IPEd provided by DepEd?</t>
  </si>
  <si>
    <t>Number of teachers in the school who are IPs</t>
  </si>
  <si>
    <t>Number of teachers who have attended the Orientation on IPEd provided by DepEd</t>
  </si>
  <si>
    <t>Number of teachers who have attended trainings on IPEd outside of DepEd</t>
  </si>
  <si>
    <t xml:space="preserve">    Types of Special Programs:</t>
  </si>
  <si>
    <r>
      <t xml:space="preserve">     1.  Madrasah Education Program  (ALIVE) -  </t>
    </r>
    <r>
      <rPr>
        <sz val="12"/>
        <rFont val="Times New Roman"/>
        <family val="1"/>
      </rPr>
      <t>a program which aims to preserve the Arabic language and Muslim culture through its inclusion in the regular basic</t>
    </r>
    <r>
      <rPr>
        <b/>
        <sz val="12"/>
        <rFont val="Times New Roman"/>
        <family val="1"/>
      </rPr>
      <t xml:space="preserve"> </t>
    </r>
    <r>
      <rPr>
        <sz val="12"/>
        <rFont val="Times New Roman"/>
        <family val="1"/>
      </rPr>
      <t>education curriculum.</t>
    </r>
  </si>
  <si>
    <r>
      <t xml:space="preserve">     2.  Special Science Elementary School (SSES) -  </t>
    </r>
    <r>
      <rPr>
        <sz val="12"/>
        <rFont val="Times New Roman"/>
        <family val="1"/>
      </rPr>
      <t xml:space="preserve">a program which aims to enrich the science curriculum in public elementary school. </t>
    </r>
  </si>
  <si>
    <t xml:space="preserve">(Continuation from previous page,Table 28. HEALTH AND NUTRITION)   </t>
  </si>
  <si>
    <t>Position Title :  _________________________</t>
  </si>
  <si>
    <t>Types of Intervention</t>
  </si>
  <si>
    <t>Validated by Division Education Program Supervisor for LRMDS:</t>
  </si>
  <si>
    <t>C. Subject/s Identified by Teachers that needs more resources as supplemental guide in DepEd TV</t>
  </si>
  <si>
    <t>Part 3b. Resilience Education</t>
  </si>
  <si>
    <t>Topics</t>
  </si>
  <si>
    <t>Part 3c. Resilience Education</t>
  </si>
  <si>
    <t>Part 3a. Disaster Response</t>
  </si>
  <si>
    <t>Part 3b. Disaster Response</t>
  </si>
  <si>
    <r>
      <t xml:space="preserve">With Diagnosis from Licensed Medical Specialist - </t>
    </r>
    <r>
      <rPr>
        <sz val="12"/>
        <rFont val="Times New Roman"/>
        <family val="1"/>
      </rPr>
      <t>refers to learners who have undergone assessment of licensed professionals like Psychologists, Psychometricians, and Medical Specialists who can determine the level of disability of any learner.</t>
    </r>
  </si>
  <si>
    <t>b. Assignment (Number of teachers working in the school):</t>
  </si>
  <si>
    <r>
      <rPr>
        <b/>
        <i/>
        <sz val="11"/>
        <rFont val="Times New Roman"/>
        <family val="1"/>
      </rPr>
      <t>b. Notebook</t>
    </r>
    <r>
      <rPr>
        <sz val="11"/>
        <rFont val="Times New Roman"/>
        <family val="1"/>
      </rPr>
      <t>- refers to a device that is lighter than laptops. Usually have screens ranging from 12 to 17 inches (30.5 to 43.2 centimeters) and weigh around 5 to 6 pounds (2.3 to 2.7 kilograms).</t>
    </r>
  </si>
  <si>
    <r>
      <rPr>
        <b/>
        <i/>
        <sz val="11"/>
        <rFont val="Times New Roman"/>
        <family val="1"/>
      </rPr>
      <t xml:space="preserve">c. Android Tablet - </t>
    </r>
    <r>
      <rPr>
        <sz val="11"/>
        <rFont val="Times New Roman"/>
        <family val="1"/>
      </rPr>
      <t xml:space="preserve"> refers to a portable computer that has a touchscreen feature as the primary means of input.</t>
    </r>
  </si>
  <si>
    <r>
      <rPr>
        <b/>
        <i/>
        <sz val="11"/>
        <rFont val="Times New Roman"/>
        <family val="1"/>
      </rPr>
      <t>d. Tablet PC</t>
    </r>
    <r>
      <rPr>
        <sz val="11"/>
        <rFont val="Times New Roman"/>
        <family val="1"/>
      </rPr>
      <t xml:space="preserve"> -</t>
    </r>
    <r>
      <rPr>
        <b/>
        <sz val="11"/>
        <rFont val="Times New Roman"/>
        <family val="1"/>
      </rPr>
      <t xml:space="preserve"> </t>
    </r>
    <r>
      <rPr>
        <sz val="11"/>
        <rFont val="Times New Roman"/>
        <family val="1"/>
      </rPr>
      <t xml:space="preserve">refers to a touchscreen tablet when you want to browse or interact, a laptop when you need a tablet with keyboard to be productive. </t>
    </r>
  </si>
  <si>
    <r>
      <rPr>
        <b/>
        <i/>
        <sz val="11"/>
        <rFont val="Times New Roman"/>
        <family val="1"/>
      </rPr>
      <t>Lapel</t>
    </r>
    <r>
      <rPr>
        <b/>
        <sz val="11"/>
        <rFont val="Times New Roman"/>
        <family val="1"/>
      </rPr>
      <t xml:space="preserve"> - </t>
    </r>
    <r>
      <rPr>
        <sz val="11"/>
        <rFont val="Times New Roman"/>
        <family val="1"/>
      </rPr>
      <t xml:space="preserve">refers to an electronic device used to amplify voice. </t>
    </r>
  </si>
  <si>
    <r>
      <rPr>
        <b/>
        <i/>
        <sz val="12"/>
        <rFont val="Times New Roman"/>
        <family val="1"/>
      </rPr>
      <t>Internet Service Provider (ISP)</t>
    </r>
    <r>
      <rPr>
        <b/>
        <sz val="12"/>
        <rFont val="Times New Roman"/>
        <family val="1"/>
      </rPr>
      <t xml:space="preserve"> -</t>
    </r>
    <r>
      <rPr>
        <sz val="12"/>
        <rFont val="Times New Roman"/>
        <family val="1"/>
      </rPr>
      <t xml:space="preserve"> refers to an organization that provides a myriad of services for accessing, using, or participating in the Internet.</t>
    </r>
  </si>
  <si>
    <r>
      <t xml:space="preserve">Special Patent </t>
    </r>
    <r>
      <rPr>
        <sz val="11"/>
        <rFont val="Times New Roman"/>
        <family val="1"/>
      </rPr>
      <t>- refers to a public instrument issued by the government confirming the grant by the State of the ownership over a parcel of agricultural land (alienable and disposable) in favor of a grantee.</t>
    </r>
  </si>
  <si>
    <r>
      <t xml:space="preserve">Special Forest Landuse Agreement (FLAg) </t>
    </r>
    <r>
      <rPr>
        <i/>
        <sz val="11"/>
        <rFont val="Times New Roman"/>
        <family val="1"/>
      </rPr>
      <t>-</t>
    </r>
    <r>
      <rPr>
        <sz val="11"/>
        <rFont val="Times New Roman"/>
        <family val="1"/>
      </rPr>
      <t xml:space="preserve"> refers to contract between the government as first party represented by the Secretary or the Regional Director concerned, and a second party or a person, authorizing the latter to </t>
    </r>
  </si>
  <si>
    <t>How many partnerships did the school have from January to December 2021?</t>
  </si>
  <si>
    <t>Number of School Days lost due to class suspensions resulting from human-induced hazards, except armed conflict</t>
  </si>
  <si>
    <t>School has documented a Memorandum of Understanding or Memorandum of Agreement with the LGU and DSWD for the use of its facilities as evacuation centers following the JMC No. 1, s. 2013 and RA 10821</t>
  </si>
  <si>
    <r>
      <rPr>
        <b/>
        <i/>
        <sz val="12"/>
        <rFont val="Times New Roman"/>
        <family val="1"/>
      </rPr>
      <t>Indigenous Cultural Communities/Indigenous Peoples</t>
    </r>
    <r>
      <rPr>
        <i/>
        <sz val="12"/>
        <rFont val="Times New Roman"/>
        <family val="1"/>
      </rPr>
      <t xml:space="preserve"> (ICCs/IPs)</t>
    </r>
    <r>
      <rPr>
        <sz val="11"/>
        <rFont val="Times New Roman"/>
        <family val="1"/>
      </rPr>
      <t>— refer to a group of people or homogenous societies identified by self-ascription and ascription by others, who have continuously lived as an organized community on communally bounded and defined territory, and who have, under claims of ownership since time immemorial, occupied, possessed and utilized such territories, sharing common bonds of language, customs, traditions and other distinctive cultural traits, or who have, through resistance to political, social and cultural inroads of colonization, non-indigenous religions and cultures, became historically differentiated from the majority of Filipinos. ICCs/IPs shall likewise include peoples who are regarded as indigenous on account of their descent from the populations which inhabited the country, at the time of conquest or colonization, or at the time of inroads of non-indigenous religions and cultures, or the establishment of present state boundaries, who retain some or all of their own social, economic, cultural and political institutions, but who may have been displaced from their traditional domains or who may have resettled outside their ancestral domains;</t>
    </r>
    <r>
      <rPr>
        <b/>
        <sz val="11"/>
        <rFont val="Times New Roman"/>
        <family val="1"/>
      </rPr>
      <t xml:space="preserve">
</t>
    </r>
    <r>
      <rPr>
        <b/>
        <i/>
        <sz val="10"/>
        <rFont val="Times New Roman"/>
        <family val="1"/>
      </rPr>
      <t>Source: IPRA of 1997
Link: https://www.officialgazette.gov.ph/1997/10/29/republic-act-no-8371/</t>
    </r>
  </si>
  <si>
    <r>
      <rPr>
        <b/>
        <i/>
        <sz val="12"/>
        <rFont val="Times New Roman"/>
        <family val="1"/>
      </rPr>
      <t>Ethnicity</t>
    </r>
    <r>
      <rPr>
        <sz val="11"/>
        <rFont val="Times New Roman"/>
        <family val="1"/>
      </rPr>
      <t xml:space="preserve"> is a primary sense of belonging to an ethnic group. Ethnic group is consanguine in nature, meaning, the ties are reckoned by blood and traced through the family tree. Thus, ethnicity refers to the household member's identity, by blood and not by choice nor by adoption/confirmation for any ethnic group, primarily the Indigenous Peoples (IPs).
Generally, ethnic grouping denotes genealogical and paternal lineage to any of the Philippines' group of native population. However, for the purpose of census, ethnic grouping also includes maternal lineage. As such, anybody whose consanguinity with either both parents or any one of them who is a member of an IP group, is an Indigenous Person.
The updated categories of ethnicity are provided by the National Commission on Indigenous Peoples and the National Commission on Muslim Filipinos.
</t>
    </r>
    <r>
      <rPr>
        <b/>
        <i/>
        <sz val="10"/>
        <rFont val="Times New Roman"/>
        <family val="1"/>
      </rPr>
      <t>Source: 2010 Census of Population and Housing (CPH) &amp; 2015 Population Census (POPCEN)
Link: https://psa.gov.ph/content/ethnicity-1</t>
    </r>
  </si>
  <si>
    <t xml:space="preserve">Does the school use the IP learner's MotherTongue (MT) as medium of instruction? </t>
  </si>
  <si>
    <t>Does the school use the IP learner's MotherTongue (MT) in the Mother Tongue-Based Multilingual Education (MTB-MLE) subjects?</t>
  </si>
  <si>
    <t>Central School</t>
  </si>
  <si>
    <t>SPED Center</t>
  </si>
  <si>
    <r>
      <t xml:space="preserve">Annex/Extension School </t>
    </r>
    <r>
      <rPr>
        <b/>
        <i/>
        <sz val="12"/>
        <rFont val="Times New Roman"/>
        <family val="1"/>
      </rPr>
      <t>(Indicate Mother School ID:</t>
    </r>
  </si>
  <si>
    <t>TOTAL (K to Gr 6)</t>
  </si>
  <si>
    <r>
      <t>TOTAL</t>
    </r>
    <r>
      <rPr>
        <b/>
        <sz val="11"/>
        <rFont val="Times New Roman"/>
        <family val="1"/>
      </rPr>
      <t xml:space="preserve"> (K to Gr 6)</t>
    </r>
  </si>
  <si>
    <t>Number of IP learners who were vaccinated by the Department of Health (based on LGU health records)</t>
  </si>
  <si>
    <t>A. Number of learners who were vaccinated by the Department of Health (based on LGU health records)</t>
  </si>
  <si>
    <t xml:space="preserve">
2.b.</t>
  </si>
  <si>
    <t>K</t>
  </si>
  <si>
    <t>Gr 1</t>
  </si>
  <si>
    <t>Gr 2</t>
  </si>
  <si>
    <t>Gr 3</t>
  </si>
  <si>
    <t>Gr 4</t>
  </si>
  <si>
    <t>Gr 5</t>
  </si>
  <si>
    <t>Gr 6</t>
  </si>
  <si>
    <t>DRRM-related concepts</t>
  </si>
  <si>
    <t>CCAM-related concepts</t>
  </si>
  <si>
    <t>School teaches DRRM- and CCAM- related concepts</t>
  </si>
  <si>
    <t>Peacebuilding-related concepts</t>
  </si>
  <si>
    <t>School teaches Peacebuilding-related concepts</t>
  </si>
  <si>
    <t>Number of DRRM-, CCAM-, and Peacebuilding-related topics integrated in SpEd/IPEd/ALS program, learning competencies and contents introduced by the school/teachers to supplement the Curriculum Guide, and learning competencies contextualized in learning resources</t>
  </si>
  <si>
    <t>Topics/
Competencies</t>
  </si>
  <si>
    <t>Integrated to the following Program</t>
  </si>
  <si>
    <t>Introduced by School/Teachers</t>
  </si>
  <si>
    <t xml:space="preserve">Contextualized Learning
Resources </t>
  </si>
  <si>
    <t>SpEd</t>
  </si>
  <si>
    <t>Learning Competencies</t>
  </si>
  <si>
    <t>Contents</t>
  </si>
  <si>
    <t xml:space="preserve">     DRRM</t>
  </si>
  <si>
    <t xml:space="preserve">     CCAM</t>
  </si>
  <si>
    <t xml:space="preserve">     Peacebuilding</t>
  </si>
  <si>
    <t>Number of learners who have participation in the development of IEC Materials</t>
  </si>
  <si>
    <t>2. Consulted in the development of IEC materials</t>
  </si>
  <si>
    <t>3. Co-developed IEC materials</t>
  </si>
  <si>
    <t>4. Initiated and developed IEC materials</t>
  </si>
  <si>
    <t>Learners
 EXCLUDING IP,
Muslim and Learners
with Disability</t>
  </si>
  <si>
    <t>Learners with
Disability</t>
  </si>
  <si>
    <t>A learner can be counted more than once if he/she is either an IP Learner,  Muslim Learner or Learner with Disability at the same time.</t>
  </si>
  <si>
    <t>Note:  For the definitions, refer to Box 31 - Part 3d. Resilience Education.</t>
  </si>
  <si>
    <t xml:space="preserve">  Reminder: A learner can be counted more than once if he/she is either an IP Learner,  Muslim Learner or Learner with Disability at the same time.</t>
  </si>
  <si>
    <t xml:space="preserve">  Note:  For the definitions, refer to Box 31 - Part 3d. Resilience Education.</t>
  </si>
  <si>
    <t>Part 3a. Resilience Education</t>
  </si>
  <si>
    <t xml:space="preserve">Number of stakeholders that participated in DRRM, CCAM, and Peacebuilding activities </t>
  </si>
  <si>
    <t>Other, (specify):</t>
  </si>
  <si>
    <t>Celebration and commemoration of special events related to peace and 
human rights</t>
  </si>
  <si>
    <t>Number of learners that participated in DRRM, CCAM, and Peacebuilding activities</t>
  </si>
  <si>
    <t>Activities</t>
  </si>
  <si>
    <r>
      <t xml:space="preserve">Learners
 </t>
    </r>
    <r>
      <rPr>
        <b/>
        <u/>
        <sz val="12"/>
        <color theme="1"/>
        <rFont val="Times New Roman"/>
        <family val="1"/>
      </rPr>
      <t>EXCLUDING</t>
    </r>
    <r>
      <rPr>
        <b/>
        <sz val="10"/>
        <color theme="1"/>
        <rFont val="Times New Roman"/>
        <family val="1"/>
      </rPr>
      <t xml:space="preserve"> IP,
Muslim and Learners
with Disability</t>
    </r>
  </si>
  <si>
    <t>A. DRRM</t>
  </si>
  <si>
    <t>Celebration and commemoration of special 
events related to DRRM</t>
  </si>
  <si>
    <t>B. CCAM</t>
  </si>
  <si>
    <t>Art, essay, slogan, etc. contests for climate
change adaptation and mitigation</t>
  </si>
  <si>
    <t>Change the Current: A Climate Action
Online Training for Adolescents</t>
  </si>
  <si>
    <t>Climate Change Adaptation and Mitigation
Conferences or Camps</t>
  </si>
  <si>
    <t>KaLIKHAsan Climate Action Action
Advocacy Show</t>
  </si>
  <si>
    <t>Celebration and commemoration of special
events related to climate change</t>
  </si>
  <si>
    <t>C. Peacebuilding</t>
  </si>
  <si>
    <t>Celebration and commemoration of special
events related to peace and human rights</t>
  </si>
  <si>
    <t>Trainings
Conducted</t>
  </si>
  <si>
    <t>Number of learners in the following DRRM, CCAM, and Peacebuilding activities</t>
  </si>
  <si>
    <t>Completed the training Courses</t>
  </si>
  <si>
    <t>Trained</t>
  </si>
  <si>
    <t>Co-led in PPAs</t>
  </si>
  <si>
    <t>Led in PPAs</t>
  </si>
  <si>
    <t>PPAs led by
learners</t>
  </si>
  <si>
    <t>Part 3d. Resilience Education</t>
  </si>
  <si>
    <r>
      <t xml:space="preserve">Structural collapse </t>
    </r>
    <r>
      <rPr>
        <i/>
        <sz val="13"/>
        <rFont val="Times New Roman"/>
        <family val="1"/>
      </rPr>
      <t>(as a result of engineering failures)</t>
    </r>
  </si>
  <si>
    <r>
      <t xml:space="preserve">Hazardous Materials Incident
</t>
    </r>
    <r>
      <rPr>
        <i/>
        <sz val="13"/>
        <rFont val="Times New Roman"/>
        <family val="1"/>
      </rPr>
      <t>(e.g. chemical explosion, chemical spill, oil spill, exposure to radioactive substances)</t>
    </r>
  </si>
  <si>
    <t>Fire *</t>
  </si>
  <si>
    <t>Disasters</t>
  </si>
  <si>
    <t>Number of school personnel who participated in the survey on the effectiveness of IEC materials developed by DRRMS and/or contextualized by the region or division</t>
  </si>
  <si>
    <t>1. Participated in the survey on the effectiveness of IEC materials developed by DRRMS and/or contextualized by region or division</t>
  </si>
  <si>
    <t>43 - 44</t>
  </si>
  <si>
    <t>(Check the boxes or provide the correct numbers for all DRRM, CCAM, and Peacebuilding Policies)</t>
  </si>
  <si>
    <t>DO 24 s.2021</t>
  </si>
  <si>
    <t>DO 33 s.2021</t>
  </si>
  <si>
    <t>DO 32 s.2019</t>
  </si>
  <si>
    <r>
      <t xml:space="preserve">Number  of  </t>
    </r>
    <r>
      <rPr>
        <b/>
        <u/>
        <sz val="12"/>
        <rFont val="Times New Roman"/>
        <family val="1"/>
      </rPr>
      <t>school-level policies</t>
    </r>
    <r>
      <rPr>
        <sz val="12"/>
        <rFont val="Times New Roman"/>
        <family val="1"/>
      </rPr>
      <t xml:space="preserve">  on  DRRM,  CCAM,  and  Peacebuilding  developed  and  enhanced  in consultation with the following:</t>
    </r>
  </si>
  <si>
    <t>Note:  For the definitions, refer to Box 28 - Part 5. Monitoring and Evaluation.</t>
  </si>
  <si>
    <r>
      <t xml:space="preserve">School DRRM, CCAM, and Peacebuilding Plans are developed together with the following: </t>
    </r>
    <r>
      <rPr>
        <i/>
        <sz val="12"/>
        <rFont val="Times New Roman"/>
        <family val="1"/>
      </rPr>
      <t>(check all applicable)</t>
    </r>
  </si>
  <si>
    <t>CCAM - Climate Change
Expenditure Tagging</t>
  </si>
  <si>
    <t>Cost of
PPAs</t>
  </si>
  <si>
    <t>Number of evidence-based DRRM-, CCAM-, and Peacebuilding-related research that the school has
undertaken</t>
  </si>
  <si>
    <r>
      <t>CCAM (Climate Change Adaptation and Mitigation)</t>
    </r>
    <r>
      <rPr>
        <sz val="11"/>
        <rFont val="Times New Roman"/>
        <family val="1"/>
      </rPr>
      <t xml:space="preserve"> - Climate change refers to a change in the state of the climate that can be identified (e.g., by using statistical tests) by changes in the mean and/or the variability of its properties and that persists for an extended period, typically decades or longer. (Intergovernmental Panel on Climate Change). Change of climate which is attributed directly or indirectly to human activity that alters the composition of the global atmosphere and which is in addition to natural climate variability observed over comparable time periods. Adjustments in ecological, social, or economic systems in response to actual or expected climatic stimuli and their effects or impacts. It refers to changes in processes, practices, and structures to moderate potential damages or to benefit from opportunities associated with climate change (United Nations Framework Convention on Climate Change).</t>
    </r>
  </si>
  <si>
    <r>
      <t>Climate Change Adaptation -</t>
    </r>
    <r>
      <rPr>
        <i/>
        <sz val="11"/>
        <rFont val="Times New Roman"/>
        <family val="1"/>
      </rPr>
      <t xml:space="preserve"> a climate change response that intends to reduce the vulnerability of human or natural systems to the impacts of climate change and climate-related risks, by maintaining or increasing adaptive capacity and resilience.</t>
    </r>
  </si>
  <si>
    <r>
      <t xml:space="preserve">Climate Change Mitigation - </t>
    </r>
    <r>
      <rPr>
        <i/>
        <sz val="11"/>
        <rFont val="Times New Roman"/>
        <family val="1"/>
      </rPr>
      <t>a climate change response that aims to reduce greenhouse gas emissions (GHG), directly or indirectly, by avoiding or capturing GHG before they are emitted to the atmosphere or sequestering those already in the atmosphere by enhancing "sinks" such as forests.</t>
    </r>
  </si>
  <si>
    <t>Source of Information: Joint Memorandum Circular No. 2015-01 (July 23, 2015). Revised Guidelines for Tagging / Tracking Climate Change Expenditures in the Local Budget. https://niccdies.climate.gov.ph/files/documents/Local%20CCET%20-DBM-DILG-CCC-.pdf</t>
  </si>
  <si>
    <r>
      <t>DRRM (Disaster Risk Reduction and Management)</t>
    </r>
    <r>
      <rPr>
        <sz val="11"/>
        <rFont val="Times New Roman"/>
        <family val="1"/>
      </rPr>
      <t xml:space="preserve"> - is the systemic process of using administrative directives, organizations, and operational skills and capacities to implement strategies, policies, and improved coping capacities in order to lessen the adverse impacts of hazards and the possibility of a disaster.</t>
    </r>
    <r>
      <rPr>
        <b/>
        <i/>
        <sz val="11"/>
        <rFont val="Times New Roman"/>
        <family val="1"/>
      </rPr>
      <t xml:space="preserve">
Source of Definition: DO No. 37, s. 2015 The Comprehensive Disaster Risk Reduction and Management in Education Framework.
http://www.deped.gov.ph/wp-content/uploads/2015/08/DO_s2015_37.pdf</t>
    </r>
  </si>
  <si>
    <r>
      <t>EiE (Education in Emergencies)</t>
    </r>
    <r>
      <rPr>
        <sz val="11"/>
        <rFont val="Times New Roman"/>
        <family val="1"/>
      </rPr>
      <t xml:space="preserve"> - refers to the quality learning opportunities for all ages in situations of crisis, including early childhood development, primary, secondary, non-formal, technical, vocational, higher and adult education. Education in emergencies provides physical, psychosocial and cognitive protection that can sustain and save lives.</t>
    </r>
    <r>
      <rPr>
        <b/>
        <i/>
        <sz val="11"/>
        <rFont val="Times New Roman"/>
        <family val="1"/>
      </rPr>
      <t xml:space="preserve">
Source of Definition: International Network for Education in Emergencies Term Bank.
https://toolkit.ineesite.org/termbank/en/terms/education_in_emergencies</t>
    </r>
  </si>
  <si>
    <r>
      <t>Peacebuilding</t>
    </r>
    <r>
      <rPr>
        <sz val="11"/>
        <rFont val="Times New Roman"/>
        <family val="1"/>
      </rPr>
      <t xml:space="preserve"> - refers to a process that facilitates the establishment of durable peace and tries to prevent the recurrence of violence by addressing root causes and effects of conflict through reconciliation, institution building, and political as well as economic transformation. This consists of a set of physical, social, and structural initiatives that are often an integral part of post-conflict reconstruction and rehabilitation.
</t>
    </r>
    <r>
      <rPr>
        <b/>
        <i/>
        <sz val="11"/>
        <rFont val="Times New Roman"/>
        <family val="1"/>
      </rPr>
      <t>Source of Definition: UNICEF Technical Notes on Conflict Sensitivity and Peacebuilding.
http://www.unicefinemergencies.com/downloads/eresource/docs/KRR/UNICEF%20Technical%20Note%20on%20Conflict%20Sensitivity%20and%20Peacebuilding.pdf</t>
    </r>
  </si>
  <si>
    <r>
      <t>NGOs (Non-Government Organizations) and External Partners</t>
    </r>
    <r>
      <rPr>
        <sz val="11"/>
        <rFont val="Times New Roman"/>
        <family val="1"/>
      </rPr>
      <t xml:space="preserve"> - refers to organizations both public and private, for-profit and non-profit, and other funding sources (private foundations and federal, state, and local monies) that the schools have partnered with and were funded for research and conceptual development activities; includes organizations such as Save the Children and UNICEF, among others.</t>
    </r>
  </si>
  <si>
    <r>
      <t>Teaching Personnel</t>
    </r>
    <r>
      <rPr>
        <sz val="11"/>
        <rFont val="Times New Roman"/>
        <family val="1"/>
      </rPr>
      <t xml:space="preserve"> - refers to school personnel that includes Teacher I-III, Master Teacher I-IV, SPED Teacher I-V, Special Science Teacher, and Instructor I-III</t>
    </r>
    <r>
      <rPr>
        <b/>
        <i/>
        <sz val="11"/>
        <rFont val="Times New Roman"/>
        <family val="1"/>
      </rPr>
      <t>.</t>
    </r>
  </si>
  <si>
    <r>
      <t>Non-Teaching Personnel</t>
    </r>
    <r>
      <rPr>
        <sz val="11"/>
        <rFont val="Times New Roman"/>
        <family val="1"/>
      </rPr>
      <t xml:space="preserve"> - refers to school personnel that includes School Principal I-IV, Head Teacher I-VI, Guidance Coordinator I-III, Guidance Counselor I-III, Administrative Assistant II-III (Disbursing Officer and Senior Bookkeeper), Security Guard, and Utility Worker I</t>
    </r>
    <r>
      <rPr>
        <b/>
        <i/>
        <sz val="11"/>
        <rFont val="Times New Roman"/>
        <family val="1"/>
      </rPr>
      <t>.</t>
    </r>
  </si>
  <si>
    <r>
      <t xml:space="preserve">School has the following structural hazard mitigation measures: </t>
    </r>
    <r>
      <rPr>
        <i/>
        <sz val="12"/>
        <rFont val="Times New Roman"/>
        <family val="1"/>
      </rPr>
      <t>(check all applicable)</t>
    </r>
  </si>
  <si>
    <r>
      <t xml:space="preserve">School has the following non-structural hazard mitigation measures: </t>
    </r>
    <r>
      <rPr>
        <i/>
        <sz val="12"/>
        <rFont val="Times New Roman"/>
        <family val="1"/>
      </rPr>
      <t>(check all applicable)</t>
    </r>
  </si>
  <si>
    <r>
      <t xml:space="preserve">School has undertaken the maintenance of facilities within the following months: </t>
    </r>
    <r>
      <rPr>
        <i/>
        <sz val="12"/>
        <rFont val="Times New Roman"/>
        <family val="1"/>
      </rPr>
      <t>(check all applicable)</t>
    </r>
  </si>
  <si>
    <t>Number of repaired and reconstructed instructional and non-instructional spaces per fund source</t>
  </si>
  <si>
    <t>Repaired</t>
  </si>
  <si>
    <t>Reconstructed</t>
  </si>
  <si>
    <r>
      <t>Basic Educational Facilities Fund</t>
    </r>
    <r>
      <rPr>
        <sz val="11"/>
        <rFont val="Times New Roman"/>
        <family val="1"/>
      </rPr>
      <t xml:space="preserve"> - is an annual budget of the Department for its School Building Program, which covers the improvement and maintenance of school facilities. </t>
    </r>
    <r>
      <rPr>
        <b/>
        <i/>
        <sz val="11"/>
        <rFont val="Times New Roman"/>
        <family val="1"/>
      </rPr>
      <t xml:space="preserve">
Source of Definition: DO No. 35, s. 2017 Revised Guidelines on the Implementation of the Basic Educational Facilities Fund</t>
    </r>
  </si>
  <si>
    <r>
      <t>Instructional Spaces</t>
    </r>
    <r>
      <rPr>
        <sz val="11"/>
        <rFont val="Times New Roman"/>
        <family val="1"/>
      </rPr>
      <t xml:space="preserve"> - these spaces are designed to directly accommodate the educational program. The basic instructional spaces for elementary schools are classrooms and work education shops or multi-purpose buildings for Home Economics and Industrial Arts Classes. However, for secondary schools offering general curriculum, the basic instructional spaces are classrooms, computer rooms, science laboratories, and Technology and Livelihood Education (TLE) shops. In secondary vocational schools, basic instructional spaces also include specialized shops. Other spaces such as libraries, learning centers, gymnasiums, and similar spaces are classified as instructional spaces when they are used directly in conjunction with the curriculum. In line with the changing curriculum, a modular type of school building has been designed to include components for home economics, industrial arts, agricultural arts, etc. in one building unit known as multipurpose workshop building.</t>
    </r>
    <r>
      <rPr>
        <b/>
        <i/>
        <sz val="11"/>
        <rFont val="Times New Roman"/>
        <family val="1"/>
      </rPr>
      <t xml:space="preserve">
Source of Definition: DepEd Educational Facilities Manual</t>
    </r>
  </si>
  <si>
    <r>
      <t>National Disaster Risk Reduction and Management Fund</t>
    </r>
    <r>
      <rPr>
        <sz val="11"/>
        <rFont val="Times New Roman"/>
        <family val="1"/>
      </rPr>
      <t xml:space="preserve"> - refers to the appropriation in the annual GAA which shall be used for disaster risk reduction or mitigation, prevention and preparedness activities such as but not limited to training of personnel, procurement of equipment, and capital expenditures as well as for relief, recovery, reconstruction and other work or services in connection with natural or human induced calamities which may occur during the budget year or those that occurred in the past two (2) years from the budget year.</t>
    </r>
    <r>
      <rPr>
        <b/>
        <i/>
        <sz val="11"/>
        <rFont val="Times New Roman"/>
        <family val="1"/>
      </rPr>
      <t xml:space="preserve">
Source of Definition: National Disaster RIsk Reduction and Management Council Memorandum Circular No. 45, s. 2017 
Guidelines on the Administration of the National Disaster Risk Reduction and Management (NDRRM) Fund
https://ndrrmc.gov.ph/attachments/article/3103/Memo_No-45_s-2017.pdf</t>
    </r>
  </si>
  <si>
    <r>
      <t>Non-instructional Spaces</t>
    </r>
    <r>
      <rPr>
        <sz val="11"/>
        <rFont val="Times New Roman"/>
        <family val="1"/>
      </rPr>
      <t xml:space="preserve"> - refers to administrative, non-programmed, and service spaces within the school, including ancillary facilities.
- The administrative and services spaces are those which serve to facilitate administrative and administration-related functions and services such as administrative offices, canteens, or lunch counters, medical-dental clinics, guidance room, dormitories, etc.
- Non-programmed spaces are those which are not directly related to the implementation of the educational program and administrative functions or services such as lobbies, corridors, stairs, etc.
- Ancillary facilities are one of a group of buildings having a secondary or dependent use, such as an annex.
</t>
    </r>
    <r>
      <rPr>
        <b/>
        <i/>
        <sz val="11"/>
        <rFont val="Times New Roman"/>
        <family val="1"/>
      </rPr>
      <t>Source of Definition: DepEd Educational Facilities Manual</t>
    </r>
  </si>
  <si>
    <r>
      <t>Quick Response Fund</t>
    </r>
    <r>
      <rPr>
        <sz val="11"/>
        <rFont val="Times New Roman"/>
        <family val="1"/>
      </rPr>
      <t xml:space="preserve"> - is a lump sum amount included in DepEd’s budget fully allocated for repair, reconstruction, or replacement of school building and facilities affected by calamities.</t>
    </r>
    <r>
      <rPr>
        <b/>
        <i/>
        <sz val="11"/>
        <rFont val="Times New Roman"/>
        <family val="1"/>
      </rPr>
      <t xml:space="preserve">
Source of Definition: https://www.officialgazette.gov.ph/2011/05/09/deped-issues-strict-guidelines-on-use-of-quick-response-fund/uick </t>
    </r>
  </si>
  <si>
    <r>
      <t>Rehabilitation</t>
    </r>
    <r>
      <rPr>
        <sz val="11"/>
        <rFont val="Times New Roman"/>
        <family val="1"/>
      </rPr>
      <t xml:space="preserve"> - measures that ensure the ability of affected communities/areas to restore their normal level of functioning by rebuilding livelihood and damaged nfrastructures and increasing the communities' organizational capacity.</t>
    </r>
    <r>
      <rPr>
        <b/>
        <i/>
        <sz val="11"/>
        <rFont val="Times New Roman"/>
        <family val="1"/>
      </rPr>
      <t xml:space="preserve">
Source of Definition: DO No. 65, s. 2017 Guidelines on the Conduct of Post Disaster Needs Assessment in the Education Sector</t>
    </r>
  </si>
  <si>
    <r>
      <t>Rehabilitation (of building)</t>
    </r>
    <r>
      <rPr>
        <sz val="11"/>
        <rFont val="Times New Roman"/>
        <family val="1"/>
      </rPr>
      <t xml:space="preserve"> - the general overhauling or the comprehensive repair of the whole building or a major section of it to restore its original or previous condition.</t>
    </r>
    <r>
      <rPr>
        <b/>
        <i/>
        <sz val="11"/>
        <rFont val="Times New Roman"/>
        <family val="1"/>
      </rPr>
      <t xml:space="preserve">
Source of Definition: DepEd Educational Facilities Manual</t>
    </r>
  </si>
  <si>
    <r>
      <t xml:space="preserve">Retrofit </t>
    </r>
    <r>
      <rPr>
        <sz val="11"/>
        <rFont val="Times New Roman"/>
        <family val="1"/>
      </rPr>
      <t xml:space="preserve">- the process of modifying an existing structure to render it more resilient to the hazard effects. </t>
    </r>
    <r>
      <rPr>
        <b/>
        <i/>
        <sz val="11"/>
        <rFont val="Times New Roman"/>
        <family val="1"/>
      </rPr>
      <t xml:space="preserve">
Source of Definition: DepEd Educational Facilities Manual</t>
    </r>
  </si>
  <si>
    <r>
      <t>Risk Assessmen</t>
    </r>
    <r>
      <rPr>
        <sz val="11"/>
        <rFont val="Times New Roman"/>
        <family val="1"/>
      </rPr>
      <t xml:space="preserve">t - this process includes identification of the hazards present in the location and an assessment of their potential impacts and effects on the built environment based on existing or anticipated vulnerabilities and potential losses. </t>
    </r>
    <r>
      <rPr>
        <b/>
        <i/>
        <sz val="11"/>
        <rFont val="Times New Roman"/>
        <family val="1"/>
      </rPr>
      <t xml:space="preserve">
Source of Definition: DepEd Educational Facilities Manual</t>
    </r>
  </si>
  <si>
    <r>
      <t>Unsafe Classroom</t>
    </r>
    <r>
      <rPr>
        <sz val="11"/>
        <rFont val="Times New Roman"/>
        <family val="1"/>
      </rPr>
      <t xml:space="preserve"> - refers to classrooms that have one or a combination of hazards listed in the School Watching Checklist.</t>
    </r>
    <r>
      <rPr>
        <b/>
        <i/>
        <sz val="11"/>
        <rFont val="Times New Roman"/>
        <family val="1"/>
      </rPr>
      <t xml:space="preserve">
Source of Definition: DO No. 23, s. 2015 Student-led School Watching and Hazard Mapping</t>
    </r>
  </si>
  <si>
    <r>
      <t xml:space="preserve">School has a Contingency Plan for each natural and human-induced hazard that it is affected with: </t>
    </r>
    <r>
      <rPr>
        <i/>
        <sz val="12"/>
        <rFont val="Times New Roman"/>
        <family val="1"/>
      </rPr>
      <t>(check all applicable)</t>
    </r>
  </si>
  <si>
    <t>Natural Hazards:</t>
  </si>
  <si>
    <t>Human-induced Hazards:</t>
  </si>
  <si>
    <r>
      <t xml:space="preserve">School Contingency Plan has the following: </t>
    </r>
    <r>
      <rPr>
        <i/>
        <sz val="12"/>
        <rFont val="Times New Roman"/>
        <family val="1"/>
      </rPr>
      <t>(check all applicable)</t>
    </r>
  </si>
  <si>
    <r>
      <t xml:space="preserve">School Contingency Planning is conducted together with the following: </t>
    </r>
    <r>
      <rPr>
        <i/>
        <sz val="12"/>
        <rFont val="Times New Roman"/>
        <family val="1"/>
      </rPr>
      <t>(check all applicable)</t>
    </r>
  </si>
  <si>
    <t>Note:  For the definitions, refer to Box 30 - Part 3b. Disaster Response.</t>
  </si>
  <si>
    <t>School has a functional early warning system to inform learners and personnel of natural and human-induced hazards 
(e.g. protocol, warning signs, devices, IEC)</t>
  </si>
  <si>
    <t xml:space="preserve">A.
</t>
  </si>
  <si>
    <t>Emergency Supplies
and Equipment</t>
  </si>
  <si>
    <t xml:space="preserve">B.
</t>
  </si>
  <si>
    <t>Response and Rescue
Supplies and Equipment</t>
  </si>
  <si>
    <t>First Aid Kit for each
personnel</t>
  </si>
  <si>
    <t>Go bag with Multi-Tool for
each learner</t>
  </si>
  <si>
    <t>Go bag with Multi-Tool for
each personnel</t>
  </si>
  <si>
    <t>Plastic Spine Board with
Safety Belts</t>
  </si>
  <si>
    <t>Trauma Bag with contents
for 20 - 25 persons</t>
  </si>
  <si>
    <t>A learner can be counted more than once if he/she is  either an IP Learner,  Muslim Learner or Learner with Disability at the same time.</t>
  </si>
  <si>
    <t>Number of response interventions received</t>
  </si>
  <si>
    <t>Date/s Received (mm/dd/yyyy)</t>
  </si>
  <si>
    <t>Number of personnel trained and mobilized for Alternative Delivery Mode</t>
  </si>
  <si>
    <t>Trained as part of disaster/emergency response</t>
  </si>
  <si>
    <t>Mobilized for the implementation in aftermath of a disaster/emergency</t>
  </si>
  <si>
    <t>School has implemented resumption strategies and Alternative Delivery Modes to ensure education continuity due to emergencies resulting from armed conflict</t>
  </si>
  <si>
    <r>
      <t xml:space="preserve">School has implemented the following resumption strategies:
</t>
    </r>
    <r>
      <rPr>
        <i/>
        <sz val="12"/>
        <rFont val="Times New Roman"/>
        <family val="1"/>
      </rPr>
      <t>(check all applicable)</t>
    </r>
  </si>
  <si>
    <r>
      <t xml:space="preserve">School has implemented the following alternative delivery modes: </t>
    </r>
    <r>
      <rPr>
        <i/>
        <sz val="12"/>
        <rFont val="Times New Roman"/>
        <family val="1"/>
      </rPr>
      <t>(check all applicable)</t>
    </r>
  </si>
  <si>
    <t>Number of learners affected and provided by the following disasters/emergencies response</t>
  </si>
  <si>
    <t>Provided with learning sessions on disasters/ emergencies before returning
to the regular lessons upon class resumption</t>
  </si>
  <si>
    <t>Provided with Mental Health and Psychosocial Support (MHPSS)</t>
  </si>
  <si>
    <t>Affected by disasters/ emergencies and needing specialized psychosocial support (PSS)</t>
  </si>
  <si>
    <t>3a.</t>
  </si>
  <si>
    <t>Utilized the established referral mechanism</t>
  </si>
  <si>
    <t>For 3a, out of the total number of learners affected by disasters/emergencies and needing specialized psychosocial support (PSS), determine the number of learners who utilized the established referral mechanism.</t>
  </si>
  <si>
    <t>Number of school personnel affected and provided by the following disasters/emergencies response</t>
  </si>
  <si>
    <t>Number of local groups/ stakeholders that are mobilized by the school for response, rehabilitation and recovery</t>
  </si>
  <si>
    <t>For 2a, out of the total number of school personnel affected by disasters/ emergencies and needing specialized psychosocial support (PSS), determine the number of school personnel who utilized the established referral mechanism.</t>
  </si>
  <si>
    <r>
      <t>Bomb Threats / Bombing</t>
    </r>
    <r>
      <rPr>
        <sz val="12"/>
        <rFont val="Times New Roman"/>
        <family val="1"/>
      </rPr>
      <t xml:space="preserve"> - refers to a threat or actual detonation of an explosive or incendiary device to cause property damage, death, or injuries.</t>
    </r>
    <r>
      <rPr>
        <b/>
        <i/>
        <sz val="12"/>
        <rFont val="Times New Roman"/>
        <family val="1"/>
      </rPr>
      <t xml:space="preserve">
Indiana University: Emergency Planning
Source of Definition: https://protect.iu.edu/emergency-planning/procedures/bomb-threats.html</t>
    </r>
  </si>
  <si>
    <r>
      <t>Child-centred approach</t>
    </r>
    <r>
      <rPr>
        <sz val="12"/>
        <rFont val="Times New Roman"/>
        <family val="1"/>
      </rPr>
      <t xml:space="preserve"> - Placing the child at the notional centre of the learning process in which they are active participants. Involves giving children choices of learning activities, with the teacher acting as facilitator of learning. </t>
    </r>
    <r>
      <rPr>
        <b/>
        <i/>
        <sz val="12"/>
        <rFont val="Times New Roman"/>
        <family val="1"/>
      </rPr>
      <t xml:space="preserve">
Source of Definition: United Nations Educational, Scientific and Cultural Organization</t>
    </r>
  </si>
  <si>
    <r>
      <t>Civilian Violence</t>
    </r>
    <r>
      <rPr>
        <sz val="12"/>
        <rFont val="Times New Roman"/>
        <family val="1"/>
      </rPr>
      <t xml:space="preserve"> - refers to the use of physical force brought by a noncombatant person, so as to injure, abuse, damage, or destroy. This includes crimes against school heads, teachers, learners, and school property. </t>
    </r>
    <r>
      <rPr>
        <b/>
        <i/>
        <sz val="12"/>
        <rFont val="Times New Roman"/>
        <family val="1"/>
      </rPr>
      <t xml:space="preserve">
Merriam-Webster Dictionary
Source of Definition: https://www.merriam-webster.com/dictionary/violence</t>
    </r>
  </si>
  <si>
    <r>
      <t>Contingency Plan</t>
    </r>
    <r>
      <rPr>
        <sz val="12"/>
        <rFont val="Times New Roman"/>
        <family val="1"/>
      </rPr>
      <t xml:space="preserve"> - a management process that analyses specific potential events or emerging situations that might threaten society or the environment and establishes arrangements in advance to enable timely, effective and appropriate responses to such events and situations.</t>
    </r>
    <r>
      <rPr>
        <b/>
        <i/>
        <sz val="12"/>
        <rFont val="Times New Roman"/>
        <family val="1"/>
      </rPr>
      <t xml:space="preserve">
Source of Definition: UNISDR Terminologies.
https://www.unisdr.org/files/7817_UNISDRTerminologyEnglish.pdf</t>
    </r>
  </si>
  <si>
    <r>
      <t>Early Warning</t>
    </r>
    <r>
      <rPr>
        <sz val="12"/>
        <rFont val="Times New Roman"/>
        <family val="1"/>
      </rPr>
      <t xml:space="preserve"> - The provision of timely and effective information, through identified institutions, that allows individuals exposed to a hazard to take action to avoid or reduce their risk and prepare for effective response.</t>
    </r>
    <r>
      <rPr>
        <b/>
        <i/>
        <sz val="12"/>
        <rFont val="Times New Roman"/>
        <family val="1"/>
      </rPr>
      <t xml:space="preserve"> (International Strategy for Disaster Risk Reduction)</t>
    </r>
  </si>
  <si>
    <r>
      <t>E-Impact</t>
    </r>
    <r>
      <rPr>
        <sz val="12"/>
        <rFont val="Times New Roman"/>
        <family val="1"/>
      </rPr>
      <t xml:space="preserve"> - the Enhanced Instructional Management by Parents, Community and Teachers (e-IMPACT) learning system is a technology-enhanced alternative delivery mode developed by the SEAMEO Regional Center for Educational Innovation and Technology (INNOTECH) to address issues in accessibility and quality of education in schools usually handled by a few teachers teaching multigrade classes.</t>
    </r>
    <r>
      <rPr>
        <b/>
        <i/>
        <sz val="12"/>
        <rFont val="Times New Roman"/>
        <family val="1"/>
      </rPr>
      <t xml:space="preserve">
Source of Definition: UNICEF Evaluation on Alternative Delivery Modes.
https://www.unicef.org/evaldatabase/files/Philippines_ADM_Evaluationl_Philippines-2012-001.pdf</t>
    </r>
  </si>
  <si>
    <r>
      <t xml:space="preserve">Emergency </t>
    </r>
    <r>
      <rPr>
        <i/>
        <sz val="12"/>
        <rFont val="Times New Roman"/>
        <family val="1"/>
      </rPr>
      <t xml:space="preserve">- A sudden and usually unforeseen event that calls for immediate measures to minimize its adverse consequences. </t>
    </r>
    <r>
      <rPr>
        <b/>
        <i/>
        <sz val="12"/>
        <rFont val="Times New Roman"/>
        <family val="1"/>
      </rPr>
      <t xml:space="preserve">
Source of Definition:United Nations Department of Humanitarian Affairs </t>
    </r>
  </si>
  <si>
    <r>
      <t>Evacuation Center</t>
    </r>
    <r>
      <rPr>
        <sz val="12"/>
        <rFont val="Times New Roman"/>
        <family val="1"/>
      </rPr>
      <t xml:space="preserve"> - refers to a safe site, building or center  hosting internally displaced persons, which includes covered courts, barangay or community halls, camping areas, collective centers, multi-purpose centers, established “tent cities” or schools.</t>
    </r>
    <r>
      <rPr>
        <b/>
        <i/>
        <sz val="12"/>
        <rFont val="Times New Roman"/>
        <family val="1"/>
      </rPr>
      <t xml:space="preserve">
Source of Definition: DSWD-DILG-DOH-DepEd- Joint Memorandum No. 1, S. 2013 on the Guidelines on Evacuation Center Coordination and Management, Part III. </t>
    </r>
  </si>
  <si>
    <t>(Continuation of definitions from previous page, Box 30 - Part 3b)</t>
  </si>
  <si>
    <r>
      <t>Hazard Mapping</t>
    </r>
    <r>
      <rPr>
        <sz val="12"/>
        <rFont val="Times New Roman"/>
        <family val="1"/>
      </rPr>
      <t xml:space="preserve"> - The process of mapping hazard information within a study area of varying scale, coverage, and detail. </t>
    </r>
    <r>
      <rPr>
        <b/>
        <i/>
        <sz val="12"/>
        <rFont val="Times New Roman"/>
        <family val="1"/>
      </rPr>
      <t xml:space="preserve">
Source of Definition: United Nations Human Settlements Programme</t>
    </r>
  </si>
  <si>
    <r>
      <t>Learners with Disabilities (LWDs)</t>
    </r>
    <r>
      <rPr>
        <sz val="12"/>
        <rFont val="Times New Roman"/>
        <family val="1"/>
      </rPr>
      <t xml:space="preserve"> - refer to children, youth, and adult learners with substantial limitations in their functions, characterized by significantly sub-average intellectual capacity and/or existing concurrently with related limitedtaions in two or more adaptive skills areas. These learners may have any or a combination of the following: intellectual disabilities, learning disabilities, mental, emotional or behavioral disorders, sensory impairments, autism, long term physical or health disabilities, deaf blindness, and multiple handicapping conditions. These conditions may be a hindrance to the learners' full and effective participation in the society; thus, these conditions necesstiate the provision of special education services and other allied services that will enable LWDs to live functional lives.</t>
    </r>
    <r>
      <rPr>
        <b/>
        <i/>
        <sz val="12"/>
        <rFont val="Times New Roman"/>
        <family val="1"/>
      </rPr>
      <t xml:space="preserve">
Source of Definition: DepEd Order No. 21, s. 2020.
https://www.deped.gov.ph/wp-content/uploads/2020/08/DO_s2020_021.pdf</t>
    </r>
  </si>
  <si>
    <r>
      <t xml:space="preserve">Lockdown Drill </t>
    </r>
    <r>
      <rPr>
        <sz val="12"/>
        <rFont val="Times New Roman"/>
        <family val="1"/>
      </rPr>
      <t>- An emergency procedure intended to secure and protect occupants who are in the proximity of an immediate threat. This procedure is used when it may be more dangerous to evacuate a building than stay inside. By controlling entry/ exit and movement within a facility, emergency personnel are better able to contain and handle any threats.</t>
    </r>
    <r>
      <rPr>
        <b/>
        <i/>
        <sz val="12"/>
        <rFont val="Times New Roman"/>
        <family val="1"/>
      </rPr>
      <t xml:space="preserve">
Source of Definition: University of British Columbia: Emergency Procedures.
https://emergency.ok.ubc.ca/procedures/lockdown/</t>
    </r>
  </si>
  <si>
    <r>
      <t>Mental Health and Psychosocial Support (MHPSS)</t>
    </r>
    <r>
      <rPr>
        <sz val="12"/>
        <rFont val="Times New Roman"/>
        <family val="1"/>
      </rPr>
      <t xml:space="preserve"> - any type of local or outside support that aims to protect or promote psychosocial well-being and/or prevent or treat mental disorder.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</si>
  <si>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 xml:space="preserve">Modified In-School, Off-School Approach (MISOSA) </t>
    </r>
    <r>
      <rPr>
        <sz val="12"/>
        <rFont val="Times New Roman"/>
        <family val="1"/>
      </rPr>
      <t>aims to: (i) solve congestion in schools with big enrolment; (ii) address the need of children for adequate learning materials; (iii) mobilize and strengthen community support; and (iv) improve students’ performance.</t>
    </r>
    <r>
      <rPr>
        <b/>
        <i/>
        <sz val="12"/>
        <rFont val="Times New Roman"/>
        <family val="1"/>
      </rPr>
      <t xml:space="preserve">
Source of Definition: UNICEF Evaluation on Alternative Delivery Modes.
https://www.unicef.org/evaldatabase/files/Philippines_ADM_Evaluationl_Philippines-2012-001.pdf</t>
    </r>
  </si>
  <si>
    <r>
      <t>Open High School</t>
    </r>
    <r>
      <rPr>
        <sz val="12"/>
        <rFont val="Times New Roman"/>
        <family val="1"/>
      </rPr>
      <t xml:space="preserve"> - an alternative mode of delivering secondary education for both public and private schools. It puts premium on independent, self-pacing and flexible study to reach learners who are unable to start or complete secondary education due to problems of time, distance, physical impairment, financial difficulties, social or family problems.</t>
    </r>
    <r>
      <rPr>
        <b/>
        <i/>
        <sz val="12"/>
        <rFont val="Times New Roman"/>
        <family val="1"/>
      </rPr>
      <t xml:space="preserve">
Source of Definition: DepEd Order No. 46, s. 2006 Guidelines on the Implementation of the Open High School Program. http://www.deped.gov.ph/wp-content/uploads/2006/11/DO_s2006_46.pdf</t>
    </r>
  </si>
  <si>
    <r>
      <t xml:space="preserve">Preparedness </t>
    </r>
    <r>
      <rPr>
        <sz val="12"/>
        <rFont val="Times New Roman"/>
        <family val="1"/>
      </rPr>
      <t xml:space="preserve">- The capacities and knowledge developed by governments, professional response organizations, communities and individuals to anticipate and respond effectively to the impact of likely, imminent or current hazard events or conditions. </t>
    </r>
    <r>
      <rPr>
        <b/>
        <i/>
        <sz val="12"/>
        <rFont val="Times New Roman"/>
        <family val="1"/>
      </rPr>
      <t xml:space="preserve">
Source of Definition: International Strategy for Disaster Risk Reduction</t>
    </r>
  </si>
  <si>
    <r>
      <t>Referral</t>
    </r>
    <r>
      <rPr>
        <sz val="12"/>
        <rFont val="Times New Roman"/>
        <family val="1"/>
      </rPr>
      <t xml:space="preserve"> - is one of the guidance services where learners are facilitated to avail other assistance or services that address their mental health or other concerns. This requires a wide range of internal partners (i.e. counselors, teachers, nurses, and school administrators), external partners (i.e. government, nongovernment agencies, organizations), and individuals in different professions, fields and interest.</t>
    </r>
    <r>
      <rPr>
        <b/>
        <i/>
        <sz val="12"/>
        <rFont val="Times New Roman"/>
        <family val="1"/>
      </rPr>
      <t xml:space="preserve">
Source of Definition: DepEd Memorandum DM-OUCI-2021-055.</t>
    </r>
  </si>
  <si>
    <r>
      <t>Resilience</t>
    </r>
    <r>
      <rPr>
        <sz val="12"/>
        <rFont val="Times New Roman"/>
        <family val="1"/>
      </rPr>
      <t xml:space="preserve"> - The capacity of a system, community or society potentially exposed to hazards to resist, adapt, and recover from hazard events, and to restore an acceptable level of functioning and structure. </t>
    </r>
    <r>
      <rPr>
        <b/>
        <i/>
        <sz val="12"/>
        <rFont val="Times New Roman"/>
        <family val="1"/>
      </rPr>
      <t xml:space="preserve">
Source of Definition: International Strategy for Disaster Risk Reduction</t>
    </r>
  </si>
  <si>
    <r>
      <t>Specialized Psychosocial Support</t>
    </r>
    <r>
      <rPr>
        <sz val="12"/>
        <rFont val="Times New Roman"/>
        <family val="1"/>
      </rPr>
      <t xml:space="preserve">  - This  assistance  should  include psychological  or  psychiatric  supports  for  people  with  severe  mental  disorders whenever  their  needs  exceed  the  capacities  of  existing  primary/general  health services.  such  problems  require  either  (a)  referral  to  specialised  services  if  they exist,  or  (b)  initiation  of  longer-term  training  and  supervision  of  primary/general health  care  providers.  although  specialised  services  are  needed  only  for  a  small percentage  of  the  population,  in  most  large  emergencies  this  group  amounts  to thousands  of  individuals.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</si>
  <si>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Temporary Learning Spaces</t>
    </r>
    <r>
      <rPr>
        <sz val="12"/>
        <rFont val="Times New Roman"/>
        <family val="1"/>
      </rPr>
      <t xml:space="preserve"> - refers to spaces or structures that is established in transitional sites, permanent relocation sites, or in damaged schools, which is intended for the immediate resumption of formal and non-formal education to ensure continuity of learning of children while awaiting the construction or repair  of permanent classrooms. This includes space for supervised neighborhood play services for preschoolers and learning activities for school-aged children.</t>
    </r>
    <r>
      <rPr>
        <b/>
        <i/>
        <sz val="12"/>
        <rFont val="Times New Roman"/>
        <family val="1"/>
      </rPr>
      <t xml:space="preserve">
Implementing Rules  and Regulation (IRR) of RA 10821 “Children’s Emergency Relief and Protection Act”. </t>
    </r>
  </si>
  <si>
    <r>
      <t>Temporary WASH</t>
    </r>
    <r>
      <rPr>
        <sz val="12"/>
        <rFont val="Times New Roman"/>
        <family val="1"/>
      </rPr>
      <t xml:space="preserve"> - refers to Water, Sanitation, and Hygiene Facilities built during the response phase</t>
    </r>
  </si>
  <si>
    <r>
      <t xml:space="preserve">Vulnerability </t>
    </r>
    <r>
      <rPr>
        <sz val="12"/>
        <rFont val="Times New Roman"/>
        <family val="1"/>
      </rPr>
      <t>- The conditions determined by physical, social, economic and environmental factors or processes, which increase the susceptibility of a community to the impact of hazards. For positive factors, which increase the ability of people to cope with hazards, see definition of 'capacity'.</t>
    </r>
    <r>
      <rPr>
        <b/>
        <i/>
        <sz val="12"/>
        <rFont val="Times New Roman"/>
        <family val="1"/>
      </rPr>
      <t xml:space="preserve"> 
Source of Definition: International Strategy for Disaster Risk Reduction</t>
    </r>
  </si>
  <si>
    <r>
      <t>Warning</t>
    </r>
    <r>
      <rPr>
        <sz val="12"/>
        <rFont val="Times New Roman"/>
        <family val="1"/>
      </rPr>
      <t xml:space="preserve"> - Dissemination of message signalling imminent hazard which may include advice on protective measures.</t>
    </r>
    <r>
      <rPr>
        <b/>
        <i/>
        <sz val="12"/>
        <rFont val="Times New Roman"/>
        <family val="1"/>
      </rPr>
      <t xml:space="preserve">
Source of Definition: United Nations Department of Humanitarian Affairs</t>
    </r>
  </si>
  <si>
    <t>Other, (specify)</t>
  </si>
  <si>
    <r>
      <t>Psychological First Aid</t>
    </r>
    <r>
      <rPr>
        <sz val="12"/>
        <rFont val="Times New Roman"/>
        <family val="1"/>
      </rPr>
      <t xml:space="preserve"> - An evidence-informed modular approach to help children, adolescents, adults, and families in the immediate aftermath of disaster and terrorism. Individuals affected by a disaster or traumatic incident, whether survivors, witnesses, or responders to such events, may struggle with or face new challenges following the event. PFA was developed by the National Child Traumatic Stress Network and the National Center for PTSD, with contributions from individuals involved in disaster research and response.</t>
    </r>
    <r>
      <rPr>
        <b/>
        <i/>
        <sz val="12"/>
        <rFont val="Times New Roman"/>
        <family val="1"/>
      </rPr>
      <t xml:space="preserve">
Source of Definition: National Child Traumatic Stress Network: Psychological First Aid
https://www.nctsn.org/treatments-and-practices/psychological-first-aid-and-skills-for-psychological-recovery/about-pfa</t>
    </r>
  </si>
  <si>
    <r>
      <t>Change the Current: Climate Action Online Training for Adolescents</t>
    </r>
    <r>
      <rPr>
        <sz val="12"/>
        <rFont val="Times New Roman"/>
        <family val="1"/>
      </rPr>
      <t xml:space="preserve"> aims to enhance adolescents' knowledge on the science of climate change and adaptation and mitigation strategies, and hone skills that they need to increase adaptation and mitigation awareness and practices in their communities. Project grants amounting to Php 15,000.00 will be awarded to selected adolescents. </t>
    </r>
  </si>
  <si>
    <r>
      <t>YSEALI Climate Changemakers</t>
    </r>
    <r>
      <rPr>
        <sz val="12"/>
        <rFont val="Times New Roman"/>
        <family val="1"/>
      </rPr>
      <t xml:space="preserve"> is an online training course that aims to increase the competence of teachers in teaching climate change concepts and encouraging learners to act on climate. It consists of one core training subject on introduction to climate change and a specialized training subject on teaching climate change. Additionally, learning facilitators will receive supplementary training on online learning delivery. YSEALI Climate Changemakers aims to train 50 region and division as learning facilitators who will train a total of 2,000 teachers from their respective regions and divisions. </t>
    </r>
  </si>
  <si>
    <r>
      <t xml:space="preserve">The Green Beat Initiative (TGBI) </t>
    </r>
    <r>
      <rPr>
        <sz val="12"/>
        <rFont val="Times New Roman"/>
        <family val="1"/>
      </rPr>
      <t>An Environmental Journalism Training for Campus Journalists and School Paper Advisers is a 6-week pilot intensive online environmental journalism training. It aims to equip participants with the necessary skills and knowledge to pursue, develop, and report stories about the environment with a focus on climate change adaptation and mitigation.</t>
    </r>
  </si>
  <si>
    <r>
      <t>KaLIKHAsan Climate Action Action Advocacy Show</t>
    </r>
    <r>
      <rPr>
        <sz val="12"/>
        <rFont val="Times New Roman"/>
        <family val="1"/>
      </rPr>
      <t xml:space="preserve"> is a theater arts performance, ideation, and devising workshops based on the KaLIKHAsan! Likha at Lakas ng Kabataan para sa Kalikasan Creative Sourcebook. </t>
    </r>
  </si>
  <si>
    <r>
      <t>The KaLIKHAsan! Likha at Lakas ng Kabataan para sa Kalikasan:</t>
    </r>
    <r>
      <rPr>
        <sz val="12"/>
        <rFont val="Times New Roman"/>
        <family val="1"/>
      </rPr>
      <t xml:space="preserve"> A Creative Sourcebook on the Use of Theater for Climate Change Education and Action  is a resource intended for teachers, theater and performance practitioners, and workshop facilitators. It explains how to design and facilitate a collaborative performance-making process with youth that includes climate action and the environment as central themes. Teachers are encouraged to use the sourcebook as a guide in replicating the process in making the Climate Action Advocacy Show and empowering the learners toward climate change education and action. </t>
    </r>
  </si>
  <si>
    <r>
      <rPr>
        <b/>
        <i/>
        <sz val="11"/>
        <rFont val="Times New Roman"/>
        <family val="1"/>
      </rPr>
      <t>Ancestral Domain</t>
    </r>
    <r>
      <rPr>
        <sz val="11"/>
        <rFont val="Times New Roman"/>
        <family val="1"/>
      </rPr>
      <t xml:space="preserve"> - refers to all areas generally belonging to ICCs/IPs comprising lands, inland waters, coastal areas, and natural resources therein, held under a claim of ownership, occupied or possessed by ICCs/IPs, by themselves or through their ancestors, communally or individually since time immemorial, continuously to the present except when interrupted by war, force majeure or displacement by force, deceit, stealth or as a consequence of government projects or any other voluntary dealings entered into by government and private individuals/corporations, and which are necessary to ensure their economic, social and cultural welfare.
</t>
    </r>
    <r>
      <rPr>
        <b/>
        <i/>
        <sz val="11"/>
        <rFont val="Times New Roman"/>
        <family val="1"/>
      </rPr>
      <t xml:space="preserve">Source: IPRA of 1997 (REPUBLIC ACT NO. 8371) </t>
    </r>
  </si>
  <si>
    <t>53-54</t>
  </si>
  <si>
    <t>25-26</t>
  </si>
  <si>
    <t>D. Number of learners who were dewormed  (based on LGU health records)</t>
  </si>
  <si>
    <r>
      <t>Check (</t>
    </r>
    <r>
      <rPr>
        <b/>
        <i/>
        <sz val="12"/>
        <rFont val="Webdings"/>
        <family val="1"/>
        <charset val="2"/>
      </rPr>
      <t>a</t>
    </r>
    <r>
      <rPr>
        <b/>
        <i/>
        <sz val="12"/>
        <rFont val="Times New Roman"/>
        <family val="1"/>
      </rPr>
      <t>) if the school is:  (check all applicable)</t>
    </r>
  </si>
  <si>
    <t>Entries in the Number of teachers (counted only once) shall tally with the totals of entries in Handling Kindergarten classes, Handling Grades 1-6 and Handling SPED classes in Table 11b columns 16, 17 &amp; 18.</t>
  </si>
  <si>
    <r>
      <t xml:space="preserve">Creative Commons Rule - </t>
    </r>
    <r>
      <rPr>
        <sz val="11"/>
        <rFont val="Times New Roman"/>
        <family val="1"/>
      </rPr>
      <t>refers to the rule that gives license issued by the copyright owner to allow anyone in the world to use his or her copyright work in any manner consistent with that license. This license allows reusers to distribute, remix, adapt, and build upon the material in any medium or format for commercial and noncommercial purposes only, and only so long as attribution is given to the creator. If you remix, adapt, or build upon the material, you must license the modified material under identical terms, and this license allows reusers to copy and distribute the material in any medium or format in unadapted form only, and only so long as attribution is given to the creator.</t>
    </r>
  </si>
  <si>
    <t xml:space="preserve"> Is the school located in the ancestral domain and affected by armed conflict?</t>
  </si>
  <si>
    <t>activesheet_var</t>
  </si>
  <si>
    <t>tbl_to_insert</t>
  </si>
  <si>
    <t>var_column</t>
  </si>
  <si>
    <t>activesheet</t>
  </si>
  <si>
    <t>var_value</t>
  </si>
  <si>
    <t>validation</t>
  </si>
  <si>
    <t>error message</t>
  </si>
  <si>
    <t>Sequence</t>
  </si>
  <si>
    <t>template_version</t>
  </si>
  <si>
    <t>school_profiles</t>
  </si>
  <si>
    <t>school_profile_type</t>
  </si>
  <si>
    <t>SchInfo'!$B$2</t>
  </si>
  <si>
    <t>sch_id</t>
  </si>
  <si>
    <t>es_school_profile</t>
  </si>
  <si>
    <t>SchInfo'!$AQ$2</t>
  </si>
  <si>
    <t>School ID is invalid.</t>
  </si>
  <si>
    <t>sch_name</t>
  </si>
  <si>
    <t>sch_prev_name</t>
  </si>
  <si>
    <t>sch_add_no</t>
  </si>
  <si>
    <t>sch_add_street</t>
  </si>
  <si>
    <t>sch_add_brgy</t>
  </si>
  <si>
    <t>sch_add_mun_city</t>
  </si>
  <si>
    <t>sch_add_prov</t>
  </si>
  <si>
    <t>sch_add_zip</t>
  </si>
  <si>
    <t>SchInfo!$G$21</t>
  </si>
  <si>
    <t>SchInfo!$G$23</t>
  </si>
  <si>
    <t>I</t>
  </si>
  <si>
    <t>II</t>
  </si>
  <si>
    <t>III</t>
  </si>
  <si>
    <t>IVA</t>
  </si>
  <si>
    <t>IVB</t>
  </si>
  <si>
    <t>V</t>
  </si>
  <si>
    <t>VI</t>
  </si>
  <si>
    <t>VII</t>
  </si>
  <si>
    <t>VIII</t>
  </si>
  <si>
    <t>IX</t>
  </si>
  <si>
    <t>X</t>
  </si>
  <si>
    <t>XI</t>
  </si>
  <si>
    <t>XII</t>
  </si>
  <si>
    <t>CARAGA</t>
  </si>
  <si>
    <t>BARMM</t>
  </si>
  <si>
    <t>CAR</t>
  </si>
  <si>
    <t>NCR</t>
  </si>
  <si>
    <t>Alaminos City</t>
  </si>
  <si>
    <t>Batanes</t>
  </si>
  <si>
    <t>Angeles City</t>
  </si>
  <si>
    <t>Antipolo City</t>
  </si>
  <si>
    <t>Calapan City</t>
  </si>
  <si>
    <t>Albay</t>
  </si>
  <si>
    <t>Aklan</t>
  </si>
  <si>
    <t>Bais City</t>
  </si>
  <si>
    <t>Baybay City</t>
  </si>
  <si>
    <t>Dapitan City</t>
  </si>
  <si>
    <t>Bukidnon</t>
  </si>
  <si>
    <t>Davao City</t>
  </si>
  <si>
    <t>Cotabato City</t>
  </si>
  <si>
    <t>Agusan del Norte</t>
  </si>
  <si>
    <t>Basilan</t>
  </si>
  <si>
    <t>Abra</t>
  </si>
  <si>
    <t>Caloocan City</t>
  </si>
  <si>
    <t>Batac City</t>
  </si>
  <si>
    <t>Cagayan</t>
  </si>
  <si>
    <t>Aurora</t>
  </si>
  <si>
    <t>Bacoor City</t>
  </si>
  <si>
    <t>Marinduque</t>
  </si>
  <si>
    <t>Camarines Norte</t>
  </si>
  <si>
    <t>Antique</t>
  </si>
  <si>
    <t>Bayawan City</t>
  </si>
  <si>
    <t>Biliran</t>
  </si>
  <si>
    <t>Dipolog City</t>
  </si>
  <si>
    <t>Cagayan de Oro City</t>
  </si>
  <si>
    <t>Davao De Oro</t>
  </si>
  <si>
    <t>General Santos City</t>
  </si>
  <si>
    <t>Agusan del Sur</t>
  </si>
  <si>
    <t>Lamitan City</t>
  </si>
  <si>
    <t>Apayao</t>
  </si>
  <si>
    <t>City of San Juan</t>
  </si>
  <si>
    <t>Candon City</t>
  </si>
  <si>
    <t>Cauayan City</t>
  </si>
  <si>
    <t>Balanga City</t>
  </si>
  <si>
    <t>Batangas</t>
  </si>
  <si>
    <t>Occidental Mindoro</t>
  </si>
  <si>
    <t>Camarines Sur</t>
  </si>
  <si>
    <t>Bacolod City</t>
  </si>
  <si>
    <t>Bogo City</t>
  </si>
  <si>
    <t>Borongan City</t>
  </si>
  <si>
    <t>Isabela City</t>
  </si>
  <si>
    <t>Camiguin</t>
  </si>
  <si>
    <t>Davao del Norte</t>
  </si>
  <si>
    <t>Kidapawan City</t>
  </si>
  <si>
    <t>Bayugan City</t>
  </si>
  <si>
    <t>Lanao del Sur - I</t>
  </si>
  <si>
    <t>Baguio City</t>
  </si>
  <si>
    <t>Las Piñas City</t>
  </si>
  <si>
    <t>Dagupan City</t>
  </si>
  <si>
    <t>City of Ilagan</t>
  </si>
  <si>
    <t>Bataan</t>
  </si>
  <si>
    <t>Batangas City</t>
  </si>
  <si>
    <t>Oriental Mindoro</t>
  </si>
  <si>
    <t>Catanduanes</t>
  </si>
  <si>
    <t>Bago City</t>
  </si>
  <si>
    <t>Bohol</t>
  </si>
  <si>
    <t>Calbayog City</t>
  </si>
  <si>
    <t>Pagadian City</t>
  </si>
  <si>
    <t>El Salvador</t>
  </si>
  <si>
    <t>Davao del Sur</t>
  </si>
  <si>
    <t>Koronadal City</t>
  </si>
  <si>
    <t>Bislig City</t>
  </si>
  <si>
    <t>Lanao del Sur - IB</t>
  </si>
  <si>
    <t>Benguet</t>
  </si>
  <si>
    <t>Makati City</t>
  </si>
  <si>
    <t>Ilocos Norte</t>
  </si>
  <si>
    <t>Isabela</t>
  </si>
  <si>
    <t>Bulacan</t>
  </si>
  <si>
    <t>Binan City</t>
  </si>
  <si>
    <t>Palawan</t>
  </si>
  <si>
    <t>Iriga City</t>
  </si>
  <si>
    <t>Cadiz City</t>
  </si>
  <si>
    <t>Carcar City</t>
  </si>
  <si>
    <t>Catbalogan City</t>
  </si>
  <si>
    <t>Zamboanga City</t>
  </si>
  <si>
    <t>Gingoog City</t>
  </si>
  <si>
    <t>Davao Occidental</t>
  </si>
  <si>
    <t>North Cotabato</t>
  </si>
  <si>
    <t>Butuan City</t>
  </si>
  <si>
    <t>Lanao del Sur - II</t>
  </si>
  <si>
    <t>Ifugao</t>
  </si>
  <si>
    <t>Malabon City</t>
  </si>
  <si>
    <t>Ilocos Sur</t>
  </si>
  <si>
    <t>Nueva Vizcaya</t>
  </si>
  <si>
    <t>Cabanatuan City</t>
  </si>
  <si>
    <t>Cabuyao City</t>
  </si>
  <si>
    <t>Puerto Princesa City</t>
  </si>
  <si>
    <t>Legaspi City</t>
  </si>
  <si>
    <t>Capiz</t>
  </si>
  <si>
    <t>Cebu</t>
  </si>
  <si>
    <t>Eastern Samar</t>
  </si>
  <si>
    <t>Zamboanga del Norte</t>
  </si>
  <si>
    <t>Iligan City</t>
  </si>
  <si>
    <t>Davao Oriental</t>
  </si>
  <si>
    <t>Sarangani</t>
  </si>
  <si>
    <t>Cabadbaran City</t>
  </si>
  <si>
    <t>Lanao del Sur - IIB</t>
  </si>
  <si>
    <t>Kalinga</t>
  </si>
  <si>
    <t>Mandaluyong City</t>
  </si>
  <si>
    <t>La Union</t>
  </si>
  <si>
    <t>Quirino</t>
  </si>
  <si>
    <t>Gapan City</t>
  </si>
  <si>
    <t>Calamba City</t>
  </si>
  <si>
    <t>Romblon</t>
  </si>
  <si>
    <t>Ligao City</t>
  </si>
  <si>
    <t>Escalante City</t>
  </si>
  <si>
    <t>Cebu City</t>
  </si>
  <si>
    <t>Leyte</t>
  </si>
  <si>
    <t>Zamboanga del Sur</t>
  </si>
  <si>
    <t>Lanao del Norte</t>
  </si>
  <si>
    <t>Digos City</t>
  </si>
  <si>
    <t>South Cotabato</t>
  </si>
  <si>
    <t>Dinagat Island</t>
  </si>
  <si>
    <t>Maguindanao I</t>
  </si>
  <si>
    <t>Mt. Province</t>
  </si>
  <si>
    <t>Manila</t>
  </si>
  <si>
    <t>Laoag City</t>
  </si>
  <si>
    <t>Santiago City</t>
  </si>
  <si>
    <t>Mabalacat City</t>
  </si>
  <si>
    <t>Cavite</t>
  </si>
  <si>
    <t>Masbate</t>
  </si>
  <si>
    <t>Guimaras</t>
  </si>
  <si>
    <t>City of Naga, Cebu</t>
  </si>
  <si>
    <t>Maasin City</t>
  </si>
  <si>
    <t>Zamboanga Sibugay</t>
  </si>
  <si>
    <t>Malaybalay City</t>
  </si>
  <si>
    <t>Island Garden City of Samal</t>
  </si>
  <si>
    <t>Sultan Kudarat</t>
  </si>
  <si>
    <t>Siargao</t>
  </si>
  <si>
    <t>Maguindanao II</t>
  </si>
  <si>
    <t>Tabuk City</t>
  </si>
  <si>
    <t>Marikina City</t>
  </si>
  <si>
    <t>Pangasinan I, Lingayen</t>
  </si>
  <si>
    <t>Tuguegarao City</t>
  </si>
  <si>
    <t>Malolos City</t>
  </si>
  <si>
    <t>Cavite City</t>
  </si>
  <si>
    <t>Masbate City</t>
  </si>
  <si>
    <t>Himamaylan City</t>
  </si>
  <si>
    <t>Danao City</t>
  </si>
  <si>
    <t>Northern Samar</t>
  </si>
  <si>
    <t>Misamis Occidental</t>
  </si>
  <si>
    <t>Mati City</t>
  </si>
  <si>
    <t>Tacurong City</t>
  </si>
  <si>
    <t>Surigao City</t>
  </si>
  <si>
    <t>Marawi City</t>
  </si>
  <si>
    <t>Muntinlupa City</t>
  </si>
  <si>
    <t>Pangasinan II, Binalonan</t>
  </si>
  <si>
    <t>Meycauayan City</t>
  </si>
  <si>
    <t>Dasmarinas City</t>
  </si>
  <si>
    <t>Naga City</t>
  </si>
  <si>
    <t>Iloilo</t>
  </si>
  <si>
    <t>Dumaguete City</t>
  </si>
  <si>
    <t>Ormoc City</t>
  </si>
  <si>
    <t>Misamis Oriental</t>
  </si>
  <si>
    <t>Panabo City</t>
  </si>
  <si>
    <t>Surigao del Norte</t>
  </si>
  <si>
    <t>Shariff Kabunsuan</t>
  </si>
  <si>
    <t>Navotas</t>
  </si>
  <si>
    <t>San Carlos City</t>
  </si>
  <si>
    <t>General Trias City</t>
  </si>
  <si>
    <t>Sorsogon</t>
  </si>
  <si>
    <t>Iloilo City</t>
  </si>
  <si>
    <t>Guihulngan City</t>
  </si>
  <si>
    <t>Samar (Western Samar)</t>
  </si>
  <si>
    <t>Oroquieta City</t>
  </si>
  <si>
    <t>Tagum City</t>
  </si>
  <si>
    <t>Surigao del Sur</t>
  </si>
  <si>
    <t>Sulu</t>
  </si>
  <si>
    <t>Paranaque City</t>
  </si>
  <si>
    <t>San Fernando City</t>
  </si>
  <si>
    <t>Nueva Ecija</t>
  </si>
  <si>
    <t>Imus City</t>
  </si>
  <si>
    <t>Sorsogon City</t>
  </si>
  <si>
    <t>Kabankalan City</t>
  </si>
  <si>
    <t>Lapu-Lapu City</t>
  </si>
  <si>
    <t>Southern Leyte</t>
  </si>
  <si>
    <t>Ozamis City</t>
  </si>
  <si>
    <t>Tandag City</t>
  </si>
  <si>
    <t>Sulu II</t>
  </si>
  <si>
    <t>Pasay City</t>
  </si>
  <si>
    <t>Urdaneta City</t>
  </si>
  <si>
    <t>Olongapo City</t>
  </si>
  <si>
    <t>Laguna</t>
  </si>
  <si>
    <t>Tabaco City</t>
  </si>
  <si>
    <t>La Carlota City</t>
  </si>
  <si>
    <t>Mandaue City</t>
  </si>
  <si>
    <t>Tacloban City</t>
  </si>
  <si>
    <t>Tangub City</t>
  </si>
  <si>
    <t>Tawi-Tawi</t>
  </si>
  <si>
    <t>Pasig City</t>
  </si>
  <si>
    <t>Vigan City</t>
  </si>
  <si>
    <t>Pampanga</t>
  </si>
  <si>
    <t>Lipa City</t>
  </si>
  <si>
    <t>Negros Occidental</t>
  </si>
  <si>
    <t>Negros Oriental</t>
  </si>
  <si>
    <t>Valencia City</t>
  </si>
  <si>
    <t>Quezon City</t>
  </si>
  <si>
    <t>Lucena City</t>
  </si>
  <si>
    <t>Passi City</t>
  </si>
  <si>
    <t>Siquijor</t>
  </si>
  <si>
    <t>San Jose City</t>
  </si>
  <si>
    <t>Quezon</t>
  </si>
  <si>
    <t>Roxas City</t>
  </si>
  <si>
    <t>Tagbilaran City</t>
  </si>
  <si>
    <t>Valenzuela City</t>
  </si>
  <si>
    <t>San Jose del Monte City</t>
  </si>
  <si>
    <t>Rizal</t>
  </si>
  <si>
    <t>Sagay City</t>
  </si>
  <si>
    <t>Talisay City</t>
  </si>
  <si>
    <t>Tarlac</t>
  </si>
  <si>
    <t>San Pablo City</t>
  </si>
  <si>
    <t>Tanjay City</t>
  </si>
  <si>
    <t>Tarlac City</t>
  </si>
  <si>
    <t>Sta. Rosa City</t>
  </si>
  <si>
    <t>Silay City</t>
  </si>
  <si>
    <t>Toledo City</t>
  </si>
  <si>
    <t>Zambales</t>
  </si>
  <si>
    <t>Tanauan City</t>
  </si>
  <si>
    <t>Sipalay City</t>
  </si>
  <si>
    <t>Tayabas City</t>
  </si>
  <si>
    <t>Fixed wireless</t>
  </si>
  <si>
    <t>Bayantel</t>
  </si>
  <si>
    <t>DepEd DICP</t>
  </si>
  <si>
    <t>Satellite</t>
  </si>
  <si>
    <t>Digitel</t>
  </si>
  <si>
    <t>USB modem</t>
  </si>
  <si>
    <t>Globe</t>
  </si>
  <si>
    <t>Wired</t>
  </si>
  <si>
    <t>Other Government Agencies</t>
  </si>
  <si>
    <t>PLDT</t>
  </si>
  <si>
    <t>Smart</t>
  </si>
  <si>
    <t>Sun</t>
  </si>
  <si>
    <t>School Funds</t>
  </si>
  <si>
    <t>1st District</t>
  </si>
  <si>
    <t>2nd District</t>
  </si>
  <si>
    <t>3rd District</t>
  </si>
  <si>
    <t>4th District</t>
  </si>
  <si>
    <t>5th District</t>
  </si>
  <si>
    <t>6th District</t>
  </si>
  <si>
    <t>7th District</t>
  </si>
  <si>
    <t>8th District</t>
  </si>
  <si>
    <t>Lone District</t>
  </si>
  <si>
    <t>sch_region</t>
  </si>
  <si>
    <t>sch_division</t>
  </si>
  <si>
    <t>sch_dist</t>
  </si>
  <si>
    <t>sch_leg_dist</t>
  </si>
  <si>
    <t>sch_tel_no</t>
  </si>
  <si>
    <t>sch_mob_no</t>
  </si>
  <si>
    <t>sch_fax_no</t>
  </si>
  <si>
    <t>sch_web_add</t>
  </si>
  <si>
    <t>sch_email_add</t>
  </si>
  <si>
    <t>sch_date_est</t>
  </si>
  <si>
    <t>SchInfo!$G$25</t>
  </si>
  <si>
    <t>SchInfo!$I$25</t>
  </si>
  <si>
    <t>SchInfo!$N$25</t>
  </si>
  <si>
    <t>SchInfo!$G$27</t>
  </si>
  <si>
    <t>SchInfo!$N$27</t>
  </si>
  <si>
    <t>SchInfo!$T$27</t>
  </si>
  <si>
    <t>Please enter the name of the school.</t>
  </si>
  <si>
    <t>SchInfo!$AH$21</t>
  </si>
  <si>
    <t>SchInfo!$AH$22</t>
  </si>
  <si>
    <t>SchInfo!$AH$23</t>
  </si>
  <si>
    <t>SchInfo!$AH$24</t>
  </si>
  <si>
    <t>SchInfo!$AH$25</t>
  </si>
  <si>
    <t>SchInfo!$AH$26</t>
  </si>
  <si>
    <t>SchInfo!$AH$27</t>
  </si>
  <si>
    <t>SchInfo!$AH$28</t>
  </si>
  <si>
    <t>SchInfo!$AH$29</t>
  </si>
  <si>
    <t>SchInfo!$AH$30</t>
  </si>
  <si>
    <t>sch_central_school</t>
  </si>
  <si>
    <t>SchInfo!$C$32</t>
  </si>
  <si>
    <t>sch_sped_center</t>
  </si>
  <si>
    <t>sch_sped_classes</t>
  </si>
  <si>
    <t>sch_annex_extension_school</t>
  </si>
  <si>
    <t>sch_annex_extension_mother_sch_id</t>
  </si>
  <si>
    <t>sch_coc_kinder</t>
  </si>
  <si>
    <t>sch_coc_k1to6</t>
  </si>
  <si>
    <t>SchInfo!$C$33</t>
  </si>
  <si>
    <t>SchInfo!$C$34</t>
  </si>
  <si>
    <t>SchInfo!$C$35</t>
  </si>
  <si>
    <t>SchInfo!$AB$33</t>
  </si>
  <si>
    <t>SchInfo!$AB$34</t>
  </si>
  <si>
    <t>Value should only be “True” or “False”</t>
  </si>
  <si>
    <t>head_name</t>
  </si>
  <si>
    <t>head_pos_title</t>
  </si>
  <si>
    <t>po_name</t>
  </si>
  <si>
    <t>sdo_head_name</t>
  </si>
  <si>
    <t>sdo_pos_title</t>
  </si>
  <si>
    <t>SchInfo!$F$39</t>
  </si>
  <si>
    <t>SchInfo!$F$41</t>
  </si>
  <si>
    <t>SchInfo!$R$39</t>
  </si>
  <si>
    <t>SchInfo!$AM$39</t>
  </si>
  <si>
    <t>SchInfo!$AM$41</t>
  </si>
  <si>
    <t>alive_muslim_m_k</t>
  </si>
  <si>
    <t>alive_muslim_f_k</t>
  </si>
  <si>
    <t>alive_muslim_m_g1</t>
  </si>
  <si>
    <t>alive_muslim_f_g1</t>
  </si>
  <si>
    <t>alive_muslim_m_g2</t>
  </si>
  <si>
    <t>alive_muslim_f_g2</t>
  </si>
  <si>
    <t>alive_muslim_m_g3</t>
  </si>
  <si>
    <t>alive_muslim_f_g3</t>
  </si>
  <si>
    <t>alive_muslim_m_g4</t>
  </si>
  <si>
    <t>alive_muslim_f_g4</t>
  </si>
  <si>
    <t>alive_muslim_m_g5</t>
  </si>
  <si>
    <t>alive_muslim_f_g5</t>
  </si>
  <si>
    <t>alive_muslim_m_g6</t>
  </si>
  <si>
    <t>alive_muslim_f_g6</t>
  </si>
  <si>
    <t>alive_nonmuslim_m_k</t>
  </si>
  <si>
    <t>alive_nonmuslim_f_k</t>
  </si>
  <si>
    <t>alive_nonmuslim_m_g1</t>
  </si>
  <si>
    <t>alive_nonmuslim_f_g1</t>
  </si>
  <si>
    <t>alive_nonmuslim_m_g2</t>
  </si>
  <si>
    <t>alive_nonmuslim_f_g2</t>
  </si>
  <si>
    <t>alive_nonmuslim_m_g3</t>
  </si>
  <si>
    <t>alive_nonmuslim_f_g3</t>
  </si>
  <si>
    <t>alive_nonmuslim_m_g4</t>
  </si>
  <si>
    <t>alive_nonmuslim_f_g4</t>
  </si>
  <si>
    <t>alive_nonmuslim_m_g5</t>
  </si>
  <si>
    <t>alive_nonmuslim_f_g5</t>
  </si>
  <si>
    <t>alive_nonmuslim_m_g6</t>
  </si>
  <si>
    <t>alive_nonmuslim_f_g6</t>
  </si>
  <si>
    <t>sses_m_g1</t>
  </si>
  <si>
    <t>sses_f_g1</t>
  </si>
  <si>
    <t>sses_m_g2</t>
  </si>
  <si>
    <t>sses_f_g2</t>
  </si>
  <si>
    <t>sses_m_g3</t>
  </si>
  <si>
    <t>sses_f_g3</t>
  </si>
  <si>
    <t>sses_m_g4</t>
  </si>
  <si>
    <t>sses_f_g4</t>
  </si>
  <si>
    <t>sses_m_g5</t>
  </si>
  <si>
    <t>sses_f_g5</t>
  </si>
  <si>
    <t>sses_m_g6</t>
  </si>
  <si>
    <t>sses_f_g6</t>
  </si>
  <si>
    <t>es_enro_byprogram</t>
  </si>
  <si>
    <t>Table1-2!$P$7</t>
  </si>
  <si>
    <t>Table1-2!$S$7</t>
  </si>
  <si>
    <t>Table1-2!$V$7</t>
  </si>
  <si>
    <t>Table1-2!$Y$7</t>
  </si>
  <si>
    <t>Table1-2!$AB$7</t>
  </si>
  <si>
    <t>Table1-2!$AE$7</t>
  </si>
  <si>
    <t>Table1-2!$AH$7</t>
  </si>
  <si>
    <t>Table1-2!$AK$7</t>
  </si>
  <si>
    <t>Table1-2!$AN$7</t>
  </si>
  <si>
    <t>Table1-2!$AQ$7</t>
  </si>
  <si>
    <t>Table1-2!$AT$7</t>
  </si>
  <si>
    <t>Table1-2!$AW$7</t>
  </si>
  <si>
    <t>Table1-2!$AZ$7</t>
  </si>
  <si>
    <t>Table1-2!$BC$7</t>
  </si>
  <si>
    <t>Table1-2!$P$8</t>
  </si>
  <si>
    <t>Table1-2!$S$8</t>
  </si>
  <si>
    <t>Table1-2!$V$8</t>
  </si>
  <si>
    <t>Table1-2!$Y$8</t>
  </si>
  <si>
    <t>Table1-2!$AB$8</t>
  </si>
  <si>
    <t>Table1-2!$AE$8</t>
  </si>
  <si>
    <t>Table1-2!$AH$8</t>
  </si>
  <si>
    <t>Table1-2!$AK$8</t>
  </si>
  <si>
    <t>Table1-2!$AN$8</t>
  </si>
  <si>
    <t>Table1-2!$AQ$8</t>
  </si>
  <si>
    <t>Table1-2!$AT$8</t>
  </si>
  <si>
    <t>Table1-2!$AW$8</t>
  </si>
  <si>
    <t>Table1-2!$AZ$8</t>
  </si>
  <si>
    <t>Table1-2!$BC$8</t>
  </si>
  <si>
    <t>Table1-2!$V$9</t>
  </si>
  <si>
    <t>Table1-2!$Y$9</t>
  </si>
  <si>
    <t>Table1-2!$AB$9</t>
  </si>
  <si>
    <t>Table1-2!$AE$9</t>
  </si>
  <si>
    <t>Table1-2!$AH$9</t>
  </si>
  <si>
    <t>Table1-2!$AK$9</t>
  </si>
  <si>
    <t>Table1-2!$AN$9</t>
  </si>
  <si>
    <t>Table1-2!$AQ$9</t>
  </si>
  <si>
    <t>Table1-2!$AT$9</t>
  </si>
  <si>
    <t>Table1-2!$AW$9</t>
  </si>
  <si>
    <t>Table1-2!$AZ$9</t>
  </si>
  <si>
    <t>Table1-2!$BC$9</t>
  </si>
  <si>
    <t>sped_home_vi_age_5to10</t>
  </si>
  <si>
    <t>es_enro_sped_homebound</t>
  </si>
  <si>
    <t>sped_home_vi_age_11to15</t>
  </si>
  <si>
    <t>sped_home_vi_age_16to20</t>
  </si>
  <si>
    <t>sped_home_vi_age_21to25</t>
  </si>
  <si>
    <t>sped_home_vi_gp_ktog6</t>
  </si>
  <si>
    <t>sped_home_vi_gp_tp</t>
  </si>
  <si>
    <t>sped_home_vi_ltp_age_5to10</t>
  </si>
  <si>
    <t>sped_home_vi_ltp_age_11to15</t>
  </si>
  <si>
    <t>sped_home_vi_ltp_age_16to20</t>
  </si>
  <si>
    <t>sped_home_vi_ltp_age_21to25</t>
  </si>
  <si>
    <t>sped_hosp_vi_age_5to10</t>
  </si>
  <si>
    <t>sped_hosp_vi_age_11to15</t>
  </si>
  <si>
    <t>sped_hosp_vi_age_16to20</t>
  </si>
  <si>
    <t>sped_hosp_vi_age_21to25</t>
  </si>
  <si>
    <t>sped_hosp_vi_gp_ktog6</t>
  </si>
  <si>
    <t>sped_hosp_vi_gp_tp</t>
  </si>
  <si>
    <t>sped_hosp_vi_ltp_age_5to10</t>
  </si>
  <si>
    <t>sped_hosp_vi_ltp_age_11to15</t>
  </si>
  <si>
    <t>sped_hosp_vi_ltp_age_16to20</t>
  </si>
  <si>
    <t>sped_hosp_vi_ltp_age_21to25</t>
  </si>
  <si>
    <t>sped_home_hi_age_5to10</t>
  </si>
  <si>
    <t>sped_home_hi_age_11to15</t>
  </si>
  <si>
    <t>sped_home_hi_age_16to20</t>
  </si>
  <si>
    <t>sped_home_hi_age_21to25</t>
  </si>
  <si>
    <t>sped_home_hi_gp_ktog6</t>
  </si>
  <si>
    <t>sped_home_hi_gp_tp</t>
  </si>
  <si>
    <t>sped_home_hi_ltp_age_5to10</t>
  </si>
  <si>
    <t>sped_home_hi_ltp_age_11to15</t>
  </si>
  <si>
    <t>sped_home_hi_ltp_age_16to20</t>
  </si>
  <si>
    <t>sped_home_hi_ltp_age_21to25</t>
  </si>
  <si>
    <t>sped_hosp_hi_age_5to10</t>
  </si>
  <si>
    <t>sped_hosp_hi_age_11to15</t>
  </si>
  <si>
    <t>sped_hosp_hi_age_16to20</t>
  </si>
  <si>
    <t>sped_hosp_hi_age_21to25</t>
  </si>
  <si>
    <t>sped_hosp_hi_gp_ktog6</t>
  </si>
  <si>
    <t>sped_hosp_hi_gp_tp</t>
  </si>
  <si>
    <t>sped_hosp_hi_ltp_age_5to10</t>
  </si>
  <si>
    <t>sped_hosp_hi_ltp_age_11to15</t>
  </si>
  <si>
    <t>sped_hosp_hi_ltp_age_16to20</t>
  </si>
  <si>
    <t>sped_hosp_hi_ltp_age_21to25</t>
  </si>
  <si>
    <t>sped_home_ld_age_5to10</t>
  </si>
  <si>
    <t>sped_home_ld_age_11to15</t>
  </si>
  <si>
    <t>sped_home_ld_age_16to20</t>
  </si>
  <si>
    <t>sped_home_ld_age_21to25</t>
  </si>
  <si>
    <t>sped_home_ld_gp_ktog6</t>
  </si>
  <si>
    <t>sped_home_ld_gp_tp</t>
  </si>
  <si>
    <t>sped_home_ld_ltp_age_5to10</t>
  </si>
  <si>
    <t>sped_home_ld_ltp_age_11to15</t>
  </si>
  <si>
    <t>sped_home_ld_ltp_age_16to20</t>
  </si>
  <si>
    <t>sped_home_ld_ltp_age_21to25</t>
  </si>
  <si>
    <t>sped_hosp_ld_age_5to10</t>
  </si>
  <si>
    <t>sped_hosp_ld_age_11to15</t>
  </si>
  <si>
    <t>sped_hosp_ld_age_16to20</t>
  </si>
  <si>
    <t>sped_hosp_ld_age_21to25</t>
  </si>
  <si>
    <t>sped_hosp_ld_gp_ktog6</t>
  </si>
  <si>
    <t>sped_hosp_ld_gp_tp</t>
  </si>
  <si>
    <t>sped_hosp_ld_ltp_age_5to10</t>
  </si>
  <si>
    <t>sped_hosp_ld_ltp_age_11to15</t>
  </si>
  <si>
    <t>sped_hosp_ld_ltp_age_16to20</t>
  </si>
  <si>
    <t>sped_hosp_ld_ltp_age_21to25</t>
  </si>
  <si>
    <t>sped_home_id_age_5to10</t>
  </si>
  <si>
    <t>sped_home_id_age_11to15</t>
  </si>
  <si>
    <t>sped_home_id_age_16to20</t>
  </si>
  <si>
    <t>sped_home_id_age_21to25</t>
  </si>
  <si>
    <t>sped_home_id_gp_ktog6</t>
  </si>
  <si>
    <t>sped_home_id_gp_tp</t>
  </si>
  <si>
    <t>sped_home_id_ltp_age_5to10</t>
  </si>
  <si>
    <t>sped_home_id_ltp_age_11to15</t>
  </si>
  <si>
    <t>sped_home_id_ltp_age_16to20</t>
  </si>
  <si>
    <t>sped_home_id_ltp_age_21to25</t>
  </si>
  <si>
    <t>sped_hosp_id_age_5to10</t>
  </si>
  <si>
    <t>sped_hosp_id_age_11to15</t>
  </si>
  <si>
    <t>sped_hosp_id_age_16to20</t>
  </si>
  <si>
    <t>sped_hosp_id_age_21to25</t>
  </si>
  <si>
    <t>sped_hosp_id_gp_ktog6</t>
  </si>
  <si>
    <t>sped_hosp_id_gp_tp</t>
  </si>
  <si>
    <t>sped_hosp_id_ltp_age_5to10</t>
  </si>
  <si>
    <t>sped_hosp_id_ltp_age_11to15</t>
  </si>
  <si>
    <t>sped_hosp_id_ltp_age_16to20</t>
  </si>
  <si>
    <t>sped_hosp_id_ltp_age_21to25</t>
  </si>
  <si>
    <t>sped_home_asd_age_5to10</t>
  </si>
  <si>
    <t>sped_home_asd_age_11to15</t>
  </si>
  <si>
    <t>sped_home_asd_age_16to20</t>
  </si>
  <si>
    <t>sped_home_asd_age_21to25</t>
  </si>
  <si>
    <t>sped_home_asd_gp_ktog6</t>
  </si>
  <si>
    <t>sped_home_asd_gp_tp</t>
  </si>
  <si>
    <t>sped_home_asd_ltp_age_5to10</t>
  </si>
  <si>
    <t>sped_home_asd_ltp_age_11to15</t>
  </si>
  <si>
    <t>sped_home_asd_ltp_age_16to20</t>
  </si>
  <si>
    <t>sped_home_asd_ltp_age_21to25</t>
  </si>
  <si>
    <t>sped_hosp_asd_age_5to10</t>
  </si>
  <si>
    <t>sped_hosp_asd_age_11to15</t>
  </si>
  <si>
    <t>sped_hosp_asd_age_16to20</t>
  </si>
  <si>
    <t>sped_hosp_asd_age_21to25</t>
  </si>
  <si>
    <t>sped_hosp_asd_gp_ktog6</t>
  </si>
  <si>
    <t>sped_hosp_asd_gp_tp</t>
  </si>
  <si>
    <t>sped_hosp_asd_ltp_age_5to10</t>
  </si>
  <si>
    <t>sped_hosp_asd_ltp_age_11to15</t>
  </si>
  <si>
    <t>sped_hosp_asd_ltp_age_16to20</t>
  </si>
  <si>
    <t>sped_hosp_asd_ltp_age_21to25</t>
  </si>
  <si>
    <t>sped_home_ebd_age_5to10</t>
  </si>
  <si>
    <t>sped_home_ebd_age_11to15</t>
  </si>
  <si>
    <t>sped_home_ebd_age_16to20</t>
  </si>
  <si>
    <t>sped_home_ebd_age_21to25</t>
  </si>
  <si>
    <t>sped_home_ebd_gp_ktog6</t>
  </si>
  <si>
    <t>sped_home_ebd_gp_tp</t>
  </si>
  <si>
    <t>sped_home_ebd_ltp_age_5to10</t>
  </si>
  <si>
    <t>sped_home_ebd_ltp_age_11to15</t>
  </si>
  <si>
    <t>sped_home_ebd_ltp_age_16to20</t>
  </si>
  <si>
    <t>sped_home_ebd_ltp_age_21to25</t>
  </si>
  <si>
    <t>sped_hosp_ebd_age_5to10</t>
  </si>
  <si>
    <t>sped_hosp_ebd_age_11to15</t>
  </si>
  <si>
    <t>sped_hosp_ebd_age_16to20</t>
  </si>
  <si>
    <t>sped_hosp_ebd_age_21to25</t>
  </si>
  <si>
    <t>sped_hosp_ebd_gp_ktog6</t>
  </si>
  <si>
    <t>sped_hosp_ebd_gp_tp</t>
  </si>
  <si>
    <t>sped_hosp_ebd_ltp_age_5to10</t>
  </si>
  <si>
    <t>sped_hosp_ebd_ltp_age_11to15</t>
  </si>
  <si>
    <t>sped_hosp_ebd_ltp_age_16to20</t>
  </si>
  <si>
    <t>sped_hosp_ebd_ltp_age_21to25</t>
  </si>
  <si>
    <t>sped_home_oph_age_5to10</t>
  </si>
  <si>
    <t>sped_home_oph_age_11to15</t>
  </si>
  <si>
    <t>sped_home_oph_age_16to20</t>
  </si>
  <si>
    <t>sped_home_oph_age_21to25</t>
  </si>
  <si>
    <t>sped_home_oph_gp_ktog6</t>
  </si>
  <si>
    <t>sped_home_oph_gp_tp</t>
  </si>
  <si>
    <t>sped_home_oph_ltp_age_5to10</t>
  </si>
  <si>
    <t>sped_home_oph_ltp_age_11to15</t>
  </si>
  <si>
    <t>sped_home_oph_ltp_age_16to20</t>
  </si>
  <si>
    <t>sped_home_oph_ltp_age_21to25</t>
  </si>
  <si>
    <t>sped_hosp_oph_age_5to10</t>
  </si>
  <si>
    <t>sped_hosp_oph_age_11to15</t>
  </si>
  <si>
    <t>sped_hosp_oph_age_16to20</t>
  </si>
  <si>
    <t>sped_hosp_oph_age_21to25</t>
  </si>
  <si>
    <t>sped_hosp_oph_gp_ktog6</t>
  </si>
  <si>
    <t>sped_hosp_oph_gp_tp</t>
  </si>
  <si>
    <t>sped_hosp_oph_ltp_age_5to10</t>
  </si>
  <si>
    <t>sped_hosp_oph_ltp_age_11to15</t>
  </si>
  <si>
    <t>sped_hosp_oph_ltp_age_16to20</t>
  </si>
  <si>
    <t>sped_hosp_oph_ltp_age_21to25</t>
  </si>
  <si>
    <t>sped_home_sld_age_5to10</t>
  </si>
  <si>
    <t>sped_home_sld_age_11to15</t>
  </si>
  <si>
    <t>sped_home_sld_age_16to20</t>
  </si>
  <si>
    <t>sped_home_sld_age_21to25</t>
  </si>
  <si>
    <t>sped_home_sld_gp_ktog6</t>
  </si>
  <si>
    <t>sped_home_sld_gp_tp</t>
  </si>
  <si>
    <t>sped_home_sld_ltp_age_5to10</t>
  </si>
  <si>
    <t>sped_home_sld_ltp_age_11to15</t>
  </si>
  <si>
    <t>sped_home_sld_ltp_age_16to20</t>
  </si>
  <si>
    <t>sped_home_sld_ltp_age_21to25</t>
  </si>
  <si>
    <t>sped_hosp_sld_age_5to10</t>
  </si>
  <si>
    <t>sped_hosp_sld_age_11to15</t>
  </si>
  <si>
    <t>sped_hosp_sld_age_16to20</t>
  </si>
  <si>
    <t>sped_hosp_sld_age_21to25</t>
  </si>
  <si>
    <t>sped_hosp_sld_gp_ktog6</t>
  </si>
  <si>
    <t>sped_hosp_sld_gp_tp</t>
  </si>
  <si>
    <t>sped_hosp_sld_ltp_age_5to10</t>
  </si>
  <si>
    <t>sped_hosp_sld_ltp_age_11to15</t>
  </si>
  <si>
    <t>sped_hosp_sld_ltp_age_16to20</t>
  </si>
  <si>
    <t>sped_hosp_sld_ltp_age_21to25</t>
  </si>
  <si>
    <t>sped_home_cp_age_5to10</t>
  </si>
  <si>
    <t>sped_home_cp_age_11to15</t>
  </si>
  <si>
    <t>sped_home_cp_age_16to20</t>
  </si>
  <si>
    <t>sped_home_cp_age_21to25</t>
  </si>
  <si>
    <t>sped_home_cp_gp_ktog6</t>
  </si>
  <si>
    <t>sped_home_cp_gp_tp</t>
  </si>
  <si>
    <t>sped_home_cp_ltp_age_5to10</t>
  </si>
  <si>
    <t>sped_home_cp_ltp_age_11to15</t>
  </si>
  <si>
    <t>sped_home_cp_ltp_age_16to20</t>
  </si>
  <si>
    <t>sped_home_cp_ltp_age_21to25</t>
  </si>
  <si>
    <t>sped_hosp_cp_age_5to10</t>
  </si>
  <si>
    <t>sped_hosp_cp_age_11to15</t>
  </si>
  <si>
    <t>sped_hosp_cp_age_16to20</t>
  </si>
  <si>
    <t>sped_hosp_cp_age_21to25</t>
  </si>
  <si>
    <t>sped_hosp_cp_gp_ktog6</t>
  </si>
  <si>
    <t>sped_hosp_cp_gp_tp</t>
  </si>
  <si>
    <t>sped_hosp_cp_ltp_age_5to10</t>
  </si>
  <si>
    <t>sped_hosp_cp_ltp_age_11to15</t>
  </si>
  <si>
    <t>sped_hosp_cp_ltp_age_16to20</t>
  </si>
  <si>
    <t>sped_hosp_cp_ltp_age_21to25</t>
  </si>
  <si>
    <t>sped_home_cd_age_5to10</t>
  </si>
  <si>
    <t>sped_home_cd_age_11to15</t>
  </si>
  <si>
    <t>sped_home_cd_age_16to20</t>
  </si>
  <si>
    <t>sped_home_cd_age_21to25</t>
  </si>
  <si>
    <t>sped_home_cd_gp_ktog6</t>
  </si>
  <si>
    <t>sped_home_cd_gp_tp</t>
  </si>
  <si>
    <t>sped_home_cd_ltp_age_5to10</t>
  </si>
  <si>
    <t>sped_home_cd_ltp_age_11to15</t>
  </si>
  <si>
    <t>sped_home_cd_ltp_age_16to20</t>
  </si>
  <si>
    <t>sped_home_cd_ltp_age_21to25</t>
  </si>
  <si>
    <t>sped_hosp_cd_age_5to10</t>
  </si>
  <si>
    <t>sped_hosp_cd_age_11to15</t>
  </si>
  <si>
    <t>sped_hosp_cd_age_16to20</t>
  </si>
  <si>
    <t>sped_hosp_cd_age_21to25</t>
  </si>
  <si>
    <t>sped_hosp_cd_gp_ktog6</t>
  </si>
  <si>
    <t>sped_hosp_cd_gp_tp</t>
  </si>
  <si>
    <t>sped_hosp_cd_ltp_age_5to10</t>
  </si>
  <si>
    <t>sped_hosp_cd_ltp_age_11to15</t>
  </si>
  <si>
    <t>sped_hosp_cd_ltp_age_16to20</t>
  </si>
  <si>
    <t>sped_hosp_cd_ltp_age_21to25</t>
  </si>
  <si>
    <t>sped_home_cancer_age_5to10</t>
  </si>
  <si>
    <t>sped_home_cancer_age_11to15</t>
  </si>
  <si>
    <t>sped_home_cancer_age_16to20</t>
  </si>
  <si>
    <t>sped_home_cancer_age_21to25</t>
  </si>
  <si>
    <t>sped_home_cancer_gp_ktog6</t>
  </si>
  <si>
    <t>sped_home_cancer_gp_tp</t>
  </si>
  <si>
    <t>sped_home_cancer_ltp_age_5to10</t>
  </si>
  <si>
    <t>sped_home_cancer_ltp_age_11to15</t>
  </si>
  <si>
    <t>sped_home_cancer_ltp_age_16to20</t>
  </si>
  <si>
    <t>sped_home_cancer_ltp_age_21to25</t>
  </si>
  <si>
    <t>sped_hosp_cancer_age_5to10</t>
  </si>
  <si>
    <t>sped_hosp_cancer_age_11to15</t>
  </si>
  <si>
    <t>sped_hosp_cancer_age_16to20</t>
  </si>
  <si>
    <t>sped_hosp_cancer_age_21to25</t>
  </si>
  <si>
    <t>sped_hosp_cancer_gp_ktog6</t>
  </si>
  <si>
    <t>sped_hosp_cancer_gp_tp</t>
  </si>
  <si>
    <t>sped_hosp_cancer_ltp_age_5to10</t>
  </si>
  <si>
    <t>sped_hosp_cancer_ltp_age_11to15</t>
  </si>
  <si>
    <t>sped_hosp_cancer_ltp_age_16to20</t>
  </si>
  <si>
    <t>sped_hosp_cancer_ltp_age_21to25</t>
  </si>
  <si>
    <t>sped_home_md_ltp_age_5to10</t>
  </si>
  <si>
    <t>sped_home_md_ltp_age_11to15</t>
  </si>
  <si>
    <t>sped_home_md_ltp_age_16to20</t>
  </si>
  <si>
    <t>sped_home_md_ltp_age_21to25</t>
  </si>
  <si>
    <t>sped_hosp_md_ltp_age_5to10</t>
  </si>
  <si>
    <t>sped_hosp_md_ltp_age_11to15</t>
  </si>
  <si>
    <t>sped_hosp_md_ltp_age_16to20</t>
  </si>
  <si>
    <t>sped_hosp_md_ltp_age_21to25</t>
  </si>
  <si>
    <t>sped_home_diffseeing_age_5to10</t>
  </si>
  <si>
    <t>sped_home_diffseeing_age_11to15</t>
  </si>
  <si>
    <t>sped_home_diffseeing_age_16to20</t>
  </si>
  <si>
    <t>sped_home_diffseeing_age_21to25</t>
  </si>
  <si>
    <t>sped_home_diffseeing_gp_ktog6</t>
  </si>
  <si>
    <t>sped_home_diffseeing_gp_tp</t>
  </si>
  <si>
    <t>sped_home_diffseeing_ltp_age_5to10</t>
  </si>
  <si>
    <t>sped_home_diffseeing_ltp_age_11to15</t>
  </si>
  <si>
    <t>sped_home_diffseeing_ltp_age_16to20</t>
  </si>
  <si>
    <t>sped_home_diffseeing_ltp_age_21to25</t>
  </si>
  <si>
    <t>sped_home_diffhearing_age_5to10</t>
  </si>
  <si>
    <t>sped_home_diffhearing_age_11to15</t>
  </si>
  <si>
    <t>sped_home_diffhearing_age_16to20</t>
  </si>
  <si>
    <t>sped_home_diffhearing_age_21to25</t>
  </si>
  <si>
    <t>sped_home_diffhearing_gp_ktog6</t>
  </si>
  <si>
    <t>sped_home_diffhearing_gp_tp</t>
  </si>
  <si>
    <t>sped_home_diffhearing_ltp_age_5to10</t>
  </si>
  <si>
    <t>sped_home_diffhearing_ltp_age_11to15</t>
  </si>
  <si>
    <t>sped_home_diffhearing_ltp_age_16to20</t>
  </si>
  <si>
    <t>sped_home_diffhearing_ltp_age_21to25</t>
  </si>
  <si>
    <t>sped_home_diffak_age_5to10</t>
  </si>
  <si>
    <t>sped_home_diffak_age_11to15</t>
  </si>
  <si>
    <t>sped_home_diffak_age_16to20</t>
  </si>
  <si>
    <t>sped_home_diffak_age_21to25</t>
  </si>
  <si>
    <t>sped_home_diffak_gp_ktog6</t>
  </si>
  <si>
    <t>sped_home_diffak_gp_tp</t>
  </si>
  <si>
    <t>sped_home_diffak_ltp_age_5to10</t>
  </si>
  <si>
    <t>sped_home_diffak_ltp_age_11to15</t>
  </si>
  <si>
    <t>sped_home_diffak_ltp_age_16to20</t>
  </si>
  <si>
    <t>sped_home_diffak_ltp_age_21to25</t>
  </si>
  <si>
    <t>sped_home_diffrcpu_age_5to10</t>
  </si>
  <si>
    <t>sped_home_diffrcpu_age_11to15</t>
  </si>
  <si>
    <t>sped_home_diffrcpu_age_16to20</t>
  </si>
  <si>
    <t>sped_home_diffrcpu_age_21to25</t>
  </si>
  <si>
    <t>sped_home_diffrcpu_gp_ktog6</t>
  </si>
  <si>
    <t>sped_home_diffrcpu_gp_tp</t>
  </si>
  <si>
    <t>sped_home_diffrcpu_ltp_age_5to10</t>
  </si>
  <si>
    <t>sped_home_diffrcpu_ltp_age_11to15</t>
  </si>
  <si>
    <t>sped_home_diffrcpu_ltp_age_16to20</t>
  </si>
  <si>
    <t>sped_home_diffrcpu_ltp_age_21to25</t>
  </si>
  <si>
    <t>sped_home_diffaas_age_5to10</t>
  </si>
  <si>
    <t>sped_home_diffaas_age_11to15</t>
  </si>
  <si>
    <t>sped_home_diffaas_age_16to20</t>
  </si>
  <si>
    <t>sped_home_diffaas_age_21to25</t>
  </si>
  <si>
    <t>sped_home_diffaas_gp_ktog6</t>
  </si>
  <si>
    <t>sped_home_diffaas_gp_tp</t>
  </si>
  <si>
    <t>sped_home_diffaas_ltp_age_5to10</t>
  </si>
  <si>
    <t>sped_home_diffaas_ltp_age_11to15</t>
  </si>
  <si>
    <t>sped_home_diffaas_ltp_age_16to20</t>
  </si>
  <si>
    <t>sped_home_diffaas_ltp_age_21to25</t>
  </si>
  <si>
    <t>sped_home_diffdipb_age_5to10</t>
  </si>
  <si>
    <t>sped_home_diffdipb_age_11to15</t>
  </si>
  <si>
    <t>sped_home_diffdipb_age_16to20</t>
  </si>
  <si>
    <t>sped_home_diffdipb_age_21to25</t>
  </si>
  <si>
    <t>sped_home_diffdipb_gp_ktog6</t>
  </si>
  <si>
    <t>sped_home_diffdipb_gp_tp</t>
  </si>
  <si>
    <t>sped_home_diffdipb_ltp_age_5to10</t>
  </si>
  <si>
    <t>sped_home_diffdipb_ltp_age_11to15</t>
  </si>
  <si>
    <t>sped_home_diffdipb_ltp_age_16to20</t>
  </si>
  <si>
    <t>sped_home_diffdipb_ltp_age_21to25</t>
  </si>
  <si>
    <t>sped_home_diffmob_age_5to10</t>
  </si>
  <si>
    <t>sped_home_diffmob_age_11to15</t>
  </si>
  <si>
    <t>sped_home_diffmob_age_16to20</t>
  </si>
  <si>
    <t>sped_home_diffmob_age_21to25</t>
  </si>
  <si>
    <t>sped_home_diffmob_gp_ktog6</t>
  </si>
  <si>
    <t>sped_home_diffmob_gp_tp</t>
  </si>
  <si>
    <t>sped_home_diffmob_ltp_age_5to10</t>
  </si>
  <si>
    <t>sped_home_diffmob_ltp_age_11to15</t>
  </si>
  <si>
    <t>sped_home_diffmob_ltp_age_16to20</t>
  </si>
  <si>
    <t>sped_home_diffmob_ltp_age_21to25</t>
  </si>
  <si>
    <t>sped_home_diffcomm_age_5to10</t>
  </si>
  <si>
    <t>sped_home_diffcomm_age_11to15</t>
  </si>
  <si>
    <t>sped_home_diffcomm_age_16to20</t>
  </si>
  <si>
    <t>sped_home_diffcomm_age_21to25</t>
  </si>
  <si>
    <t>sped_home_diffcomm_gp_ktog6</t>
  </si>
  <si>
    <t>sped_home_diffcomm_gp_tp</t>
  </si>
  <si>
    <t>sped_home_diffcomm_ltp_age_5to10</t>
  </si>
  <si>
    <t>sped_home_diffcomm_ltp_age_11to15</t>
  </si>
  <si>
    <t>sped_home_diffcomm_ltp_age_16to20</t>
  </si>
  <si>
    <t>sped_home_diffcomm_ltp_age_21to25</t>
  </si>
  <si>
    <t>es_sped_coordinator_name</t>
  </si>
  <si>
    <t>es_sped_coordinator_pos</t>
  </si>
  <si>
    <t>sped_home_md_age_5to10</t>
  </si>
  <si>
    <t>sped_home_md_age_11to15</t>
  </si>
  <si>
    <t>sped_home_md_age_16to20</t>
  </si>
  <si>
    <t>sped_home_md_age_21to25</t>
  </si>
  <si>
    <t>sped_home_md_gp_ktog6</t>
  </si>
  <si>
    <t>sped_home_md_gp_tp</t>
  </si>
  <si>
    <t>sped_hosp_md_age_5to10</t>
  </si>
  <si>
    <t>sped_hosp_md_age_11to15</t>
  </si>
  <si>
    <t>sped_hosp_md_age_16to20</t>
  </si>
  <si>
    <t>sped_hosp_md_age_21to25</t>
  </si>
  <si>
    <t>sped_hosp_md_gp_ktog6</t>
  </si>
  <si>
    <t>sped_hosp_md_gp_tp</t>
  </si>
  <si>
    <t>Table1-2!$O$20</t>
  </si>
  <si>
    <t>Table1-2!$Q$20</t>
  </si>
  <si>
    <t>Table1-2!$S$20</t>
  </si>
  <si>
    <t>Table1-2!$U$20</t>
  </si>
  <si>
    <t>Table1-2!$Y$20</t>
  </si>
  <si>
    <t>Table1-2!$AB$20</t>
  </si>
  <si>
    <t>Table1-2!$AG$20</t>
  </si>
  <si>
    <t>Table1-2!$AI$20</t>
  </si>
  <si>
    <t>Table1-2!$AK$20</t>
  </si>
  <si>
    <t>Table1-2!$AM$20</t>
  </si>
  <si>
    <t>Table1-2!$AQ$20</t>
  </si>
  <si>
    <t>Table1-2!$AS$20</t>
  </si>
  <si>
    <t>Table1-2!$AU$20</t>
  </si>
  <si>
    <t>Table1-2!$AW$20</t>
  </si>
  <si>
    <t>Table1-2!$BA$20</t>
  </si>
  <si>
    <t>Table1-2!$BD$20</t>
  </si>
  <si>
    <t>Table1-2!$BI$20</t>
  </si>
  <si>
    <t>Table1-2!$BK$20</t>
  </si>
  <si>
    <t>Table1-2!$BM$20</t>
  </si>
  <si>
    <t>Table1-2!$BO$20</t>
  </si>
  <si>
    <t>Table1-2!$O$31</t>
  </si>
  <si>
    <t>Table1-2!$Q$31</t>
  </si>
  <si>
    <t>Table1-2!$S$31</t>
  </si>
  <si>
    <t>Table1-2!$U$31</t>
  </si>
  <si>
    <t>Table1-2!$Y$31</t>
  </si>
  <si>
    <t>Table1-2!$AB$31</t>
  </si>
  <si>
    <t>Table1-2!$AG$31</t>
  </si>
  <si>
    <t>Table1-2!$AI$31</t>
  </si>
  <si>
    <t>Table1-2!$AK$31</t>
  </si>
  <si>
    <t>Table1-2!$AM$31</t>
  </si>
  <si>
    <t>Table1-2!$AQ$31</t>
  </si>
  <si>
    <t>Table1-2!$AS$31</t>
  </si>
  <si>
    <t>Table1-2!$AU$31</t>
  </si>
  <si>
    <t>Table1-2!$AW$31</t>
  </si>
  <si>
    <t>Table1-2!$BA$31</t>
  </si>
  <si>
    <t>Table1-2!$BD$31</t>
  </si>
  <si>
    <t>Table1-2!$BI$31</t>
  </si>
  <si>
    <t>Table1-2!$BK$31</t>
  </si>
  <si>
    <t>Table1-2!$BM$31</t>
  </si>
  <si>
    <t>Table1-2!$BO$31</t>
  </si>
  <si>
    <t>Table1-2!$O$22</t>
  </si>
  <si>
    <t>Table1-2!$Q$22</t>
  </si>
  <si>
    <t>Table1-2!$S$22</t>
  </si>
  <si>
    <t>Table1-2!$U$22</t>
  </si>
  <si>
    <t>Table1-2!$Y$22</t>
  </si>
  <si>
    <t>Table1-2!$AB$22</t>
  </si>
  <si>
    <t>Table1-2!$AG$22</t>
  </si>
  <si>
    <t>Table1-2!$AI$22</t>
  </si>
  <si>
    <t>Table1-2!$AK$22</t>
  </si>
  <si>
    <t>Table1-2!$AM$22</t>
  </si>
  <si>
    <t>Table1-2!$AQ$22</t>
  </si>
  <si>
    <t>Table1-2!$AS$22</t>
  </si>
  <si>
    <t>Table1-2!$AU$22</t>
  </si>
  <si>
    <t>Table1-2!$AW$22</t>
  </si>
  <si>
    <t>Table1-2!$BA$22</t>
  </si>
  <si>
    <t>Table1-2!$BD$22</t>
  </si>
  <si>
    <t>Table1-2!$BI$22</t>
  </si>
  <si>
    <t>Table1-2!$BK$22</t>
  </si>
  <si>
    <t>Table1-2!$BM$22</t>
  </si>
  <si>
    <t>Table1-2!$BO$22</t>
  </si>
  <si>
    <t>Table1-2!$O$21</t>
  </si>
  <si>
    <t>Table1-2!$Q$21</t>
  </si>
  <si>
    <t>Table1-2!$S$21</t>
  </si>
  <si>
    <t>Table1-2!$U$21</t>
  </si>
  <si>
    <t>Table1-2!$Y$21</t>
  </si>
  <si>
    <t>Table1-2!$AB$21</t>
  </si>
  <si>
    <t>Table1-2!$AG$21</t>
  </si>
  <si>
    <t>Table1-2!$AI$21</t>
  </si>
  <si>
    <t>Table1-2!$AK$21</t>
  </si>
  <si>
    <t>Table1-2!$AM$21</t>
  </si>
  <si>
    <t>Table1-2!$AQ$21</t>
  </si>
  <si>
    <t>Table1-2!$AS$21</t>
  </si>
  <si>
    <t>Table1-2!$AU$21</t>
  </si>
  <si>
    <t>Table1-2!$AW$21</t>
  </si>
  <si>
    <t>Table1-2!$BA$21</t>
  </si>
  <si>
    <t>Table1-2!$BD$21</t>
  </si>
  <si>
    <t>Table1-2!$BI$21</t>
  </si>
  <si>
    <t>Table1-2!$BK$21</t>
  </si>
  <si>
    <t>Table1-2!$BM$21</t>
  </si>
  <si>
    <t>Table1-2!$BO$21</t>
  </si>
  <si>
    <t>Table1-2!$O$23</t>
  </si>
  <si>
    <t>Table1-2!$Q$23</t>
  </si>
  <si>
    <t>Table1-2!$S$23</t>
  </si>
  <si>
    <t>Table1-2!$U$23</t>
  </si>
  <si>
    <t>Table1-2!$Y$23</t>
  </si>
  <si>
    <t>Table1-2!$AB$23</t>
  </si>
  <si>
    <t>Table1-2!$AG$23</t>
  </si>
  <si>
    <t>Table1-2!$AI$23</t>
  </si>
  <si>
    <t>Table1-2!$AK$23</t>
  </si>
  <si>
    <t>Table1-2!$AM$23</t>
  </si>
  <si>
    <t>Table1-2!$AQ$23</t>
  </si>
  <si>
    <t>Table1-2!$AS$23</t>
  </si>
  <si>
    <t>Table1-2!$AU$23</t>
  </si>
  <si>
    <t>Table1-2!$AW$23</t>
  </si>
  <si>
    <t>Table1-2!$BA$23</t>
  </si>
  <si>
    <t>Table1-2!$BD$23</t>
  </si>
  <si>
    <t>Table1-2!$BI$23</t>
  </si>
  <si>
    <t>Table1-2!$BK$23</t>
  </si>
  <si>
    <t>Table1-2!$BM$23</t>
  </si>
  <si>
    <t>Table1-2!$BO$23</t>
  </si>
  <si>
    <t>Table1-2!$O$24</t>
  </si>
  <si>
    <t>Table1-2!$Q$24</t>
  </si>
  <si>
    <t>Table1-2!$S$24</t>
  </si>
  <si>
    <t>Table1-2!$U$24</t>
  </si>
  <si>
    <t>Table1-2!$Y$24</t>
  </si>
  <si>
    <t>Table1-2!$AB$24</t>
  </si>
  <si>
    <t>Table1-2!$AG$24</t>
  </si>
  <si>
    <t>Table1-2!$AI$24</t>
  </si>
  <si>
    <t>Table1-2!$AK$24</t>
  </si>
  <si>
    <t>Table1-2!$AM$24</t>
  </si>
  <si>
    <t>Table1-2!$AQ$24</t>
  </si>
  <si>
    <t>Table1-2!$AS$24</t>
  </si>
  <si>
    <t>Table1-2!$AU$24</t>
  </si>
  <si>
    <t>Table1-2!$AW$24</t>
  </si>
  <si>
    <t>Table1-2!$BA$24</t>
  </si>
  <si>
    <t>Table1-2!$BD$24</t>
  </si>
  <si>
    <t>Table1-2!$BI$24</t>
  </si>
  <si>
    <t>Table1-2!$BK$24</t>
  </si>
  <si>
    <t>Table1-2!$BM$24</t>
  </si>
  <si>
    <t>Table1-2!$BO$24</t>
  </si>
  <si>
    <t>Table1-2!$O$25</t>
  </si>
  <si>
    <t>Table1-2!$Q$25</t>
  </si>
  <si>
    <t>Table1-2!$S$25</t>
  </si>
  <si>
    <t>Table1-2!$U$25</t>
  </si>
  <si>
    <t>Table1-2!$Y$25</t>
  </si>
  <si>
    <t>Table1-2!$AB$25</t>
  </si>
  <si>
    <t>Table1-2!$AG$25</t>
  </si>
  <si>
    <t>Table1-2!$AI$25</t>
  </si>
  <si>
    <t>Table1-2!$AK$25</t>
  </si>
  <si>
    <t>Table1-2!$AM$25</t>
  </si>
  <si>
    <t>Table1-2!$AQ$25</t>
  </si>
  <si>
    <t>Table1-2!$AS$25</t>
  </si>
  <si>
    <t>Table1-2!$AU$25</t>
  </si>
  <si>
    <t>Table1-2!$AW$25</t>
  </si>
  <si>
    <t>Table1-2!$BA$25</t>
  </si>
  <si>
    <t>Table1-2!$BD$25</t>
  </si>
  <si>
    <t>Table1-2!$BI$25</t>
  </si>
  <si>
    <t>Table1-2!$BK$25</t>
  </si>
  <si>
    <t>Table1-2!$BM$25</t>
  </si>
  <si>
    <t>Table1-2!$BO$25</t>
  </si>
  <si>
    <t>Table1-2!$O$26</t>
  </si>
  <si>
    <t>Table1-2!$Q$26</t>
  </si>
  <si>
    <t>Table1-2!$S$26</t>
  </si>
  <si>
    <t>Table1-2!$U$26</t>
  </si>
  <si>
    <t>Table1-2!$Y$26</t>
  </si>
  <si>
    <t>Table1-2!$AB$26</t>
  </si>
  <si>
    <t>Table1-2!$AG$26</t>
  </si>
  <si>
    <t>Table1-2!$AI$26</t>
  </si>
  <si>
    <t>Table1-2!$AK$26</t>
  </si>
  <si>
    <t>Table1-2!$AM$26</t>
  </si>
  <si>
    <t>Table1-2!$AQ$26</t>
  </si>
  <si>
    <t>Table1-2!$AS$26</t>
  </si>
  <si>
    <t>Table1-2!$AU$26</t>
  </si>
  <si>
    <t>Table1-2!$AW$26</t>
  </si>
  <si>
    <t>Table1-2!$BA$26</t>
  </si>
  <si>
    <t>Table1-2!$BD$26</t>
  </si>
  <si>
    <t>Table1-2!$BI$26</t>
  </si>
  <si>
    <t>Table1-2!$BK$26</t>
  </si>
  <si>
    <t>Table1-2!$BM$26</t>
  </si>
  <si>
    <t>Table1-2!$BO$26</t>
  </si>
  <si>
    <t>Table1-2!$O$27</t>
  </si>
  <si>
    <t>Table1-2!$Q$27</t>
  </si>
  <si>
    <t>Table1-2!$S$27</t>
  </si>
  <si>
    <t>Table1-2!$U$27</t>
  </si>
  <si>
    <t>Table1-2!$Y$27</t>
  </si>
  <si>
    <t>Table1-2!$AB$27</t>
  </si>
  <si>
    <t>Table1-2!$AG$27</t>
  </si>
  <si>
    <t>Table1-2!$AI$27</t>
  </si>
  <si>
    <t>Table1-2!$AK$27</t>
  </si>
  <si>
    <t>Table1-2!$AM$27</t>
  </si>
  <si>
    <t>Table1-2!$AQ$27</t>
  </si>
  <si>
    <t>Table1-2!$AS$27</t>
  </si>
  <si>
    <t>Table1-2!$AU$27</t>
  </si>
  <si>
    <t>Table1-2!$AW$27</t>
  </si>
  <si>
    <t>Table1-2!$BA$27</t>
  </si>
  <si>
    <t>Table1-2!$BD$27</t>
  </si>
  <si>
    <t>Table1-2!$BI$27</t>
  </si>
  <si>
    <t>Table1-2!$BK$27</t>
  </si>
  <si>
    <t>Table1-2!$BM$27</t>
  </si>
  <si>
    <t>Table1-2!$BO$27</t>
  </si>
  <si>
    <t>Table1-2!$O$28</t>
  </si>
  <si>
    <t>Table1-2!$Q$28</t>
  </si>
  <si>
    <t>Table1-2!$S$28</t>
  </si>
  <si>
    <t>Table1-2!$U$28</t>
  </si>
  <si>
    <t>Table1-2!$Y$28</t>
  </si>
  <si>
    <t>Table1-2!$AB$28</t>
  </si>
  <si>
    <t>Table1-2!$AG$28</t>
  </si>
  <si>
    <t>Table1-2!$AI$28</t>
  </si>
  <si>
    <t>Table1-2!$AK$28</t>
  </si>
  <si>
    <t>Table1-2!$AM$28</t>
  </si>
  <si>
    <t>Table1-2!$AQ$28</t>
  </si>
  <si>
    <t>Table1-2!$AS$28</t>
  </si>
  <si>
    <t>Table1-2!$AU$28</t>
  </si>
  <si>
    <t>Table1-2!$AW$28</t>
  </si>
  <si>
    <t>Table1-2!$BA$28</t>
  </si>
  <si>
    <t>Table1-2!$BD$28</t>
  </si>
  <si>
    <t>Table1-2!$BI$28</t>
  </si>
  <si>
    <t>Table1-2!$BK$28</t>
  </si>
  <si>
    <t>Table1-2!$BM$28</t>
  </si>
  <si>
    <t>Table1-2!$BO$28</t>
  </si>
  <si>
    <t>Table1-2!$O$29</t>
  </si>
  <si>
    <t>Table1-2!$Q$29</t>
  </si>
  <si>
    <t>Table1-2!$S$29</t>
  </si>
  <si>
    <t>Table1-2!$U$29</t>
  </si>
  <si>
    <t>Table1-2!$Y$29</t>
  </si>
  <si>
    <t>Table1-2!$AB$29</t>
  </si>
  <si>
    <t>Table1-2!$AG$29</t>
  </si>
  <si>
    <t>Table1-2!$AI$29</t>
  </si>
  <si>
    <t>Table1-2!$AK$29</t>
  </si>
  <si>
    <t>Table1-2!$AM$29</t>
  </si>
  <si>
    <t>Table1-2!$AQ$29</t>
  </si>
  <si>
    <t>Table1-2!$AS$29</t>
  </si>
  <si>
    <t>Table1-2!$AU$29</t>
  </si>
  <si>
    <t>Table1-2!$AW$29</t>
  </si>
  <si>
    <t>Table1-2!$BA$29</t>
  </si>
  <si>
    <t>Table1-2!$BD$29</t>
  </si>
  <si>
    <t>Table1-2!$BI$29</t>
  </si>
  <si>
    <t>Table1-2!$BK$29</t>
  </si>
  <si>
    <t>Table1-2!$BM$29</t>
  </si>
  <si>
    <t>Table1-2!$BO$29</t>
  </si>
  <si>
    <t>Table1-2!$O$30</t>
  </si>
  <si>
    <t>Table1-2!$Q$30</t>
  </si>
  <si>
    <t>Table1-2!$S$30</t>
  </si>
  <si>
    <t>Table1-2!$U$30</t>
  </si>
  <si>
    <t>Table1-2!$Y$30</t>
  </si>
  <si>
    <t>Table1-2!$AB$30</t>
  </si>
  <si>
    <t>Table1-2!$AG$30</t>
  </si>
  <si>
    <t>Table1-2!$AI$30</t>
  </si>
  <si>
    <t>Table1-2!$AK$30</t>
  </si>
  <si>
    <t>Table1-2!$AM$30</t>
  </si>
  <si>
    <t>Table1-2!$AQ$30</t>
  </si>
  <si>
    <t>Table1-2!$AS$30</t>
  </si>
  <si>
    <t>Table1-2!$AU$30</t>
  </si>
  <si>
    <t>Table1-2!$AW$30</t>
  </si>
  <si>
    <t>Table1-2!$BA$30</t>
  </si>
  <si>
    <t>Table1-2!$BD$30</t>
  </si>
  <si>
    <t>Table1-2!$BI$30</t>
  </si>
  <si>
    <t>Table1-2!$BK$30</t>
  </si>
  <si>
    <t>Table1-2!$BM$30</t>
  </si>
  <si>
    <t>Table1-2!$BO$30</t>
  </si>
  <si>
    <t>Table1-2!$O$33</t>
  </si>
  <si>
    <t>Table1-2!$Q$33</t>
  </si>
  <si>
    <t>Table1-2!$S$33</t>
  </si>
  <si>
    <t>Table1-2!$U$33</t>
  </si>
  <si>
    <t>Table1-2!$Y$33</t>
  </si>
  <si>
    <t>Table1-2!$AB$33</t>
  </si>
  <si>
    <t>Table1-2!$AG$33</t>
  </si>
  <si>
    <t>Table1-2!$AI$33</t>
  </si>
  <si>
    <t>Table1-2!$AK$33</t>
  </si>
  <si>
    <t>Table1-2!$AM$33</t>
  </si>
  <si>
    <t>Table1-2!$O$34</t>
  </si>
  <si>
    <t>Table1-2!$Q$34</t>
  </si>
  <si>
    <t>Table1-2!$S$34</t>
  </si>
  <si>
    <t>Table1-2!$U$34</t>
  </si>
  <si>
    <t>Table1-2!$Y$34</t>
  </si>
  <si>
    <t>Table1-2!$AB$34</t>
  </si>
  <si>
    <t>Table1-2!$AG$34</t>
  </si>
  <si>
    <t>Table1-2!$AI$34</t>
  </si>
  <si>
    <t>Table1-2!$AK$34</t>
  </si>
  <si>
    <t>Table1-2!$AM$34</t>
  </si>
  <si>
    <t>Table1-2!$O$35</t>
  </si>
  <si>
    <t>Table1-2!$Q$35</t>
  </si>
  <si>
    <t>Table1-2!$S$35</t>
  </si>
  <si>
    <t>Table1-2!$U$35</t>
  </si>
  <si>
    <t>Table1-2!$Y$35</t>
  </si>
  <si>
    <t>Table1-2!$AB$35</t>
  </si>
  <si>
    <t>Table1-2!$AG$35</t>
  </si>
  <si>
    <t>Table1-2!$AI$35</t>
  </si>
  <si>
    <t>Table1-2!$AK$35</t>
  </si>
  <si>
    <t>Table1-2!$AM$35</t>
  </si>
  <si>
    <t>Table1-2!$O$36</t>
  </si>
  <si>
    <t>Table1-2!$Q$36</t>
  </si>
  <si>
    <t>Table1-2!$S$36</t>
  </si>
  <si>
    <t>Table1-2!$U$36</t>
  </si>
  <si>
    <t>Table1-2!$Y$36</t>
  </si>
  <si>
    <t>Table1-2!$AB$36</t>
  </si>
  <si>
    <t>Table1-2!$AG$36</t>
  </si>
  <si>
    <t>Table1-2!$AI$36</t>
  </si>
  <si>
    <t>Table1-2!$AK$36</t>
  </si>
  <si>
    <t>Table1-2!$AM$36</t>
  </si>
  <si>
    <t>Table1-2!$O$37</t>
  </si>
  <si>
    <t>Table1-2!$Q$37</t>
  </si>
  <si>
    <t>Table1-2!$S$37</t>
  </si>
  <si>
    <t>Table1-2!$U$37</t>
  </si>
  <si>
    <t>Table1-2!$Y$37</t>
  </si>
  <si>
    <t>Table1-2!$AB$37</t>
  </si>
  <si>
    <t>Table1-2!$AG$37</t>
  </si>
  <si>
    <t>Table1-2!$AI$37</t>
  </si>
  <si>
    <t>Table1-2!$AK$37</t>
  </si>
  <si>
    <t>Table1-2!$AM$37</t>
  </si>
  <si>
    <t>Table1-2!$O$38</t>
  </si>
  <si>
    <t>Table1-2!$Q$38</t>
  </si>
  <si>
    <t>Table1-2!$S$38</t>
  </si>
  <si>
    <t>Table1-2!$U$38</t>
  </si>
  <si>
    <t>Table1-2!$Y$38</t>
  </si>
  <si>
    <t>Table1-2!$AB$38</t>
  </si>
  <si>
    <t>Table1-2!$AG$38</t>
  </si>
  <si>
    <t>Table1-2!$AI$38</t>
  </si>
  <si>
    <t>Table1-2!$AK$38</t>
  </si>
  <si>
    <t>Table1-2!$AM$38</t>
  </si>
  <si>
    <t>Table1-2!$O$39</t>
  </si>
  <si>
    <t>Table1-2!$Q$39</t>
  </si>
  <si>
    <t>Table1-2!$S$39</t>
  </si>
  <si>
    <t>Table1-2!$U$39</t>
  </si>
  <si>
    <t>Table1-2!$Y$39</t>
  </si>
  <si>
    <t>Table1-2!$AB$39</t>
  </si>
  <si>
    <t>Table1-2!$AG$39</t>
  </si>
  <si>
    <t>Table1-2!$AI$39</t>
  </si>
  <si>
    <t>Table1-2!$AK$39</t>
  </si>
  <si>
    <t>Table1-2!$AM$39</t>
  </si>
  <si>
    <t>Table1-2!$O$40</t>
  </si>
  <si>
    <t>Table1-2!$Q$40</t>
  </si>
  <si>
    <t>Table1-2!$S$40</t>
  </si>
  <si>
    <t>Table1-2!$U$40</t>
  </si>
  <si>
    <t>Table1-2!$Y$40</t>
  </si>
  <si>
    <t>Table1-2!$AB$40</t>
  </si>
  <si>
    <t>Table1-2!$AG$40</t>
  </si>
  <si>
    <t>Table1-2!$AI$40</t>
  </si>
  <si>
    <t>Table1-2!$AK$40</t>
  </si>
  <si>
    <t>Table1-2!$AM$40</t>
  </si>
  <si>
    <t>Table1-2!$AA$50</t>
  </si>
  <si>
    <t>Table1-2!$AE$52</t>
  </si>
  <si>
    <t>Value should not be lesser than 10a. Cancer.</t>
  </si>
  <si>
    <t>Value should not be greater than 10a. Cancer.</t>
  </si>
  <si>
    <t>sch_num_assistive_devices_atd_agtc_funct</t>
  </si>
  <si>
    <t>es_assistive_device</t>
  </si>
  <si>
    <t>sch_num_assistive_devices_atd_aam_funct</t>
  </si>
  <si>
    <t>sch_num_assistive_devices_atd_aacs_funct</t>
  </si>
  <si>
    <t>sch_num_assistive_devices_atd_bkk_funct</t>
  </si>
  <si>
    <t>sch_num_assistive_devices_atd_bha_funct</t>
  </si>
  <si>
    <t>sch_num_assistive_devices_atd_beds_funct</t>
  </si>
  <si>
    <t>sch_num_assistive_devices_atd_bess_funct</t>
  </si>
  <si>
    <t>sch_num_assistive_devices_atd_bm_funct</t>
  </si>
  <si>
    <t>sch_num_assistive_devices_atd_bpe_funct</t>
  </si>
  <si>
    <t>sch_num_assistive_devices_atd_bts_funct</t>
  </si>
  <si>
    <t>sch_num_assistive_devices_atd_cwwb_funct</t>
  </si>
  <si>
    <t>sch_num_assistive_devices_atd_clericalc_funct</t>
  </si>
  <si>
    <t>sch_num_assistive_devices_atd_comprinter_funct</t>
  </si>
  <si>
    <t>sch_num_assistive_devices_atd_computer_funct</t>
  </si>
  <si>
    <t>sch_num_assistive_devices_atd_crut_funct</t>
  </si>
  <si>
    <t>sch_num_assistive_devices_atd_ergot_funct</t>
  </si>
  <si>
    <t>sch_num_assistive_devices_atd_footm_funct</t>
  </si>
  <si>
    <t>sch_num_assistive_devices_atd_hmet_funct</t>
  </si>
  <si>
    <t>sch_num_assistive_devices_atd_ha_funct</t>
  </si>
  <si>
    <t>sch_num_assistive_devices_atd_jaws_funct</t>
  </si>
  <si>
    <t>sch_num_assistive_devices_atd_lcdp_funct</t>
  </si>
  <si>
    <t>sch_num_assistive_devices_atd_msc_funct</t>
  </si>
  <si>
    <t>sch_num_assistive_devices_atd_mi_funct</t>
  </si>
  <si>
    <t>sch_num_assistive_devices_atd_otms_funct</t>
  </si>
  <si>
    <t>sch_num_assistive_devices_atd_rcweb_funct</t>
  </si>
  <si>
    <t>sch_num_assistive_devices_atd_sr_funct</t>
  </si>
  <si>
    <t>sch_num_assistive_devices_atd_sm_funct</t>
  </si>
  <si>
    <t>sch_num_assistive_devices_atd_tc_funct</t>
  </si>
  <si>
    <t>sch_num_assistive_devices_atd_talkd_funct</t>
  </si>
  <si>
    <t>sch_num_assistive_devices_atd_tr_funct</t>
  </si>
  <si>
    <t>sch_num_assistive_devices_atd_telamp_funct</t>
  </si>
  <si>
    <t>sch_num_assistive_devices_atd_telescope_funct</t>
  </si>
  <si>
    <t>sch_num_assistive_devices_atd_welchair_funct</t>
  </si>
  <si>
    <t>sch_num_adaptive_devices_ad_bigbubk_funct</t>
  </si>
  <si>
    <t>sch_num_adaptive_devices_ad_buzzer_funct</t>
  </si>
  <si>
    <t>sch_num_adaptive_devices_ad_fak_funct</t>
  </si>
  <si>
    <t>sch_num_adaptive_devices_ad_rubmat_funct</t>
  </si>
  <si>
    <t>sch_num_adaptive_devices_ad_swm_funct</t>
  </si>
  <si>
    <t>sch_num_adaptive_devices_ad_sleepbag_funct</t>
  </si>
  <si>
    <t>sch_num_adaptive_devices_ad_speechsyn_funct</t>
  </si>
  <si>
    <t>sch_num_adaptive_devices_ad_stopwat_funct</t>
  </si>
  <si>
    <t>sch_num_adaptive_devices_ad_tent_funct</t>
  </si>
  <si>
    <t>sch_num_adaptive_devices_ad_waterjug_funct</t>
  </si>
  <si>
    <t>sch_num_adaptive_devices_ad_whistle_funct</t>
  </si>
  <si>
    <t>Table3!$R$6</t>
  </si>
  <si>
    <t>Table3!$R$7</t>
  </si>
  <si>
    <t>Table3!$R$8</t>
  </si>
  <si>
    <t>Table3!$R$9</t>
  </si>
  <si>
    <t>Table3!$R$10</t>
  </si>
  <si>
    <t>Table3!$R$11</t>
  </si>
  <si>
    <t>Table3!$R$12</t>
  </si>
  <si>
    <t>Table3!$R$13</t>
  </si>
  <si>
    <t>Table3!$R$14</t>
  </si>
  <si>
    <t>Table3!$R$15</t>
  </si>
  <si>
    <t>Table3!$R$16</t>
  </si>
  <si>
    <t>Table3!$R$17</t>
  </si>
  <si>
    <t>Table3!$R$18</t>
  </si>
  <si>
    <t>Table3!$R$19</t>
  </si>
  <si>
    <t>Table3!$R$20</t>
  </si>
  <si>
    <t>Table3!$R$21</t>
  </si>
  <si>
    <t>Table3!$R$22</t>
  </si>
  <si>
    <t>Table3!$R$23</t>
  </si>
  <si>
    <t>Table3!$R$24</t>
  </si>
  <si>
    <t>Table3!$R$25</t>
  </si>
  <si>
    <t>Table3!$R$26</t>
  </si>
  <si>
    <t>Table3!$R$27</t>
  </si>
  <si>
    <t>Table3!$R$28</t>
  </si>
  <si>
    <t>Table3!$R$29</t>
  </si>
  <si>
    <t>Table3!$R$30</t>
  </si>
  <si>
    <t>Table3!$R$31</t>
  </si>
  <si>
    <t>Table3!$R$32</t>
  </si>
  <si>
    <t>Table3!$R$33</t>
  </si>
  <si>
    <t>Table3!$R$34</t>
  </si>
  <si>
    <t>Table3!$R$35</t>
  </si>
  <si>
    <t>Table3!$R$36</t>
  </si>
  <si>
    <t>Table3!$R$37</t>
  </si>
  <si>
    <t>Table3!$R$38</t>
  </si>
  <si>
    <t>Table3!$R$41</t>
  </si>
  <si>
    <t>Table3!$R$42</t>
  </si>
  <si>
    <t>Table3!$R$43</t>
  </si>
  <si>
    <t>Table3!$R$44</t>
  </si>
  <si>
    <t>Table3!$R$45</t>
  </si>
  <si>
    <t>Table3!$R$46</t>
  </si>
  <si>
    <t>Table3!$R$47</t>
  </si>
  <si>
    <t>Table3!$R$48</t>
  </si>
  <si>
    <t>Table3!$R$49</t>
  </si>
  <si>
    <t>Table3!$R$50</t>
  </si>
  <si>
    <t>Table3!$R$51</t>
  </si>
  <si>
    <t>sch_equipment_tools_blender_machine_functional</t>
  </si>
  <si>
    <t>es_equip_tools</t>
  </si>
  <si>
    <t>sch_equipment_tools_cake_turntable_functional</t>
  </si>
  <si>
    <t>sch_equipment_tools_claw_hammer_functional</t>
  </si>
  <si>
    <t>sch_equipment_tools_crosscut_saw_functional</t>
  </si>
  <si>
    <t>sch_equipment_dipping_can_functional</t>
  </si>
  <si>
    <t>sch_equipment_tools_double_boiler_functional</t>
  </si>
  <si>
    <t>sch_equipment_tools_fire_extinguisher_functional</t>
  </si>
  <si>
    <t>sch_equipment_tools_fire_frying_pan_functional</t>
  </si>
  <si>
    <t>sch_equipment_garden_hose_functional</t>
  </si>
  <si>
    <t>sch_equipment_tools_gas_range_functional</t>
  </si>
  <si>
    <t>sch_equipment_tools_gloves_functional</t>
  </si>
  <si>
    <t>sch_equipment_tools_kitchen_knife_functional</t>
  </si>
  <si>
    <t>sch_equipment_tools_measuring_cups_functional</t>
  </si>
  <si>
    <t>sch_equipment_tools_measuring_spoons_functional</t>
  </si>
  <si>
    <t>sch_equipment_tools_mixing_bowl_functional</t>
  </si>
  <si>
    <t>sch_equipment_tools_pastry_blender_functional</t>
  </si>
  <si>
    <t>sch_equipment_tools_fire_pastry_tubes_functional</t>
  </si>
  <si>
    <t>sch_equipment_tools_pie_pan_functional</t>
  </si>
  <si>
    <t>sch_equipment_tools_portable_electric_drill_functional</t>
  </si>
  <si>
    <t>sch_equipment_tools_prunning_shear_functional</t>
  </si>
  <si>
    <t>sch_equipment_tools_refrigerator_functional</t>
  </si>
  <si>
    <t>sch_equipment_tools_fire_roasting_pan_functional</t>
  </si>
  <si>
    <t>sch_equipment_tools_seedling_tray_functional</t>
  </si>
  <si>
    <t>sch_equipment_tools_sheet_pan_functional</t>
  </si>
  <si>
    <t>sch_equipment_tools_spade_functional</t>
  </si>
  <si>
    <t>sch_equipment_tools_fire_spatula_functional</t>
  </si>
  <si>
    <t>sch_equipment_tools_sprinkler_functional</t>
  </si>
  <si>
    <t>sch_equipment_tools_strainer_functional</t>
  </si>
  <si>
    <t>sch_equipment_tools_tong_functional</t>
  </si>
  <si>
    <t>sch_equipment_tools_wooden_spoons_functional</t>
  </si>
  <si>
    <t>Table4!$S$5</t>
  </si>
  <si>
    <t>Table4!$S$6</t>
  </si>
  <si>
    <t>Table4!$S$7</t>
  </si>
  <si>
    <t>Table4!$S$8</t>
  </si>
  <si>
    <t>Table4!$S$9</t>
  </si>
  <si>
    <t>Table4!$S$10</t>
  </si>
  <si>
    <t>Table4!$S$11</t>
  </si>
  <si>
    <t>Table4!$S$12</t>
  </si>
  <si>
    <t>Table4!$S$13</t>
  </si>
  <si>
    <t>Table4!$S$14</t>
  </si>
  <si>
    <t>Table4!$S$15</t>
  </si>
  <si>
    <t>Table4!$S$16</t>
  </si>
  <si>
    <t>Table4!$S$17</t>
  </si>
  <si>
    <t>Table4!$S$18</t>
  </si>
  <si>
    <t>Table4!$S$19</t>
  </si>
  <si>
    <t>Table4!$S$20</t>
  </si>
  <si>
    <t>Table4!$S$21</t>
  </si>
  <si>
    <t>Table4!$S$22</t>
  </si>
  <si>
    <t>Table4!$S$23</t>
  </si>
  <si>
    <t>Table4!$S$24</t>
  </si>
  <si>
    <t>Table4!$S$25</t>
  </si>
  <si>
    <t>Table4!$S$26</t>
  </si>
  <si>
    <t>Table4!$S$27</t>
  </si>
  <si>
    <t>Table4!$S$28</t>
  </si>
  <si>
    <t>Table4!$S$29</t>
  </si>
  <si>
    <t>Table4!$S$30</t>
  </si>
  <si>
    <t>Table4!$S$31</t>
  </si>
  <si>
    <t>Table4!$S$32</t>
  </si>
  <si>
    <t>Table4!$S$33</t>
  </si>
  <si>
    <t>Table4!$S$34</t>
  </si>
  <si>
    <t>es_lrnr_resources_lwd</t>
  </si>
  <si>
    <t>lwd_resources_vi</t>
  </si>
  <si>
    <t>Table5'!$N$5</t>
  </si>
  <si>
    <t>lwd_resources_hi</t>
  </si>
  <si>
    <t>Table5'!$N$6</t>
  </si>
  <si>
    <t>lwd_resources_ld</t>
  </si>
  <si>
    <t>Table5'!$N$7</t>
  </si>
  <si>
    <t>lwd_resources_id</t>
  </si>
  <si>
    <t>Table5'!$N$8</t>
  </si>
  <si>
    <t>lwd_resources_apd</t>
  </si>
  <si>
    <t>Table5'!$N$9</t>
  </si>
  <si>
    <t>lwd_resources_ebd</t>
  </si>
  <si>
    <t>Table5'!$N$10</t>
  </si>
  <si>
    <t>lwd_resources_ph</t>
  </si>
  <si>
    <t>Table5'!$N$11</t>
  </si>
  <si>
    <t>lwd_resources_sld</t>
  </si>
  <si>
    <t>Table5'!$N$12</t>
  </si>
  <si>
    <t>lwd_resources_cp</t>
  </si>
  <si>
    <t>Table5'!$N$13</t>
  </si>
  <si>
    <t>lwd_resources_cd</t>
  </si>
  <si>
    <t>Table5'!$N$14</t>
  </si>
  <si>
    <t>lwd_resources_cancer</t>
  </si>
  <si>
    <t>Table5'!$N$15</t>
  </si>
  <si>
    <t>lwd_resources_md</t>
  </si>
  <si>
    <t>Table5'!$N$16</t>
  </si>
  <si>
    <t>lwd_resources_braile</t>
  </si>
  <si>
    <t>Table5'!$N$18</t>
  </si>
  <si>
    <t>lwd_resources_ebook</t>
  </si>
  <si>
    <t>Table5'!$N$19</t>
  </si>
  <si>
    <t>lwd_resources_lpf_16</t>
  </si>
  <si>
    <t>Table5'!$N$20</t>
  </si>
  <si>
    <t>lwd_resources_lpf_17</t>
  </si>
  <si>
    <t>Table5'!$N$21</t>
  </si>
  <si>
    <t>lwd_resources_lpf_18</t>
  </si>
  <si>
    <t>Table5'!$N$22</t>
  </si>
  <si>
    <t>lwd_resources_lpf_19</t>
  </si>
  <si>
    <t>Table5'!$N$23</t>
  </si>
  <si>
    <t>lwd_resources_lpf_20</t>
  </si>
  <si>
    <t>Table5'!$N$24</t>
  </si>
  <si>
    <t>lwd_resources_lpf_21</t>
  </si>
  <si>
    <t>Table5'!$N$25</t>
  </si>
  <si>
    <t>lwd_resources_lpf_22</t>
  </si>
  <si>
    <t>Table5'!$N$26</t>
  </si>
  <si>
    <t>lwd_resources_lpf_23</t>
  </si>
  <si>
    <t>Table5'!$N$27</t>
  </si>
  <si>
    <t>lwd_resources_lpf_24</t>
  </si>
  <si>
    <t>Table5'!$N$28</t>
  </si>
  <si>
    <t>lwd_resources_lpf_25</t>
  </si>
  <si>
    <t>Table5'!$N$29</t>
  </si>
  <si>
    <t>lwd_resources_lpf_26</t>
  </si>
  <si>
    <t>Table5'!$N$30</t>
  </si>
  <si>
    <t>lwd_resources_lpf_27</t>
  </si>
  <si>
    <t>Table5'!$N$31</t>
  </si>
  <si>
    <t>lwd_resources_lpf_28</t>
  </si>
  <si>
    <t>Table5'!$N$32</t>
  </si>
  <si>
    <t>lwd_resources_lpf_29</t>
  </si>
  <si>
    <t>Table5'!$N$33</t>
  </si>
  <si>
    <t>lwd_resources_lpf_30</t>
  </si>
  <si>
    <t>Table5'!$N$34</t>
  </si>
  <si>
    <t>lwd_resourcs_pencil_small</t>
  </si>
  <si>
    <t>Table5'!$N$36</t>
  </si>
  <si>
    <t>lwd_resourcs_pencil_medium</t>
  </si>
  <si>
    <t>Table5'!$N$37</t>
  </si>
  <si>
    <t>lwd_resourcs_pencil_large</t>
  </si>
  <si>
    <t>Table5'!$N$38</t>
  </si>
  <si>
    <t>lwd_resources_signlanguage_dictionary</t>
  </si>
  <si>
    <t>Table5'!$N$39</t>
  </si>
  <si>
    <t>lwd_resources_signlanguage_charts</t>
  </si>
  <si>
    <t>Table5'!$N$40</t>
  </si>
  <si>
    <t>lwd_resources_sharpie</t>
  </si>
  <si>
    <t>Table5'!$N$42</t>
  </si>
  <si>
    <t>lwd_resources_board_slates</t>
  </si>
  <si>
    <t>Table5'!$N$43</t>
  </si>
  <si>
    <t>lwd_resources_tailor_slate</t>
  </si>
  <si>
    <t>Table5'!$N$44</t>
  </si>
  <si>
    <t>lwd_resources_drawing_kit</t>
  </si>
  <si>
    <t>Table5'!$N$45</t>
  </si>
  <si>
    <t>lwd_resources_bocce_ball</t>
  </si>
  <si>
    <t>Table5'!$N$47</t>
  </si>
  <si>
    <t>lwd_resources_goal_ball</t>
  </si>
  <si>
    <t>Table5'!$N$48</t>
  </si>
  <si>
    <t>lwd_resources_duralex</t>
  </si>
  <si>
    <t>Table5'!$N$50</t>
  </si>
  <si>
    <t>numteach_sped_mt4_vi_diff_seeing</t>
  </si>
  <si>
    <t>es_teacher_sped</t>
  </si>
  <si>
    <t>Table6'!$G$8</t>
  </si>
  <si>
    <t>numteach_sped_mt4_hi_diff_hearing</t>
  </si>
  <si>
    <t>Table6'!$J$8</t>
  </si>
  <si>
    <t>numteach_sped_mt4_ld_diff_ak</t>
  </si>
  <si>
    <t>Table6'!$M$8</t>
  </si>
  <si>
    <t>numteach_sped_mt4_id_diff_rcpau</t>
  </si>
  <si>
    <t>Table6'!$P$8</t>
  </si>
  <si>
    <t>numteach_sped_mt4_asd_diff_pas</t>
  </si>
  <si>
    <t>Table6'!$T$8</t>
  </si>
  <si>
    <t>numteach_sped_mt4_ebd_diff_dib</t>
  </si>
  <si>
    <t>Table6'!$W$8</t>
  </si>
  <si>
    <t>numteach_sped_mt4_oh_diff_mob</t>
  </si>
  <si>
    <t>Table6'!$AA$8</t>
  </si>
  <si>
    <t>numteach_sped_mt4_cd_diff_com</t>
  </si>
  <si>
    <t>Table6'!$AD$8</t>
  </si>
  <si>
    <t>numteach_sped_mt4_md</t>
  </si>
  <si>
    <t>Table6'!$AH$8</t>
  </si>
  <si>
    <t>numteach_sped_mt4_md_combi_2mor_disabilities</t>
  </si>
  <si>
    <t>Table6'!$AK$8</t>
  </si>
  <si>
    <t>numteach_sped_mt4_yrs_serv_0to3</t>
  </si>
  <si>
    <t>Table6'!$AN$8</t>
  </si>
  <si>
    <t>numteach_sped_mt4_yrs_serv_4to6</t>
  </si>
  <si>
    <t>Table6'!$AP$8</t>
  </si>
  <si>
    <t>numteach_sped_mt4_yrs_serv_7to9</t>
  </si>
  <si>
    <t>Table6'!$AR$8</t>
  </si>
  <si>
    <t>numteach_sped_mt4_yrs_serv_10to12</t>
  </si>
  <si>
    <t>Table6'!$AT$8</t>
  </si>
  <si>
    <t>numteach_sped_mt4_yrs_serv_13to15</t>
  </si>
  <si>
    <t>Table6'!$AV$8</t>
  </si>
  <si>
    <t>numteach_sped_mt4_yrs_serv_16nabove</t>
  </si>
  <si>
    <t>Table6'!$AX$8</t>
  </si>
  <si>
    <t>numteach_sped_mt4_yrs_teach_0to3</t>
  </si>
  <si>
    <t>Table6'!$AZ$8</t>
  </si>
  <si>
    <t>numteach_sped_mt4_yrs_teach_4to6</t>
  </si>
  <si>
    <t>Table6'!$BB$8</t>
  </si>
  <si>
    <t>numteach_sped_mt4_yrs_teach_7to9</t>
  </si>
  <si>
    <t>Table6'!$BD$8</t>
  </si>
  <si>
    <t>numteach_sped_mt4_yrs_teach_10to12</t>
  </si>
  <si>
    <t>Table6'!$BF$8</t>
  </si>
  <si>
    <t>numteach_sped_mt4_yrs_teach_13nabove</t>
  </si>
  <si>
    <t>Table6'!$BH$8</t>
  </si>
  <si>
    <t>numteach_sped_mt3_vi_diff_seeing</t>
  </si>
  <si>
    <t>Table6'!$G$9</t>
  </si>
  <si>
    <t>numteach_sped_mt3_hi_diff_hearing</t>
  </si>
  <si>
    <t>Table6'!$J$9</t>
  </si>
  <si>
    <t>numteach_sped_mt3_ld_diff_ak</t>
  </si>
  <si>
    <t>Table6'!$M$9</t>
  </si>
  <si>
    <t>numteach_sped_mt3_id_diff_rcpau</t>
  </si>
  <si>
    <t>Table6'!$P$9</t>
  </si>
  <si>
    <t>numteach_sped_mt3_asd_diff_pas</t>
  </si>
  <si>
    <t>Table6'!$T$9</t>
  </si>
  <si>
    <t>numteach_sped_mt3_ebd_diff_dib</t>
  </si>
  <si>
    <t>Table6'!$W$9</t>
  </si>
  <si>
    <t>numteach_sped_mt3_oh_diff_mob</t>
  </si>
  <si>
    <t>Table6'!$AA$9</t>
  </si>
  <si>
    <t>numteach_sped_mt3_cd_diff_com</t>
  </si>
  <si>
    <t>Table6'!$AD$9</t>
  </si>
  <si>
    <t>numteach_sped_mt3_md</t>
  </si>
  <si>
    <t>Table6'!$AH$9</t>
  </si>
  <si>
    <t>numteach_sped_mt3_md_combi_2mor_disabilities</t>
  </si>
  <si>
    <t>Table6'!$AK$9</t>
  </si>
  <si>
    <t>numteach_sped_mt3_yrs_serv_0to3</t>
  </si>
  <si>
    <t>Table6'!$AN$9</t>
  </si>
  <si>
    <t>numteach_sped_mt3_yrs_serv_4to6</t>
  </si>
  <si>
    <t>Table6'!$AP$9</t>
  </si>
  <si>
    <t>numteach_sped_mt3_yrs_serv_7to9</t>
  </si>
  <si>
    <t>Table6'!$AR$9</t>
  </si>
  <si>
    <t>numteach_sped_mt3_yrs_serv_10to12</t>
  </si>
  <si>
    <t>Table6'!$AT$9</t>
  </si>
  <si>
    <t>numteach_sped_mt3_yrs_serv_13to15</t>
  </si>
  <si>
    <t>Table6'!$AV$9</t>
  </si>
  <si>
    <t>numteach_sped_mt3_yrs_serv_16nabove</t>
  </si>
  <si>
    <t>Table6'!$AX$9</t>
  </si>
  <si>
    <t>numteach_sped_mt3_yrs_teach_0to3</t>
  </si>
  <si>
    <t>Table6'!$AZ$9</t>
  </si>
  <si>
    <t>numteach_sped_mt3_yrs_teach_4to6</t>
  </si>
  <si>
    <t>Table6'!$BB$9</t>
  </si>
  <si>
    <t>numteach_sped_mt3_yrs_teach_7to9</t>
  </si>
  <si>
    <t>Table6'!$BD$9</t>
  </si>
  <si>
    <t>numteach_sped_mt3_yrs_teach_10to12</t>
  </si>
  <si>
    <t>Table6'!$BF$9</t>
  </si>
  <si>
    <t>numteach_sped_mt3_yrs_teach_13nabove</t>
  </si>
  <si>
    <t>Table6'!$BH$9</t>
  </si>
  <si>
    <t>numteach_sped_mt2_vi_diff_seeing</t>
  </si>
  <si>
    <t>Table6'!$G$10</t>
  </si>
  <si>
    <t>numteach_sped_mt2_hi_diff_hearing</t>
  </si>
  <si>
    <t>Table6'!$J$10</t>
  </si>
  <si>
    <t>numteach_sped_mt2_ld_diff_ak</t>
  </si>
  <si>
    <t>Table6'!$M$10</t>
  </si>
  <si>
    <t>numteach_sped_mt2_id_diff_rcpau</t>
  </si>
  <si>
    <t>Table6'!$P$10</t>
  </si>
  <si>
    <t>numteach_sped_mt2_asd_diff_pas</t>
  </si>
  <si>
    <t>Table6'!$T$10</t>
  </si>
  <si>
    <t>numteach_sped_mt2_ebd_diff_dib</t>
  </si>
  <si>
    <t>Table6'!$W$10</t>
  </si>
  <si>
    <t>numteach_sped_mt2_oh_diff_mob</t>
  </si>
  <si>
    <t>Table6'!$AA$10</t>
  </si>
  <si>
    <t>numteach_sped_mt2_cd_diff_com</t>
  </si>
  <si>
    <t>Table6'!$AD$10</t>
  </si>
  <si>
    <t>numteach_sped_mt2_md</t>
  </si>
  <si>
    <t>Table6'!$AH$10</t>
  </si>
  <si>
    <t>numteach_sped_mt2_md_combi_2mor_disabilities</t>
  </si>
  <si>
    <t>Table6'!$AK$10</t>
  </si>
  <si>
    <t>numteach_sped_mt2_yrs_serv_0to3</t>
  </si>
  <si>
    <t>Table6'!$AN$10</t>
  </si>
  <si>
    <t>numteach_sped_mt2_yrs_serv_4to6</t>
  </si>
  <si>
    <t>Table6'!$AP$10</t>
  </si>
  <si>
    <t>numteach_sped_mt2_yrs_serv_7to9</t>
  </si>
  <si>
    <t>Table6'!$AR$10</t>
  </si>
  <si>
    <t>numteach_sped_mt2_yrs_serv_10to12</t>
  </si>
  <si>
    <t>Table6'!$AT$10</t>
  </si>
  <si>
    <t>numteach_sped_mt2_yrs_serv_13to15</t>
  </si>
  <si>
    <t>Table6'!$AV$10</t>
  </si>
  <si>
    <t>numteach_sped_mt2_yrs_serv_16nabove</t>
  </si>
  <si>
    <t>Table6'!$AX$10</t>
  </si>
  <si>
    <t>numteach_sped_mt2_yrs_teach_0to3</t>
  </si>
  <si>
    <t>Table6'!$AZ$10</t>
  </si>
  <si>
    <t>numteach_sped_mt2_yrs_teach_4to6</t>
  </si>
  <si>
    <t>Table6'!$BB$10</t>
  </si>
  <si>
    <t>numteach_sped_mt2_yrs_teach_7to9</t>
  </si>
  <si>
    <t>Table6'!$BD$10</t>
  </si>
  <si>
    <t>numteach_sped_mt2_yrs_teach_10to12</t>
  </si>
  <si>
    <t>Table6'!$BF$10</t>
  </si>
  <si>
    <t>numteach_sped_mt2_yrs_teach_13nabove</t>
  </si>
  <si>
    <t>Table6'!$BH$10</t>
  </si>
  <si>
    <t>numteach_sped_mt1_vi_diff_seeing</t>
  </si>
  <si>
    <t>Table6'!$G$11</t>
  </si>
  <si>
    <t>numteach_sped_mt1_hi_diff_hearing</t>
  </si>
  <si>
    <t>Table6'!$J$11</t>
  </si>
  <si>
    <t>numteach_sped_mt1_ld_diff_ak</t>
  </si>
  <si>
    <t>Table6'!$M$11</t>
  </si>
  <si>
    <t>numteach_sped_mt1_id_diff_rcpau</t>
  </si>
  <si>
    <t>Table6'!$P$11</t>
  </si>
  <si>
    <t>numteach_sped_mt1_asd_diff_pas</t>
  </si>
  <si>
    <t>Table6'!$T$11</t>
  </si>
  <si>
    <t>numteach_sped_mt1_ebd_diff_dib</t>
  </si>
  <si>
    <t>Table6'!$W$11</t>
  </si>
  <si>
    <t>numteach_sped_mt1_oh_diff_mob</t>
  </si>
  <si>
    <t>Table6'!$AA$11</t>
  </si>
  <si>
    <t>numteach_sped_mt1_cd_diff_com</t>
  </si>
  <si>
    <t>Table6'!$AD$11</t>
  </si>
  <si>
    <t>numteach_sped_mt1_md</t>
  </si>
  <si>
    <t>Table6'!$AH$11</t>
  </si>
  <si>
    <t>numteach_sped_mt1_md_combi_2mor_disabilities</t>
  </si>
  <si>
    <t>Table6'!$AK$11</t>
  </si>
  <si>
    <t>numteach_sped_mt1_yrs_serv_0to3</t>
  </si>
  <si>
    <t>Table6'!$AN$11</t>
  </si>
  <si>
    <t>numteach_sped_mt1_yrs_serv_4to6</t>
  </si>
  <si>
    <t>Table6'!$AP$11</t>
  </si>
  <si>
    <t>numteach_sped_mt1_yrs_serv_7to9</t>
  </si>
  <si>
    <t>Table6'!$AR$11</t>
  </si>
  <si>
    <t>numteach_sped_mt1_yrs_serv_10to12</t>
  </si>
  <si>
    <t>Table6'!$AT$11</t>
  </si>
  <si>
    <t>numteach_sped_mt1_yrs_serv_13to15</t>
  </si>
  <si>
    <t>Table6'!$AV$11</t>
  </si>
  <si>
    <t>numteach_sped_mt1_yrs_serv_16nabove</t>
  </si>
  <si>
    <t>Table6'!$AX$11</t>
  </si>
  <si>
    <t>numteach_sped_mt1_yrs_teach_0to3</t>
  </si>
  <si>
    <t>Table6'!$AZ$11</t>
  </si>
  <si>
    <t>numteach_sped_mt1_yrs_teach_4to6</t>
  </si>
  <si>
    <t>Table6'!$BB$11</t>
  </si>
  <si>
    <t>numteach_sped_mt1_yrs_teach_7to9</t>
  </si>
  <si>
    <t>Table6'!$BD$11</t>
  </si>
  <si>
    <t>numteach_sped_mt1_yrs_teach_10to12</t>
  </si>
  <si>
    <t>Table6'!$BF$11</t>
  </si>
  <si>
    <t>numteach_sped_mt1_yrs_teach_13nabove</t>
  </si>
  <si>
    <t>Table6'!$BH$11</t>
  </si>
  <si>
    <t>numteach_sped_t3_vi_diff_seeing</t>
  </si>
  <si>
    <t>Table6'!$G$12</t>
  </si>
  <si>
    <t>numteach_sped_t3_hi_diff_hearing</t>
  </si>
  <si>
    <t>Table6'!$J$12</t>
  </si>
  <si>
    <t>numteach_sped_t3_ld_diff_ak</t>
  </si>
  <si>
    <t>Table6'!$M$12</t>
  </si>
  <si>
    <t>numteach_sped_t3_id_diff_rcpau</t>
  </si>
  <si>
    <t>Table6'!$P$12</t>
  </si>
  <si>
    <t>numteach_sped_t3_asd_diff_pas</t>
  </si>
  <si>
    <t>Table6'!$T$12</t>
  </si>
  <si>
    <t>numteach_sped_t3_ebd_diff_dib</t>
  </si>
  <si>
    <t>Table6'!$W$12</t>
  </si>
  <si>
    <t>numteach_sped_t3_oh_diff_mob</t>
  </si>
  <si>
    <t>Table6'!$AA$12</t>
  </si>
  <si>
    <t>numteach_sped_t3_cd_diff_com</t>
  </si>
  <si>
    <t>Table6'!$AD$12</t>
  </si>
  <si>
    <t>numteach_sped_t3_md</t>
  </si>
  <si>
    <t>Table6'!$AH$12</t>
  </si>
  <si>
    <t>numteach_sped_t3_md_combi_2mor_disabilities</t>
  </si>
  <si>
    <t>Table6'!$AK$12</t>
  </si>
  <si>
    <t>numteach_sped_t3_yrs_serv_0to3</t>
  </si>
  <si>
    <t>Table6'!$AN$12</t>
  </si>
  <si>
    <t>numteach_sped_t3_yrs_serv_4to6</t>
  </si>
  <si>
    <t>Table6'!$AP$12</t>
  </si>
  <si>
    <t>numteach_sped_t3_yrs_serv_7to9</t>
  </si>
  <si>
    <t>Table6'!$AR$12</t>
  </si>
  <si>
    <t>numteach_sped_t3_yrs_serv_10to12</t>
  </si>
  <si>
    <t>Table6'!$AT$12</t>
  </si>
  <si>
    <t>numteach_sped_t3_yrs_serv_13to15</t>
  </si>
  <si>
    <t>Table6'!$AV$12</t>
  </si>
  <si>
    <t>numteach_sped_t3_yrs_serv_16nabove</t>
  </si>
  <si>
    <t>Table6'!$AX$12</t>
  </si>
  <si>
    <t>numteach_sped_t3_yrs_teach_0to3</t>
  </si>
  <si>
    <t>Table6'!$AZ$12</t>
  </si>
  <si>
    <t>numteach_sped_t3_yrs_teach_4to6</t>
  </si>
  <si>
    <t>Table6'!$BB$12</t>
  </si>
  <si>
    <t>numteach_sped_t3_yrs_teach_7to9</t>
  </si>
  <si>
    <t>Table6'!$BD$12</t>
  </si>
  <si>
    <t>numteach_sped_t3_yrs_teach_10to12</t>
  </si>
  <si>
    <t>Table6'!$BF$12</t>
  </si>
  <si>
    <t>numteach_sped_t3_yrs_teach_13nabove</t>
  </si>
  <si>
    <t>Table6'!$BH$12</t>
  </si>
  <si>
    <t>numteach_sped_t2_vi_diff_seeing</t>
  </si>
  <si>
    <t>Table6'!$G$13</t>
  </si>
  <si>
    <t>numteach_sped_t2_hi_diff_hearing</t>
  </si>
  <si>
    <t>Table6'!$J$13</t>
  </si>
  <si>
    <t>numteach_sped_t2_ld_diff_ak</t>
  </si>
  <si>
    <t>Table6'!$M$13</t>
  </si>
  <si>
    <t>numteach_sped_t2_id_diff_rcpau</t>
  </si>
  <si>
    <t>Table6'!$P$13</t>
  </si>
  <si>
    <t>numteach_sped_t2_asd_diff_pas</t>
  </si>
  <si>
    <t>Table6'!$T$13</t>
  </si>
  <si>
    <t>numteach_sped_t2_ebd_diff_dib</t>
  </si>
  <si>
    <t>Table6'!$W$13</t>
  </si>
  <si>
    <t>numteach_sped_t2_oh_diff_mob</t>
  </si>
  <si>
    <t>Table6'!$AA$13</t>
  </si>
  <si>
    <t>numteach_sped_t2_cd_diff_com</t>
  </si>
  <si>
    <t>Table6'!$AD$13</t>
  </si>
  <si>
    <t>numteach_sped_t2_md</t>
  </si>
  <si>
    <t>Table6'!$AH$13</t>
  </si>
  <si>
    <t>numteach_sped_t2_md_combi_2mor_disabilities</t>
  </si>
  <si>
    <t>Table6'!$AK$13</t>
  </si>
  <si>
    <t>numteach_sped_t2_yrs_serv_0to3</t>
  </si>
  <si>
    <t>Table6'!$AN$13</t>
  </si>
  <si>
    <t>numteach_sped_t2_yrs_serv_4to6</t>
  </si>
  <si>
    <t>Table6'!$AP$13</t>
  </si>
  <si>
    <t>numteach_sped_t2_yrs_serv_7to9</t>
  </si>
  <si>
    <t>Table6'!$AR$13</t>
  </si>
  <si>
    <t>numteach_sped_t2_yrs_serv_10to12</t>
  </si>
  <si>
    <t>Table6'!$AT$13</t>
  </si>
  <si>
    <t>numteach_sped_t2_yrs_serv_13to15</t>
  </si>
  <si>
    <t>Table6'!$AV$13</t>
  </si>
  <si>
    <t>numteach_sped_t2_yrs_serv_16nabove</t>
  </si>
  <si>
    <t>Table6'!$AX$13</t>
  </si>
  <si>
    <t>numteach_sped_t2_yrs_teach_0to3</t>
  </si>
  <si>
    <t>Table6'!$AZ$13</t>
  </si>
  <si>
    <t>numteach_sped_t2_yrs_teach_4to6</t>
  </si>
  <si>
    <t>Table6'!$BB$13</t>
  </si>
  <si>
    <t>numteach_sped_t2_yrs_teach_7to9</t>
  </si>
  <si>
    <t>Table6'!$BD$13</t>
  </si>
  <si>
    <t>numteach_sped_t2_yrs_teach_10to12</t>
  </si>
  <si>
    <t>Table6'!$BF$13</t>
  </si>
  <si>
    <t>numteach_sped_t2_yrs_teach_13nabove</t>
  </si>
  <si>
    <t>Table6'!$BH$13</t>
  </si>
  <si>
    <t>numteach_sped_t1_vi_diff_seeing</t>
  </si>
  <si>
    <t>Table6'!$G$14</t>
  </si>
  <si>
    <t>numteach_sped_t1_hi_diff_hearing</t>
  </si>
  <si>
    <t>Table6'!$J$14</t>
  </si>
  <si>
    <t>numteach_sped_t1_ld_diff_ak</t>
  </si>
  <si>
    <t>Table6'!$M$14</t>
  </si>
  <si>
    <t>numteach_sped_t1_id_diff_rcpau</t>
  </si>
  <si>
    <t>Table6'!$P$14</t>
  </si>
  <si>
    <t>numteach_sped_t1_asd_diff_pas</t>
  </si>
  <si>
    <t>Table6'!$T$14</t>
  </si>
  <si>
    <t>numteach_sped_t1_ebd_diff_dib</t>
  </si>
  <si>
    <t>Table6'!$W$14</t>
  </si>
  <si>
    <t>numteach_sped_t1_oh_diff_mob</t>
  </si>
  <si>
    <t>Table6'!$AA$14</t>
  </si>
  <si>
    <t>numteach_sped_t1_cd_diff_com</t>
  </si>
  <si>
    <t>Table6'!$AD$14</t>
  </si>
  <si>
    <t>numteach_sped_t1_md</t>
  </si>
  <si>
    <t>Table6'!$AH$14</t>
  </si>
  <si>
    <t>numteach_sped_t1_md_combi_2mor_disabilities</t>
  </si>
  <si>
    <t>Table6'!$AK$14</t>
  </si>
  <si>
    <t>numteach_sped_t1_yrs_serv_0to3</t>
  </si>
  <si>
    <t>Table6'!$AN$14</t>
  </si>
  <si>
    <t>numteach_sped_t1_yrs_serv_4to6</t>
  </si>
  <si>
    <t>Table6'!$AP$14</t>
  </si>
  <si>
    <t>numteach_sped_t1_yrs_serv_7to9</t>
  </si>
  <si>
    <t>Table6'!$AR$14</t>
  </si>
  <si>
    <t>numteach_sped_t1_yrs_serv_10to12</t>
  </si>
  <si>
    <t>Table6'!$AT$14</t>
  </si>
  <si>
    <t>numteach_sped_t1_yrs_serv_13to15</t>
  </si>
  <si>
    <t>Table6'!$AV$14</t>
  </si>
  <si>
    <t>numteach_sped_t1_yrs_serv_16nabove</t>
  </si>
  <si>
    <t>Table6'!$AX$14</t>
  </si>
  <si>
    <t>numteach_sped_t1_yrs_teach_0to3</t>
  </si>
  <si>
    <t>Table6'!$AZ$14</t>
  </si>
  <si>
    <t>numteach_sped_t1_yrs_teach_4to6</t>
  </si>
  <si>
    <t>Table6'!$BB$14</t>
  </si>
  <si>
    <t>numteach_sped_t1_yrs_teach_7to9</t>
  </si>
  <si>
    <t>Table6'!$BD$14</t>
  </si>
  <si>
    <t>numteach_sped_t1_yrs_teach_10to12</t>
  </si>
  <si>
    <t>Table6'!$BF$14</t>
  </si>
  <si>
    <t>numteach_sped_t1_yrs_teach_13nabove</t>
  </si>
  <si>
    <t>Table6'!$BH$14</t>
  </si>
  <si>
    <t>div_hr_personnel_name</t>
  </si>
  <si>
    <t>es_teacher_local</t>
  </si>
  <si>
    <t>div_hr_personnel_pos</t>
  </si>
  <si>
    <t>Table6'!$S$27</t>
  </si>
  <si>
    <t>Table6'!$W$29</t>
  </si>
  <si>
    <t>personnel_kinder_sef_prov</t>
  </si>
  <si>
    <t>Tables7,8,9'!$N$6</t>
  </si>
  <si>
    <t>personnel_kinder_sef_mun_city</t>
  </si>
  <si>
    <t>Tables7,8,9'!$T$6</t>
  </si>
  <si>
    <t>personnel_kinder_lgu</t>
  </si>
  <si>
    <t>Tables7,8,9'!$Z$6</t>
  </si>
  <si>
    <t>personnel_kinder_others</t>
  </si>
  <si>
    <t>Tables7,8,9'!$AF$6</t>
  </si>
  <si>
    <t>personnel_elem_sef_prov</t>
  </si>
  <si>
    <t>Tables7,8,9'!$N$7</t>
  </si>
  <si>
    <t>personnel_elem_sef_mun_city</t>
  </si>
  <si>
    <t>Tables7,8,9'!$T$7</t>
  </si>
  <si>
    <t>personnel_elem_lgu</t>
  </si>
  <si>
    <t>Tables7,8,9'!$Z$7</t>
  </si>
  <si>
    <t>personnel_elem_others</t>
  </si>
  <si>
    <t>Tables7,8,9'!$AF$7</t>
  </si>
  <si>
    <t>personnel_kinder_qualified_m</t>
  </si>
  <si>
    <t>Tables7,8,9'!$N$21</t>
  </si>
  <si>
    <t>personnel_kinder_qualified_f</t>
  </si>
  <si>
    <t>Tables7,8,9'!$Q$21</t>
  </si>
  <si>
    <t>personnel_kinder_trained_m</t>
  </si>
  <si>
    <t>Tables7,8,9'!$W$21</t>
  </si>
  <si>
    <t>personnel_kinder_trained_f</t>
  </si>
  <si>
    <t>Tables7,8,9'!$Z$21</t>
  </si>
  <si>
    <t>personnel_elem_alive_qualified_m</t>
  </si>
  <si>
    <t>personnel_elem_alive_qualified_f</t>
  </si>
  <si>
    <t>personnel_elem_alive_trained_m</t>
  </si>
  <si>
    <t>personnel_elem_alive_trained_f</t>
  </si>
  <si>
    <t>Tables7,8,9'!$N$20</t>
  </si>
  <si>
    <t>Tables7,8,9'!$Q$20</t>
  </si>
  <si>
    <t>Tables7,8,9'!$W$20</t>
  </si>
  <si>
    <t>Tables7,8,9'!$Z$20</t>
  </si>
  <si>
    <t>seps_name</t>
  </si>
  <si>
    <t>Tables7,8,9'!$AG$20</t>
  </si>
  <si>
    <t>personnel_deped_subsi_cont_serv_cos_m</t>
  </si>
  <si>
    <t>personnel_deped_subsi_cont_serv_cos_f</t>
  </si>
  <si>
    <t>Tables7,8,9'!$B$31</t>
  </si>
  <si>
    <t>Tables7,8,9'!$I$31</t>
  </si>
  <si>
    <t>div_alive_coor_name</t>
  </si>
  <si>
    <t>div_alive_coor_pos</t>
  </si>
  <si>
    <t>Tables7,8,9'!$AG$30</t>
  </si>
  <si>
    <t>Tables7,8,9'!$AK$32</t>
  </si>
  <si>
    <t>personnel_nonteach_sp4_psipop</t>
  </si>
  <si>
    <t>es_nonteaching_plantilla</t>
  </si>
  <si>
    <t>Table10'!$L$10</t>
  </si>
  <si>
    <t>personnel_nonteach_sp4_actual_m</t>
  </si>
  <si>
    <t>Table10'!$O$10</t>
  </si>
  <si>
    <t>personnel_nonteach_sp4_actual_f</t>
  </si>
  <si>
    <t>Table10'!$R$10</t>
  </si>
  <si>
    <t>personnel_nonteach_sp4_onleave</t>
  </si>
  <si>
    <t>Table10'!$X$10</t>
  </si>
  <si>
    <t>personnel_nonteach_sp4_vacant</t>
  </si>
  <si>
    <t>Table10'!$AA$10</t>
  </si>
  <si>
    <t>personnel_nonteach_sp4_detailed_depedoffice</t>
  </si>
  <si>
    <t>Table10'!$AD$10</t>
  </si>
  <si>
    <t>personnel_nonteach_sp4_detailed_hs</t>
  </si>
  <si>
    <t>Table10'!$AG$10</t>
  </si>
  <si>
    <t>personnel_nonteach_sp4_detailed_outdiv</t>
  </si>
  <si>
    <t>Table10'!$AJ$10</t>
  </si>
  <si>
    <t>personnel_nonteach_sp4_detailed_othersch_m</t>
  </si>
  <si>
    <t>Table10'!$AT$10</t>
  </si>
  <si>
    <t>personnel_nonteach_sp4_detailed_othersch_f</t>
  </si>
  <si>
    <t>Table10'!$AW$10</t>
  </si>
  <si>
    <t>personnel_nonteach_sp3_psipop</t>
  </si>
  <si>
    <t>Table10'!$L$11</t>
  </si>
  <si>
    <t>personnel_nonteach_sp3_actual_m</t>
  </si>
  <si>
    <t>Table10'!$O$11</t>
  </si>
  <si>
    <t>personnel_nonteach_sp3_actual_f</t>
  </si>
  <si>
    <t>Table10'!$R$11</t>
  </si>
  <si>
    <t>personnel_nonteach_sp3_onleave</t>
  </si>
  <si>
    <t>Table10'!$X$11</t>
  </si>
  <si>
    <t>personnel_nonteach_sp3_vacant</t>
  </si>
  <si>
    <t>Table10'!$AA$11</t>
  </si>
  <si>
    <t>personnel_nonteach_sp3_detailed_depedoffice</t>
  </si>
  <si>
    <t>Table10'!$AD$11</t>
  </si>
  <si>
    <t>personnel_nonteach_sp3_detailed_hs</t>
  </si>
  <si>
    <t>Table10'!$AG$11</t>
  </si>
  <si>
    <t>personnel_nonteach_sp3_detailed_outdiv</t>
  </si>
  <si>
    <t>Table10'!$AJ$11</t>
  </si>
  <si>
    <t>personnel_nonteach_sp3_detailed_othersch_m</t>
  </si>
  <si>
    <t>Table10'!$AT$11</t>
  </si>
  <si>
    <t>personnel_nonteach_sp3_detailed_othersch_f</t>
  </si>
  <si>
    <t>Table10'!$AW$11</t>
  </si>
  <si>
    <t>personnel_nonteach_sp2_psipop</t>
  </si>
  <si>
    <t>Table10'!$L$12</t>
  </si>
  <si>
    <t>personnel_nonteach_sp2_actual_m</t>
  </si>
  <si>
    <t>Table10'!$O$12</t>
  </si>
  <si>
    <t>personnel_nonteach_sp2_actual_f</t>
  </si>
  <si>
    <t>Table10'!$R$12</t>
  </si>
  <si>
    <t>personnel_nonteach_sp2_onleave</t>
  </si>
  <si>
    <t>Table10'!$X$12</t>
  </si>
  <si>
    <t>personnel_nonteach_sp2_vacant</t>
  </si>
  <si>
    <t>Table10'!$AA$12</t>
  </si>
  <si>
    <t>personnel_nonteach_sp2_detailed_depedoffice</t>
  </si>
  <si>
    <t>Table10'!$AD$12</t>
  </si>
  <si>
    <t>personnel_nonteach_sp2_detailed_hs</t>
  </si>
  <si>
    <t>Table10'!$AG$12</t>
  </si>
  <si>
    <t>personnel_nonteach_sp2_detailed_outdiv</t>
  </si>
  <si>
    <t>Table10'!$AJ$12</t>
  </si>
  <si>
    <t>personnel_nonteach_sp2_detailed_othersch_m</t>
  </si>
  <si>
    <t>Table10'!$AT$12</t>
  </si>
  <si>
    <t>personnel_nonteach_sp2_detailed_othersch_f</t>
  </si>
  <si>
    <t>Table10'!$AW$12</t>
  </si>
  <si>
    <t>personnel_nonteach_sp1_psipop</t>
  </si>
  <si>
    <t>Table10'!$L$13</t>
  </si>
  <si>
    <t>personnel_nonteach_sp1_actual_m</t>
  </si>
  <si>
    <t>Table10'!$O$13</t>
  </si>
  <si>
    <t>personnel_nonteach_sp1_actual_f</t>
  </si>
  <si>
    <t>Table10'!$R$13</t>
  </si>
  <si>
    <t>personnel_nonteach_sp1_onleave</t>
  </si>
  <si>
    <t>Table10'!$X$13</t>
  </si>
  <si>
    <t>personnel_nonteach_sp1_vacant</t>
  </si>
  <si>
    <t>Table10'!$AA$13</t>
  </si>
  <si>
    <t>personnel_nonteach_sp1_detailed_depedoffice</t>
  </si>
  <si>
    <t>Table10'!$AD$13</t>
  </si>
  <si>
    <t>personnel_nonteach_sp1_detailed_hs</t>
  </si>
  <si>
    <t>Table10'!$AG$13</t>
  </si>
  <si>
    <t>personnel_nonteach_sp1_detailed_outdiv</t>
  </si>
  <si>
    <t>Table10'!$AJ$13</t>
  </si>
  <si>
    <t>personnel_nonteach_sp1_detailed_othersch_m</t>
  </si>
  <si>
    <t>Table10'!$AT$13</t>
  </si>
  <si>
    <t>personnel_nonteach_sp1_detailed_othersch_f</t>
  </si>
  <si>
    <t>Table10'!$AW$13</t>
  </si>
  <si>
    <t>personnel_nonteach_ht6_psipop</t>
  </si>
  <si>
    <t>Table10'!$L$14</t>
  </si>
  <si>
    <t>personnel_nonteach_ht6_actual_m</t>
  </si>
  <si>
    <t>Table10'!$O$14</t>
  </si>
  <si>
    <t>personnel_nonteach_ht6_actual_f</t>
  </si>
  <si>
    <t>Table10'!$R$14</t>
  </si>
  <si>
    <t>personnel_nonteach_ht6_onleave</t>
  </si>
  <si>
    <t>Table10'!$X$14</t>
  </si>
  <si>
    <t>personnel_nonteach_ht6_vacant</t>
  </si>
  <si>
    <t>Table10'!$AA$14</t>
  </si>
  <si>
    <t>personnel_nonteach_ht6_detailed_depedoffice</t>
  </si>
  <si>
    <t>Table10'!$AD$14</t>
  </si>
  <si>
    <t>personnel_nonteach_ht6_detailed_hs</t>
  </si>
  <si>
    <t>Table10'!$AG$14</t>
  </si>
  <si>
    <t>personnel_nonteach_ht6_detailed_outdiv</t>
  </si>
  <si>
    <t>Table10'!$AJ$14</t>
  </si>
  <si>
    <t>personnel_nonteach_ht6_detailed_othersch_m</t>
  </si>
  <si>
    <t>Table10'!$AT$14</t>
  </si>
  <si>
    <t>personnel_nonteach_ht6_detailed_othersch_f</t>
  </si>
  <si>
    <t>Table10'!$AW$14</t>
  </si>
  <si>
    <t>personnel_nonteach_ht5_psipop</t>
  </si>
  <si>
    <t>Table10'!$L$15</t>
  </si>
  <si>
    <t>personnel_nonteach_ht5_actual_m</t>
  </si>
  <si>
    <t>Table10'!$O$15</t>
  </si>
  <si>
    <t>personnel_nonteach_ht5_actual_f</t>
  </si>
  <si>
    <t>Table10'!$R$15</t>
  </si>
  <si>
    <t>personnel_nonteach_ht5_onleave</t>
  </si>
  <si>
    <t>Table10'!$X$15</t>
  </si>
  <si>
    <t>personnel_nonteach_ht5_vacant</t>
  </si>
  <si>
    <t>Table10'!$AA$15</t>
  </si>
  <si>
    <t>personnel_nonteach_ht5_detailed_depedoffice</t>
  </si>
  <si>
    <t>Table10'!$AD$15</t>
  </si>
  <si>
    <t>personnel_nonteach_ht5_detailed_hs</t>
  </si>
  <si>
    <t>Table10'!$AG$15</t>
  </si>
  <si>
    <t>personnel_nonteach_ht5_detailed_outdiv</t>
  </si>
  <si>
    <t>Table10'!$AJ$15</t>
  </si>
  <si>
    <t>personnel_nonteach_ht5_detailed_othersch_m</t>
  </si>
  <si>
    <t>Table10'!$AT$15</t>
  </si>
  <si>
    <t>personnel_nonteach_ht5_detailed_othersch_f</t>
  </si>
  <si>
    <t>Table10'!$AW$15</t>
  </si>
  <si>
    <t>personnel_nonteach_ht4_psipop</t>
  </si>
  <si>
    <t>Table10'!$L$16</t>
  </si>
  <si>
    <t>personnel_nonteach_ht4_actual_m</t>
  </si>
  <si>
    <t>Table10'!$O$16</t>
  </si>
  <si>
    <t>personnel_nonteach_ht4_actual_f</t>
  </si>
  <si>
    <t>Table10'!$R$16</t>
  </si>
  <si>
    <t>personnel_nonteach_ht4_onleave</t>
  </si>
  <si>
    <t>Table10'!$X$16</t>
  </si>
  <si>
    <t>personnel_nonteach_ht4_vacant</t>
  </si>
  <si>
    <t>Table10'!$AA$16</t>
  </si>
  <si>
    <t>personnel_nonteach_ht4_detailed_depedoffice</t>
  </si>
  <si>
    <t>Table10'!$AD$16</t>
  </si>
  <si>
    <t>personnel_nonteach_ht4_detailed_hs</t>
  </si>
  <si>
    <t>Table10'!$AG$16</t>
  </si>
  <si>
    <t>personnel_nonteach_ht4_detailed_outdiv</t>
  </si>
  <si>
    <t>Table10'!$AJ$16</t>
  </si>
  <si>
    <t>personnel_nonteach_ht4_detailed_othersch_m</t>
  </si>
  <si>
    <t>Table10'!$AT$16</t>
  </si>
  <si>
    <t>personnel_nonteach_ht4_detailed_othersch_f</t>
  </si>
  <si>
    <t>Table10'!$AW$16</t>
  </si>
  <si>
    <t>personnel_nonteach_ht3_psipop</t>
  </si>
  <si>
    <t>Table10'!$L$17</t>
  </si>
  <si>
    <t>personnel_nonteach_ht3_actual_m</t>
  </si>
  <si>
    <t>Table10'!$O$17</t>
  </si>
  <si>
    <t>personnel_nonteach_ht3_actual_f</t>
  </si>
  <si>
    <t>Table10'!$R$17</t>
  </si>
  <si>
    <t>personnel_nonteach_ht3_onleave</t>
  </si>
  <si>
    <t>Table10'!$X$17</t>
  </si>
  <si>
    <t>personnel_nonteach_ht3_vacant</t>
  </si>
  <si>
    <t>Table10'!$AA$17</t>
  </si>
  <si>
    <t>personnel_nonteach_ht3_detailed_depedoffice</t>
  </si>
  <si>
    <t>Table10'!$AD$17</t>
  </si>
  <si>
    <t>personnel_nonteach_ht3_detailed_hs</t>
  </si>
  <si>
    <t>Table10'!$AG$17</t>
  </si>
  <si>
    <t>personnel_nonteach_ht3_detailed_outdiv</t>
  </si>
  <si>
    <t>Table10'!$AJ$17</t>
  </si>
  <si>
    <t>personnel_nonteach_ht3_detailed_othersch_m</t>
  </si>
  <si>
    <t>Table10'!$AT$17</t>
  </si>
  <si>
    <t>personnel_nonteach_ht3_detailed_othersch_f</t>
  </si>
  <si>
    <t>Table10'!$AW$17</t>
  </si>
  <si>
    <t>personnel_nonteach_ht2_psipop</t>
  </si>
  <si>
    <t>Table10'!$L$18</t>
  </si>
  <si>
    <t>personnel_nonteach_ht2_actual_m</t>
  </si>
  <si>
    <t>Table10'!$O$18</t>
  </si>
  <si>
    <t>personnel_nonteach_ht2_actual_f</t>
  </si>
  <si>
    <t>Table10'!$R$18</t>
  </si>
  <si>
    <t>personnel_nonteach_ht2_onleave</t>
  </si>
  <si>
    <t>Table10'!$X$18</t>
  </si>
  <si>
    <t>personnel_nonteach_ht2_vacant</t>
  </si>
  <si>
    <t>Table10'!$AA$18</t>
  </si>
  <si>
    <t>personnel_nonteach_ht2_detailed_depedoffice</t>
  </si>
  <si>
    <t>Table10'!$AD$18</t>
  </si>
  <si>
    <t>personnel_nonteach_ht2_detailed_hs</t>
  </si>
  <si>
    <t>Table10'!$AG$18</t>
  </si>
  <si>
    <t>personnel_nonteach_ht2_detailed_outdiv</t>
  </si>
  <si>
    <t>Table10'!$AJ$18</t>
  </si>
  <si>
    <t>personnel_nonteach_ht2_detailed_othersch_m</t>
  </si>
  <si>
    <t>Table10'!$AT$18</t>
  </si>
  <si>
    <t>personnel_nonteach_ht2_detailed_othersch_f</t>
  </si>
  <si>
    <t>Table10'!$AW$18</t>
  </si>
  <si>
    <t>personnel_nonteach_ht1_psipop</t>
  </si>
  <si>
    <t>Table10'!$L$19</t>
  </si>
  <si>
    <t>personnel_nonteach_ht1_actual_m</t>
  </si>
  <si>
    <t>Table10'!$O$19</t>
  </si>
  <si>
    <t>personnel_nonteach_ht1_actual_f</t>
  </si>
  <si>
    <t>Table10'!$R$19</t>
  </si>
  <si>
    <t>personnel_nonteach_ht1_onleave</t>
  </si>
  <si>
    <t>Table10'!$X$19</t>
  </si>
  <si>
    <t>personnel_nonteach_ht1_vacant</t>
  </si>
  <si>
    <t>Table10'!$AA$19</t>
  </si>
  <si>
    <t>personnel_nonteach_ht1_detailed_depedoffice</t>
  </si>
  <si>
    <t>Table10'!$AD$19</t>
  </si>
  <si>
    <t>personnel_nonteach_ht1_detailed_hs</t>
  </si>
  <si>
    <t>Table10'!$AG$19</t>
  </si>
  <si>
    <t>personnel_nonteach_ht1_detailed_outdiv</t>
  </si>
  <si>
    <t>Table10'!$AJ$19</t>
  </si>
  <si>
    <t>personnel_nonteach_ht1_detailed_othersch_m</t>
  </si>
  <si>
    <t>Table10'!$AT$19</t>
  </si>
  <si>
    <t>personnel_nonteach_ht1_detailed_othersch_f</t>
  </si>
  <si>
    <t>Table10'!$AW$19</t>
  </si>
  <si>
    <t>personnel_nonteach_guidancecoor_III_psipop</t>
  </si>
  <si>
    <t>Table10'!$L$20</t>
  </si>
  <si>
    <t>personnel_nonteach_guidancecoor_III_actual_m</t>
  </si>
  <si>
    <t>Table10'!$O$20</t>
  </si>
  <si>
    <t>personnel_nonteach_guidancecoor_III_actual_f</t>
  </si>
  <si>
    <t>Table10'!$R$20</t>
  </si>
  <si>
    <t>personnel_nonteach_guidancecoor_III_onleave</t>
  </si>
  <si>
    <t>Table10'!$X$20</t>
  </si>
  <si>
    <t>personnel_nonteach_guidancecoor_III_vacant</t>
  </si>
  <si>
    <t>Table10'!$AA$20</t>
  </si>
  <si>
    <t>personnel_nonteach_guidancecoor_III_detailed_depedoffice</t>
  </si>
  <si>
    <t>Table10'!$AD$20</t>
  </si>
  <si>
    <t>personnel_nonteach_guidancecoor_III_detailed_hs</t>
  </si>
  <si>
    <t>Table10'!$AG$20</t>
  </si>
  <si>
    <t>personnel_nonteach_guidancecoor_III_detailed_outdiv</t>
  </si>
  <si>
    <t>Table10'!$AJ$20</t>
  </si>
  <si>
    <t>personnel_nonteach_guidancecoor_III_detailed_othersch_m</t>
  </si>
  <si>
    <t>Table10'!$AT$20</t>
  </si>
  <si>
    <t>personnel_nonteach_guidancecoor_III_detailed_othersch_f</t>
  </si>
  <si>
    <t>Table10'!$AW$20</t>
  </si>
  <si>
    <t>personnel_nonteach_guidancecoor_II_psipop</t>
  </si>
  <si>
    <t>Table10'!$L$21</t>
  </si>
  <si>
    <t>personnel_nonteach_guidancecoor_II_actual_m</t>
  </si>
  <si>
    <t>Table10'!$O$21</t>
  </si>
  <si>
    <t>personnel_nonteach_guidancecoor_II_actual_f</t>
  </si>
  <si>
    <t>Table10'!$R$21</t>
  </si>
  <si>
    <t>personnel_nonteach_guidancecoor_II_onleave</t>
  </si>
  <si>
    <t>Table10'!$X$21</t>
  </si>
  <si>
    <t>personnel_nonteach_guidancecoor_II_vacant</t>
  </si>
  <si>
    <t>Table10'!$AA$21</t>
  </si>
  <si>
    <t>personnel_nonteach_guidancecoor_II_detailed_depedoffice</t>
  </si>
  <si>
    <t>Table10'!$AD$21</t>
  </si>
  <si>
    <t>personnel_nonteach_guidancecoor_II_detailed_hs</t>
  </si>
  <si>
    <t>Table10'!$AG$21</t>
  </si>
  <si>
    <t>personnel_nonteach_guidancecoor_II_detailed_outdiv</t>
  </si>
  <si>
    <t>Table10'!$AJ$21</t>
  </si>
  <si>
    <t>personnel_nonteach_guidancecoor_II_detailed_othersch_m</t>
  </si>
  <si>
    <t>Table10'!$AT$21</t>
  </si>
  <si>
    <t>personnel_nonteach_guidancecoor_II_detailed_othersch_f</t>
  </si>
  <si>
    <t>Table10'!$AW$21</t>
  </si>
  <si>
    <t>personnel_nonteach_guidancecoor_I_psipop</t>
  </si>
  <si>
    <t>Table10'!$L$22</t>
  </si>
  <si>
    <t>personnel_nonteach_guidancecoor_I_actual_m</t>
  </si>
  <si>
    <t>Table10'!$O$22</t>
  </si>
  <si>
    <t>personnel_nonteach_guidancecoor_I_actual_f</t>
  </si>
  <si>
    <t>Table10'!$R$22</t>
  </si>
  <si>
    <t>personnel_nonteach_guidancecoor_I_onleave</t>
  </si>
  <si>
    <t>Table10'!$X$22</t>
  </si>
  <si>
    <t>personnel_nonteach_guidancecoor_I_vacant</t>
  </si>
  <si>
    <t>Table10'!$AA$22</t>
  </si>
  <si>
    <t>personnel_nonteach_guidancecoor_I_detailed_depedoffice</t>
  </si>
  <si>
    <t>Table10'!$AD$22</t>
  </si>
  <si>
    <t>personnel_nonteach_guidancecoor_I_detailed_hs</t>
  </si>
  <si>
    <t>Table10'!$AG$22</t>
  </si>
  <si>
    <t>personnel_nonteach_guidancecoor_I_detailed_outdiv</t>
  </si>
  <si>
    <t>Table10'!$AJ$22</t>
  </si>
  <si>
    <t>personnel_nonteach_guidancecoor_I_detailed_othersch_m</t>
  </si>
  <si>
    <t>Table10'!$AT$22</t>
  </si>
  <si>
    <t>personnel_nonteach_guidancecoor_I_detailed_othersch_f</t>
  </si>
  <si>
    <t>Table10'!$AW$22</t>
  </si>
  <si>
    <t>personnel_nonteach_guidancecounsel_III_psipop</t>
  </si>
  <si>
    <t>Table10'!$L$23</t>
  </si>
  <si>
    <t>personnel_nonteach_guidancecounsel_III_actual_m</t>
  </si>
  <si>
    <t>Table10'!$O$23</t>
  </si>
  <si>
    <t>personnel_nonteach_guidancecounsel_III_actual_f</t>
  </si>
  <si>
    <t>Table10'!$R$23</t>
  </si>
  <si>
    <t>personnel_nonteach_guidancecounsel_III_onleave</t>
  </si>
  <si>
    <t>Table10'!$X$23</t>
  </si>
  <si>
    <t>personnel_nonteach_guidancecounsel_III_vacant</t>
  </si>
  <si>
    <t>Table10'!$AA$23</t>
  </si>
  <si>
    <t>personnel_nonteach_guidancecounsel_III_detailed_depedoffice</t>
  </si>
  <si>
    <t>Table10'!$AD$23</t>
  </si>
  <si>
    <t>personnel_nonteach_guidancecounsel_III_detailed_hs</t>
  </si>
  <si>
    <t>Table10'!$AG$23</t>
  </si>
  <si>
    <t>personnel_nonteach_guidancecounsel_III_detailed_outdiv</t>
  </si>
  <si>
    <t>Table10'!$AJ$23</t>
  </si>
  <si>
    <t>personnel_nonteach_guidancecounsel_III_detailed_othersch_m</t>
  </si>
  <si>
    <t>Table10'!$AT$23</t>
  </si>
  <si>
    <t>personnel_nonteach_guidancecounsel_III_detailed_othersch_f</t>
  </si>
  <si>
    <t>Table10'!$AW$23</t>
  </si>
  <si>
    <t>personnel_nonteach_guidancecounsel_II_psipop</t>
  </si>
  <si>
    <t>Table10'!$L$24</t>
  </si>
  <si>
    <t>personnel_nonteach_guidancecounsel_II_actual_m</t>
  </si>
  <si>
    <t>Table10'!$O$24</t>
  </si>
  <si>
    <t>personnel_nonteach_guidancecounsel_II_actual_f</t>
  </si>
  <si>
    <t>Table10'!$R$24</t>
  </si>
  <si>
    <t>personnel_nonteach_guidancecounsel_II_onleave</t>
  </si>
  <si>
    <t>Table10'!$X$24</t>
  </si>
  <si>
    <t>personnel_nonteach_guidancecounsel_II_vacant</t>
  </si>
  <si>
    <t>Table10'!$AA$24</t>
  </si>
  <si>
    <t>personnel_nonteach_guidancecounsel_II_detailed_depedoffice</t>
  </si>
  <si>
    <t>Table10'!$AD$24</t>
  </si>
  <si>
    <t>personnel_nonteach_guidancecounsel_II_detailed_hs</t>
  </si>
  <si>
    <t>Table10'!$AG$24</t>
  </si>
  <si>
    <t>personnel_nonteach_guidancecounsel_II_detailed_outdiv</t>
  </si>
  <si>
    <t>Table10'!$AJ$24</t>
  </si>
  <si>
    <t>personnel_nonteach_guidancecounsel_II_detailed_othersch_m</t>
  </si>
  <si>
    <t>Table10'!$AT$24</t>
  </si>
  <si>
    <t>personnel_nonteach_guidancecounsel_II_detailed_othersch_f</t>
  </si>
  <si>
    <t>Table10'!$AW$24</t>
  </si>
  <si>
    <t>personnel_nonteach_guidancecounsel_I_psipop</t>
  </si>
  <si>
    <t>Table10'!$L$25</t>
  </si>
  <si>
    <t>personnel_nonteach_guidancecounsel_I_actual_m</t>
  </si>
  <si>
    <t>Table10'!$O$25</t>
  </si>
  <si>
    <t>personnel_nonteach_guidancecounsel_I_actual_f</t>
  </si>
  <si>
    <t>Table10'!$R$25</t>
  </si>
  <si>
    <t>personnel_nonteach_guidancecounsel_I_onleave</t>
  </si>
  <si>
    <t>Table10'!$X$25</t>
  </si>
  <si>
    <t>personnel_nonteach_guidancecounsel_I_vacant</t>
  </si>
  <si>
    <t>Table10'!$AA$25</t>
  </si>
  <si>
    <t>personnel_nonteach_guidancecounsel_I_detailed_depedoffice</t>
  </si>
  <si>
    <t>Table10'!$AD$25</t>
  </si>
  <si>
    <t>personnel_nonteach_guidancecounsel_I_detailed_hs</t>
  </si>
  <si>
    <t>Table10'!$AG$25</t>
  </si>
  <si>
    <t>personnel_nonteach_guidancecounsel_I_detailed_outdiv</t>
  </si>
  <si>
    <t>Table10'!$AJ$25</t>
  </si>
  <si>
    <t>personnel_nonteach_guidancecounsel_I_detailed_othersch_m</t>
  </si>
  <si>
    <t>Table10'!$AT$25</t>
  </si>
  <si>
    <t>personnel_nonteach_guidancecounsel_I_detailed_othersch_f</t>
  </si>
  <si>
    <t>Table10'!$AW$25</t>
  </si>
  <si>
    <t>personnel_nonteach_seniorbk_psipop</t>
  </si>
  <si>
    <t>Table10'!$L$26</t>
  </si>
  <si>
    <t>personnel_nonteach_seniorbk_actual_m</t>
  </si>
  <si>
    <t>Table10'!$O$26</t>
  </si>
  <si>
    <t>personnel_nonteach_seniorbk_actual_f</t>
  </si>
  <si>
    <t>Table10'!$R$26</t>
  </si>
  <si>
    <t>personnel_nonteach_seniorbk_onleave</t>
  </si>
  <si>
    <t>Table10'!$X$26</t>
  </si>
  <si>
    <t>personnel_nonteach_seniorbk_vacant</t>
  </si>
  <si>
    <t>Table10'!$AA$26</t>
  </si>
  <si>
    <t>personnel_nonteach_seniorbk_detailed_depedoffice</t>
  </si>
  <si>
    <t>Table10'!$AD$26</t>
  </si>
  <si>
    <t>personnel_nonteach_seniorbk_detailed_hs</t>
  </si>
  <si>
    <t>Table10'!$AG$26</t>
  </si>
  <si>
    <t>personnel_nonteach_seniorbk_detailed_outdiv</t>
  </si>
  <si>
    <t>Table10'!$AJ$26</t>
  </si>
  <si>
    <t>personnel_nonteach_seniorbk_detailed_othersch_m</t>
  </si>
  <si>
    <t>Table10'!$AT$26</t>
  </si>
  <si>
    <t>personnel_nonteach_seniorbk_detailed_othersch_f</t>
  </si>
  <si>
    <t>Table10'!$AW$26</t>
  </si>
  <si>
    <t>personnel_nonteach_disbofficer_psipop</t>
  </si>
  <si>
    <t>Table10'!$L$27</t>
  </si>
  <si>
    <t>personnel_nonteach_disbofficer_actual_m</t>
  </si>
  <si>
    <t>Table10'!$O$27</t>
  </si>
  <si>
    <t>personnel_nonteach_disbofficer_actual_f</t>
  </si>
  <si>
    <t>Table10'!$R$27</t>
  </si>
  <si>
    <t>personnel_nonteach_disbofficer_onleave</t>
  </si>
  <si>
    <t>Table10'!$X$27</t>
  </si>
  <si>
    <t>personnel_nonteach_disbofficer_vacant</t>
  </si>
  <si>
    <t>Table10'!$AA$27</t>
  </si>
  <si>
    <t>personnel_nonteach_disbofficer_detailed_depedoffice</t>
  </si>
  <si>
    <t>Table10'!$AD$27</t>
  </si>
  <si>
    <t>personnel_nonteach_disbofficer_detailed_hs</t>
  </si>
  <si>
    <t>Table10'!$AG$27</t>
  </si>
  <si>
    <t>personnel_nonteach_disbofficer_detailed_outdiv</t>
  </si>
  <si>
    <t>Table10'!$AJ$27</t>
  </si>
  <si>
    <t>personnel_nonteach_disbofficer_detailed_othersch_m</t>
  </si>
  <si>
    <t>Table10'!$AT$27</t>
  </si>
  <si>
    <t>personnel_nonteach_disbofficer_detailed_othersch_f</t>
  </si>
  <si>
    <t>Table10'!$AW$27</t>
  </si>
  <si>
    <t>personnel_nonteach_securityguard_psipop</t>
  </si>
  <si>
    <t>Table10'!$L$28</t>
  </si>
  <si>
    <t>personnel_nonteach_securityguard_actual_m</t>
  </si>
  <si>
    <t>Table10'!$O$28</t>
  </si>
  <si>
    <t>personnel_nonteach_securityguard_actual_f</t>
  </si>
  <si>
    <t>Table10'!$R$28</t>
  </si>
  <si>
    <t>personnel_nonteach_securityguard_onleave</t>
  </si>
  <si>
    <t>Table10'!$X$28</t>
  </si>
  <si>
    <t>personnel_nonteach_securityguard_vacant</t>
  </si>
  <si>
    <t>Table10'!$AA$28</t>
  </si>
  <si>
    <t>personnel_nonteach_securityguard_detailed_depedoffice</t>
  </si>
  <si>
    <t>Table10'!$AD$28</t>
  </si>
  <si>
    <t>personnel_nonteach_securityguard_detailed_hs</t>
  </si>
  <si>
    <t>Table10'!$AG$28</t>
  </si>
  <si>
    <t>personnel_nonteach_securityguard_detailed_outdiv</t>
  </si>
  <si>
    <t>Table10'!$AJ$28</t>
  </si>
  <si>
    <t>personnel_nonteach_securityguard_detailed_othersch_m</t>
  </si>
  <si>
    <t>Table10'!$AT$28</t>
  </si>
  <si>
    <t>personnel_nonteach_securityguard_detailed_othersch_f</t>
  </si>
  <si>
    <t>Table10'!$AW$28</t>
  </si>
  <si>
    <t>personnel_nonteach_utilityworkerI_psipop</t>
  </si>
  <si>
    <t>Table10'!$L$29</t>
  </si>
  <si>
    <t>personnel_nonteach_utilityworkerI_actual_m</t>
  </si>
  <si>
    <t>Table10'!$O$29</t>
  </si>
  <si>
    <t>personnel_nonteach_utilityworkerI_actual_f</t>
  </si>
  <si>
    <t>Table10'!$R$29</t>
  </si>
  <si>
    <t>personnel_nonteach_utilityworkerI_onleave</t>
  </si>
  <si>
    <t>Table10'!$X$29</t>
  </si>
  <si>
    <t>personnel_nonteach_utilityworkerI_vacant</t>
  </si>
  <si>
    <t>Table10'!$AA$29</t>
  </si>
  <si>
    <t>personnel_nonteach_utilityworkerI_detailed_depedoffice</t>
  </si>
  <si>
    <t>Table10'!$AD$29</t>
  </si>
  <si>
    <t>personnel_nonteach_utilityworkerI_detailed_hs</t>
  </si>
  <si>
    <t>Table10'!$AG$29</t>
  </si>
  <si>
    <t>personnel_nonteach_utilityworkerI_detailed_outdiv</t>
  </si>
  <si>
    <t>Table10'!$AJ$29</t>
  </si>
  <si>
    <t>personnel_nonteach_utilityworkerI_detailed_othersch_m</t>
  </si>
  <si>
    <t>Table10'!$AT$29</t>
  </si>
  <si>
    <t>personnel_nonteach_utilityworkerI_detailed_othersch_f</t>
  </si>
  <si>
    <t>Table10'!$AW$29</t>
  </si>
  <si>
    <t>es_teacher_plantilla</t>
  </si>
  <si>
    <t>personnel_teach_mt4_actual_m</t>
  </si>
  <si>
    <t>personnel_teach_mt4_actual_f</t>
  </si>
  <si>
    <t>personnel_teach_mt4_onleave</t>
  </si>
  <si>
    <t>personnel_teach_mt4_vacant</t>
  </si>
  <si>
    <t>personnel_teach_mt4_detailed_office_withind</t>
  </si>
  <si>
    <t>personnel_teach_mt4_detailed_secsch_withind</t>
  </si>
  <si>
    <t>personnel_teach_mt4_detailed_outdiv</t>
  </si>
  <si>
    <t>personnel_teach_mt4_detailed_othersch_m</t>
  </si>
  <si>
    <t>personnel_teach_mt4_detailed_othersch_f</t>
  </si>
  <si>
    <t>personnel_teach_mt4_psipop</t>
  </si>
  <si>
    <t>personnel_teach_mt3_psipop</t>
  </si>
  <si>
    <t>personnel_teach_mt3_actual_m</t>
  </si>
  <si>
    <t>personnel_teach_mt3_actual_f</t>
  </si>
  <si>
    <t>personnel_teach_mt3_onleave</t>
  </si>
  <si>
    <t>personnel_teach_mt3_vacant</t>
  </si>
  <si>
    <t>personnel_teach_mt3_detailed_office_withind</t>
  </si>
  <si>
    <t>personnel_teach_mt3_detailed_secsch_withind</t>
  </si>
  <si>
    <t>personnel_teach_mt3_detailed_outdiv</t>
  </si>
  <si>
    <t>personnel_teach_mt3_detailed_othersch_m</t>
  </si>
  <si>
    <t>personnel_teach_mt3_detailed_othersch_f</t>
  </si>
  <si>
    <t>personnel_teach_mt2_psipop</t>
  </si>
  <si>
    <t>personnel_teach_mt2_actual_m</t>
  </si>
  <si>
    <t>personnel_teach_mt2_actual_f</t>
  </si>
  <si>
    <t>personnel_teach_mt2_onleave</t>
  </si>
  <si>
    <t>personnel_teach_mt2_vacant</t>
  </si>
  <si>
    <t>personnel_teach_mt2_detailed_office_withind</t>
  </si>
  <si>
    <t>personnel_teach_mt2_detailed_secsch_withind</t>
  </si>
  <si>
    <t>personnel_teach_mt2_detailed_outdiv</t>
  </si>
  <si>
    <t>personnel_teach_mt2_detailed_othersch_m</t>
  </si>
  <si>
    <t>personnel_teach_mt2_detailed_othersch_f</t>
  </si>
  <si>
    <t>personnel_teach_mt1_psipop</t>
  </si>
  <si>
    <t>personnel_teach_mt1_actual_m</t>
  </si>
  <si>
    <t>personnel_teach_mt1_actual_f</t>
  </si>
  <si>
    <t>personnel_teach_mt1_onleave</t>
  </si>
  <si>
    <t>personnel_teach_mt1_vacant</t>
  </si>
  <si>
    <t>personnel_teach_mt1_detailed_office_withind</t>
  </si>
  <si>
    <t>personnel_teach_mt1_detailed_secsch_withind</t>
  </si>
  <si>
    <t>personnel_teach_mt1_detailed_outdiv</t>
  </si>
  <si>
    <t>personnel_teach_mt1_detailed_othersch_m</t>
  </si>
  <si>
    <t>personnel_teach_mt1_detailed_othersch_f</t>
  </si>
  <si>
    <t>personnel_teach_t3_psipop</t>
  </si>
  <si>
    <t>personnel_teach_t3_actual_m</t>
  </si>
  <si>
    <t>personnel_teach_t3_actual_f</t>
  </si>
  <si>
    <t>personnel_teach_t3_onleave</t>
  </si>
  <si>
    <t>personnel_teach_t3_vacant</t>
  </si>
  <si>
    <t>personnel_teach_t3_detailed_office_withind</t>
  </si>
  <si>
    <t>personnel_teach_t3_detailed_secsch_withind</t>
  </si>
  <si>
    <t>personnel_teach_t3_detailed_outdiv</t>
  </si>
  <si>
    <t>personnel_teach_t3_detailed_othersch_m</t>
  </si>
  <si>
    <t>personnel_teach_t3_detailed_othersch_f</t>
  </si>
  <si>
    <t>personnel_teach_t2_psipop</t>
  </si>
  <si>
    <t>personnel_teach_t2_actual_m</t>
  </si>
  <si>
    <t>personnel_teach_t2_actual_f</t>
  </si>
  <si>
    <t>personnel_teach_t2_onleave</t>
  </si>
  <si>
    <t>personnel_teach_t2_vacant</t>
  </si>
  <si>
    <t>personnel_teach_t2_detailed_office_withind</t>
  </si>
  <si>
    <t>personnel_teach_t2_detailed_secsch_withind</t>
  </si>
  <si>
    <t>personnel_teach_t2_detailed_outdiv</t>
  </si>
  <si>
    <t>personnel_teach_t2_detailed_othersch_m</t>
  </si>
  <si>
    <t>personnel_teach_t2_detailed_othersch_f</t>
  </si>
  <si>
    <t>personnel_teach_t1_psipop</t>
  </si>
  <si>
    <t>personnel_teach_t1_actual_m</t>
  </si>
  <si>
    <t>personnel_teach_t1_actual_f</t>
  </si>
  <si>
    <t>personnel_teach_t1_onleave</t>
  </si>
  <si>
    <t>personnel_teach_t1_vacant</t>
  </si>
  <si>
    <t>personnel_teach_t1_detailed_office_withind</t>
  </si>
  <si>
    <t>personnel_teach_t1_detailed_secsch_withind</t>
  </si>
  <si>
    <t>personnel_teach_t1_detailed_outdiv</t>
  </si>
  <si>
    <t>personnel_teach_t1_detailed_othersch_m</t>
  </si>
  <si>
    <t>personnel_teach_t1_detailed_othersch_f</t>
  </si>
  <si>
    <t>personnel_teach_spedt5_psipop</t>
  </si>
  <si>
    <t>personnel_teach_spedt5_actual_m</t>
  </si>
  <si>
    <t>personnel_teach_spedt5_actual_f</t>
  </si>
  <si>
    <t>personnel_teach_spedt5_onleave</t>
  </si>
  <si>
    <t>personnel_teach_spedt5_vacant</t>
  </si>
  <si>
    <t>personnel_teach_spedt5_detailed_office_withind</t>
  </si>
  <si>
    <t>personnel_teach_spedt5_detailed_secsch_withind</t>
  </si>
  <si>
    <t>personnel_teach_spedt5_detailed_outdiv</t>
  </si>
  <si>
    <t>personnel_teach_spedt5_detailed_othersch_m</t>
  </si>
  <si>
    <t>personnel_teach_spedt5_detailed_othersch_f</t>
  </si>
  <si>
    <t>personnel_teach_spedt4_psipop</t>
  </si>
  <si>
    <t>personnel_teach_spedt4_actual_m</t>
  </si>
  <si>
    <t>personnel_teach_spedt4_actual_f</t>
  </si>
  <si>
    <t>personnel_teach_spedt4_onleave</t>
  </si>
  <si>
    <t>personnel_teach_spedt4_vacant</t>
  </si>
  <si>
    <t>personnel_teach_spedt4_detailed_office_withind</t>
  </si>
  <si>
    <t>personnel_teach_spedt4_detailed_secsch_withind</t>
  </si>
  <si>
    <t>personnel_teach_spedt4_detailed_outdiv</t>
  </si>
  <si>
    <t>personnel_teach_spedt4_detailed_othersch_m</t>
  </si>
  <si>
    <t>personnel_teach_spedt4_detailed_othersch_f</t>
  </si>
  <si>
    <t>personnel_teach_spedt3_psipop</t>
  </si>
  <si>
    <t>personnel_teach_spedt3_actual_m</t>
  </si>
  <si>
    <t>personnel_teach_spedt3_actual_f</t>
  </si>
  <si>
    <t>personnel_teach_spedt3_onleave</t>
  </si>
  <si>
    <t>personnel_teach_spedt3_vacant</t>
  </si>
  <si>
    <t>personnel_teach_spedt3_detailed_office_withind</t>
  </si>
  <si>
    <t>personnel_teach_spedt3_detailed_secsch_withind</t>
  </si>
  <si>
    <t>personnel_teach_spedt3_detailed_outdiv</t>
  </si>
  <si>
    <t>personnel_teach_spedt3_detailed_othersch_m</t>
  </si>
  <si>
    <t>personnel_teach_spedt3_detailed_othersch_f</t>
  </si>
  <si>
    <t>personnel_teach_spedt2_psipop</t>
  </si>
  <si>
    <t>personnel_teach_spedt2_actual_m</t>
  </si>
  <si>
    <t>personnel_teach_spedt2_actual_f</t>
  </si>
  <si>
    <t>personnel_teach_spedt2_onleave</t>
  </si>
  <si>
    <t>personnel_teach_spedt2_vacant</t>
  </si>
  <si>
    <t>personnel_teach_spedt2_detailed_office_withind</t>
  </si>
  <si>
    <t>personnel_teach_spedt2_detailed_secsch_withind</t>
  </si>
  <si>
    <t>personnel_teach_spedt2_detailed_outdiv</t>
  </si>
  <si>
    <t>personnel_teach_spedt2_detailed_othersch_m</t>
  </si>
  <si>
    <t>personnel_teach_spedt2_detailed_othersch_f</t>
  </si>
  <si>
    <t>personnel_teach_spedt1_psipop</t>
  </si>
  <si>
    <t>personnel_teach_spedt1_actual_m</t>
  </si>
  <si>
    <t>personnel_teach_spedt1_actual_f</t>
  </si>
  <si>
    <t>personnel_teach_spedt1_onleave</t>
  </si>
  <si>
    <t>personnel_teach_spedt1_vacant</t>
  </si>
  <si>
    <t>personnel_teach_spedt1_detailed_office_withind</t>
  </si>
  <si>
    <t>personnel_teach_spedt1_detailed_secsch_withind</t>
  </si>
  <si>
    <t>personnel_teach_spedt1_detailed_outdiv</t>
  </si>
  <si>
    <t>personnel_teach_spedt1_detailed_othersch_m</t>
  </si>
  <si>
    <t>personnel_teach_spedt1_detailed_othersch_f</t>
  </si>
  <si>
    <t>personnel_teach_handling_kinder_m</t>
  </si>
  <si>
    <t>es_teacher_handling</t>
  </si>
  <si>
    <t>personnel_teach_handling_kinder_f</t>
  </si>
  <si>
    <t>personnel_teach_handling_kinder_detailed_othersch_m</t>
  </si>
  <si>
    <t>personnel_teach_handling_kinder_detailed_othersch_f</t>
  </si>
  <si>
    <t>personnel_teach_handling_g1to6_m</t>
  </si>
  <si>
    <t>personnel_teach_handling_g1to6_f</t>
  </si>
  <si>
    <t>personnel_teach_handling_g1to6_detailed_othersch_m</t>
  </si>
  <si>
    <t>personnel_teach_handling_g1to6_detailed_othersch_f</t>
  </si>
  <si>
    <t>personnel_teach_handling_alivecl_m</t>
  </si>
  <si>
    <t>personnel_teach_handling_alivecl_f</t>
  </si>
  <si>
    <t>personnel_teach_handling_alivecl_detailed_othersch_m</t>
  </si>
  <si>
    <t>personnel_teach_handling_alivecl_detailed_othersch_f</t>
  </si>
  <si>
    <t>personnel_teach_handling_spedcl_m</t>
  </si>
  <si>
    <t>personnel_teach_handling_spedcl_f</t>
  </si>
  <si>
    <t>personnel_teach_handling_spedcl_detailed_othersch_m</t>
  </si>
  <si>
    <t>personnel_teach_handling_spedcl_detailed_othersch_f</t>
  </si>
  <si>
    <t>personnel_teach_handling_alscl_m</t>
  </si>
  <si>
    <t>personnel_teach_handling_alscl_f</t>
  </si>
  <si>
    <t>personnel_teach_handling_alscl_detailed_othersch_m</t>
  </si>
  <si>
    <t>personnel_teach_handling_alscl_detailed_othersch_f</t>
  </si>
  <si>
    <t>personnel_teach_handling_dalsc_m</t>
  </si>
  <si>
    <t>personnel_teach_handling_dalsc_f</t>
  </si>
  <si>
    <t>personnel_teach_handling_dalsc_detailed_othersch_m</t>
  </si>
  <si>
    <t>personnel_teach_handling_dalsc_detailed_othersch_f</t>
  </si>
  <si>
    <t>personnel_teach_handling_sch_als_m</t>
  </si>
  <si>
    <t>personnel_teach_handling_sch_als_f</t>
  </si>
  <si>
    <t>personnel_teach_handling_sch_als_detailed_othersch_m</t>
  </si>
  <si>
    <t>personnel_teach_handling_sch_als_detailed_othersch_f</t>
  </si>
  <si>
    <t>personnel_teach_handling_ancilliary_m</t>
  </si>
  <si>
    <t>personnel_teach_handling_ancilliary_f</t>
  </si>
  <si>
    <t>personnel_teach_handling_ancilliary_detailed_othersch_m</t>
  </si>
  <si>
    <t>personnel_teach_handling_ancilliary_detailed_othersch_f</t>
  </si>
  <si>
    <t>teach_assign_mt4_fullt_noancilliary</t>
  </si>
  <si>
    <t>es_teacher_assignment</t>
  </si>
  <si>
    <t>Tables12-13'!$J$7</t>
  </si>
  <si>
    <t>teach_assign_mt4_fullt_ancilliary_addload</t>
  </si>
  <si>
    <t>Tables12-13'!$P$7</t>
  </si>
  <si>
    <t>teach_assign_mt4_part_ancilliary_200min</t>
  </si>
  <si>
    <t>Tables12-13'!$V$7</t>
  </si>
  <si>
    <t>teach_assign_mt4_part_ancilliary_less200min</t>
  </si>
  <si>
    <t>Tables12-13'!$AB$7</t>
  </si>
  <si>
    <t>teach_assign_mt4_fullt_ancilliary</t>
  </si>
  <si>
    <t>Tables12-13'!$AH$7</t>
  </si>
  <si>
    <t>teach_assign_mt3_fullt_noancilliary</t>
  </si>
  <si>
    <t>Tables12-13'!$J$8</t>
  </si>
  <si>
    <t>teach_assign_mt3_fullt_ancilliary_addload</t>
  </si>
  <si>
    <t>Tables12-13'!$P$8</t>
  </si>
  <si>
    <t>teach_assign_mt3_part_ancilliary_200min</t>
  </si>
  <si>
    <t>Tables12-13'!$V$8</t>
  </si>
  <si>
    <t>teach_assign_mt3_part_ancilliary_less200min</t>
  </si>
  <si>
    <t>Tables12-13'!$AB$8</t>
  </si>
  <si>
    <t>teach_assign_mt3_fullt_ancilliary</t>
  </si>
  <si>
    <t>Tables12-13'!$AH$8</t>
  </si>
  <si>
    <t>teach_assign_mt2_fullt_noancilliary</t>
  </si>
  <si>
    <t>Tables12-13'!$J$9</t>
  </si>
  <si>
    <t>teach_assign_mt2_fullt_ancilliary_addload</t>
  </si>
  <si>
    <t>Tables12-13'!$P$9</t>
  </si>
  <si>
    <t>teach_assign_mt2_part_ancilliary_200min</t>
  </si>
  <si>
    <t>Tables12-13'!$V$9</t>
  </si>
  <si>
    <t>teach_assign_mt2_part_ancilliary_less200min</t>
  </si>
  <si>
    <t>Tables12-13'!$AB$9</t>
  </si>
  <si>
    <t>teach_assign_mt2_fullt_ancilliary</t>
  </si>
  <si>
    <t>Tables12-13'!$AH$9</t>
  </si>
  <si>
    <t>teach_assign_mt1_fullt_noancilliary</t>
  </si>
  <si>
    <t>Tables12-13'!$J$10</t>
  </si>
  <si>
    <t>teach_assign_mt1_fullt_ancilliary_addload</t>
  </si>
  <si>
    <t>Tables12-13'!$P$10</t>
  </si>
  <si>
    <t>teach_assign_mt1_part_ancilliary_200min</t>
  </si>
  <si>
    <t>Tables12-13'!$V$10</t>
  </si>
  <si>
    <t>teach_assign_mt1_part_ancilliary_less200min</t>
  </si>
  <si>
    <t>Tables12-13'!$AB$10</t>
  </si>
  <si>
    <t>teach_assign_mt1_fullt_ancilliary</t>
  </si>
  <si>
    <t>Tables12-13'!$AH$10</t>
  </si>
  <si>
    <t>teach_assign_t3_fullt_noancilliary</t>
  </si>
  <si>
    <t>Tables12-13'!$J$11</t>
  </si>
  <si>
    <t>teach_assign_t3_fullt_ancilliary_addload</t>
  </si>
  <si>
    <t>Tables12-13'!$P$11</t>
  </si>
  <si>
    <t>teach_assign_t3_part_ancilliary_200min</t>
  </si>
  <si>
    <t>Tables12-13'!$V$11</t>
  </si>
  <si>
    <t>teach_assign_t3_part_ancilliary_less200min</t>
  </si>
  <si>
    <t>Tables12-13'!$AB$11</t>
  </si>
  <si>
    <t>teach_assign_t3_fullt_ancilliary</t>
  </si>
  <si>
    <t>Tables12-13'!$AH$11</t>
  </si>
  <si>
    <t>teach_assign_t2_fullt_noancilliary</t>
  </si>
  <si>
    <t>Tables12-13'!$J$12</t>
  </si>
  <si>
    <t>teach_assign_t2_fullt_ancilliary_addload</t>
  </si>
  <si>
    <t>Tables12-13'!$P$12</t>
  </si>
  <si>
    <t>teach_assign_t2_part_ancilliary_200min</t>
  </si>
  <si>
    <t>Tables12-13'!$V$12</t>
  </si>
  <si>
    <t>teach_assign_t2_part_ancilliary_less200min</t>
  </si>
  <si>
    <t>Tables12-13'!$AB$12</t>
  </si>
  <si>
    <t>teach_assign_t2_fullt_ancilliary</t>
  </si>
  <si>
    <t>Tables12-13'!$AH$12</t>
  </si>
  <si>
    <t>teach_assign_t1_fullt_noancilliary</t>
  </si>
  <si>
    <t>Tables12-13'!$J$13</t>
  </si>
  <si>
    <t>teach_assign_t1_fullt_ancilliary_addload</t>
  </si>
  <si>
    <t>Tables12-13'!$P$13</t>
  </si>
  <si>
    <t>teach_assign_t1_part_ancilliary_200min</t>
  </si>
  <si>
    <t>Tables12-13'!$V$13</t>
  </si>
  <si>
    <t>teach_assign_t1_part_ancilliary_less200min</t>
  </si>
  <si>
    <t>Tables12-13'!$AB$13</t>
  </si>
  <si>
    <t>teach_assign_t1_fullt_ancilliary</t>
  </si>
  <si>
    <t>Tables12-13'!$AH$13</t>
  </si>
  <si>
    <t>teach_assign_spedt5_fullt_noancilliary</t>
  </si>
  <si>
    <t>Tables12-13'!$J$14</t>
  </si>
  <si>
    <t>teach_assign_spedt5_fullt_ancilliary_addload</t>
  </si>
  <si>
    <t>Tables12-13'!$P$14</t>
  </si>
  <si>
    <t>teach_assign_spedt5_part_ancilliary_200min</t>
  </si>
  <si>
    <t>Tables12-13'!$V$14</t>
  </si>
  <si>
    <t>teach_assign_spedt5_part_ancilliary_less200min</t>
  </si>
  <si>
    <t>Tables12-13'!$AB$14</t>
  </si>
  <si>
    <t>teach_assign_spedt5_fullt_ancilliary</t>
  </si>
  <si>
    <t>Tables12-13'!$AH$14</t>
  </si>
  <si>
    <t>teach_assign_spedt4_fullt_noancilliary</t>
  </si>
  <si>
    <t>Tables12-13'!$J$15</t>
  </si>
  <si>
    <t>teach_assign_spedt4_fullt_ancilliary_addload</t>
  </si>
  <si>
    <t>Tables12-13'!$P$15</t>
  </si>
  <si>
    <t>teach_assign_spedt4_part_ancilliary_200min</t>
  </si>
  <si>
    <t>Tables12-13'!$V$15</t>
  </si>
  <si>
    <t>teach_assign_spedt4_part_ancilliary_less200min</t>
  </si>
  <si>
    <t>Tables12-13'!$AB$15</t>
  </si>
  <si>
    <t>teach_assign_spedt4_fullt_ancilliary</t>
  </si>
  <si>
    <t>Tables12-13'!$AH$15</t>
  </si>
  <si>
    <t>teach_assign_spedt3_fullt_noancilliary</t>
  </si>
  <si>
    <t>Tables12-13'!$J$16</t>
  </si>
  <si>
    <t>teach_assign_spedt3_fullt_ancilliary_addload</t>
  </si>
  <si>
    <t>Tables12-13'!$P$16</t>
  </si>
  <si>
    <t>teach_assign_spedt3_part_ancilliary_200min</t>
  </si>
  <si>
    <t>Tables12-13'!$V$16</t>
  </si>
  <si>
    <t>teach_assign_spedt3_part_ancilliary_less200min</t>
  </si>
  <si>
    <t>Tables12-13'!$AB$16</t>
  </si>
  <si>
    <t>teach_assign_spedt3_fullt_ancilliary</t>
  </si>
  <si>
    <t>Tables12-13'!$AH$16</t>
  </si>
  <si>
    <t>teach_assign_spedt2_fullt_noancilliary</t>
  </si>
  <si>
    <t>Tables12-13'!$J$17</t>
  </si>
  <si>
    <t>teach_assign_spedt2_fullt_ancilliary_addload</t>
  </si>
  <si>
    <t>Tables12-13'!$P$17</t>
  </si>
  <si>
    <t>teach_assign_spedt2_part_ancilliary_200min</t>
  </si>
  <si>
    <t>Tables12-13'!$V$17</t>
  </si>
  <si>
    <t>teach_assign_spedt2_part_ancilliary_less200min</t>
  </si>
  <si>
    <t>Tables12-13'!$AB$17</t>
  </si>
  <si>
    <t>teach_assign_spedt2_fullt_ancilliary</t>
  </si>
  <si>
    <t>Tables12-13'!$AH$17</t>
  </si>
  <si>
    <t>teach_assign_spedt1_fullt_noancilliary</t>
  </si>
  <si>
    <t>Tables12-13'!$J$18</t>
  </si>
  <si>
    <t>teach_assign_spedt1_fullt_ancilliary_addload</t>
  </si>
  <si>
    <t>Tables12-13'!$P$18</t>
  </si>
  <si>
    <t>teach_assign_spedt1_part_ancilliary_200min</t>
  </si>
  <si>
    <t>Tables12-13'!$V$18</t>
  </si>
  <si>
    <t>teach_assign_spedt1_part_ancilliary_less200min</t>
  </si>
  <si>
    <t>Tables12-13'!$AB$18</t>
  </si>
  <si>
    <t>teach_assign_spedt1_fullt_ancilliary</t>
  </si>
  <si>
    <t>Tables12-13'!$AH$18</t>
  </si>
  <si>
    <t>teach_received_trainings_mtIV_m</t>
  </si>
  <si>
    <t>es_teacher_training_inservice</t>
  </si>
  <si>
    <t>teach_received_trainings_mtIV_f</t>
  </si>
  <si>
    <t>teach_received_trainings_mtIII_m</t>
  </si>
  <si>
    <t>teach_received_trainings_mtIII_f</t>
  </si>
  <si>
    <t>teach_received_trainings_mtII_m</t>
  </si>
  <si>
    <t>teach_received_trainings_mtII_f</t>
  </si>
  <si>
    <t>teach_received_trainings_mtI_m</t>
  </si>
  <si>
    <t>teach_received_trainings_mtI_f</t>
  </si>
  <si>
    <t>teach_received_trainings_tIII_m</t>
  </si>
  <si>
    <t>teach_received_trainings_tIII_f</t>
  </si>
  <si>
    <t>teach_received_trainings_tII_m</t>
  </si>
  <si>
    <t>teach_received_trainings_tII_f</t>
  </si>
  <si>
    <t>teach_received_trainings_tI_m</t>
  </si>
  <si>
    <t>teach_received_trainings_tI_f</t>
  </si>
  <si>
    <t>teach_received_trainings_spedV_m</t>
  </si>
  <si>
    <t>teach_received_trainings_spedV_f</t>
  </si>
  <si>
    <t>teach_received_trainings_spedIV_m</t>
  </si>
  <si>
    <t>teach_received_trainings_spedIV_f</t>
  </si>
  <si>
    <t>teach_received_trainings_spedIII_m</t>
  </si>
  <si>
    <t>teach_received_trainings_spedIII_f</t>
  </si>
  <si>
    <t>teach_received_trainings_spedII_m</t>
  </si>
  <si>
    <t>teach_received_trainings_spedII_f</t>
  </si>
  <si>
    <t>teach_received_trainings_spedI_m</t>
  </si>
  <si>
    <t>teach_received_trainings_spedI_f</t>
  </si>
  <si>
    <t>Tables12-13'!$J$30</t>
  </si>
  <si>
    <t>Tables12-13'!$P$30</t>
  </si>
  <si>
    <t>Tables12-13'!$J$29</t>
  </si>
  <si>
    <t>Tables12-13'!$P$29</t>
  </si>
  <si>
    <t>Tables12-13'!$J$31</t>
  </si>
  <si>
    <t>Tables12-13'!$P$31</t>
  </si>
  <si>
    <t>Tables12-13'!$J$32</t>
  </si>
  <si>
    <t>Tables12-13'!$P$32</t>
  </si>
  <si>
    <t>Tables12-13'!$J$33</t>
  </si>
  <si>
    <t>Tables12-13'!$P$33</t>
  </si>
  <si>
    <t>Tables12-13'!$J$34</t>
  </si>
  <si>
    <t>Tables12-13'!$P$34</t>
  </si>
  <si>
    <t>Tables12-13'!$J$35</t>
  </si>
  <si>
    <t>Tables12-13'!$P$35</t>
  </si>
  <si>
    <t>Tables12-13'!$J$36</t>
  </si>
  <si>
    <t>Tables12-13'!$P$36</t>
  </si>
  <si>
    <t>Tables12-13'!$J$37</t>
  </si>
  <si>
    <t>Tables12-13'!$P$37</t>
  </si>
  <si>
    <t>Tables12-13'!$J$38</t>
  </si>
  <si>
    <t>Tables12-13'!$P$38</t>
  </si>
  <si>
    <t>Tables12-13'!$J$39</t>
  </si>
  <si>
    <t>Tables12-13'!$P$39</t>
  </si>
  <si>
    <t>Tables12-13'!$J$40</t>
  </si>
  <si>
    <t>Tables12-13'!$P$40</t>
  </si>
  <si>
    <t>teach_received_trainings_ictintegration_kinder_m</t>
  </si>
  <si>
    <t>es_teachers_trained_ict</t>
  </si>
  <si>
    <t>Tables14-15'!$L$7</t>
  </si>
  <si>
    <t>teach_received_trainings_ictintegration_kinder_f</t>
  </si>
  <si>
    <t>Tables14-15'!$O$7</t>
  </si>
  <si>
    <t>teach_received_trainings_ictintegration_gr1to6_m</t>
  </si>
  <si>
    <t>Tables14-15'!$U$7</t>
  </si>
  <si>
    <t>teach_received_trainings_ictintegration_gr1to6_f</t>
  </si>
  <si>
    <t>Tables14-15'!$X$7</t>
  </si>
  <si>
    <t>teach_received_trainings_ictliteracy_kinder_m</t>
  </si>
  <si>
    <t>Tables14-15'!$L$8</t>
  </si>
  <si>
    <t>teach_received_trainings_ictliteracy_kinder_f</t>
  </si>
  <si>
    <t>Tables14-15'!$O$8</t>
  </si>
  <si>
    <t>teach_received_trainings_ictliteracy_gr1to6_m</t>
  </si>
  <si>
    <t>Tables14-15'!$U$8</t>
  </si>
  <si>
    <t>teach_received_trainings_ictliteracy_gr1to6_f</t>
  </si>
  <si>
    <t>Tables14-15'!$X$8</t>
  </si>
  <si>
    <t>teach_received_trainings_software_kinder_m</t>
  </si>
  <si>
    <t>Tables14-15'!$L$9</t>
  </si>
  <si>
    <t>teach_received_trainings_software_kinder_f</t>
  </si>
  <si>
    <t>Tables14-15'!$O$9</t>
  </si>
  <si>
    <t>teach_received_trainings_software_grade1to6_m</t>
  </si>
  <si>
    <t>Tables14-15'!$U$9</t>
  </si>
  <si>
    <t>teach_received_trainings_software_grade1to6_f</t>
  </si>
  <si>
    <t>Tables14-15'!$X$9</t>
  </si>
  <si>
    <t>teach_received_trainings_hardware_kinder_m</t>
  </si>
  <si>
    <t>Tables14-15'!$L$10</t>
  </si>
  <si>
    <t>teach_received_trainings_hardware_kinder_f</t>
  </si>
  <si>
    <t>Tables14-15'!$O$10</t>
  </si>
  <si>
    <t>teach_received_trainings_hardware_grade1to6_m</t>
  </si>
  <si>
    <t>Tables14-15'!$U$10</t>
  </si>
  <si>
    <t>teach_received_trainings_hardware_grade1to6_f</t>
  </si>
  <si>
    <t>Tables14-15'!$X$10</t>
  </si>
  <si>
    <t>teach_received_trainings_others_kinder_m</t>
  </si>
  <si>
    <t>Tables14-15'!$L$11</t>
  </si>
  <si>
    <t>teach_received_trainings_others_kinder_f</t>
  </si>
  <si>
    <t>Tables14-15'!$O$11</t>
  </si>
  <si>
    <t>teach_received_trainings_others_grade1to6_m</t>
  </si>
  <si>
    <t>Tables14-15'!$U$11</t>
  </si>
  <si>
    <t>teach_received_trainings_others_grade1to6_f</t>
  </si>
  <si>
    <t>Tables14-15'!$X$11</t>
  </si>
  <si>
    <t>teach_received_trainings_pedagogy_constructivist_k_m</t>
  </si>
  <si>
    <t>es_teachers_trained_pedagogy</t>
  </si>
  <si>
    <t>teach_received_trainings_pedagogy_constructivist_k_f</t>
  </si>
  <si>
    <t>teach_received_trainings_pedagogy_constructivist_gr1to6_m</t>
  </si>
  <si>
    <t>teach_received_trainings_pedagogy_constructivist_gr1to6_f</t>
  </si>
  <si>
    <t>teach_received_trainings_pedagogy_inquirybased_k_m</t>
  </si>
  <si>
    <t>teach_received_trainings_pedagogy_inquirybased_k_f</t>
  </si>
  <si>
    <t>teach_received_trainings_pedagogy_inquirybased_gr1to6_m</t>
  </si>
  <si>
    <t>teach_received_trainings_pedagogy_inquirybased_gr1to6_f</t>
  </si>
  <si>
    <t>teach_received_trainings_pedagogy_reflective_k_m</t>
  </si>
  <si>
    <t>teach_received_trainings_pedagogy_reflective_k_f</t>
  </si>
  <si>
    <t>teach_received_trainings_pedagogy_reflective_gr1to6_m</t>
  </si>
  <si>
    <t>teach_received_trainings_pedagogy_reflective_gr1to6_f</t>
  </si>
  <si>
    <t>teach_received_trainings_pedagogy_collaborative_k_m</t>
  </si>
  <si>
    <t>teach_received_trainings_pedagogy_collaborative_k_f</t>
  </si>
  <si>
    <t>teach_received_trainings_pedagogy_collaborative_gr1to6_m</t>
  </si>
  <si>
    <t>teach_received_trainings_pedagogy_collaborative_gr1to6_f</t>
  </si>
  <si>
    <t>teach_received_trainings_pedagogy_integrative_k_m</t>
  </si>
  <si>
    <t>teach_received_trainings_pedagogy_integrative_k_f</t>
  </si>
  <si>
    <t>teach_received_trainings_pedagogy_integrative_gr1to6_m</t>
  </si>
  <si>
    <t>teach_received_trainings_pedagogy_integrative_gr1to6_f</t>
  </si>
  <si>
    <t>teach_received_trainings_pedagogy_inclusiveeduc_k_m</t>
  </si>
  <si>
    <t>teach_received_trainings_pedagogy_inclusiveeduc_k_f</t>
  </si>
  <si>
    <t>teach_received_trainings_pedagogy_inclusiveeduc_gr1to6_m</t>
  </si>
  <si>
    <t>teach_received_trainings_pedagogy_inclusiveeduc_gr1to6_f</t>
  </si>
  <si>
    <t>teach_received_trainings_pedagogy_others_k_m</t>
  </si>
  <si>
    <t>teach_received_trainings_pedagogy_others_k_f</t>
  </si>
  <si>
    <t>teach_received_trainings_pedagogy_others_gr1to6_m</t>
  </si>
  <si>
    <t>teach_received_trainings_pedagogy_others_gr1to6_f</t>
  </si>
  <si>
    <t>Tables14-15'!$L$28</t>
  </si>
  <si>
    <t>Tables14-15'!$O$28</t>
  </si>
  <si>
    <t>Tables14-15'!$U$28</t>
  </si>
  <si>
    <t>Tables14-15'!$X$28</t>
  </si>
  <si>
    <t>Tables14-15'!$L$27</t>
  </si>
  <si>
    <t>Tables14-15'!$O$27</t>
  </si>
  <si>
    <t>Tables14-15'!$U$27</t>
  </si>
  <si>
    <t>Tables14-15'!$X$27</t>
  </si>
  <si>
    <t>Tables14-15'!$L$29</t>
  </si>
  <si>
    <t>Tables14-15'!$O$29</t>
  </si>
  <si>
    <t>Tables14-15'!$U$29</t>
  </si>
  <si>
    <t>Tables14-15'!$X$29</t>
  </si>
  <si>
    <t>Tables14-15'!$L$30</t>
  </si>
  <si>
    <t>Tables14-15'!$O$30</t>
  </si>
  <si>
    <t>Tables14-15'!$U$30</t>
  </si>
  <si>
    <t>Tables14-15'!$X$30</t>
  </si>
  <si>
    <t>Tables14-15'!$L$31</t>
  </si>
  <si>
    <t>Tables14-15'!$O$31</t>
  </si>
  <si>
    <t>Tables14-15'!$U$31</t>
  </si>
  <si>
    <t>Tables14-15'!$X$31</t>
  </si>
  <si>
    <t>Tables14-15'!$L$32</t>
  </si>
  <si>
    <t>Tables14-15'!$O$32</t>
  </si>
  <si>
    <t>Tables14-15'!$U$32</t>
  </si>
  <si>
    <t>Tables14-15'!$X$32</t>
  </si>
  <si>
    <t>Tables14-15'!$L$33</t>
  </si>
  <si>
    <t>Tables14-15'!$O$33</t>
  </si>
  <si>
    <t>Tables14-15'!$U$33</t>
  </si>
  <si>
    <t>Tables14-15'!$X$33</t>
  </si>
  <si>
    <t>numteach_kinder_m</t>
  </si>
  <si>
    <t>es_teacher_bygrade</t>
  </si>
  <si>
    <t>Tables16-17'!$J$7</t>
  </si>
  <si>
    <t>numteach_kinder_f</t>
  </si>
  <si>
    <t>Tables16-17'!$M$7</t>
  </si>
  <si>
    <t>numteach_morethance_kinder_m</t>
  </si>
  <si>
    <t>Tables16-17'!$S$7</t>
  </si>
  <si>
    <t>numteach_morethance_kinder_f</t>
  </si>
  <si>
    <t>Tables16-17'!$V$7</t>
  </si>
  <si>
    <t>numteach_g1_m</t>
  </si>
  <si>
    <t>Tables16-17'!$J$8</t>
  </si>
  <si>
    <t>numteach_g1_f</t>
  </si>
  <si>
    <t>Tables16-17'!$M$8</t>
  </si>
  <si>
    <t>numteach_morethance_g1_m</t>
  </si>
  <si>
    <t>Tables16-17'!$S$8</t>
  </si>
  <si>
    <t>numteach_morethance_g1_f</t>
  </si>
  <si>
    <t>Tables16-17'!$V$8</t>
  </si>
  <si>
    <t>numteach_g2_m</t>
  </si>
  <si>
    <t>Tables16-17'!$J$9</t>
  </si>
  <si>
    <t>numteach_g2_f</t>
  </si>
  <si>
    <t>Tables16-17'!$M$9</t>
  </si>
  <si>
    <t>numteach_morethance_g2_m</t>
  </si>
  <si>
    <t>Tables16-17'!$S$9</t>
  </si>
  <si>
    <t>numteach_morethance_g2_f</t>
  </si>
  <si>
    <t>Tables16-17'!$V$9</t>
  </si>
  <si>
    <t>numteach_g3_m</t>
  </si>
  <si>
    <t>Tables16-17'!$J$10</t>
  </si>
  <si>
    <t>numteach_g3_f</t>
  </si>
  <si>
    <t>Tables16-17'!$M$10</t>
  </si>
  <si>
    <t>numteach_morethance_g3_m</t>
  </si>
  <si>
    <t>Tables16-17'!$S$10</t>
  </si>
  <si>
    <t>numteach_morethance_g3_f</t>
  </si>
  <si>
    <t>Tables16-17'!$V$10</t>
  </si>
  <si>
    <t>numteach_g4_m</t>
  </si>
  <si>
    <t>Tables16-17'!$J$11</t>
  </si>
  <si>
    <t>numteach_g4_f</t>
  </si>
  <si>
    <t>Tables16-17'!$M$11</t>
  </si>
  <si>
    <t>numteach_morethance_g4_m</t>
  </si>
  <si>
    <t>Tables16-17'!$S$11</t>
  </si>
  <si>
    <t>numteach_morethance_g4_f</t>
  </si>
  <si>
    <t>Tables16-17'!$V$11</t>
  </si>
  <si>
    <t>numteach_g5_m</t>
  </si>
  <si>
    <t>Tables16-17'!$J$12</t>
  </si>
  <si>
    <t>numteach_g5_f</t>
  </si>
  <si>
    <t>Tables16-17'!$M$12</t>
  </si>
  <si>
    <t>numteach_morethance_g5_m</t>
  </si>
  <si>
    <t>Tables16-17'!$S$12</t>
  </si>
  <si>
    <t>numteach_morethance_g5_f</t>
  </si>
  <si>
    <t>Tables16-17'!$V$12</t>
  </si>
  <si>
    <t>numteach_g6_m</t>
  </si>
  <si>
    <t>Tables16-17'!$J$13</t>
  </si>
  <si>
    <t>numteach_g6_f</t>
  </si>
  <si>
    <t>Tables16-17'!$M$13</t>
  </si>
  <si>
    <t>numteach_morethance_g6_m</t>
  </si>
  <si>
    <t>Tables16-17'!$S$13</t>
  </si>
  <si>
    <t>numteach_morethance_g6_f</t>
  </si>
  <si>
    <t>Tables16-17'!$V$13</t>
  </si>
  <si>
    <t>numteach_sped_m</t>
  </si>
  <si>
    <t>Tables16-17'!$J$14</t>
  </si>
  <si>
    <t>numteach_sped_f</t>
  </si>
  <si>
    <t>Tables16-17'!$M$14</t>
  </si>
  <si>
    <t>numteach_morethance_sped_m</t>
  </si>
  <si>
    <t>Tables16-17'!$S$14</t>
  </si>
  <si>
    <t>numteach_morethance_sped_f</t>
  </si>
  <si>
    <t>Tables16-17'!$V$14</t>
  </si>
  <si>
    <t>numteach_assign_eng_g4_m</t>
  </si>
  <si>
    <t>es_teacher_g4_g5_g6</t>
  </si>
  <si>
    <t>numteach_assign_eng_g4_f</t>
  </si>
  <si>
    <t>numteach_assign_eng_g5_m</t>
  </si>
  <si>
    <t>numteach_assign_eng_g5_f</t>
  </si>
  <si>
    <t>numteach_assign_eng_g6_m</t>
  </si>
  <si>
    <t>numteach_assign_eng_g6_f</t>
  </si>
  <si>
    <t>numteach_assign_math_g4_m</t>
  </si>
  <si>
    <t>numteach_assign_math_g4_f</t>
  </si>
  <si>
    <t>numteach_assign_math_g5_m</t>
  </si>
  <si>
    <t>numteach_assign_math_g5_f</t>
  </si>
  <si>
    <t>numteach_assign_math_g6_m</t>
  </si>
  <si>
    <t>numteach_assign_math_g6_f</t>
  </si>
  <si>
    <t>numteach_assign_fil_g4_m</t>
  </si>
  <si>
    <t>numteach_assign_fil_g4_f</t>
  </si>
  <si>
    <t>numteach_assign_fil_g5_m</t>
  </si>
  <si>
    <t>numteach_assign_fil_g5_f</t>
  </si>
  <si>
    <t>numteach_assign_fil_g6_m</t>
  </si>
  <si>
    <t>numteach_assign_fil_g6_f</t>
  </si>
  <si>
    <t>numteach_assign_sci_g4_m</t>
  </si>
  <si>
    <t>numteach_assign_sci_g4_f</t>
  </si>
  <si>
    <t>numteach_assign_sci_g5_m</t>
  </si>
  <si>
    <t>numteach_assign_sci_g5_f</t>
  </si>
  <si>
    <t>numteach_assign_sci_g6_m</t>
  </si>
  <si>
    <t>numteach_assign_sci_g6_f</t>
  </si>
  <si>
    <t>numteach_assign_ap_g4_m</t>
  </si>
  <si>
    <t>numteach_assign_ap_g4_f</t>
  </si>
  <si>
    <t>numteach_assign_ap_g5_m</t>
  </si>
  <si>
    <t>numteach_assign_ap_g5_f</t>
  </si>
  <si>
    <t>numteach_assign_ap_g6_m</t>
  </si>
  <si>
    <t>numteach_assign_ap_g6_f</t>
  </si>
  <si>
    <t>numteach_assign_epp_tle_g4_m</t>
  </si>
  <si>
    <t>numteach_assign_epp_tle_g4_f</t>
  </si>
  <si>
    <t>numteach_assign_epp_tle_g5_m</t>
  </si>
  <si>
    <t>numteach_assign_epp_tle_g5_f</t>
  </si>
  <si>
    <t>numteach_assign_epp_tle_g6_m</t>
  </si>
  <si>
    <t>numteach_assign_epp_tle_g6_f</t>
  </si>
  <si>
    <t>numteach_assign_mapeh_g4_m</t>
  </si>
  <si>
    <t>numteach_assign_mapeh_g4_f</t>
  </si>
  <si>
    <t>numteach_assign_mapeh_g5_m</t>
  </si>
  <si>
    <t>numteach_assign_mapeh_g5_f</t>
  </si>
  <si>
    <t>numteach_assign_mapeh_g6_m</t>
  </si>
  <si>
    <t>numteach_assign_mapeh_g6_f</t>
  </si>
  <si>
    <t>numteach_assign_esp_g4_m</t>
  </si>
  <si>
    <t>numteach_assign_esp_g4_f</t>
  </si>
  <si>
    <t>numteach_assign_esp_g5_m</t>
  </si>
  <si>
    <t>numteach_assign_esp_g5_f</t>
  </si>
  <si>
    <t>numteach_assign_esp_g6_m</t>
  </si>
  <si>
    <t>numteach_assign_esp_g6_f</t>
  </si>
  <si>
    <t>Tables16-17'!$AQ$7</t>
  </si>
  <si>
    <t>Tables16-17'!$AQ$8</t>
  </si>
  <si>
    <t>Tables16-17'!$AQ$9</t>
  </si>
  <si>
    <t>Tables16-17'!$AQ$10</t>
  </si>
  <si>
    <t>Tables16-17'!$AQ$11</t>
  </si>
  <si>
    <t>Tables16-17'!$AQ$12</t>
  </si>
  <si>
    <t>Tables16-17'!$AQ$13</t>
  </si>
  <si>
    <t>Tables16-17'!$AQ$14</t>
  </si>
  <si>
    <t>Tables16-17'!$AT$7</t>
  </si>
  <si>
    <t>Tables16-17'!$AT$8</t>
  </si>
  <si>
    <t>Tables16-17'!$AT$9</t>
  </si>
  <si>
    <t>Tables16-17'!$AT$10</t>
  </si>
  <si>
    <t>Tables16-17'!$AT$11</t>
  </si>
  <si>
    <t>Tables16-17'!$AT$12</t>
  </si>
  <si>
    <t>Tables16-17'!$AT$13</t>
  </si>
  <si>
    <t>Tables16-17'!$AT$14</t>
  </si>
  <si>
    <t>Tables16-17'!$AZ$7</t>
  </si>
  <si>
    <t>Tables16-17'!$AZ$8</t>
  </si>
  <si>
    <t>Tables16-17'!$AZ$9</t>
  </si>
  <si>
    <t>Tables16-17'!$AZ$10</t>
  </si>
  <si>
    <t>Tables16-17'!$AZ$11</t>
  </si>
  <si>
    <t>Tables16-17'!$AZ$12</t>
  </si>
  <si>
    <t>Tables16-17'!$AZ$13</t>
  </si>
  <si>
    <t>Tables16-17'!$AZ$14</t>
  </si>
  <si>
    <t>Tables16-17'!$BC$7</t>
  </si>
  <si>
    <t>Tables16-17'!$BC$8</t>
  </si>
  <si>
    <t>Tables16-17'!$BC$9</t>
  </si>
  <si>
    <t>Tables16-17'!$BC$10</t>
  </si>
  <si>
    <t>Tables16-17'!$BC$11</t>
  </si>
  <si>
    <t>Tables16-17'!$BC$12</t>
  </si>
  <si>
    <t>Tables16-17'!$BC$13</t>
  </si>
  <si>
    <t>Tables16-17'!$BC$14</t>
  </si>
  <si>
    <t>Tables16-17'!$BI$7</t>
  </si>
  <si>
    <t>Tables16-17'!$BI$8</t>
  </si>
  <si>
    <t>Tables16-17'!$BI$9</t>
  </si>
  <si>
    <t>Tables16-17'!$BI$10</t>
  </si>
  <si>
    <t>Tables16-17'!$BI$11</t>
  </si>
  <si>
    <t>Tables16-17'!$BI$12</t>
  </si>
  <si>
    <t>Tables16-17'!$BI$13</t>
  </si>
  <si>
    <t>Tables16-17'!$BI$14</t>
  </si>
  <si>
    <t>Tables16-17'!$BL$7</t>
  </si>
  <si>
    <t>Tables16-17'!$BL$8</t>
  </si>
  <si>
    <t>Tables16-17'!$BL$9</t>
  </si>
  <si>
    <t>Tables16-17'!$BL$10</t>
  </si>
  <si>
    <t>Tables16-17'!$BL$11</t>
  </si>
  <si>
    <t>Tables16-17'!$BL$12</t>
  </si>
  <si>
    <t>Tables16-17'!$BL$13</t>
  </si>
  <si>
    <t>Tables16-17'!$BL$14</t>
  </si>
  <si>
    <t>numteach_highest_educ_attainment_bachelor_m</t>
  </si>
  <si>
    <t>es_teacher_highest_education</t>
  </si>
  <si>
    <t>Table18-Boxes1-2'!$K$6</t>
  </si>
  <si>
    <t>numteach_highest_educ_attainment_bachelor_f</t>
  </si>
  <si>
    <t>Table18-Boxes1-2'!$P$6</t>
  </si>
  <si>
    <t>numteach_highest_educ_attainment_master_units_m</t>
  </si>
  <si>
    <t>Table18-Boxes1-2'!$K$7</t>
  </si>
  <si>
    <t>numteach_highest_educ_attainment_master_units_f</t>
  </si>
  <si>
    <t>Table18-Boxes1-2'!$P$7</t>
  </si>
  <si>
    <t>numteach_highest_educ_attainment_master_m</t>
  </si>
  <si>
    <t>Table18-Boxes1-2'!$K$8</t>
  </si>
  <si>
    <t>numteach_highest_educ_attainment_master_f</t>
  </si>
  <si>
    <t>Table18-Boxes1-2'!$P$8</t>
  </si>
  <si>
    <t>numteach_highest_educ_attainment_doctor_units_m</t>
  </si>
  <si>
    <t>Table18-Boxes1-2'!$K$9</t>
  </si>
  <si>
    <t>numteach_highest_educ_attainment_doctor_units_f</t>
  </si>
  <si>
    <t>Table18-Boxes1-2'!$P$9</t>
  </si>
  <si>
    <t>numteach_highest_educ_attainment_doctor_m</t>
  </si>
  <si>
    <t>Table18-Boxes1-2'!$K$10</t>
  </si>
  <si>
    <t>numteach_highest_educ_attainment_doctor_f</t>
  </si>
  <si>
    <t>Table18-Boxes1-2'!$P$10</t>
  </si>
  <si>
    <t>lac_session_yes</t>
  </si>
  <si>
    <t>es_lac_session</t>
  </si>
  <si>
    <t>Table18-Boxes1-2'!$R$17</t>
  </si>
  <si>
    <t>lac_session_prev_sy</t>
  </si>
  <si>
    <t>Table18-Boxes1-2'!$S$19</t>
  </si>
  <si>
    <t>lac_session_current_sy</t>
  </si>
  <si>
    <t>Table18-Boxes1-2'!$S$20</t>
  </si>
  <si>
    <t>cid_personnel_name</t>
  </si>
  <si>
    <t>Table18-Boxes1-2'!$AA$17</t>
  </si>
  <si>
    <t>cid_personnel_pos</t>
  </si>
  <si>
    <t>Table18-Boxes1-2'!$AE$20</t>
  </si>
  <si>
    <t>action_research_yes</t>
  </si>
  <si>
    <t>es_action_research</t>
  </si>
  <si>
    <t>Table18-Boxes1-2'!$R$26</t>
  </si>
  <si>
    <t>action_research_prev_sy</t>
  </si>
  <si>
    <t>Table18-Boxes1-2'!$S$28</t>
  </si>
  <si>
    <t>action_research_ongoing</t>
  </si>
  <si>
    <t>Table18-Boxes1-2'!$S$29</t>
  </si>
  <si>
    <t>action_research_tobe_conducted</t>
  </si>
  <si>
    <t>Table18-Boxes1-2'!$S$30</t>
  </si>
  <si>
    <t>seps_name_sgod</t>
  </si>
  <si>
    <t>Table18-Boxes1-2'!$AA$27</t>
  </si>
  <si>
    <t>sch_sgp_spgcouncil_yes</t>
  </si>
  <si>
    <t>es_school_government</t>
  </si>
  <si>
    <t>Boxes3-5'!$AA$5</t>
  </si>
  <si>
    <t>sch_sgp_spgadviser_yes</t>
  </si>
  <si>
    <t>Boxes3-5'!$AA$6</t>
  </si>
  <si>
    <t>sch_sgp_spgadviser_yes_num_advisers</t>
  </si>
  <si>
    <t>Boxes3-5'!$AA$7</t>
  </si>
  <si>
    <t>sch_spgadviser_subjhandle_sci</t>
  </si>
  <si>
    <t>Boxes3-5'!$G$9</t>
  </si>
  <si>
    <t>sch_spgadviser_subjhandle_fil</t>
  </si>
  <si>
    <t>Boxes3-5'!$G$10</t>
  </si>
  <si>
    <t>sch_spgadviser_subjhandle_math</t>
  </si>
  <si>
    <t>Boxes3-5'!$Q$9</t>
  </si>
  <si>
    <t>sch_spgadviser_subjhandle_ap</t>
  </si>
  <si>
    <t>Boxes3-5'!$Q$10</t>
  </si>
  <si>
    <t>sch_spgadviser_subjhandle_others</t>
  </si>
  <si>
    <t>Boxes3-5'!$AA$9</t>
  </si>
  <si>
    <t>sch_spgadviser_subjhandle_otherspec</t>
  </si>
  <si>
    <t>Boxes3-5'!$AF$9</t>
  </si>
  <si>
    <t>sch_spgadviser_hacadegree_bachd</t>
  </si>
  <si>
    <t>Boxes3-5'!$G$12</t>
  </si>
  <si>
    <t>sch_spgadviser_hacadegree_masterdu</t>
  </si>
  <si>
    <t>Boxes3-5'!$G$13</t>
  </si>
  <si>
    <t>sch_spgadviser_hacadegree_masterd</t>
  </si>
  <si>
    <t>Boxes3-5'!$Q$12</t>
  </si>
  <si>
    <t>sch_spgadviser_hacadegree_docdu</t>
  </si>
  <si>
    <t>Boxes3-5'!$Q$13</t>
  </si>
  <si>
    <t>sch_spgadviser_hacadegree_docd</t>
  </si>
  <si>
    <t>Boxes3-5'!$AA$12</t>
  </si>
  <si>
    <t>sch_spgadviser_deload_yes</t>
  </si>
  <si>
    <t>Boxes3-5'!$AA$14</t>
  </si>
  <si>
    <t>sch_spgactes_schfees_collect_yes</t>
  </si>
  <si>
    <t>Boxes3-5'!$AA$15</t>
  </si>
  <si>
    <t>sch_spgbudget_sipappinc_yes</t>
  </si>
  <si>
    <t>Boxes3-5'!$AA$16</t>
  </si>
  <si>
    <t>sch_spgroom_yes</t>
  </si>
  <si>
    <t>Boxes3-5'!$AA$17</t>
  </si>
  <si>
    <t>sch_spg_jdivsearch_yes</t>
  </si>
  <si>
    <t>Boxes3-5'!$AA$18</t>
  </si>
  <si>
    <t>sch_spgwon_nationalaward_yes</t>
  </si>
  <si>
    <t>Boxes3-5'!$AA$19</t>
  </si>
  <si>
    <t>sch_yfcpdo_numvisit</t>
  </si>
  <si>
    <t>Boxes3-5'!$AA$20</t>
  </si>
  <si>
    <t>sch_spga_cto_sat</t>
  </si>
  <si>
    <t>Boxes3-5'!$AA$21</t>
  </si>
  <si>
    <t>sch_spg_learner_brigada_eskwela_yes</t>
  </si>
  <si>
    <t>Boxes3-5'!$AE$28</t>
  </si>
  <si>
    <t>sch_spg_lead_ngp_yes</t>
  </si>
  <si>
    <t>Boxes3-5'!$AE$29</t>
  </si>
  <si>
    <t>sch_spg_awareness_campaign_yes</t>
  </si>
  <si>
    <t>Boxes3-5'!$AE$30</t>
  </si>
  <si>
    <t>sch_spg_book_supplies_donation_yes</t>
  </si>
  <si>
    <t>Boxes3-5'!$AE$31</t>
  </si>
  <si>
    <t>sch_spg_prevent_learner_dropout_yes</t>
  </si>
  <si>
    <t>Boxes3-5'!$AE$32</t>
  </si>
  <si>
    <t>sch_spg_esc_rts_yes</t>
  </si>
  <si>
    <t>Boxes3-5'!$AE$33</t>
  </si>
  <si>
    <t>sch_spg_adaec_yes</t>
  </si>
  <si>
    <t>Boxes3-5'!$AE$34</t>
  </si>
  <si>
    <t>sch_spg_smoke_tobacoo_free_yes</t>
  </si>
  <si>
    <t>Boxes3-5'!$AE$35</t>
  </si>
  <si>
    <t>sch_spg_tmcsep_wtdoct_yes</t>
  </si>
  <si>
    <t>Boxes3-5'!$AE$36</t>
  </si>
  <si>
    <t>sch_spg_curricular_org_activities_yes</t>
  </si>
  <si>
    <t>Boxes3-5'!$AE$37</t>
  </si>
  <si>
    <t>sch_cgp_guidancecounsel_yes</t>
  </si>
  <si>
    <t>Boxes3-5'!$AA$43</t>
  </si>
  <si>
    <t>sch_cgp_guidancecounsel_numyrs_ass</t>
  </si>
  <si>
    <t>Boxes3-5'!$AA$45</t>
  </si>
  <si>
    <t>sch_cgp_guidadv_yes</t>
  </si>
  <si>
    <t>Boxes3-5'!$AA$46</t>
  </si>
  <si>
    <t>sch_cgp_guidadv_numyrs</t>
  </si>
  <si>
    <t>Boxes3-5'!$AA$47</t>
  </si>
  <si>
    <t>sch_cgp_cond_careerguidact_yes</t>
  </si>
  <si>
    <t>Boxes3-5'!$AA$48</t>
  </si>
  <si>
    <t>sch_cgp_fcareerguidact_yes</t>
  </si>
  <si>
    <t>Boxes3-5'!$AA$49</t>
  </si>
  <si>
    <t>sch_cgp_guidoffc_yes</t>
  </si>
  <si>
    <t>Boxes3-5'!$AA$50</t>
  </si>
  <si>
    <t>div_yfc_name</t>
  </si>
  <si>
    <t>Boxes3-5'!$P$54</t>
  </si>
  <si>
    <t>div_yfc_pos</t>
  </si>
  <si>
    <t>Boxes3-5'!$T$56</t>
  </si>
  <si>
    <t>sch_num_funct_computers_acad_desktop_depeddcp</t>
  </si>
  <si>
    <t>es_computer</t>
  </si>
  <si>
    <t>sch_num_funct_computers_acad_desktop_depednondcp</t>
  </si>
  <si>
    <t>sch_num_funct_computers_acad_desktop_lgusef</t>
  </si>
  <si>
    <t>sch_num_funct_computers_acad_desktop_pta</t>
  </si>
  <si>
    <t>sch_num_funct_computers_acad_desktop_privatedon</t>
  </si>
  <si>
    <t>sch_num_funct_computers_acad_desktop_othergov</t>
  </si>
  <si>
    <t>sch_num_funct_computers_acad_desktop_others</t>
  </si>
  <si>
    <t>sch_num_funct_computers_acad_notnetbook_depeddcp</t>
  </si>
  <si>
    <t>sch_num_funct_computers_acad_notnetbook_depednondcp</t>
  </si>
  <si>
    <t>sch_num_funct_computers_acad_notnetbook_lgusef</t>
  </si>
  <si>
    <t>sch_num_funct_computers_acad_notnetbook_pta</t>
  </si>
  <si>
    <t>sch_num_funct_computers_acad_notnetbook_privatedon</t>
  </si>
  <si>
    <t>sch_num_funct_computers_acad_notnetbook_othergov</t>
  </si>
  <si>
    <t>sch_num_funct_computers_acad_notnetbook_others</t>
  </si>
  <si>
    <t>sch_num_funct_computers_acad_tablet_depeddcp</t>
  </si>
  <si>
    <t>sch_num_funct_computers_acad_tablet_depednondcp</t>
  </si>
  <si>
    <t>sch_num_funct_computers_acad_tablet_lgusef</t>
  </si>
  <si>
    <t>sch_num_funct_computers_acad_tablet_pta</t>
  </si>
  <si>
    <t>sch_num_funct_computers_acad_tablet_privatedon</t>
  </si>
  <si>
    <t>sch_num_funct_computers_acad_tablet_othergov</t>
  </si>
  <si>
    <t>sch_num_funct_computers_acad_tablet_others</t>
  </si>
  <si>
    <t>sch_num_funct_computers_acad_dvt_depeddcp</t>
  </si>
  <si>
    <t>sch_num_funct_computers_acad_dvt_depednondcp</t>
  </si>
  <si>
    <t>sch_num_funct_computers_acad_dvt_lgusef</t>
  </si>
  <si>
    <t>sch_num_funct_computers_acad_dvt_pta</t>
  </si>
  <si>
    <t>sch_num_funct_computers_acad_dvt_privatedon</t>
  </si>
  <si>
    <t>sch_num_funct_computers_acad_dvt_othergov</t>
  </si>
  <si>
    <t>sch_num_funct_computers_acad_dvt_others</t>
  </si>
  <si>
    <t>sch_num_funct_computers_admin_desktop_depeddcp</t>
  </si>
  <si>
    <t>sch_num_funct_computers_admin_desktop_depednondcp</t>
  </si>
  <si>
    <t>sch_num_funct_computers_admin_desktop_lgusef</t>
  </si>
  <si>
    <t>sch_num_funct_computers_admin_desktop_pta</t>
  </si>
  <si>
    <t>sch_num_funct_computers_admin_desktop_privatedon</t>
  </si>
  <si>
    <t>sch_num_funct_computers_admin_desktop_othergov</t>
  </si>
  <si>
    <t>sch_num_funct_computers_admin_desktop_others</t>
  </si>
  <si>
    <t>sch_num_funct_computers_admin_notnetbook_depeddcp</t>
  </si>
  <si>
    <t>sch_num_funct_computers_admin_notnetbook_depednondcp</t>
  </si>
  <si>
    <t>sch_num_funct_computers_admin_notnetbook_lgusef</t>
  </si>
  <si>
    <t>sch_num_funct_computers_admin_notnetbook_pta</t>
  </si>
  <si>
    <t>sch_num_funct_computers_admin_notnetbook_privatedon</t>
  </si>
  <si>
    <t>sch_num_funct_computers_admin_notnetbook_othergov</t>
  </si>
  <si>
    <t>sch_num_funct_computers_admin_notnetbook_others</t>
  </si>
  <si>
    <t>sch_num_funct_computers_admin_tablet_depeddcp</t>
  </si>
  <si>
    <t>sch_num_funct_computers_admin_tablet_depednondcp</t>
  </si>
  <si>
    <t>sch_num_funct_computers_admin_tablet_lgusef</t>
  </si>
  <si>
    <t>sch_num_funct_computers_admin_tablet_pta</t>
  </si>
  <si>
    <t>sch_num_funct_computers_admin_tablet_privatedon</t>
  </si>
  <si>
    <t>sch_num_funct_computers_admin_tablet_othergov</t>
  </si>
  <si>
    <t>sch_num_funct_computers_admin_tablet_others</t>
  </si>
  <si>
    <t>sch_num_funct_computers_admin_dvt_depeddcp</t>
  </si>
  <si>
    <t>sch_num_funct_computers_admin_dvt_depednondcp</t>
  </si>
  <si>
    <t>sch_num_funct_computers_admin_dvt_lgusef</t>
  </si>
  <si>
    <t>sch_num_funct_computers_admin_dvt_pta</t>
  </si>
  <si>
    <t>sch_num_funct_computers_admin_dvt_privatedon</t>
  </si>
  <si>
    <t>sch_num_funct_computers_admin_dvt_othergov</t>
  </si>
  <si>
    <t>sch_num_funct_computers_admin_dvt_others</t>
  </si>
  <si>
    <t>div_ito_name</t>
  </si>
  <si>
    <t>Table19'!$K$7</t>
  </si>
  <si>
    <t>Table19'!$P$7</t>
  </si>
  <si>
    <t>Table19'!$U$7</t>
  </si>
  <si>
    <t>Table19'!$Z$7</t>
  </si>
  <si>
    <t>Table19'!$AE$7</t>
  </si>
  <si>
    <t>Table19'!$AJ$7</t>
  </si>
  <si>
    <t>Table19'!$AO$7</t>
  </si>
  <si>
    <t>Table19'!$K$8</t>
  </si>
  <si>
    <t>Table19'!$P$8</t>
  </si>
  <si>
    <t>Table19'!$U$8</t>
  </si>
  <si>
    <t>Table19'!$Z$8</t>
  </si>
  <si>
    <t>Table19'!$AE$8</t>
  </si>
  <si>
    <t>Table19'!$AJ$8</t>
  </si>
  <si>
    <t>Table19'!$AO$8</t>
  </si>
  <si>
    <t>Table19'!$K$9</t>
  </si>
  <si>
    <t>Table19'!$P$9</t>
  </si>
  <si>
    <t>Table19'!$U$9</t>
  </si>
  <si>
    <t>Table19'!$Z$9</t>
  </si>
  <si>
    <t>Table19'!$AE$9</t>
  </si>
  <si>
    <t>Table19'!$AJ$9</t>
  </si>
  <si>
    <t>Table19'!$AO$9</t>
  </si>
  <si>
    <t>Table19'!$K$10</t>
  </si>
  <si>
    <t>Table19'!$P$10</t>
  </si>
  <si>
    <t>Table19'!$U$10</t>
  </si>
  <si>
    <t>Table19'!$Z$10</t>
  </si>
  <si>
    <t>Table19'!$AE$10</t>
  </si>
  <si>
    <t>Table19'!$AJ$10</t>
  </si>
  <si>
    <t>Table19'!$AO$10</t>
  </si>
  <si>
    <t>Table19'!$K$11</t>
  </si>
  <si>
    <t>Table19'!$P$11</t>
  </si>
  <si>
    <t>Table19'!$U$11</t>
  </si>
  <si>
    <t>Table19'!$Z$11</t>
  </si>
  <si>
    <t>Table19'!$AE$11</t>
  </si>
  <si>
    <t>Table19'!$AJ$11</t>
  </si>
  <si>
    <t>Table19'!$AO$11</t>
  </si>
  <si>
    <t>Table19'!$K$13</t>
  </si>
  <si>
    <t>Table19'!$P$13</t>
  </si>
  <si>
    <t>Table19'!$U$13</t>
  </si>
  <si>
    <t>Table19'!$Z$13</t>
  </si>
  <si>
    <t>Table19'!$AE$13</t>
  </si>
  <si>
    <t>Table19'!$AJ$13</t>
  </si>
  <si>
    <t>Table19'!$AO$13</t>
  </si>
  <si>
    <t>Table19'!$K$14</t>
  </si>
  <si>
    <t>Table19'!$P$14</t>
  </si>
  <si>
    <t>Table19'!$U$14</t>
  </si>
  <si>
    <t>Table19'!$Z$14</t>
  </si>
  <si>
    <t>Table19'!$AE$14</t>
  </si>
  <si>
    <t>Table19'!$AJ$14</t>
  </si>
  <si>
    <t>Table19'!$AO$14</t>
  </si>
  <si>
    <t>Table19'!$K$15</t>
  </si>
  <si>
    <t>Table19'!$P$15</t>
  </si>
  <si>
    <t>Table19'!$U$15</t>
  </si>
  <si>
    <t>Table19'!$Z$15</t>
  </si>
  <si>
    <t>Table19'!$AE$15</t>
  </si>
  <si>
    <t>Table19'!$AJ$15</t>
  </si>
  <si>
    <t>Table19'!$AO$15</t>
  </si>
  <si>
    <t>Table19'!$K$16</t>
  </si>
  <si>
    <t>Table19'!$P$16</t>
  </si>
  <si>
    <t>Table19'!$U$16</t>
  </si>
  <si>
    <t>Table19'!$Z$16</t>
  </si>
  <si>
    <t>Table19'!$AE$16</t>
  </si>
  <si>
    <t>Table19'!$AJ$16</t>
  </si>
  <si>
    <t>Table19'!$AO$16</t>
  </si>
  <si>
    <t>Table19'!$K$17</t>
  </si>
  <si>
    <t>Table19'!$P$17</t>
  </si>
  <si>
    <t>Table19'!$U$17</t>
  </si>
  <si>
    <t>Table19'!$Z$17</t>
  </si>
  <si>
    <t>Table19'!$AE$17</t>
  </si>
  <si>
    <t>Table19'!$AJ$17</t>
  </si>
  <si>
    <t>Table19'!$AO$17</t>
  </si>
  <si>
    <t>Table19'!$S$39</t>
  </si>
  <si>
    <t>sch_num_funct_computers_acad_tabletpc_depeddcp</t>
  </si>
  <si>
    <t>sch_num_funct_computers_acad_tabletpc_depednondcp</t>
  </si>
  <si>
    <t>sch_num_funct_computers_acad_tabletpc_lgusef</t>
  </si>
  <si>
    <t>sch_num_funct_computers_acad_tabletpc_pta</t>
  </si>
  <si>
    <t>sch_num_funct_computers_acad_tabletpc_privatedon</t>
  </si>
  <si>
    <t>sch_num_funct_computers_acad_tabletpc_othergov</t>
  </si>
  <si>
    <t>sch_num_funct_computers_acad_tabletpc_others</t>
  </si>
  <si>
    <t>sch_num_funct_computers_admin_tabletpc_depeddcp</t>
  </si>
  <si>
    <t>sch_num_funct_computers_admin_tabletpc_depednondcp</t>
  </si>
  <si>
    <t>sch_num_funct_computers_admin_tabletpc_lgusef</t>
  </si>
  <si>
    <t>sch_num_funct_computers_admin_tabletpc_pta</t>
  </si>
  <si>
    <t>sch_num_funct_computers_admin_tabletpc_privatedon</t>
  </si>
  <si>
    <t>sch_num_funct_computers_admin_tabletpc_othergov</t>
  </si>
  <si>
    <t>sch_num_funct_computers_admin_tabletpc_others</t>
  </si>
  <si>
    <t>sch_num_funct_computers_acad_ledtv_depeddcp</t>
  </si>
  <si>
    <t>es_ict_funding</t>
  </si>
  <si>
    <t>sch_num_funct_computers_acad_ledtv_depednondcp</t>
  </si>
  <si>
    <t>sch_num_funct_computers_acad_ledtv_lgusef</t>
  </si>
  <si>
    <t>sch_num_funct_computers_acad_ledtv_pta</t>
  </si>
  <si>
    <t>sch_num_funct_computers_acad_ledtv_privatedon</t>
  </si>
  <si>
    <t>sch_num_funct_computers_acad_ledtv_othergov</t>
  </si>
  <si>
    <t>sch_num_funct_computers_acad_ledtv_others</t>
  </si>
  <si>
    <t>sch_num_funct_computers_acad_netswitch_depeddcp</t>
  </si>
  <si>
    <t>sch_num_funct_computers_acad_netswitch_depednondcp</t>
  </si>
  <si>
    <t>sch_num_funct_computers_acad_netswitch_lgusef</t>
  </si>
  <si>
    <t>sch_num_funct_computers_acad_netswitch_pta</t>
  </si>
  <si>
    <t>sch_num_funct_computers_acad_netswitch_privatedon</t>
  </si>
  <si>
    <t>sch_num_funct_computers_acad_netswitch_othergov</t>
  </si>
  <si>
    <t>sch_num_funct_computers_acad_netswitch_others</t>
  </si>
  <si>
    <t>sch_num_funct_computers_acad_printer_depeddcp</t>
  </si>
  <si>
    <t>sch_num_funct_computers_acad_printer_depednondcp</t>
  </si>
  <si>
    <t>sch_num_funct_computers_acad_printer_lgusef</t>
  </si>
  <si>
    <t>sch_num_funct_computers_acad_printer_pta</t>
  </si>
  <si>
    <t>sch_num_funct_computers_acad_printer_privatedon</t>
  </si>
  <si>
    <t>sch_num_funct_computers_acad_printer_othergov</t>
  </si>
  <si>
    <t>sch_num_funct_computers_acad_printer_others</t>
  </si>
  <si>
    <t>sch_num_funct_computers_acad_projector_depeddcp</t>
  </si>
  <si>
    <t>sch_num_funct_computers_acad_projector_depednondcp</t>
  </si>
  <si>
    <t>sch_num_funct_computers_acad_projector_lgusef</t>
  </si>
  <si>
    <t>sch_num_funct_computers_acad_projector_pta</t>
  </si>
  <si>
    <t>sch_num_funct_computers_acad_projector_privatedon</t>
  </si>
  <si>
    <t>sch_num_funct_computers_acad_projector_othergov</t>
  </si>
  <si>
    <t>sch_num_funct_computers_acad_projector_others</t>
  </si>
  <si>
    <t>sch_num_funct_computers_acad_ups_depeddcp</t>
  </si>
  <si>
    <t>sch_num_funct_computers_acad_ups_depednondcp</t>
  </si>
  <si>
    <t>sch_num_funct_computers_acad_ups_lgusef</t>
  </si>
  <si>
    <t>sch_num_funct_computers_acad_ups_pta</t>
  </si>
  <si>
    <t>sch_num_funct_computers_acad_ups_privatedon</t>
  </si>
  <si>
    <t>sch_num_funct_computers_acad_ups_othergov</t>
  </si>
  <si>
    <t>sch_num_funct_computers_acad_ups_others</t>
  </si>
  <si>
    <t>sch_num_funct_computers_acad_router_depeddcp</t>
  </si>
  <si>
    <t>sch_num_funct_computers_acad_router_depednondcp</t>
  </si>
  <si>
    <t>sch_num_funct_computers_acad_router_lgusef</t>
  </si>
  <si>
    <t>sch_num_funct_computers_acad_router_pta</t>
  </si>
  <si>
    <t>sch_num_funct_computers_acad_router_privatedon</t>
  </si>
  <si>
    <t>sch_num_funct_computers_acad_router_othergov</t>
  </si>
  <si>
    <t>sch_num_funct_computers_acad_router_others</t>
  </si>
  <si>
    <t>sch_num_funct_computers_admin_ledtv_depeddcp</t>
  </si>
  <si>
    <t>sch_num_funct_computers_admin_ledtv_depednondcp</t>
  </si>
  <si>
    <t>sch_num_funct_computers_admin_ledtv_lgusef</t>
  </si>
  <si>
    <t>sch_num_funct_computers_admin_ledtv_pta</t>
  </si>
  <si>
    <t>sch_num_funct_computers_admin_ledtv_privatedon</t>
  </si>
  <si>
    <t>sch_num_funct_computers_admin_ledtv_othergov</t>
  </si>
  <si>
    <t>sch_num_funct_computers_admin_ledtv_others</t>
  </si>
  <si>
    <t>sch_num_funct_computers_admin_netswitch_depeddcp</t>
  </si>
  <si>
    <t>sch_num_funct_computers_admin_netswitch_depednondcp</t>
  </si>
  <si>
    <t>sch_num_funct_computers_admin_netswitch_lgusef</t>
  </si>
  <si>
    <t>sch_num_funct_computers_admin_netswitch_pta</t>
  </si>
  <si>
    <t>sch_num_funct_computers_admin_netswitch_privatedon</t>
  </si>
  <si>
    <t>sch_num_funct_computers_admin_netswitch_othergov</t>
  </si>
  <si>
    <t>sch_num_funct_computers_admin_netswitch_others</t>
  </si>
  <si>
    <t>sch_num_funct_computers_admin_printer_depeddcp</t>
  </si>
  <si>
    <t>sch_num_funct_computers_admin_printer_depednondcp</t>
  </si>
  <si>
    <t>sch_num_funct_computers_admin_printer_lgusef</t>
  </si>
  <si>
    <t>sch_num_funct_computers_admin_printer_pta</t>
  </si>
  <si>
    <t>sch_num_funct_computers_admin_printer_privatedon</t>
  </si>
  <si>
    <t>sch_num_funct_computers_admin_printer_othergov</t>
  </si>
  <si>
    <t>sch_num_funct_computers_admin_printer_others</t>
  </si>
  <si>
    <t>sch_num_funct_computers_admin_projector_depeddcp</t>
  </si>
  <si>
    <t>sch_num_funct_computers_admin_projector_depednondcp</t>
  </si>
  <si>
    <t>sch_num_funct_computers_admin_projector_lgusef</t>
  </si>
  <si>
    <t>sch_num_funct_computers_admin_projector_pta</t>
  </si>
  <si>
    <t>sch_num_funct_computers_admin_projector_privatedon</t>
  </si>
  <si>
    <t>sch_num_funct_computers_admin_projector_othergov</t>
  </si>
  <si>
    <t>sch_num_funct_computers_admin_projector_others</t>
  </si>
  <si>
    <t>sch_num_funct_computers_admin_ups_depeddcp</t>
  </si>
  <si>
    <t>sch_num_funct_computers_admin_ups_depednondcp</t>
  </si>
  <si>
    <t>sch_num_funct_computers_admin_ups_lgusef</t>
  </si>
  <si>
    <t>sch_num_funct_computers_admin_ups_pta</t>
  </si>
  <si>
    <t>sch_num_funct_computers_admin_ups_privatedon</t>
  </si>
  <si>
    <t>sch_num_funct_computers_admin_ups_othergov</t>
  </si>
  <si>
    <t>sch_num_funct_computers_admin_ups_others</t>
  </si>
  <si>
    <t>sch_num_funct_computers_admin_router_depeddcp</t>
  </si>
  <si>
    <t>sch_num_funct_computers_admin_router_depednondcp</t>
  </si>
  <si>
    <t>sch_num_funct_computers_admin_router_lgusef</t>
  </si>
  <si>
    <t>sch_num_funct_computers_admin_router_pta</t>
  </si>
  <si>
    <t>sch_num_funct_computers_admin_router_privatedon</t>
  </si>
  <si>
    <t>sch_num_funct_computers_admin_router_othergov</t>
  </si>
  <si>
    <t>sch_num_funct_computers_admin_router_others</t>
  </si>
  <si>
    <t>sch_num_funct_computers_acad_lapel_depeddcp</t>
  </si>
  <si>
    <t>sch_num_funct_computers_acad_lapel_depednondcp</t>
  </si>
  <si>
    <t>sch_num_funct_computers_acad_lapel_lgusef</t>
  </si>
  <si>
    <t>sch_num_funct_computers_acad_lapel_pta</t>
  </si>
  <si>
    <t>sch_num_funct_computers_acad_lapel_privatedon</t>
  </si>
  <si>
    <t>sch_num_funct_computers_acad_lapel_othergov</t>
  </si>
  <si>
    <t>sch_num_funct_computers_acad_lapel_others</t>
  </si>
  <si>
    <t>Table20'!$K$7</t>
  </si>
  <si>
    <t>Table20'!$P$7</t>
  </si>
  <si>
    <t>Table20'!$U$7</t>
  </si>
  <si>
    <t>Table20'!$Z$7</t>
  </si>
  <si>
    <t>Table20'!$AE$7</t>
  </si>
  <si>
    <t>Table20'!$AJ$7</t>
  </si>
  <si>
    <t>Table20'!$AO$7</t>
  </si>
  <si>
    <t>Table20'!$K$8</t>
  </si>
  <si>
    <t>Table20'!$P$8</t>
  </si>
  <si>
    <t>Table20'!$U$8</t>
  </si>
  <si>
    <t>Table20'!$Z$8</t>
  </si>
  <si>
    <t>Table20'!$AE$8</t>
  </si>
  <si>
    <t>Table20'!$AJ$8</t>
  </si>
  <si>
    <t>Table20'!$AO$8</t>
  </si>
  <si>
    <t>Table20'!$K$9</t>
  </si>
  <si>
    <t>Table20'!$P$9</t>
  </si>
  <si>
    <t>Table20'!$U$9</t>
  </si>
  <si>
    <t>Table20'!$Z$9</t>
  </si>
  <si>
    <t>Table20'!$AE$9</t>
  </si>
  <si>
    <t>Table20'!$AJ$9</t>
  </si>
  <si>
    <t>Table20'!$AO$9</t>
  </si>
  <si>
    <t>Table20'!$K$10</t>
  </si>
  <si>
    <t>Table20'!$P$10</t>
  </si>
  <si>
    <t>Table20'!$U$10</t>
  </si>
  <si>
    <t>Table20'!$Z$10</t>
  </si>
  <si>
    <t>Table20'!$AE$10</t>
  </si>
  <si>
    <t>Table20'!$AJ$10</t>
  </si>
  <si>
    <t>Table20'!$AO$10</t>
  </si>
  <si>
    <t>Table20'!$K$11</t>
  </si>
  <si>
    <t>Table20'!$P$11</t>
  </si>
  <si>
    <t>Table20'!$U$11</t>
  </si>
  <si>
    <t>Table20'!$Z$11</t>
  </si>
  <si>
    <t>Table20'!$AE$11</t>
  </si>
  <si>
    <t>Table20'!$AJ$11</t>
  </si>
  <si>
    <t>Table20'!$AO$11</t>
  </si>
  <si>
    <t>Table20'!$K$12</t>
  </si>
  <si>
    <t>Table20'!$P$12</t>
  </si>
  <si>
    <t>Table20'!$U$12</t>
  </si>
  <si>
    <t>Table20'!$Z$12</t>
  </si>
  <si>
    <t>Table20'!$AE$12</t>
  </si>
  <si>
    <t>Table20'!$AJ$12</t>
  </si>
  <si>
    <t>Table20'!$AO$12</t>
  </si>
  <si>
    <t>Table20'!$K$13</t>
  </si>
  <si>
    <t>Table20'!$P$13</t>
  </si>
  <si>
    <t>Table20'!$U$13</t>
  </si>
  <si>
    <t>Table20'!$Z$13</t>
  </si>
  <si>
    <t>Table20'!$AE$13</t>
  </si>
  <si>
    <t>Table20'!$AJ$13</t>
  </si>
  <si>
    <t>Table20'!$AO$13</t>
  </si>
  <si>
    <t>Table20'!$K$15</t>
  </si>
  <si>
    <t>Table20'!$P$15</t>
  </si>
  <si>
    <t>Table20'!$U$15</t>
  </si>
  <si>
    <t>Table20'!$Z$15</t>
  </si>
  <si>
    <t>Table20'!$AE$15</t>
  </si>
  <si>
    <t>Table20'!$AJ$15</t>
  </si>
  <si>
    <t>Table20'!$AO$15</t>
  </si>
  <si>
    <t>Table20'!$K$16</t>
  </si>
  <si>
    <t>Table20'!$P$16</t>
  </si>
  <si>
    <t>Table20'!$U$16</t>
  </si>
  <si>
    <t>Table20'!$Z$16</t>
  </si>
  <si>
    <t>Table20'!$AE$16</t>
  </si>
  <si>
    <t>Table20'!$AJ$16</t>
  </si>
  <si>
    <t>Table20'!$AO$16</t>
  </si>
  <si>
    <t>Table20'!$K$17</t>
  </si>
  <si>
    <t>Table20'!$P$17</t>
  </si>
  <si>
    <t>Table20'!$U$17</t>
  </si>
  <si>
    <t>Table20'!$Z$17</t>
  </si>
  <si>
    <t>Table20'!$AE$17</t>
  </si>
  <si>
    <t>Table20'!$AJ$17</t>
  </si>
  <si>
    <t>Table20'!$AO$17</t>
  </si>
  <si>
    <t>Table20'!$K$18</t>
  </si>
  <si>
    <t>Table20'!$P$18</t>
  </si>
  <si>
    <t>Table20'!$U$18</t>
  </si>
  <si>
    <t>Table20'!$Z$18</t>
  </si>
  <si>
    <t>Table20'!$AE$18</t>
  </si>
  <si>
    <t>Table20'!$AJ$18</t>
  </si>
  <si>
    <t>Table20'!$AO$18</t>
  </si>
  <si>
    <t>Table20'!$K$19</t>
  </si>
  <si>
    <t>Table20'!$P$19</t>
  </si>
  <si>
    <t>Table20'!$U$19</t>
  </si>
  <si>
    <t>Table20'!$Z$19</t>
  </si>
  <si>
    <t>Table20'!$AE$19</t>
  </si>
  <si>
    <t>Table20'!$AJ$19</t>
  </si>
  <si>
    <t>Table20'!$AO$19</t>
  </si>
  <si>
    <t>Table20'!$K$20</t>
  </si>
  <si>
    <t>Table20'!$P$20</t>
  </si>
  <si>
    <t>Table20'!$U$20</t>
  </si>
  <si>
    <t>Table20'!$Z$20</t>
  </si>
  <si>
    <t>Table20'!$AE$20</t>
  </si>
  <si>
    <t>Table20'!$AJ$20</t>
  </si>
  <si>
    <t>Table20'!$AO$20</t>
  </si>
  <si>
    <t>sch_dic_service_provider_y</t>
  </si>
  <si>
    <t>es_internet</t>
  </si>
  <si>
    <t>Box6-Table21'!$T$5</t>
  </si>
  <si>
    <t>sch_dic_service_provider_bayantel</t>
  </si>
  <si>
    <t>Box6-Table21'!$G$7</t>
  </si>
  <si>
    <t>sch_dic_service_provider_digitel</t>
  </si>
  <si>
    <t>Box6-Table21'!$G$8</t>
  </si>
  <si>
    <t>sch_dic_service_provider_globe</t>
  </si>
  <si>
    <t>Box6-Table21'!$N$7</t>
  </si>
  <si>
    <t>sch_dic_service_provider_pldt</t>
  </si>
  <si>
    <t>Box6-Table21'!$N$8</t>
  </si>
  <si>
    <t>sch_dic_service_provider_smart</t>
  </si>
  <si>
    <t>Box6-Table21'!$T$7</t>
  </si>
  <si>
    <t>sch_dic_service_provider_sun</t>
  </si>
  <si>
    <t>Box6-Table21'!$T$8</t>
  </si>
  <si>
    <t>sch_dic_service_provider_witglobal</t>
  </si>
  <si>
    <t>Box6-Table21'!$AA$7</t>
  </si>
  <si>
    <t>sch_dic_service_provider_others_y</t>
  </si>
  <si>
    <t>Box6-Table21'!$AA$8</t>
  </si>
  <si>
    <t>sch_dic_service_provider_others_specify</t>
  </si>
  <si>
    <t>Box6-Table21'!$AF$8</t>
  </si>
  <si>
    <t>sch_dic_subscribe_y</t>
  </si>
  <si>
    <t>Box6-Table21'!$AA$10</t>
  </si>
  <si>
    <t>sch_dic_subscribe_administrative_y</t>
  </si>
  <si>
    <t>Box6-Table21'!$H$12</t>
  </si>
  <si>
    <t>sch_dic_subscribe_classinst_y</t>
  </si>
  <si>
    <t>Box6-Table21'!$H$13</t>
  </si>
  <si>
    <t>sch_dic_fast_date_tested</t>
  </si>
  <si>
    <t>Box6-Table21'!$K$16</t>
  </si>
  <si>
    <t>sch_dic_fast_time_tested</t>
  </si>
  <si>
    <t>Box6-Table21'!$K$17</t>
  </si>
  <si>
    <t>sch_dic_fast_time_ping</t>
  </si>
  <si>
    <t>Box6-Table21'!$X$16</t>
  </si>
  <si>
    <t>sch_dic_fast_time_download</t>
  </si>
  <si>
    <t>Box6-Table21'!$X$17</t>
  </si>
  <si>
    <t>sch_dic_fast_time_upload</t>
  </si>
  <si>
    <t>Box6-Table21'!$AK$16</t>
  </si>
  <si>
    <t>BAYANTEL</t>
  </si>
  <si>
    <t>DIGITEL</t>
  </si>
  <si>
    <t>GLOBE</t>
  </si>
  <si>
    <t>SMART</t>
  </si>
  <si>
    <t>SUN</t>
  </si>
  <si>
    <t>combo_avemontlyexpense_typesofinternet1</t>
  </si>
  <si>
    <t>Box6-Table21'!$B$26</t>
  </si>
  <si>
    <t>combo_avemontlyexpense_typesofinternet2</t>
  </si>
  <si>
    <t>Box6-Table21'!$B$27</t>
  </si>
  <si>
    <t>combo_avemontlyexpense_typesofinternet3</t>
  </si>
  <si>
    <t>Box6-Table21'!$B$28</t>
  </si>
  <si>
    <t>combo_avemontlyexpense_typesofinternet4</t>
  </si>
  <si>
    <t>Box6-Table21'!$B$29</t>
  </si>
  <si>
    <t>combo_avemontlyexpense_typesofinternet5</t>
  </si>
  <si>
    <t>Box6-Table21'!$B$30</t>
  </si>
  <si>
    <t>combo_avemonthlyexpense_internetserviceprovider1</t>
  </si>
  <si>
    <t>Box6-Table21'!$M$26</t>
  </si>
  <si>
    <t>combo_avemonthlyexpense_internetserviceprovider2</t>
  </si>
  <si>
    <t>Box6-Table21'!$M$27</t>
  </si>
  <si>
    <t>combo_avemonthlyexpense_internetserviceprovider3</t>
  </si>
  <si>
    <t>Box6-Table21'!$M$28</t>
  </si>
  <si>
    <t>combo_avemonthlyexpense_internetserviceprovider4</t>
  </si>
  <si>
    <t>Box6-Table21'!$M$29</t>
  </si>
  <si>
    <t>combo_avemonthlyexpense_internetserviceprovider5</t>
  </si>
  <si>
    <t>Box6-Table21'!$M$30</t>
  </si>
  <si>
    <t>sch_avemonthlyexpense_others1</t>
  </si>
  <si>
    <t>Box6-Table21'!$X$26</t>
  </si>
  <si>
    <t>sch_avemonthlyexpense_others2</t>
  </si>
  <si>
    <t>Box6-Table21'!$X$27</t>
  </si>
  <si>
    <t>sch_avemonthlyexpense_others3</t>
  </si>
  <si>
    <t>Box6-Table21'!$X$28</t>
  </si>
  <si>
    <t>sch_avemonthlyexpense_others4</t>
  </si>
  <si>
    <t>Box6-Table21'!$X$29</t>
  </si>
  <si>
    <t>sch_avemonthlyexpense_others5</t>
  </si>
  <si>
    <t>Box6-Table21'!$X$30</t>
  </si>
  <si>
    <t>combo_avemonthlyexpense_fundingsource1</t>
  </si>
  <si>
    <t>Box6-Table21'!$AI$26</t>
  </si>
  <si>
    <t>combo_avemonthlyexpense_fundingsource2</t>
  </si>
  <si>
    <t>Box6-Table21'!$AI$27</t>
  </si>
  <si>
    <t>combo_avemonthlyexpense_fundingsource3</t>
  </si>
  <si>
    <t>Box6-Table21'!$AI$28</t>
  </si>
  <si>
    <t>combo_avemonthlyexpense_fundingsource4</t>
  </si>
  <si>
    <t>Box6-Table21'!$AI$29</t>
  </si>
  <si>
    <t>combo_avemonthlyexpense_fundingsource5</t>
  </si>
  <si>
    <t>Box6-Table21'!$AI$30</t>
  </si>
  <si>
    <t>TALK n TEXT</t>
  </si>
  <si>
    <t>DITO</t>
  </si>
  <si>
    <t>RED MOBILE</t>
  </si>
  <si>
    <t>TOUCH MOBILE</t>
  </si>
  <si>
    <t>OTHERS</t>
  </si>
  <si>
    <t>2G</t>
  </si>
  <si>
    <t>3G</t>
  </si>
  <si>
    <t>LTE</t>
  </si>
  <si>
    <t>5G</t>
  </si>
  <si>
    <t>cellcomm_cellserviceprovider1</t>
  </si>
  <si>
    <t>es_cellular_communication</t>
  </si>
  <si>
    <t>cellcomm_cellserviceprovider1_text</t>
  </si>
  <si>
    <t>cellcomm_cellserviceprovider1_call</t>
  </si>
  <si>
    <t>cellcomm_cellserviceprovider1_image</t>
  </si>
  <si>
    <t>cellcomm_cellserviceprovider1_vidcall</t>
  </si>
  <si>
    <t>cellcomm_cellserviceprovider1_nosignal</t>
  </si>
  <si>
    <t>cellcomm_type_wireless_conn1</t>
  </si>
  <si>
    <t>cellcomm_avemonth_expense1</t>
  </si>
  <si>
    <t>cellcomm_funding_source1</t>
  </si>
  <si>
    <t>cellcomm_cellserviceprovider2</t>
  </si>
  <si>
    <t>cellcomm_cellserviceprovider2_text</t>
  </si>
  <si>
    <t>cellcomm_cellserviceprovider2_call</t>
  </si>
  <si>
    <t>cellcomm_cellserviceprovider2_image</t>
  </si>
  <si>
    <t>cellcomm_cellserviceprovider2_vidcall</t>
  </si>
  <si>
    <t>cellcomm_cellserviceprovider2_nosignal</t>
  </si>
  <si>
    <t>cellcomm_type_wireless_conn2</t>
  </si>
  <si>
    <t>cellcomm_avemonth_expense2</t>
  </si>
  <si>
    <t>cellcomm_funding_source2</t>
  </si>
  <si>
    <t>cellcomm_cellserviceprovider3</t>
  </si>
  <si>
    <t>cellcomm_cellserviceprovider3_text</t>
  </si>
  <si>
    <t>cellcomm_cellserviceprovider3_call</t>
  </si>
  <si>
    <t>cellcomm_cellserviceprovider3_image</t>
  </si>
  <si>
    <t>cellcomm_cellserviceprovider3_vidcall</t>
  </si>
  <si>
    <t>cellcomm_cellserviceprovider3_nosignal</t>
  </si>
  <si>
    <t>cellcomm_type_wireless_conn3</t>
  </si>
  <si>
    <t>cellcomm_avemonth_expense3</t>
  </si>
  <si>
    <t>cellcomm_funding_source3</t>
  </si>
  <si>
    <t>cellcomm_cellserviceprovider4</t>
  </si>
  <si>
    <t>cellcomm_cellserviceprovider4_text</t>
  </si>
  <si>
    <t>cellcomm_cellserviceprovider4_call</t>
  </si>
  <si>
    <t>cellcomm_cellserviceprovider4_image</t>
  </si>
  <si>
    <t>cellcomm_cellserviceprovider4_vidcall</t>
  </si>
  <si>
    <t>cellcomm_cellserviceprovider4_nosignal</t>
  </si>
  <si>
    <t>cellcomm_type_wireless_conn4</t>
  </si>
  <si>
    <t>cellcomm_avemonth_expense4</t>
  </si>
  <si>
    <t>cellcomm_funding_source4</t>
  </si>
  <si>
    <t>cellcomm_cellserviceprovider5</t>
  </si>
  <si>
    <t>cellcomm_cellserviceprovider5_text</t>
  </si>
  <si>
    <t>cellcomm_cellserviceprovider5_call</t>
  </si>
  <si>
    <t>cellcomm_cellserviceprovider5_image</t>
  </si>
  <si>
    <t>cellcomm_cellserviceprovider5_vidcall</t>
  </si>
  <si>
    <t>cellcomm_cellserviceprovider5_nosignal</t>
  </si>
  <si>
    <t>cellcomm_type_wireless_conn5</t>
  </si>
  <si>
    <t>cellcomm_avemonth_expense5</t>
  </si>
  <si>
    <t>cellcomm_funding_source5</t>
  </si>
  <si>
    <t>cellcomm_cellserviceprovider6</t>
  </si>
  <si>
    <t>cellcomm_cellserviceprovider6_text</t>
  </si>
  <si>
    <t>cellcomm_cellserviceprovider6_call</t>
  </si>
  <si>
    <t>cellcomm_cellserviceprovider6_image</t>
  </si>
  <si>
    <t>cellcomm_cellserviceprovider6_vidcall</t>
  </si>
  <si>
    <t>cellcomm_cellserviceprovider6_nosignal</t>
  </si>
  <si>
    <t>cellcomm_type_wireless_conn6</t>
  </si>
  <si>
    <t>cellcomm_avemonth_expense6</t>
  </si>
  <si>
    <t>cellcomm_funding_source6</t>
  </si>
  <si>
    <t>Table22'!$B$7</t>
  </si>
  <si>
    <t>Table22'!$J$7</t>
  </si>
  <si>
    <t>Table22'!$J$8</t>
  </si>
  <si>
    <t>Table22'!$J$9</t>
  </si>
  <si>
    <t>Table22'!$U$7</t>
  </si>
  <si>
    <t>Table22'!$AC$7</t>
  </si>
  <si>
    <t>Table22'!$AK$7</t>
  </si>
  <si>
    <t>Table22'!$B$10</t>
  </si>
  <si>
    <t>Table22'!$J$10</t>
  </si>
  <si>
    <t>Table22'!$U$10</t>
  </si>
  <si>
    <t>Table22'!$AC$10</t>
  </si>
  <si>
    <t>Table22'!$AK$10</t>
  </si>
  <si>
    <t>Table22'!$J$11</t>
  </si>
  <si>
    <t>Table22'!$J$12</t>
  </si>
  <si>
    <t>Table22'!$P$7</t>
  </si>
  <si>
    <t>Table22'!$P$8</t>
  </si>
  <si>
    <t>Table22'!$P$10</t>
  </si>
  <si>
    <t>Table22'!$P$11</t>
  </si>
  <si>
    <t>Table22'!$B$13</t>
  </si>
  <si>
    <t>Table22'!$J$13</t>
  </si>
  <si>
    <t>Table22'!$P$13</t>
  </si>
  <si>
    <t>Table22'!$U$13</t>
  </si>
  <si>
    <t>Table22'!$AC$13</t>
  </si>
  <si>
    <t>Table22'!$AK$13</t>
  </si>
  <si>
    <t>Table22'!$J$14</t>
  </si>
  <si>
    <t>Table22'!$P$14</t>
  </si>
  <si>
    <t>Table22'!$J$15</t>
  </si>
  <si>
    <t>Table22'!$B$16</t>
  </si>
  <si>
    <t>Table22'!$J$16</t>
  </si>
  <si>
    <t>Table22'!$P$16</t>
  </si>
  <si>
    <t>Table22'!$U$16</t>
  </si>
  <si>
    <t>Table22'!$AC$16</t>
  </si>
  <si>
    <t>Table22'!$AK$16</t>
  </si>
  <si>
    <t>Table22'!$J$17</t>
  </si>
  <si>
    <t>Table22'!$P$17</t>
  </si>
  <si>
    <t>Table22'!$J$18</t>
  </si>
  <si>
    <t>Table22'!$B$19</t>
  </si>
  <si>
    <t>Table22'!$J$19</t>
  </si>
  <si>
    <t>Table22'!$P$19</t>
  </si>
  <si>
    <t>Table22'!$U$19</t>
  </si>
  <si>
    <t>Table22'!$AC$19</t>
  </si>
  <si>
    <t>Table22'!$AK$19</t>
  </si>
  <si>
    <t>Table22'!$J$20</t>
  </si>
  <si>
    <t>Table22'!$P$20</t>
  </si>
  <si>
    <t>Table22'!$J$21</t>
  </si>
  <si>
    <t>Table22'!$B$22</t>
  </si>
  <si>
    <t>Table22'!$J$22</t>
  </si>
  <si>
    <t>Table22'!$P$22</t>
  </si>
  <si>
    <t>Table22'!$U$22</t>
  </si>
  <si>
    <t>Table22'!$AC$22</t>
  </si>
  <si>
    <t>Table22'!$AK$22</t>
  </si>
  <si>
    <t>Table22'!$J$23</t>
  </si>
  <si>
    <t>Table22'!$P$23</t>
  </si>
  <si>
    <t>Table22'!$J$24</t>
  </si>
  <si>
    <t>Inkjet Printer</t>
  </si>
  <si>
    <t>Laser Printer</t>
  </si>
  <si>
    <t>LED Printer</t>
  </si>
  <si>
    <t>Multifunction Printer</t>
  </si>
  <si>
    <t>Solid Ink Printer</t>
  </si>
  <si>
    <t>Photocopier</t>
  </si>
  <si>
    <t>For both administrative &amp; classroom instruction use</t>
  </si>
  <si>
    <t>es_printer_photocopier</t>
  </si>
  <si>
    <t>printer_photocpy_type1</t>
  </si>
  <si>
    <t>printer_photocpy_brand1</t>
  </si>
  <si>
    <t>printer_photocpy_avemonth_expense1</t>
  </si>
  <si>
    <t>printer_photocpy_funding_source1</t>
  </si>
  <si>
    <t>printer_photocpy_purpose1</t>
  </si>
  <si>
    <t>printer_photocpy_type2</t>
  </si>
  <si>
    <t>printer_photocpy_brand2</t>
  </si>
  <si>
    <t>printer_photocpy_avemonth_expense2</t>
  </si>
  <si>
    <t>printer_photocpy_funding_source2</t>
  </si>
  <si>
    <t>printer_photocpy_purpose2</t>
  </si>
  <si>
    <t>printer_photocpy_type3</t>
  </si>
  <si>
    <t>printer_photocpy_brand3</t>
  </si>
  <si>
    <t>printer_photocpy_avemonth_expense3</t>
  </si>
  <si>
    <t>printer_photocpy_funding_source3</t>
  </si>
  <si>
    <t>printer_photocpy_purpose3</t>
  </si>
  <si>
    <t>printer_photocpy_type4</t>
  </si>
  <si>
    <t>printer_photocpy_brand4</t>
  </si>
  <si>
    <t>printer_photocpy_avemonth_expense4</t>
  </si>
  <si>
    <t>printer_photocpy_funding_source4</t>
  </si>
  <si>
    <t>printer_photocpy_purpose4</t>
  </si>
  <si>
    <t>printer_photocpy_type5</t>
  </si>
  <si>
    <t>printer_photocpy_brand5</t>
  </si>
  <si>
    <t>printer_photocpy_avemonth_expense5</t>
  </si>
  <si>
    <t>printer_photocpy_funding_source5</t>
  </si>
  <si>
    <t>printer_photocpy_purpose5</t>
  </si>
  <si>
    <t>printer_photocpy_type6</t>
  </si>
  <si>
    <t>printer_photocpy_brand6</t>
  </si>
  <si>
    <t>printer_photocpy_avemonth_expense6</t>
  </si>
  <si>
    <t>printer_photocpy_funding_source6</t>
  </si>
  <si>
    <t>printer_photocpy_purpose6</t>
  </si>
  <si>
    <t>printer_photocpy_type7</t>
  </si>
  <si>
    <t>printer_photocpy_brand7</t>
  </si>
  <si>
    <t>printer_photocpy_avemonth_expense7</t>
  </si>
  <si>
    <t>printer_photocpy_funding_source7</t>
  </si>
  <si>
    <t>printer_photocpy_purpose7</t>
  </si>
  <si>
    <t>printer_photocpy_type8</t>
  </si>
  <si>
    <t>printer_photocpy_brand8</t>
  </si>
  <si>
    <t>printer_photocpy_avemonth_expense8</t>
  </si>
  <si>
    <t>printer_photocpy_funding_source8</t>
  </si>
  <si>
    <t>printer_photocpy_purpose8</t>
  </si>
  <si>
    <t>printer_photocpy_type9</t>
  </si>
  <si>
    <t>printer_photocpy_brand9</t>
  </si>
  <si>
    <t>printer_photocpy_avemonth_expense9</t>
  </si>
  <si>
    <t>printer_photocpy_funding_source9</t>
  </si>
  <si>
    <t>printer_photocpy_purpose9</t>
  </si>
  <si>
    <t>printer_photocpy_type10</t>
  </si>
  <si>
    <t>printer_photocpy_brand10</t>
  </si>
  <si>
    <t>printer_photocpy_avemonth_expense10</t>
  </si>
  <si>
    <t>printer_photocpy_funding_source10</t>
  </si>
  <si>
    <t>printer_photocpy_purpose10</t>
  </si>
  <si>
    <t>Table23'!$B$7</t>
  </si>
  <si>
    <t>Table23'!$J$7</t>
  </si>
  <si>
    <t>Table23'!$R$7</t>
  </si>
  <si>
    <t>Table23'!$Z$7</t>
  </si>
  <si>
    <t>Table23'!$AH$7</t>
  </si>
  <si>
    <t>Table23'!$B$8</t>
  </si>
  <si>
    <t>Table23'!$J$8</t>
  </si>
  <si>
    <t>Table23'!$R$8</t>
  </si>
  <si>
    <t>Table23'!$Z$8</t>
  </si>
  <si>
    <t>Table23'!$AH$8</t>
  </si>
  <si>
    <t>Table23'!$B$9</t>
  </si>
  <si>
    <t>Table23'!$J$9</t>
  </si>
  <si>
    <t>Table23'!$R$9</t>
  </si>
  <si>
    <t>Table23'!$Z$9</t>
  </si>
  <si>
    <t>Table23'!$AH$9</t>
  </si>
  <si>
    <t>Table23'!$B$10</t>
  </si>
  <si>
    <t>Table23'!$J$10</t>
  </si>
  <si>
    <t>Table23'!$R$10</t>
  </si>
  <si>
    <t>Table23'!$Z$10</t>
  </si>
  <si>
    <t>Table23'!$AH$10</t>
  </si>
  <si>
    <t>Table23'!$B$11</t>
  </si>
  <si>
    <t>Table23'!$J$11</t>
  </si>
  <si>
    <t>Table23'!$R$11</t>
  </si>
  <si>
    <t>Table23'!$Z$11</t>
  </si>
  <si>
    <t>Table23'!$AH$11</t>
  </si>
  <si>
    <t>Table23'!$B$12</t>
  </si>
  <si>
    <t>Table23'!$J$12</t>
  </si>
  <si>
    <t>Table23'!$R$12</t>
  </si>
  <si>
    <t>Table23'!$Z$12</t>
  </si>
  <si>
    <t>Table23'!$AH$12</t>
  </si>
  <si>
    <t>Table23'!$B$13</t>
  </si>
  <si>
    <t>Table23'!$J$13</t>
  </si>
  <si>
    <t>Table23'!$R$13</t>
  </si>
  <si>
    <t>Table23'!$Z$13</t>
  </si>
  <si>
    <t>Table23'!$AH$13</t>
  </si>
  <si>
    <t>Table23'!$B$14</t>
  </si>
  <si>
    <t>Table23'!$J$14</t>
  </si>
  <si>
    <t>Table23'!$R$14</t>
  </si>
  <si>
    <t>Table23'!$Z$14</t>
  </si>
  <si>
    <t>Table23'!$AH$14</t>
  </si>
  <si>
    <t>Table23'!$B$15</t>
  </si>
  <si>
    <t>Table23'!$J$15</t>
  </si>
  <si>
    <t>Table23'!$R$15</t>
  </si>
  <si>
    <t>Table23'!$Z$15</t>
  </si>
  <si>
    <t>Table23'!$AH$15</t>
  </si>
  <si>
    <t>Table23'!$B$16</t>
  </si>
  <si>
    <t>Table23'!$J$16</t>
  </si>
  <si>
    <t>Table23'!$R$16</t>
  </si>
  <si>
    <t>Table23'!$Z$16</t>
  </si>
  <si>
    <t>Table23'!$AH$16</t>
  </si>
  <si>
    <t>Local TV</t>
  </si>
  <si>
    <t>CATV</t>
  </si>
  <si>
    <t>DTT</t>
  </si>
  <si>
    <t>AM Radio Station</t>
  </si>
  <si>
    <t>FM Radio Station</t>
  </si>
  <si>
    <t>w/ signed MOA</t>
  </si>
  <si>
    <t>Ongoing</t>
  </si>
  <si>
    <t>for MOA signing</t>
  </si>
  <si>
    <t>es_broadcasting_station</t>
  </si>
  <si>
    <t>broadcast_station_type1</t>
  </si>
  <si>
    <t>broadcast_station_name1</t>
  </si>
  <si>
    <t>broadcast_station_frequency1</t>
  </si>
  <si>
    <t>broadcast_station_ntc_licensenum1</t>
  </si>
  <si>
    <t>broadcast_station_owner1</t>
  </si>
  <si>
    <t>broadcast_station_partner_status1</t>
  </si>
  <si>
    <t>broadcast_station_broadcast_date1</t>
  </si>
  <si>
    <t>broadcast_station_partner_contact1</t>
  </si>
  <si>
    <t>broadcast_station_type2</t>
  </si>
  <si>
    <t>broadcast_station_name2</t>
  </si>
  <si>
    <t>broadcast_station_frequency2</t>
  </si>
  <si>
    <t>broadcast_station_ntc_licensenum2</t>
  </si>
  <si>
    <t>broadcast_station_owner2</t>
  </si>
  <si>
    <t>broadcast_station_partner_status2</t>
  </si>
  <si>
    <t>broadcast_station_broadcast_date2</t>
  </si>
  <si>
    <t>broadcast_station_partner_contact2</t>
  </si>
  <si>
    <t>broadcast_station_type3</t>
  </si>
  <si>
    <t>broadcast_station_name3</t>
  </si>
  <si>
    <t>broadcast_station_frequency3</t>
  </si>
  <si>
    <t>broadcast_station_ntc_licensenum3</t>
  </si>
  <si>
    <t>broadcast_station_owner3</t>
  </si>
  <si>
    <t>broadcast_station_partner_status3</t>
  </si>
  <si>
    <t>broadcast_station_broadcast_date3</t>
  </si>
  <si>
    <t>broadcast_station_partner_contact3</t>
  </si>
  <si>
    <t>broadcast_station_type4</t>
  </si>
  <si>
    <t>broadcast_station_name4</t>
  </si>
  <si>
    <t>broadcast_station_frequency4</t>
  </si>
  <si>
    <t>broadcast_station_ntc_licensenum4</t>
  </si>
  <si>
    <t>broadcast_station_owner4</t>
  </si>
  <si>
    <t>broadcast_station_partner_status4</t>
  </si>
  <si>
    <t>broadcast_station_broadcast_date4</t>
  </si>
  <si>
    <t>broadcast_station_partner_contact4</t>
  </si>
  <si>
    <t>broadcast_station_type5</t>
  </si>
  <si>
    <t>broadcast_station_name5</t>
  </si>
  <si>
    <t>broadcast_station_frequency5</t>
  </si>
  <si>
    <t>broadcast_station_ntc_licensenum5</t>
  </si>
  <si>
    <t>broadcast_station_owner5</t>
  </si>
  <si>
    <t>broadcast_station_partner_status5</t>
  </si>
  <si>
    <t>broadcast_station_broadcast_date5</t>
  </si>
  <si>
    <t>broadcast_station_partner_contact5</t>
  </si>
  <si>
    <t>broadcast_station_type6</t>
  </si>
  <si>
    <t>broadcast_station_name6</t>
  </si>
  <si>
    <t>broadcast_station_frequency6</t>
  </si>
  <si>
    <t>broadcast_station_ntc_licensenum6</t>
  </si>
  <si>
    <t>broadcast_station_owner6</t>
  </si>
  <si>
    <t>broadcast_station_partner_status6</t>
  </si>
  <si>
    <t>broadcast_station_broadcast_date6</t>
  </si>
  <si>
    <t>broadcast_station_partner_contact6</t>
  </si>
  <si>
    <t>broadcast_station_type7</t>
  </si>
  <si>
    <t>broadcast_station_name7</t>
  </si>
  <si>
    <t>broadcast_station_frequency7</t>
  </si>
  <si>
    <t>broadcast_station_ntc_licensenum7</t>
  </si>
  <si>
    <t>broadcast_station_owner7</t>
  </si>
  <si>
    <t>broadcast_station_partner_status7</t>
  </si>
  <si>
    <t>broadcast_station_broadcast_date7</t>
  </si>
  <si>
    <t>broadcast_station_partner_contact7</t>
  </si>
  <si>
    <t>broadcast_station_type8</t>
  </si>
  <si>
    <t>broadcast_station_name8</t>
  </si>
  <si>
    <t>broadcast_station_frequency8</t>
  </si>
  <si>
    <t>broadcast_station_ntc_licensenum8</t>
  </si>
  <si>
    <t>broadcast_station_owner8</t>
  </si>
  <si>
    <t>broadcast_station_partner_status8</t>
  </si>
  <si>
    <t>broadcast_station_broadcast_date8</t>
  </si>
  <si>
    <t>broadcast_station_partner_contact8</t>
  </si>
  <si>
    <t>broadcast_station_type9</t>
  </si>
  <si>
    <t>broadcast_station_name9</t>
  </si>
  <si>
    <t>broadcast_station_frequency9</t>
  </si>
  <si>
    <t>broadcast_station_ntc_licensenum9</t>
  </si>
  <si>
    <t>broadcast_station_owner9</t>
  </si>
  <si>
    <t>broadcast_station_partner_status9</t>
  </si>
  <si>
    <t>broadcast_station_broadcast_date9</t>
  </si>
  <si>
    <t>broadcast_station_partner_contact9</t>
  </si>
  <si>
    <t>Table24'!$B$6</t>
  </si>
  <si>
    <t>Table24'!$G$6</t>
  </si>
  <si>
    <t>Table24'!$L$6</t>
  </si>
  <si>
    <t>Table24'!$Q$6</t>
  </si>
  <si>
    <t>Table24'!$V$6</t>
  </si>
  <si>
    <t>Table24'!$AA$6</t>
  </si>
  <si>
    <t>Table24'!$AF$6</t>
  </si>
  <si>
    <t>Table24'!$AK$6</t>
  </si>
  <si>
    <t>Table24'!$AP$6</t>
  </si>
  <si>
    <t>Table24'!$AU$6</t>
  </si>
  <si>
    <t>Table24'!$B$7</t>
  </si>
  <si>
    <t>Table24'!$G$7</t>
  </si>
  <si>
    <t>Table24'!$L$7</t>
  </si>
  <si>
    <t>Table24'!$Q$7</t>
  </si>
  <si>
    <t>Table24'!$V$7</t>
  </si>
  <si>
    <t>Table24'!$AA$7</t>
  </si>
  <si>
    <t>Table24'!$AF$7</t>
  </si>
  <si>
    <t>Table24'!$AK$7</t>
  </si>
  <si>
    <t>Table24'!$AP$7</t>
  </si>
  <si>
    <t>Table24'!$AU$7</t>
  </si>
  <si>
    <t>Table24'!$B$8</t>
  </si>
  <si>
    <t>Table24'!$G$8</t>
  </si>
  <si>
    <t>Table24'!$L$8</t>
  </si>
  <si>
    <t>Table24'!$Q$8</t>
  </si>
  <si>
    <t>Table24'!$V$8</t>
  </si>
  <si>
    <t>Table24'!$AA$8</t>
  </si>
  <si>
    <t>Table24'!$AF$8</t>
  </si>
  <si>
    <t>Table24'!$AK$8</t>
  </si>
  <si>
    <t>Table24'!$AP$8</t>
  </si>
  <si>
    <t>Table24'!$AU$8</t>
  </si>
  <si>
    <t>Table24'!$B$9</t>
  </si>
  <si>
    <t>Table24'!$G$9</t>
  </si>
  <si>
    <t>Table24'!$L$9</t>
  </si>
  <si>
    <t>Table24'!$Q$9</t>
  </si>
  <si>
    <t>Table24'!$V$9</t>
  </si>
  <si>
    <t>Table24'!$AA$9</t>
  </si>
  <si>
    <t>Table24'!$AF$9</t>
  </si>
  <si>
    <t>Table24'!$AK$9</t>
  </si>
  <si>
    <t>Table24'!$AP$9</t>
  </si>
  <si>
    <t>Table24'!$AU$9</t>
  </si>
  <si>
    <t>Table24'!$B$10</t>
  </si>
  <si>
    <t>Table24'!$G$10</t>
  </si>
  <si>
    <t>Table24'!$L$10</t>
  </si>
  <si>
    <t>Table24'!$Q$10</t>
  </si>
  <si>
    <t>Table24'!$V$10</t>
  </si>
  <si>
    <t>Table24'!$AA$10</t>
  </si>
  <si>
    <t>Table24'!$AF$10</t>
  </si>
  <si>
    <t>Table24'!$AK$10</t>
  </si>
  <si>
    <t>Table24'!$AP$10</t>
  </si>
  <si>
    <t>Table24'!$AU$10</t>
  </si>
  <si>
    <t>Table24'!$B$11</t>
  </si>
  <si>
    <t>Table24'!$G$11</t>
  </si>
  <si>
    <t>Table24'!$L$11</t>
  </si>
  <si>
    <t>Table24'!$Q$11</t>
  </si>
  <si>
    <t>Table24'!$V$11</t>
  </si>
  <si>
    <t>Table24'!$AA$11</t>
  </si>
  <si>
    <t>Table24'!$AF$11</t>
  </si>
  <si>
    <t>Table24'!$AK$11</t>
  </si>
  <si>
    <t>Table24'!$AP$11</t>
  </si>
  <si>
    <t>Table24'!$AU$11</t>
  </si>
  <si>
    <t>Table24'!$B$12</t>
  </si>
  <si>
    <t>Table24'!$G$12</t>
  </si>
  <si>
    <t>Table24'!$L$12</t>
  </si>
  <si>
    <t>Table24'!$Q$12</t>
  </si>
  <si>
    <t>Table24'!$V$12</t>
  </si>
  <si>
    <t>Table24'!$AA$12</t>
  </si>
  <si>
    <t>Table24'!$AF$12</t>
  </si>
  <si>
    <t>Table24'!$AK$12</t>
  </si>
  <si>
    <t>Table24'!$AP$12</t>
  </si>
  <si>
    <t>Table24'!$AU$12</t>
  </si>
  <si>
    <t>Table24'!$B$13</t>
  </si>
  <si>
    <t>Table24'!$G$13</t>
  </si>
  <si>
    <t>Table24'!$L$13</t>
  </si>
  <si>
    <t>Table24'!$Q$13</t>
  </si>
  <si>
    <t>Table24'!$V$13</t>
  </si>
  <si>
    <t>Table24'!$AA$13</t>
  </si>
  <si>
    <t>Table24'!$AF$13</t>
  </si>
  <si>
    <t>Table24'!$AK$13</t>
  </si>
  <si>
    <t>Table24'!$AP$13</t>
  </si>
  <si>
    <t>Table24'!$AU$13</t>
  </si>
  <si>
    <t>Table24'!$B$14</t>
  </si>
  <si>
    <t>Table24'!$G$14</t>
  </si>
  <si>
    <t>Table24'!$L$14</t>
  </si>
  <si>
    <t>Table24'!$Q$14</t>
  </si>
  <si>
    <t>Table24'!$V$14</t>
  </si>
  <si>
    <t>Table24'!$AA$14</t>
  </si>
  <si>
    <t>Table24'!$AF$14</t>
  </si>
  <si>
    <t>Table24'!$AK$14</t>
  </si>
  <si>
    <t>Table24'!$AP$14</t>
  </si>
  <si>
    <t>Table24'!$AU$14</t>
  </si>
  <si>
    <t>broadcast_station_partner_address1</t>
  </si>
  <si>
    <t>broadcast_station_partner_address2</t>
  </si>
  <si>
    <t>broadcast_station_partner_address3</t>
  </si>
  <si>
    <t>broadcast_station_partner_address4</t>
  </si>
  <si>
    <t>broadcast_station_partner_address5</t>
  </si>
  <si>
    <t>broadcast_station_partner_address6</t>
  </si>
  <si>
    <t>broadcast_station_partner_address7</t>
  </si>
  <si>
    <t>broadcast_station_partner_address8</t>
  </si>
  <si>
    <t>broadcast_station_partner_address9</t>
  </si>
  <si>
    <t>broadcast_station_partner_email1</t>
  </si>
  <si>
    <t>broadcast_station_partner_email2</t>
  </si>
  <si>
    <t>broadcast_station_partner_email3</t>
  </si>
  <si>
    <t>broadcast_station_partner_email4</t>
  </si>
  <si>
    <t>broadcast_station_partner_email5</t>
  </si>
  <si>
    <t>broadcast_station_partner_email6</t>
  </si>
  <si>
    <t>broadcast_station_partner_email7</t>
  </si>
  <si>
    <t>broadcast_station_partner_email8</t>
  </si>
  <si>
    <t>broadcast_station_partner_email9</t>
  </si>
  <si>
    <t>UHF</t>
  </si>
  <si>
    <t>VHF</t>
  </si>
  <si>
    <t>es_school_radio</t>
  </si>
  <si>
    <t>radio_type1</t>
  </si>
  <si>
    <t>radio_purpose1</t>
  </si>
  <si>
    <t>radio_frequency1</t>
  </si>
  <si>
    <t>radio_ntc_licensenum1</t>
  </si>
  <si>
    <t>radio_no_of_units1</t>
  </si>
  <si>
    <t>radio_type2</t>
  </si>
  <si>
    <t>radio_purpose2</t>
  </si>
  <si>
    <t>radio_frequency2</t>
  </si>
  <si>
    <t>radio_ntc_licensenum2</t>
  </si>
  <si>
    <t>radio_no_of_units2</t>
  </si>
  <si>
    <t>radio_type3</t>
  </si>
  <si>
    <t>radio_purpose3</t>
  </si>
  <si>
    <t>radio_frequency3</t>
  </si>
  <si>
    <t>radio_ntc_licensenum3</t>
  </si>
  <si>
    <t>radio_no_of_units3</t>
  </si>
  <si>
    <t>radio_type4</t>
  </si>
  <si>
    <t>radio_purpose4</t>
  </si>
  <si>
    <t>radio_frequency4</t>
  </si>
  <si>
    <t>radio_ntc_licensenum4</t>
  </si>
  <si>
    <t>radio_no_of_units4</t>
  </si>
  <si>
    <t>radio_type5</t>
  </si>
  <si>
    <t>radio_purpose5</t>
  </si>
  <si>
    <t>radio_frequency5</t>
  </si>
  <si>
    <t>radio_ntc_licensenum5</t>
  </si>
  <si>
    <t>radio_no_of_units5</t>
  </si>
  <si>
    <t>radio_type6</t>
  </si>
  <si>
    <t>radio_purpose6</t>
  </si>
  <si>
    <t>radio_frequency6</t>
  </si>
  <si>
    <t>radio_ntc_licensenum6</t>
  </si>
  <si>
    <t>radio_no_of_units6</t>
  </si>
  <si>
    <t>radio_type7</t>
  </si>
  <si>
    <t>radio_purpose7</t>
  </si>
  <si>
    <t>radio_frequency7</t>
  </si>
  <si>
    <t>radio_ntc_licensenum7</t>
  </si>
  <si>
    <t>radio_no_of_units7</t>
  </si>
  <si>
    <t>radio_type8</t>
  </si>
  <si>
    <t>radio_purpose8</t>
  </si>
  <si>
    <t>radio_frequency8</t>
  </si>
  <si>
    <t>radio_ntc_licensenum8</t>
  </si>
  <si>
    <t>radio_no_of_units8</t>
  </si>
  <si>
    <t>radio_type9</t>
  </si>
  <si>
    <t>radio_purpose9</t>
  </si>
  <si>
    <t>radio_frequency9</t>
  </si>
  <si>
    <t>radio_ntc_licensenum9</t>
  </si>
  <si>
    <t>radio_no_of_units9</t>
  </si>
  <si>
    <t>radio_type10</t>
  </si>
  <si>
    <t>radio_purpose10</t>
  </si>
  <si>
    <t>radio_frequency10</t>
  </si>
  <si>
    <t>radio_ntc_licensenum10</t>
  </si>
  <si>
    <t>radio_no_of_units10</t>
  </si>
  <si>
    <t>Table25'!$B$7</t>
  </si>
  <si>
    <t>Table25'!$J$7</t>
  </si>
  <si>
    <t>Table25'!$R$7</t>
  </si>
  <si>
    <t>Table25'!$Z$7</t>
  </si>
  <si>
    <t>Table25'!$AH$7</t>
  </si>
  <si>
    <t>Table25'!$B$8</t>
  </si>
  <si>
    <t>Table25'!$J$8</t>
  </si>
  <si>
    <t>Table25'!$R$8</t>
  </si>
  <si>
    <t>Table25'!$Z$8</t>
  </si>
  <si>
    <t>Table25'!$AH$8</t>
  </si>
  <si>
    <t>Table25'!$B$9</t>
  </si>
  <si>
    <t>Table25'!$J$9</t>
  </si>
  <si>
    <t>Table25'!$R$9</t>
  </si>
  <si>
    <t>Table25'!$Z$9</t>
  </si>
  <si>
    <t>Table25'!$AH$9</t>
  </si>
  <si>
    <t>Table25'!$B$10</t>
  </si>
  <si>
    <t>Table25'!$J$10</t>
  </si>
  <si>
    <t>Table25'!$R$10</t>
  </si>
  <si>
    <t>Table25'!$Z$10</t>
  </si>
  <si>
    <t>Table25'!$AH$10</t>
  </si>
  <si>
    <t>Table25'!$B$11</t>
  </si>
  <si>
    <t>Table25'!$J$11</t>
  </si>
  <si>
    <t>Table25'!$R$11</t>
  </si>
  <si>
    <t>Table25'!$Z$11</t>
  </si>
  <si>
    <t>Table25'!$AH$11</t>
  </si>
  <si>
    <t>Table25'!$B$12</t>
  </si>
  <si>
    <t>Table25'!$J$12</t>
  </si>
  <si>
    <t>Table25'!$R$12</t>
  </si>
  <si>
    <t>Table25'!$Z$12</t>
  </si>
  <si>
    <t>Table25'!$AH$12</t>
  </si>
  <si>
    <t>Table25'!$B$13</t>
  </si>
  <si>
    <t>Table25'!$J$13</t>
  </si>
  <si>
    <t>Table25'!$R$13</t>
  </si>
  <si>
    <t>Table25'!$Z$13</t>
  </si>
  <si>
    <t>Table25'!$AH$13</t>
  </si>
  <si>
    <t>Table25'!$B$14</t>
  </si>
  <si>
    <t>Table25'!$J$14</t>
  </si>
  <si>
    <t>Table25'!$R$14</t>
  </si>
  <si>
    <t>Table25'!$Z$14</t>
  </si>
  <si>
    <t>Table25'!$AH$14</t>
  </si>
  <si>
    <t>Table25'!$B$15</t>
  </si>
  <si>
    <t>Table25'!$J$15</t>
  </si>
  <si>
    <t>Table25'!$R$15</t>
  </si>
  <si>
    <t>Table25'!$Z$15</t>
  </si>
  <si>
    <t>Table25'!$AH$15</t>
  </si>
  <si>
    <t>Table25'!$B$16</t>
  </si>
  <si>
    <t>Table25'!$J$16</t>
  </si>
  <si>
    <t>Table25'!$R$16</t>
  </si>
  <si>
    <t>Table25'!$Z$16</t>
  </si>
  <si>
    <t>Table25'!$AH$16</t>
  </si>
  <si>
    <t>es_oer_dlm</t>
  </si>
  <si>
    <t>oer_original_work_kinder_quarter1</t>
  </si>
  <si>
    <t>oer_original_work_kinder_quarter2</t>
  </si>
  <si>
    <t>oer_original_work_kinder_quarter3</t>
  </si>
  <si>
    <t>oer_original_work_kinder_quarter4</t>
  </si>
  <si>
    <t>oer_edited_remix_reuse_work_kinder_quarter1</t>
  </si>
  <si>
    <t>oer_edited_remix_reuse_work_kinder_quarter2</t>
  </si>
  <si>
    <t>oer_edited_remix_reuse_work_kinder_quarter3</t>
  </si>
  <si>
    <t>oer_edited_remix_reuse_work_kinder_quarter4</t>
  </si>
  <si>
    <t>oer_original_work_grade1_quarter1</t>
  </si>
  <si>
    <t>oer_original_work_grade1_quarter2</t>
  </si>
  <si>
    <t>oer_original_work_grade1_quarter3</t>
  </si>
  <si>
    <t>oer_original_work_grade1_quarter4</t>
  </si>
  <si>
    <t>oer_edited_remix_reuse_work_grade1_quarter1</t>
  </si>
  <si>
    <t>oer_edited_remix_reuse_work_grade1_quarter2</t>
  </si>
  <si>
    <t>oer_edited_remix_reuse_work_grade1_quarter3</t>
  </si>
  <si>
    <t>oer_edited_remix_reuse_work_grade1_quarter4</t>
  </si>
  <si>
    <t>oer_original_work_grade2_quarter1</t>
  </si>
  <si>
    <t>oer_original_work_grade2_quarter2</t>
  </si>
  <si>
    <t>oer_original_work_grade2_quarter3</t>
  </si>
  <si>
    <t>oer_original_work_grade2_quarter4</t>
  </si>
  <si>
    <t>oer_edited_remix_reuse_work_grade2_quarter1</t>
  </si>
  <si>
    <t>oer_edited_remix_reuse_work_grade2_quarter2</t>
  </si>
  <si>
    <t>oer_edited_remix_reuse_work_grade2_quarter3</t>
  </si>
  <si>
    <t>oer_edited_remix_reuse_work_grade2_quarter4</t>
  </si>
  <si>
    <t>oer_original_work_grade3_quarter1</t>
  </si>
  <si>
    <t>oer_original_work_grade3_quarter2</t>
  </si>
  <si>
    <t>oer_original_work_grade3_quarter3</t>
  </si>
  <si>
    <t>oer_original_work_grade3_quarter4</t>
  </si>
  <si>
    <t>oer_edited_remix_reuse_work_grade3_quarter1</t>
  </si>
  <si>
    <t>oer_edited_remix_reuse_work_grade3_quarter2</t>
  </si>
  <si>
    <t>oer_edited_remix_reuse_work_grade3_quarter3</t>
  </si>
  <si>
    <t>oer_edited_remix_reuse_work_grade3_quarter4</t>
  </si>
  <si>
    <t>oer_original_work_grade4_quarter1</t>
  </si>
  <si>
    <t>oer_original_work_grade4_quarter2</t>
  </si>
  <si>
    <t>oer_original_work_grade4_quarter3</t>
  </si>
  <si>
    <t>oer_original_work_grade4_quarter4</t>
  </si>
  <si>
    <t>oer_edited_remix_reuse_work_grade4_quarter1</t>
  </si>
  <si>
    <t>oer_edited_remix_reuse_work_grade4_quarter2</t>
  </si>
  <si>
    <t>oer_edited_remix_reuse_work_grade4_quarter3</t>
  </si>
  <si>
    <t>oer_edited_remix_reuse_work_grade4_quarter4</t>
  </si>
  <si>
    <t>oer_original_work_grade5_quarter1</t>
  </si>
  <si>
    <t>oer_original_work_grade5_quarter2</t>
  </si>
  <si>
    <t>oer_original_work_grade5_quarter3</t>
  </si>
  <si>
    <t>oer_original_work_grade5_quarter4</t>
  </si>
  <si>
    <t>oer_edited_remix_reuse_work_grade5_quarter1</t>
  </si>
  <si>
    <t>oer_edited_remix_reuse_work_grade5_quarter2</t>
  </si>
  <si>
    <t>oer_edited_remix_reuse_work_grade5_quarter3</t>
  </si>
  <si>
    <t>oer_edited_remix_reuse_work_grade5_quarter4</t>
  </si>
  <si>
    <t>oer_original_work_grade6_quarter1</t>
  </si>
  <si>
    <t>oer_original_work_grade6_quarter2</t>
  </si>
  <si>
    <t>oer_original_work_grade6_quarter3</t>
  </si>
  <si>
    <t>oer_original_work_grade6_quarter4</t>
  </si>
  <si>
    <t>oer_edited_remix_reuse_work_grade6_quarter1</t>
  </si>
  <si>
    <t>oer_edited_remix_reuse_work_grade6_quarter2</t>
  </si>
  <si>
    <t>oer_edited_remix_reuse_work_grade6_quarter3</t>
  </si>
  <si>
    <t>oer_edited_remix_reuse_work_grade6_quarter4</t>
  </si>
  <si>
    <t>Table26-Box7'!$G$7</t>
  </si>
  <si>
    <t>Table26-Box7'!$J$7</t>
  </si>
  <si>
    <t>Table26-Box7'!$M$7</t>
  </si>
  <si>
    <t>Table26-Box7'!$P$7</t>
  </si>
  <si>
    <t>Table26-Box7'!$V$7</t>
  </si>
  <si>
    <t>Table26-Box7'!$Y$7</t>
  </si>
  <si>
    <t>Table26-Box7'!$AB$7</t>
  </si>
  <si>
    <t>Table26-Box7'!$AE$7</t>
  </si>
  <si>
    <t>Table26-Box7'!$G$8</t>
  </si>
  <si>
    <t>Table26-Box7'!$J$8</t>
  </si>
  <si>
    <t>Table26-Box7'!$M$8</t>
  </si>
  <si>
    <t>Table26-Box7'!$P$8</t>
  </si>
  <si>
    <t>Table26-Box7'!$V$8</t>
  </si>
  <si>
    <t>Table26-Box7'!$Y$8</t>
  </si>
  <si>
    <t>Table26-Box7'!$AB$8</t>
  </si>
  <si>
    <t>Table26-Box7'!$AE$8</t>
  </si>
  <si>
    <t>Table26-Box7'!$G$9</t>
  </si>
  <si>
    <t>Table26-Box7'!$J$9</t>
  </si>
  <si>
    <t>Table26-Box7'!$M$9</t>
  </si>
  <si>
    <t>Table26-Box7'!$P$9</t>
  </si>
  <si>
    <t>Table26-Box7'!$V$9</t>
  </si>
  <si>
    <t>Table26-Box7'!$Y$9</t>
  </si>
  <si>
    <t>Table26-Box7'!$AB$9</t>
  </si>
  <si>
    <t>Table26-Box7'!$AE$9</t>
  </si>
  <si>
    <t>Table26-Box7'!$G$10</t>
  </si>
  <si>
    <t>Table26-Box7'!$J$10</t>
  </si>
  <si>
    <t>Table26-Box7'!$M$10</t>
  </si>
  <si>
    <t>Table26-Box7'!$P$10</t>
  </si>
  <si>
    <t>Table26-Box7'!$V$10</t>
  </si>
  <si>
    <t>Table26-Box7'!$Y$10</t>
  </si>
  <si>
    <t>Table26-Box7'!$AB$10</t>
  </si>
  <si>
    <t>Table26-Box7'!$AE$10</t>
  </si>
  <si>
    <t>Table26-Box7'!$G$11</t>
  </si>
  <si>
    <t>Table26-Box7'!$J$11</t>
  </si>
  <si>
    <t>Table26-Box7'!$M$11</t>
  </si>
  <si>
    <t>Table26-Box7'!$P$11</t>
  </si>
  <si>
    <t>Table26-Box7'!$V$11</t>
  </si>
  <si>
    <t>Table26-Box7'!$Y$11</t>
  </si>
  <si>
    <t>Table26-Box7'!$AB$11</t>
  </si>
  <si>
    <t>Table26-Box7'!$AE$11</t>
  </si>
  <si>
    <t>Table26-Box7'!$G$12</t>
  </si>
  <si>
    <t>Table26-Box7'!$J$12</t>
  </si>
  <si>
    <t>Table26-Box7'!$M$12</t>
  </si>
  <si>
    <t>Table26-Box7'!$P$12</t>
  </si>
  <si>
    <t>Table26-Box7'!$V$12</t>
  </si>
  <si>
    <t>Table26-Box7'!$Y$12</t>
  </si>
  <si>
    <t>Table26-Box7'!$AB$12</t>
  </si>
  <si>
    <t>Table26-Box7'!$AE$12</t>
  </si>
  <si>
    <t>Table26-Box7'!$G$13</t>
  </si>
  <si>
    <t>Table26-Box7'!$J$13</t>
  </si>
  <si>
    <t>Table26-Box7'!$M$13</t>
  </si>
  <si>
    <t>Table26-Box7'!$P$13</t>
  </si>
  <si>
    <t>Table26-Box7'!$V$13</t>
  </si>
  <si>
    <t>Table26-Box7'!$Y$13</t>
  </si>
  <si>
    <t>Table26-Box7'!$AB$13</t>
  </si>
  <si>
    <t>Table26-Box7'!$AE$13</t>
  </si>
  <si>
    <t>es_teachers_depedtv</t>
  </si>
  <si>
    <t>teachers_using_depedtv_frequent_m</t>
  </si>
  <si>
    <t>teachers_using_depedtv_frequent_f</t>
  </si>
  <si>
    <t>teachers_using_depedtv_seldom_m</t>
  </si>
  <si>
    <t>teachers_using_depedtv_seldom_f</t>
  </si>
  <si>
    <t>teachers_using_depedtv_never_m</t>
  </si>
  <si>
    <t>teachers_using_depedtv_never_f</t>
  </si>
  <si>
    <t>teacher_method_for_depedtv_broadcasttv</t>
  </si>
  <si>
    <t>teacher_method_for_depedtv_facebook</t>
  </si>
  <si>
    <t>teacher_method_for_depedtv_youtube</t>
  </si>
  <si>
    <t>teacher_method_for_depedtv_downloaded</t>
  </si>
  <si>
    <t>teacher_identify_needs_more_resources_depedtv_english</t>
  </si>
  <si>
    <t>teacher_identify_needs_more_resources_depedtv_math</t>
  </si>
  <si>
    <t>teacher_identify_needs_more_resources_depedtv_filipino</t>
  </si>
  <si>
    <t>teacher_identify_needs_more_resources_depedtv_science</t>
  </si>
  <si>
    <t>teacher_identify_needs_more_resources_depedtv_ap</t>
  </si>
  <si>
    <t>teacher_identify_needs_more_resources_depedtv_esp</t>
  </si>
  <si>
    <t>teacher_identify_needs_more_resources_depedtv_tle</t>
  </si>
  <si>
    <t>teacher_identify_needs_more_resources_depedtv_mapeh</t>
  </si>
  <si>
    <t>teacher_identify_needs_more_resources_depedtv_others</t>
  </si>
  <si>
    <t>teacher_identify_needs_more_resources_depedtv_others_specify</t>
  </si>
  <si>
    <t>deps_lrdms</t>
  </si>
  <si>
    <t>deps_lrdms_pos</t>
  </si>
  <si>
    <t>Table26-Box7'!$J$30</t>
  </si>
  <si>
    <t>Table26-Box7'!$O$30</t>
  </si>
  <si>
    <t>Table26-Box7'!$J$31</t>
  </si>
  <si>
    <t>Table26-Box7'!$O$31</t>
  </si>
  <si>
    <t>Table26-Box7'!$J$32</t>
  </si>
  <si>
    <t>Table26-Box7'!$O$32</t>
  </si>
  <si>
    <t>Table26-Box7'!$AH$28</t>
  </si>
  <si>
    <t>Table26-Box7'!$AH$29</t>
  </si>
  <si>
    <t>Table26-Box7'!$AQ$28</t>
  </si>
  <si>
    <t>Table26-Box7'!$AQ$29</t>
  </si>
  <si>
    <t>Table26-Box7'!$AH$33</t>
  </si>
  <si>
    <t>Table26-Box7'!$AH$34</t>
  </si>
  <si>
    <t>Table26-Box7'!$AH$35</t>
  </si>
  <si>
    <t>Table26-Box7'!$AH$36</t>
  </si>
  <si>
    <t>Table26-Box7'!$AH$38</t>
  </si>
  <si>
    <t>Table26-Box7'!$AQ$33</t>
  </si>
  <si>
    <t>Table26-Box7'!$AQ$34</t>
  </si>
  <si>
    <t>Table26-Box7'!$AQ$35</t>
  </si>
  <si>
    <t>Table26-Box7'!$AQ$36</t>
  </si>
  <si>
    <t>Table26-Box7'!$AV$36</t>
  </si>
  <si>
    <t>Table26-Box7'!$V$45</t>
  </si>
  <si>
    <t>Table26-Box7'!$Z$47</t>
  </si>
  <si>
    <t>mooe_alloc_jantodec_amount</t>
  </si>
  <si>
    <t>es_mooe</t>
  </si>
  <si>
    <t>mooe_utili_jantodec_amount</t>
  </si>
  <si>
    <t>mooe_liqui_jantodec_amount</t>
  </si>
  <si>
    <t>do_accountant_name</t>
  </si>
  <si>
    <t>do_accountant_pos</t>
  </si>
  <si>
    <t>electrical_supply_sources_grid</t>
  </si>
  <si>
    <t>es_electricity</t>
  </si>
  <si>
    <t>electrical_supply_sources_offgrid</t>
  </si>
  <si>
    <t>electrical_offgrid_solar_power</t>
  </si>
  <si>
    <t>electrical_offgrid_generator</t>
  </si>
  <si>
    <t>electrical_offgrid_others</t>
  </si>
  <si>
    <t>electrical_offgrid_others_specify</t>
  </si>
  <si>
    <t>electrical_no_sources</t>
  </si>
  <si>
    <t>ave_cost_monthly_bills_amount</t>
  </si>
  <si>
    <t>electrical_funding_source_mooe</t>
  </si>
  <si>
    <t>electrical_funding_sources_lgu</t>
  </si>
  <si>
    <t>electrical_funding_sources_pta</t>
  </si>
  <si>
    <t>electrical_funding_sources_canteen</t>
  </si>
  <si>
    <t>electrical_funding_source_private</t>
  </si>
  <si>
    <t>electrical_funding_source_others</t>
  </si>
  <si>
    <t>electrical_funding_source_others_specify</t>
  </si>
  <si>
    <t>electricity_available_inaday_hours</t>
  </si>
  <si>
    <t>phyfacoor_doengr_name</t>
  </si>
  <si>
    <t>es_site_ownership</t>
  </si>
  <si>
    <t>phyfacoor_doengr_pos</t>
  </si>
  <si>
    <t>sch_site_chk31_deped</t>
  </si>
  <si>
    <t>sch_site_chk31_lgu</t>
  </si>
  <si>
    <t>sch_site_chk31_othergov</t>
  </si>
  <si>
    <t>sch_site_chk31_prvt_ind</t>
  </si>
  <si>
    <t>Table27-Box8'!J$6</t>
  </si>
  <si>
    <t>Table27-Box8'!J$7</t>
  </si>
  <si>
    <t>Table27-Box8'!J$8</t>
  </si>
  <si>
    <t>Table27-Box8'!B$25</t>
  </si>
  <si>
    <t>Table27-Box8'!F$27</t>
  </si>
  <si>
    <t>Table27-Box8'!$AB$6</t>
  </si>
  <si>
    <t>Table27-Box8'!$AB$7</t>
  </si>
  <si>
    <t>Table27-Box8'!$AE$8</t>
  </si>
  <si>
    <t>Table27-Box8'!$AE$9</t>
  </si>
  <si>
    <t>Table27-Box8'!$AE$10</t>
  </si>
  <si>
    <t>Table27-Box8'!$AJ$10</t>
  </si>
  <si>
    <t>Table27-Box8'!$AB$11</t>
  </si>
  <si>
    <t>Table27-Box8'!$AQ$12</t>
  </si>
  <si>
    <t>Table27-Box8'!$AB$14</t>
  </si>
  <si>
    <t>Table27-Box8'!$AB$15</t>
  </si>
  <si>
    <t>Table27-Box8'!$AB$16</t>
  </si>
  <si>
    <t>Table27-Box8'!$AH$14</t>
  </si>
  <si>
    <t>Table27-Box8'!$AH$15</t>
  </si>
  <si>
    <t>Table27-Box8'!$AH$16</t>
  </si>
  <si>
    <t>Table27-Box8'!$AM$16</t>
  </si>
  <si>
    <t>Table27-Box8'!$AN$17</t>
  </si>
  <si>
    <t>Table27-Box8'!$AJ$25</t>
  </si>
  <si>
    <t>Table27-Box8'!$AN$27</t>
  </si>
  <si>
    <t>Box9'!$E$7</t>
  </si>
  <si>
    <t>Box9'!$E$8</t>
  </si>
  <si>
    <t>Box9'!$I$7</t>
  </si>
  <si>
    <t>Box9'!$I$8</t>
  </si>
  <si>
    <t>sch_site_chk31_yes</t>
  </si>
  <si>
    <t>Box8'!$I$9</t>
  </si>
  <si>
    <t>sch_site_chk31_yes_oct</t>
  </si>
  <si>
    <t>sch_site_chk31_yes_tct</t>
  </si>
  <si>
    <t>sch_site_chk31_yes_cloa</t>
  </si>
  <si>
    <t>sch_site_chk31_yes_spl_patent</t>
  </si>
  <si>
    <t>sch_site_chk31_yes_pres_proc</t>
  </si>
  <si>
    <t>sch_site_chk31_yes_tax_dec</t>
  </si>
  <si>
    <t>sch_site_chk31_yes_deed_abso</t>
  </si>
  <si>
    <t>sch_site_chk31_yes_deed_donation</t>
  </si>
  <si>
    <t>sch_site_chk31_yes_cert_stew</t>
  </si>
  <si>
    <t>sch_site_chk31_yes_slup</t>
  </si>
  <si>
    <t>sch_site_chk31_yes_usufruct</t>
  </si>
  <si>
    <t>sch_site_chk31_yes_moa</t>
  </si>
  <si>
    <t>sch_site_chk31_yes_lease</t>
  </si>
  <si>
    <t>sch_site_chk31_yes_others</t>
  </si>
  <si>
    <t>sch_site_chk31_yes_sflag</t>
  </si>
  <si>
    <t>Box9'!$E$11</t>
  </si>
  <si>
    <t>Box9'!$E$12</t>
  </si>
  <si>
    <t>Box9'!$E$13</t>
  </si>
  <si>
    <t>Box9'!$E$14</t>
  </si>
  <si>
    <t>Box9'!$E$15</t>
  </si>
  <si>
    <t>Box9'!$E$16</t>
  </si>
  <si>
    <t>Box9'!$E$17</t>
  </si>
  <si>
    <t>Box9'!$E$18</t>
  </si>
  <si>
    <t>Box9'!$E$19</t>
  </si>
  <si>
    <t>Box9'!$E$20</t>
  </si>
  <si>
    <t>Box9'!$E$22</t>
  </si>
  <si>
    <t>Box9'!$E$23</t>
  </si>
  <si>
    <t>Box9'!$E$24</t>
  </si>
  <si>
    <t>Box9'!$E$25</t>
  </si>
  <si>
    <t>Box9'!$E$26</t>
  </si>
  <si>
    <t>sch_site_31_specify</t>
  </si>
  <si>
    <t>Box9'!$J$26</t>
  </si>
  <si>
    <t>sch_site_32_land_area</t>
  </si>
  <si>
    <t>Box9'!$AB$5</t>
  </si>
  <si>
    <t>sch_site_chk33_mode_donation</t>
  </si>
  <si>
    <t>sch_site_33_modeyr_donation</t>
  </si>
  <si>
    <t>sch_site_chk33_mode_purchase</t>
  </si>
  <si>
    <t>sch_site_33_modeyr_purchase</t>
  </si>
  <si>
    <t>sch_site_chk33_mode_usufruct_agree</t>
  </si>
  <si>
    <t>sch_site_33_modeyr_usufruct_agree</t>
  </si>
  <si>
    <t>sch_site_chk33_mode_expropriation</t>
  </si>
  <si>
    <t>sch_site_33_modeyr_expropriation</t>
  </si>
  <si>
    <t>sch_site_chk33_mode_exchange_swapping</t>
  </si>
  <si>
    <t>sch_site_33_modeyr_exchange_swapping</t>
  </si>
  <si>
    <t>sch_site_chk33_mode_pres_proc</t>
  </si>
  <si>
    <t>sch_site_33_modeyr_pres_proc</t>
  </si>
  <si>
    <t>sch_site_chk33_mode_spl_patent</t>
  </si>
  <si>
    <t>sch_site_33_modeyr_spl_patent</t>
  </si>
  <si>
    <t>sch_site_chk33_mode_cloa</t>
  </si>
  <si>
    <t>sch_site_33_modeyr_cloa</t>
  </si>
  <si>
    <t>sch_site_chk33_mode_slup</t>
  </si>
  <si>
    <t>sch_site_33_modeyr_slup</t>
  </si>
  <si>
    <t>sch_site_chk33_mode_others</t>
  </si>
  <si>
    <t>sch_site_33_mode_specify</t>
  </si>
  <si>
    <t>sch_site_33_modeyr_others</t>
  </si>
  <si>
    <t>Box9'!$S$9</t>
  </si>
  <si>
    <t>Box9'!$AD$9</t>
  </si>
  <si>
    <t>Box9'!$S$10</t>
  </si>
  <si>
    <t>Box9'!$AD$10</t>
  </si>
  <si>
    <t>Box9'!$S$11</t>
  </si>
  <si>
    <t>Box9'!$AD$11</t>
  </si>
  <si>
    <t>Box9'!$S$12</t>
  </si>
  <si>
    <t>Box9'!$AD$12</t>
  </si>
  <si>
    <t>Box9'!$S$13</t>
  </si>
  <si>
    <t>Box9'!$AD$13</t>
  </si>
  <si>
    <t>Box9'!$S$14</t>
  </si>
  <si>
    <t>Box9'!$AD$14</t>
  </si>
  <si>
    <t>Box9'!$S$15</t>
  </si>
  <si>
    <t>Box9'!$AD$15</t>
  </si>
  <si>
    <t>Box9'!$S$16</t>
  </si>
  <si>
    <t>Box9'!$AD$16</t>
  </si>
  <si>
    <t>Box9'!$S$18</t>
  </si>
  <si>
    <t>Box9'!$AD$18</t>
  </si>
  <si>
    <t>Box9'!$S$19</t>
  </si>
  <si>
    <t>Box9'!$T$20</t>
  </si>
  <si>
    <t>Box9'!$AD$19</t>
  </si>
  <si>
    <t>sch_site_chk40w_ancesdom_usuyes</t>
  </si>
  <si>
    <t>sch_site_chk40w_ancesdom_cadtyes</t>
  </si>
  <si>
    <t>sch_site_chk50w_ancesland_usuyes</t>
  </si>
  <si>
    <t>sch_site_chk50w_ancesland_caltyes</t>
  </si>
  <si>
    <t>sch_site_chk60_leg_own_adverseclaim</t>
  </si>
  <si>
    <t>sch_site_chk60_leg_own_encroach</t>
  </si>
  <si>
    <t>sch_site_chk60_leg_own_willegalsetler</t>
  </si>
  <si>
    <t>sch_site_chk60_leg_own_others</t>
  </si>
  <si>
    <t>sch_site_60_leg_own_specify</t>
  </si>
  <si>
    <t>sch_site_chk70_schsite_protec_area</t>
  </si>
  <si>
    <t>sch_site_chk70_schsite_timber_forest</t>
  </si>
  <si>
    <t>Box9'!$AL$7</t>
  </si>
  <si>
    <t>Box9'!$AL$9</t>
  </si>
  <si>
    <t>Box9'!$AL$12</t>
  </si>
  <si>
    <t>Box9'!$AL$14</t>
  </si>
  <si>
    <t>Box9'!$AL$17</t>
  </si>
  <si>
    <t>Box9'!$AL$18</t>
  </si>
  <si>
    <t>Box9'!$AL$19</t>
  </si>
  <si>
    <t>Box9'!$AL$20</t>
  </si>
  <si>
    <t>Box9'!$AQ$20</t>
  </si>
  <si>
    <t>Box9'!$AL$24</t>
  </si>
  <si>
    <t>Box9'!$AL$25</t>
  </si>
  <si>
    <t>sch_loc_althighway</t>
  </si>
  <si>
    <t>es_school_location</t>
  </si>
  <si>
    <t>sch_loc_bythillside</t>
  </si>
  <si>
    <t>sch_loc_ontopmount</t>
  </si>
  <si>
    <t>sch_loc_onsmllisland</t>
  </si>
  <si>
    <t>sch_loc_nearcoast</t>
  </si>
  <si>
    <t>sch_loc_nearriverwway</t>
  </si>
  <si>
    <t>sch_loc_nearfaultl</t>
  </si>
  <si>
    <t>sch_loc_otherspec</t>
  </si>
  <si>
    <t>sch_loc_specify</t>
  </si>
  <si>
    <t>Box9 cont.-Box10'!$D$31</t>
  </si>
  <si>
    <t>Box9 cont.-Box10'!$D$32</t>
  </si>
  <si>
    <t>Box9 cont.-Box10'!$D$33</t>
  </si>
  <si>
    <t>Box9 cont.-Box10'!$M$31</t>
  </si>
  <si>
    <t>Box9 cont.-Box10'!$M$32</t>
  </si>
  <si>
    <t>Box9 cont.-Box10'!$M$33</t>
  </si>
  <si>
    <t>Box9 cont.-Box10'!$W$31</t>
  </si>
  <si>
    <t>Box9 cont.-Box10'!$W$32</t>
  </si>
  <si>
    <t>Box9 cont.-Box10'!$AB$32</t>
  </si>
  <si>
    <t>sch_health_vacc_mcv_g1_m</t>
  </si>
  <si>
    <t>es_vaccinated</t>
  </si>
  <si>
    <t>sch_health_vacc_mcv_g1_f</t>
  </si>
  <si>
    <t>sch_health_vacc_td_g1_m</t>
  </si>
  <si>
    <t>sch_health_vacc_td_g1_f</t>
  </si>
  <si>
    <t>sch_health_vacc_hpv_g4_f</t>
  </si>
  <si>
    <t>Table28a-c'!$J$6</t>
  </si>
  <si>
    <t>Table28a-c'!$M$6</t>
  </si>
  <si>
    <t>Table28a-c'!$J$7</t>
  </si>
  <si>
    <t>Table28a-c'!$M$7</t>
  </si>
  <si>
    <t>Table28a-c'!$S$8</t>
  </si>
  <si>
    <t>sch_health_vs_pass_k_m</t>
  </si>
  <si>
    <t>es_screening</t>
  </si>
  <si>
    <t>sch_health_vs_pass_k_f</t>
  </si>
  <si>
    <t>sch_health_vs_pass_g1_m</t>
  </si>
  <si>
    <t>sch_health_vs_pass_g1_f</t>
  </si>
  <si>
    <t>sch_health_vs_pass_g2_m</t>
  </si>
  <si>
    <t>sch_health_vs_pass_g2_f</t>
  </si>
  <si>
    <t>sch_health_vs_pass_g3_m</t>
  </si>
  <si>
    <t>sch_health_vs_pass_g3_f</t>
  </si>
  <si>
    <t>sch_health_vs_fail_k_m</t>
  </si>
  <si>
    <t>sch_health_vs_fail_k_f</t>
  </si>
  <si>
    <t>sch_health_vs_fail_g1_m</t>
  </si>
  <si>
    <t>sch_health_vs_fail_g1_f</t>
  </si>
  <si>
    <t>sch_health_vs_fail_g2_m</t>
  </si>
  <si>
    <t>sch_health_vs_fail_g2_f</t>
  </si>
  <si>
    <t>sch_health_vs_fail_g3_m</t>
  </si>
  <si>
    <t>sch_health_vs_fail_g3_f</t>
  </si>
  <si>
    <t>Table28a-c'!$J$15</t>
  </si>
  <si>
    <t>Table28a-c'!$M$15</t>
  </si>
  <si>
    <t>Table28a-c'!$P$15</t>
  </si>
  <si>
    <t>Table28a-c'!$S$15</t>
  </si>
  <si>
    <t>Table28a-c'!$V$15</t>
  </si>
  <si>
    <t>Table28a-c'!$Y$15</t>
  </si>
  <si>
    <t>Table28a-c'!$AB$15</t>
  </si>
  <si>
    <t>Table28a-c'!$AE$15</t>
  </si>
  <si>
    <t>Table28a-c'!$J$14</t>
  </si>
  <si>
    <t>Table28a-c'!$M$14</t>
  </si>
  <si>
    <t>Table28a-c'!$P$14</t>
  </si>
  <si>
    <t>Table28a-c'!$S$14</t>
  </si>
  <si>
    <t>Table28a-c'!$V$14</t>
  </si>
  <si>
    <t>Table28a-c'!$Y$14</t>
  </si>
  <si>
    <t>Table28a-c'!$AB$14</t>
  </si>
  <si>
    <t>Table28a-c'!$AE$14</t>
  </si>
  <si>
    <t>sch_health_nsw_normal_k_m</t>
  </si>
  <si>
    <t>es_nutritional_status</t>
  </si>
  <si>
    <t>sch_health_nsw_normal_k_f</t>
  </si>
  <si>
    <t>sch_health_nsw_normal_g1_m</t>
  </si>
  <si>
    <t>sch_health_nsw_normal_g1_f</t>
  </si>
  <si>
    <t>sch_health_nsw_normal_g2_m</t>
  </si>
  <si>
    <t>sch_health_nsw_normal_g2_f</t>
  </si>
  <si>
    <t>sch_health_nsw_normal_g3_m</t>
  </si>
  <si>
    <t>sch_health_nsw_normal_g3_f</t>
  </si>
  <si>
    <t>sch_health_nsw_normal_g4_m</t>
  </si>
  <si>
    <t>sch_health_nsw_normal_g4_f</t>
  </si>
  <si>
    <t>sch_health_nsw_normal_g5_m</t>
  </si>
  <si>
    <t>sch_health_nsw_normal_g5_f</t>
  </si>
  <si>
    <t>sch_health_nsw_normal_g6_m</t>
  </si>
  <si>
    <t>sch_health_nsw_normal_g6_f</t>
  </si>
  <si>
    <t>sch_health_nsw_normal_ng_m</t>
  </si>
  <si>
    <t>sch_health_nsw_normal_ng_f</t>
  </si>
  <si>
    <t>sch_health_nsw_obese_k_m</t>
  </si>
  <si>
    <t>sch_health_nsw_obese_k_f</t>
  </si>
  <si>
    <t>sch_health_nsw_obese_g1_m</t>
  </si>
  <si>
    <t>sch_health_nsw_obese_g1_f</t>
  </si>
  <si>
    <t>sch_health_nsw_obese_g2_m</t>
  </si>
  <si>
    <t>sch_health_nsw_obese_g2_f</t>
  </si>
  <si>
    <t>sch_health_nsw_obese_g3_m</t>
  </si>
  <si>
    <t>sch_health_nsw_obese_g3_f</t>
  </si>
  <si>
    <t>sch_health_nsw_obese_g4_m</t>
  </si>
  <si>
    <t>sch_health_nsw_obese_g4_f</t>
  </si>
  <si>
    <t>sch_health_nsw_obese_g5_m</t>
  </si>
  <si>
    <t>sch_health_nsw_obese_g5_f</t>
  </si>
  <si>
    <t>sch_health_nsw_obese_g6_m</t>
  </si>
  <si>
    <t>sch_health_nsw_obese_g6_f</t>
  </si>
  <si>
    <t>sch_health_nsw_obese_ng_m</t>
  </si>
  <si>
    <t>sch_health_nsw_obese_ng_f</t>
  </si>
  <si>
    <t>sch_health_nsw_overweight_k_m</t>
  </si>
  <si>
    <t>sch_health_nsw_overweight_k_f</t>
  </si>
  <si>
    <t>sch_health_nsw_overweight_g1_m</t>
  </si>
  <si>
    <t>sch_health_nsw_overweight_g1_f</t>
  </si>
  <si>
    <t>sch_health_nsw_overweight_g2_m</t>
  </si>
  <si>
    <t>sch_health_nsw_overweight_g2_f</t>
  </si>
  <si>
    <t>sch_health_nsw_overweight_g3_m</t>
  </si>
  <si>
    <t>sch_health_nsw_overweight_g3_f</t>
  </si>
  <si>
    <t>sch_health_nsw_overweight_g4_m</t>
  </si>
  <si>
    <t>sch_health_nsw_overweight_g4_f</t>
  </si>
  <si>
    <t>sch_health_nsw_overweight_g5_m</t>
  </si>
  <si>
    <t>sch_health_nsw_overweight_g5_f</t>
  </si>
  <si>
    <t>sch_health_nsw_overweight_g6_m</t>
  </si>
  <si>
    <t>sch_health_nsw_overweight_g6_f</t>
  </si>
  <si>
    <t>sch_health_nsw_overweight_ng_m</t>
  </si>
  <si>
    <t>sch_health_nsw_overweight_ng_f</t>
  </si>
  <si>
    <t>sch_health_nsw_severelywasted_k_m</t>
  </si>
  <si>
    <t>sch_health_nsw_severelywasted_k_f</t>
  </si>
  <si>
    <t>sch_health_nsw_severelywasted_g1_m</t>
  </si>
  <si>
    <t>sch_health_nsw_severelywasted_g1_f</t>
  </si>
  <si>
    <t>sch_health_nsw_severelywasted_g2_m</t>
  </si>
  <si>
    <t>sch_health_nsw_severelywasted_g2_f</t>
  </si>
  <si>
    <t>sch_health_nsw_severelywasted_g3_m</t>
  </si>
  <si>
    <t>sch_health_nsw_severelywasted_g3_f</t>
  </si>
  <si>
    <t>sch_health_nsw_severelywasted_g4_m</t>
  </si>
  <si>
    <t>sch_health_nsw_severelywasted_g4_f</t>
  </si>
  <si>
    <t>sch_health_nsw_severelywasted_g5_m</t>
  </si>
  <si>
    <t>sch_health_nsw_severelywasted_g5_f</t>
  </si>
  <si>
    <t>sch_health_nsw_severelywasted_g6_m</t>
  </si>
  <si>
    <t>sch_health_nsw_severelywasted_g6_f</t>
  </si>
  <si>
    <t>sch_health_nsw_severelywasted_ng_m</t>
  </si>
  <si>
    <t>sch_health_nsw_severelywasted_ng_f</t>
  </si>
  <si>
    <t>sch_health_nsw_wasted_k_m</t>
  </si>
  <si>
    <t>sch_health_nsw_wasted_k_f</t>
  </si>
  <si>
    <t>sch_health_nsw_wasted_g1_m</t>
  </si>
  <si>
    <t>sch_health_nsw_wasted_g1_f</t>
  </si>
  <si>
    <t>sch_health_nsw_wasted_g2_m</t>
  </si>
  <si>
    <t>sch_health_nsw_wasted_g2_f</t>
  </si>
  <si>
    <t>sch_health_nsw_wasted_g3_m</t>
  </si>
  <si>
    <t>sch_health_nsw_wasted_g3_f</t>
  </si>
  <si>
    <t>sch_health_nsw_wasted_g4_m</t>
  </si>
  <si>
    <t>sch_health_nsw_wasted_g4_f</t>
  </si>
  <si>
    <t>sch_health_nsw_wasted_g5_m</t>
  </si>
  <si>
    <t>sch_health_nsw_wasted_g5_f</t>
  </si>
  <si>
    <t>sch_health_nsw_wasted_g6_m</t>
  </si>
  <si>
    <t>sch_health_nsw_wasted_g6_f</t>
  </si>
  <si>
    <t>sch_health_nsw_wasted_ng_m</t>
  </si>
  <si>
    <t>sch_health_nsw_wasted_ng_f</t>
  </si>
  <si>
    <t>Table28a-c'!$J$25</t>
  </si>
  <si>
    <t>Table28a-c'!$M$25</t>
  </si>
  <si>
    <t>Table28a-c'!$P$25</t>
  </si>
  <si>
    <t>Table28a-c'!$S$25</t>
  </si>
  <si>
    <t>Table28a-c'!$V$25</t>
  </si>
  <si>
    <t>Table28a-c'!$Y$25</t>
  </si>
  <si>
    <t>Table28a-c'!$AB$25</t>
  </si>
  <si>
    <t>Table28a-c'!$AE$25</t>
  </si>
  <si>
    <t>Table28a-c'!$AH$25</t>
  </si>
  <si>
    <t>Table28a-c'!$AK$25</t>
  </si>
  <si>
    <t>Table28a-c'!$AN$25</t>
  </si>
  <si>
    <t>Table28a-c'!$AQ$25</t>
  </si>
  <si>
    <t>Table28a-c'!$AT$25</t>
  </si>
  <si>
    <t>Table28a-c'!$AW$25</t>
  </si>
  <si>
    <t>Table28a-c'!$AZ$25</t>
  </si>
  <si>
    <t>Table28a-c'!$BC$25</t>
  </si>
  <si>
    <t>Table28a-c'!$J$23</t>
  </si>
  <si>
    <t>Table28a-c'!$M$23</t>
  </si>
  <si>
    <t>Table28a-c'!$P$23</t>
  </si>
  <si>
    <t>Table28a-c'!$S$23</t>
  </si>
  <si>
    <t>Table28a-c'!$V$23</t>
  </si>
  <si>
    <t>Table28a-c'!$Y$23</t>
  </si>
  <si>
    <t>Table28a-c'!$AB$23</t>
  </si>
  <si>
    <t>Table28a-c'!$AE$23</t>
  </si>
  <si>
    <t>Table28a-c'!$AH$23</t>
  </si>
  <si>
    <t>Table28a-c'!$AK$23</t>
  </si>
  <si>
    <t>Table28a-c'!$AN$23</t>
  </si>
  <si>
    <t>Table28a-c'!$AQ$23</t>
  </si>
  <si>
    <t>Table28a-c'!$AT$23</t>
  </si>
  <si>
    <t>Table28a-c'!$AW$23</t>
  </si>
  <si>
    <t>Table28a-c'!$AZ$23</t>
  </si>
  <si>
    <t>Table28a-c'!$BC$23</t>
  </si>
  <si>
    <t>Table28a-c'!$J$24</t>
  </si>
  <si>
    <t>Table28a-c'!$M$24</t>
  </si>
  <si>
    <t>Table28a-c'!$P$24</t>
  </si>
  <si>
    <t>Table28a-c'!$S$24</t>
  </si>
  <si>
    <t>Table28a-c'!$V$24</t>
  </si>
  <si>
    <t>Table28a-c'!$Y$24</t>
  </si>
  <si>
    <t>Table28a-c'!$AB$24</t>
  </si>
  <si>
    <t>Table28a-c'!$AE$24</t>
  </si>
  <si>
    <t>Table28a-c'!$AH$24</t>
  </si>
  <si>
    <t>Table28a-c'!$AK$24</t>
  </si>
  <si>
    <t>Table28a-c'!$AN$24</t>
  </si>
  <si>
    <t>Table28a-c'!$AQ$24</t>
  </si>
  <si>
    <t>Table28a-c'!$AT$24</t>
  </si>
  <si>
    <t>Table28a-c'!$AW$24</t>
  </si>
  <si>
    <t>Table28a-c'!$AZ$24</t>
  </si>
  <si>
    <t>Table28a-c'!$BC$24</t>
  </si>
  <si>
    <t>Table28a-c'!$J$26</t>
  </si>
  <si>
    <t>Table28a-c'!$M$26</t>
  </si>
  <si>
    <t>Table28a-c'!$P$26</t>
  </si>
  <si>
    <t>Table28a-c'!$S$26</t>
  </si>
  <si>
    <t>Table28a-c'!$V$26</t>
  </si>
  <si>
    <t>Table28a-c'!$Y$26</t>
  </si>
  <si>
    <t>Table28a-c'!$AB$26</t>
  </si>
  <si>
    <t>Table28a-c'!$AE$26</t>
  </si>
  <si>
    <t>Table28a-c'!$AH$26</t>
  </si>
  <si>
    <t>Table28a-c'!$AK$26</t>
  </si>
  <si>
    <t>Table28a-c'!$AN$26</t>
  </si>
  <si>
    <t>Table28a-c'!$AQ$26</t>
  </si>
  <si>
    <t>Table28a-c'!$AT$26</t>
  </si>
  <si>
    <t>Table28a-c'!$AW$26</t>
  </si>
  <si>
    <t>Table28a-c'!$AZ$26</t>
  </si>
  <si>
    <t>Table28a-c'!$BC$26</t>
  </si>
  <si>
    <t>Table28a-c'!$J$27</t>
  </si>
  <si>
    <t>Table28a-c'!$M$27</t>
  </si>
  <si>
    <t>Table28a-c'!$P$27</t>
  </si>
  <si>
    <t>Table28a-c'!$S$27</t>
  </si>
  <si>
    <t>Table28a-c'!$V$27</t>
  </si>
  <si>
    <t>Table28a-c'!$Y$27</t>
  </si>
  <si>
    <t>Table28a-c'!$AB$27</t>
  </si>
  <si>
    <t>Table28a-c'!$AE$27</t>
  </si>
  <si>
    <t>Table28a-c'!$AH$27</t>
  </si>
  <si>
    <t>Table28a-c'!$AK$27</t>
  </si>
  <si>
    <t>Table28a-c'!$AN$27</t>
  </si>
  <si>
    <t>Table28a-c'!$AQ$27</t>
  </si>
  <si>
    <t>Table28a-c'!$AT$27</t>
  </si>
  <si>
    <t>Table28a-c'!$AW$27</t>
  </si>
  <si>
    <t>Table28a-c'!$AZ$27</t>
  </si>
  <si>
    <t>Table28a-c'!$BC$27</t>
  </si>
  <si>
    <t>sch_health_nsh_severelystunted_k_m</t>
  </si>
  <si>
    <t>sch_health_nsh_severelystunted_k_f</t>
  </si>
  <si>
    <t>sch_health_nsh_severelystunted_g1_m</t>
  </si>
  <si>
    <t>sch_health_nsh_severelystunted_g1_f</t>
  </si>
  <si>
    <t>sch_health_nsh_severelystunted_g2_m</t>
  </si>
  <si>
    <t>sch_health_nsh_severelystunted_g2_f</t>
  </si>
  <si>
    <t>sch_health_nsh_severelystunted_g3_m</t>
  </si>
  <si>
    <t>sch_health_nsh_severelystunted_g3_f</t>
  </si>
  <si>
    <t>sch_health_nsh_severelystunted_g4_m</t>
  </si>
  <si>
    <t>sch_health_nsh_severelystunted_g4_f</t>
  </si>
  <si>
    <t>sch_health_nsh_severelystunted_g5_m</t>
  </si>
  <si>
    <t>sch_health_nsh_severelystunted_g5_f</t>
  </si>
  <si>
    <t>sch_health_nsh_severelystunted_g6_m</t>
  </si>
  <si>
    <t>sch_health_nsh_severelystunted_g6_f</t>
  </si>
  <si>
    <t>sch_health_nsh_severelystunted_ng_m</t>
  </si>
  <si>
    <t>sch_health_nsh_severelystunted_ng_f</t>
  </si>
  <si>
    <t>sch_health_nsh_stunted_k_m</t>
  </si>
  <si>
    <t>sch_health_nsh_stunted_k_f</t>
  </si>
  <si>
    <t>sch_health_nsh_stunted_g1_m</t>
  </si>
  <si>
    <t>sch_health_nsh_stunted_g1_f</t>
  </si>
  <si>
    <t>sch_health_nsh_stunted_g2_m</t>
  </si>
  <si>
    <t>sch_health_nsh_stunted_g2_f</t>
  </si>
  <si>
    <t>sch_health_nsh_stunted_g3_m</t>
  </si>
  <si>
    <t>sch_health_nsh_stunted_g3_f</t>
  </si>
  <si>
    <t>sch_health_nsh_stunted_g4_m</t>
  </si>
  <si>
    <t>sch_health_nsh_stunted_g4_f</t>
  </si>
  <si>
    <t>sch_health_nsh_stunted_g5_m</t>
  </si>
  <si>
    <t>sch_health_nsh_stunted_g5_f</t>
  </si>
  <si>
    <t>sch_health_nsh_stunted_g6_m</t>
  </si>
  <si>
    <t>sch_health_nsh_stunted_g6_f</t>
  </si>
  <si>
    <t>sch_health_nsh_stunted_ng_m</t>
  </si>
  <si>
    <t>sch_health_nsh_stunted_ng_f</t>
  </si>
  <si>
    <t>sch_health_nsh_normal_k_m</t>
  </si>
  <si>
    <t>sch_health_nsh_normal_k_f</t>
  </si>
  <si>
    <t>sch_health_nsh_normal_g1_m</t>
  </si>
  <si>
    <t>sch_health_nsh_normal_g1_f</t>
  </si>
  <si>
    <t>sch_health_nsh_normal_g2_m</t>
  </si>
  <si>
    <t>sch_health_nsh_normal_g2_f</t>
  </si>
  <si>
    <t>sch_health_nsh_normal_g3_m</t>
  </si>
  <si>
    <t>sch_health_nsh_normal_g3_f</t>
  </si>
  <si>
    <t>sch_health_nsh_normal_g4_m</t>
  </si>
  <si>
    <t>sch_health_nsh_normal_g4_f</t>
  </si>
  <si>
    <t>sch_health_nsh_normal_g5_m</t>
  </si>
  <si>
    <t>sch_health_nsh_normal_g5_f</t>
  </si>
  <si>
    <t>sch_health_nsh_normal_g6_m</t>
  </si>
  <si>
    <t>sch_health_nsh_normal_g6_f</t>
  </si>
  <si>
    <t>sch_health_nsh_normal_ng_m</t>
  </si>
  <si>
    <t>sch_health_nsh_normal_ng_f</t>
  </si>
  <si>
    <t>sch_health_nsh_tall_k_m</t>
  </si>
  <si>
    <t>sch_health_nsh_tall_k_f</t>
  </si>
  <si>
    <t>sch_health_nsh_tall_g1_m</t>
  </si>
  <si>
    <t>sch_health_nsh_tall_g1_f</t>
  </si>
  <si>
    <t>sch_health_nsh_tall_g2_m</t>
  </si>
  <si>
    <t>sch_health_nsh_tall_g2_f</t>
  </si>
  <si>
    <t>sch_health_nsh_tall_g3_m</t>
  </si>
  <si>
    <t>sch_health_nsh_tall_g3_f</t>
  </si>
  <si>
    <t>sch_health_nsh_tall_g4_m</t>
  </si>
  <si>
    <t>sch_health_nsh_tall_g4_f</t>
  </si>
  <si>
    <t>sch_health_nsh_tall_g5_m</t>
  </si>
  <si>
    <t>sch_health_nsh_tall_g5_f</t>
  </si>
  <si>
    <t>sch_health_nsh_tall_g6_m</t>
  </si>
  <si>
    <t>sch_health_nsh_tall_g6_f</t>
  </si>
  <si>
    <t>sch_health_nsh_tall_ng_m</t>
  </si>
  <si>
    <t>sch_health_nsh_tall_ng_f</t>
  </si>
  <si>
    <t>Table28a-c'!$J$30</t>
  </si>
  <si>
    <t>Table28a-c'!$M$30</t>
  </si>
  <si>
    <t>Table28a-c'!$P$30</t>
  </si>
  <si>
    <t>Table28a-c'!$S$30</t>
  </si>
  <si>
    <t>Table28a-c'!$V$30</t>
  </si>
  <si>
    <t>Table28a-c'!$Y$30</t>
  </si>
  <si>
    <t>Table28a-c'!$AB$30</t>
  </si>
  <si>
    <t>Table28a-c'!$AE$30</t>
  </si>
  <si>
    <t>Table28a-c'!$AH$30</t>
  </si>
  <si>
    <t>Table28a-c'!$AK$30</t>
  </si>
  <si>
    <t>Table28a-c'!$AN$30</t>
  </si>
  <si>
    <t>Table28a-c'!$AQ$30</t>
  </si>
  <si>
    <t>Table28a-c'!$AT$30</t>
  </si>
  <si>
    <t>Table28a-c'!$AW$30</t>
  </si>
  <si>
    <t>Table28a-c'!$AZ$30</t>
  </si>
  <si>
    <t>Table28a-c'!$BC$30</t>
  </si>
  <si>
    <t>Table28a-c'!$J$31</t>
  </si>
  <si>
    <t>Table28a-c'!$M$31</t>
  </si>
  <si>
    <t>Table28a-c'!$P$31</t>
  </si>
  <si>
    <t>Table28a-c'!$S$31</t>
  </si>
  <si>
    <t>Table28a-c'!$V$31</t>
  </si>
  <si>
    <t>Table28a-c'!$Y$31</t>
  </si>
  <si>
    <t>Table28a-c'!$AB$31</t>
  </si>
  <si>
    <t>Table28a-c'!$AE$31</t>
  </si>
  <si>
    <t>Table28a-c'!$AH$31</t>
  </si>
  <si>
    <t>Table28a-c'!$AK$31</t>
  </si>
  <si>
    <t>Table28a-c'!$AN$31</t>
  </si>
  <si>
    <t>Table28a-c'!$AQ$31</t>
  </si>
  <si>
    <t>Table28a-c'!$AT$31</t>
  </si>
  <si>
    <t>Table28a-c'!$AW$31</t>
  </si>
  <si>
    <t>Table28a-c'!$AZ$31</t>
  </si>
  <si>
    <t>Table28a-c'!$BC$31</t>
  </si>
  <si>
    <t>Table28a-c'!$J$32</t>
  </si>
  <si>
    <t>Table28a-c'!$M$32</t>
  </si>
  <si>
    <t>Table28a-c'!$P$32</t>
  </si>
  <si>
    <t>Table28a-c'!$S$32</t>
  </si>
  <si>
    <t>Table28a-c'!$V$32</t>
  </si>
  <si>
    <t>Table28a-c'!$Y$32</t>
  </si>
  <si>
    <t>Table28a-c'!$AB$32</t>
  </si>
  <si>
    <t>Table28a-c'!$AE$32</t>
  </si>
  <si>
    <t>Table28a-c'!$AH$32</t>
  </si>
  <si>
    <t>Table28a-c'!$AK$32</t>
  </si>
  <si>
    <t>Table28a-c'!$AN$32</t>
  </si>
  <si>
    <t>Table28a-c'!$AQ$32</t>
  </si>
  <si>
    <t>Table28a-c'!$AT$32</t>
  </si>
  <si>
    <t>Table28a-c'!$AW$32</t>
  </si>
  <si>
    <t>Table28a-c'!$AZ$32</t>
  </si>
  <si>
    <t>Table28a-c'!$BC$32</t>
  </si>
  <si>
    <t>Table28a-c'!$J$33</t>
  </si>
  <si>
    <t>Table28a-c'!$M$33</t>
  </si>
  <si>
    <t>Table28a-c'!$P$33</t>
  </si>
  <si>
    <t>Table28a-c'!$S$33</t>
  </si>
  <si>
    <t>Table28a-c'!$V$33</t>
  </si>
  <si>
    <t>Table28a-c'!$Y$33</t>
  </si>
  <si>
    <t>Table28a-c'!$AB$33</t>
  </si>
  <si>
    <t>Table28a-c'!$AE$33</t>
  </si>
  <si>
    <t>Table28a-c'!$AH$33</t>
  </si>
  <si>
    <t>Table28a-c'!$AK$33</t>
  </si>
  <si>
    <t>Table28a-c'!$AN$33</t>
  </si>
  <si>
    <t>Table28a-c'!$AQ$33</t>
  </si>
  <si>
    <t>Table28a-c'!$AT$33</t>
  </si>
  <si>
    <t>Table28a-c'!$AW$33</t>
  </si>
  <si>
    <t>Table28a-c'!$AZ$33</t>
  </si>
  <si>
    <t>Table28a-c'!$BC$33</t>
  </si>
  <si>
    <t>sch_health_coor_name</t>
  </si>
  <si>
    <t>es_clinic_data</t>
  </si>
  <si>
    <t>sch_health_coor_pos</t>
  </si>
  <si>
    <t>Table28a-c'!$Y$49</t>
  </si>
  <si>
    <t>Table28a-c'!$AC$51</t>
  </si>
  <si>
    <t>sch_health_learners_dewormed_k_m</t>
  </si>
  <si>
    <t>sch_health_learners_dewormed_k_f</t>
  </si>
  <si>
    <t>sch_health_learners_dewormed_g1_m</t>
  </si>
  <si>
    <t>sch_health_learners_dewormed_g1_f</t>
  </si>
  <si>
    <t>sch_health_learners_dewormed_g2_m</t>
  </si>
  <si>
    <t>sch_health_learners_dewormed_g2_f</t>
  </si>
  <si>
    <t>sch_health_learners_dewormed_g3_m</t>
  </si>
  <si>
    <t>sch_health_learners_dewormed_g3_f</t>
  </si>
  <si>
    <t>sch_health_learners_dewormed_g4_m</t>
  </si>
  <si>
    <t>sch_health_learners_dewormed_g4_f</t>
  </si>
  <si>
    <t>sch_health_learners_dewormed_g5_m</t>
  </si>
  <si>
    <t>sch_health_learners_dewormed_g5_f</t>
  </si>
  <si>
    <t>sch_health_learners_dewormed_g6_m</t>
  </si>
  <si>
    <t>sch_health_learners_dewormed_g6_f</t>
  </si>
  <si>
    <t>sch_health_learners_dewormed_ng_m</t>
  </si>
  <si>
    <t>sch_health_learners_dewormed_ng_f</t>
  </si>
  <si>
    <t>clinic_designated_yes</t>
  </si>
  <si>
    <t>clinic_designated_teacher_yes</t>
  </si>
  <si>
    <t>clinic_weighing_bathroom_units</t>
  </si>
  <si>
    <t>clinic_weighing_beambalance_units</t>
  </si>
  <si>
    <t>clinic_weighing_other</t>
  </si>
  <si>
    <t>clinic_weighing_other_units</t>
  </si>
  <si>
    <t>clinic_tools_tapemeasure</t>
  </si>
  <si>
    <t>clinic_tools_steeltape</t>
  </si>
  <si>
    <t>clinic_tools_microtoise</t>
  </si>
  <si>
    <t>clinic_tools_stadiometer</t>
  </si>
  <si>
    <t>clinic_tools_others</t>
  </si>
  <si>
    <t>clinic_tools_others_value</t>
  </si>
  <si>
    <t>clinic_firstaidkits_unit</t>
  </si>
  <si>
    <t>clinic_thermometers_unit</t>
  </si>
  <si>
    <t>clinic_bpapparatus_unit</t>
  </si>
  <si>
    <t>clinic_basiclifesupport_unit</t>
  </si>
  <si>
    <t>Table28d-Box11'$J$7</t>
  </si>
  <si>
    <t>Table28d-Box11'$L$7</t>
  </si>
  <si>
    <t>Table28d-Box11'$N$7</t>
  </si>
  <si>
    <t>Table28d-Box11'$P$7</t>
  </si>
  <si>
    <t>Table28d-Box11'$R$7</t>
  </si>
  <si>
    <t>Table28d-Box11'$T$7</t>
  </si>
  <si>
    <t>Table28d-Box11'$V$7</t>
  </si>
  <si>
    <t>Table28d-Box11'$X$7</t>
  </si>
  <si>
    <t>Table28d-Box11'$Z$7</t>
  </si>
  <si>
    <t>Table28d-Box11'$AB$7</t>
  </si>
  <si>
    <t>Table28d-Box11'$AD$7</t>
  </si>
  <si>
    <t>Table28d-Box11'$AF$7</t>
  </si>
  <si>
    <t>Table28d-Box11'$AH$7</t>
  </si>
  <si>
    <t>Table28d-Box11'$AJ$7</t>
  </si>
  <si>
    <t>Table28d-Box11'$AL$7</t>
  </si>
  <si>
    <t>Table28d-Box11'$AN$7</t>
  </si>
  <si>
    <t>Table28d-Box11'$V$12</t>
  </si>
  <si>
    <t>Table28d-Box11'$V$14</t>
  </si>
  <si>
    <t>Table28d-Box11'$S$20</t>
  </si>
  <si>
    <t>Table28d-Box11'$S$21</t>
  </si>
  <si>
    <t>Table28d-Box11'$S$22</t>
  </si>
  <si>
    <t>Table28d-Box11'$K$22</t>
  </si>
  <si>
    <t>Table28d-Box11'$H$26</t>
  </si>
  <si>
    <t>Table28d-Box11'$H$27</t>
  </si>
  <si>
    <t>Table28d-Box11'$R$26</t>
  </si>
  <si>
    <t>Table28d-Box11'$R$27</t>
  </si>
  <si>
    <t>Table28d-Box11'$AA$26</t>
  </si>
  <si>
    <t>Table28d-Box11'$AF$26</t>
  </si>
  <si>
    <t>Table28d-Box11'$X$28</t>
  </si>
  <si>
    <t>Table28d-Box11'$X$29</t>
  </si>
  <si>
    <t>Table28d-Box11'$X$30</t>
  </si>
  <si>
    <t>Table28d-Box11'$X$31</t>
  </si>
  <si>
    <t>sch_ws_wsource_yes</t>
  </si>
  <si>
    <t>es_water</t>
  </si>
  <si>
    <t>sch_ws_ifyes_pipe</t>
  </si>
  <si>
    <t>sch_ws_ifyes_well</t>
  </si>
  <si>
    <t>es_sch_ws_ifyes_chk_natural</t>
  </si>
  <si>
    <t>sch_ws_ifyes_rainwater</t>
  </si>
  <si>
    <t>sch_ws_ifyes_others</t>
  </si>
  <si>
    <t>sch_specify_watersupply</t>
  </si>
  <si>
    <t>sch_ws_ifyes_cost_amount</t>
  </si>
  <si>
    <t>sch_ws_ifyes_fundsource_schmooe</t>
  </si>
  <si>
    <t>sch_ws_ifyes_fundsource_lgu</t>
  </si>
  <si>
    <t>sch_ws_ifyes_fundsource_pta</t>
  </si>
  <si>
    <t>sch_ws_ifyes_fundsource_schcanteen</t>
  </si>
  <si>
    <t>sch_ws_ifyes_fundsource_private</t>
  </si>
  <si>
    <t>sch_ws_ifyes_fundsource_others</t>
  </si>
  <si>
    <t>sch_specify_fund</t>
  </si>
  <si>
    <t>sch_ws_drinking_yes</t>
  </si>
  <si>
    <t>sch_ws_water_safety_yes</t>
  </si>
  <si>
    <t>sch_ws_result_safe_yes</t>
  </si>
  <si>
    <t>sch_ws_ifyes_test_frequency_monthly</t>
  </si>
  <si>
    <t>sch_ws_ifyes_test_frequency_quarterly</t>
  </si>
  <si>
    <t>sch_ws_ifyes_test_frequency_annually</t>
  </si>
  <si>
    <t>sch_ws_ifyes_test_frequent_others</t>
  </si>
  <si>
    <t>sch_specify_frequency</t>
  </si>
  <si>
    <t>sch_ws_ifyes_water_last_tested</t>
  </si>
  <si>
    <t>sch_ws_ifyes_water_unavailable_yes</t>
  </si>
  <si>
    <t>sch_ws_ifyes_mechanism_yes</t>
  </si>
  <si>
    <t>sch_ws_mechanism_ifyes_bring_water</t>
  </si>
  <si>
    <t>sch_ws_mechanism_ifyes_refillable_containers</t>
  </si>
  <si>
    <t>sch_ws_mechanism_ifyes_accessible_water</t>
  </si>
  <si>
    <t>sch_ws_mechanism_ifyes_others</t>
  </si>
  <si>
    <t>sch_specify_mechanism</t>
  </si>
  <si>
    <t>Box12-Table29'!$T$5</t>
  </si>
  <si>
    <t>Box12-Table29'!$N$8</t>
  </si>
  <si>
    <t>Box12-Table29'!$N$9</t>
  </si>
  <si>
    <t>Box12-Table29'!$N$10</t>
  </si>
  <si>
    <t>Box12-Table29'!$AB$8</t>
  </si>
  <si>
    <t>Box12-Table29'!$AB$9</t>
  </si>
  <si>
    <t>Box12-Table29'!$AG$9</t>
  </si>
  <si>
    <t>Box12-Table29'!$AC$11</t>
  </si>
  <si>
    <t>Box12-Table29'!$N$13</t>
  </si>
  <si>
    <t>Box12-Table29'!$N$14</t>
  </si>
  <si>
    <t>Box12-Table29'!$N$15</t>
  </si>
  <si>
    <t>Box12-Table29'!$AB$13</t>
  </si>
  <si>
    <t>Box12-Table29'!$AB$14</t>
  </si>
  <si>
    <t>Box12-Table29'!$AB$15</t>
  </si>
  <si>
    <t>Box12-Table29'!$AG$15</t>
  </si>
  <si>
    <t>Box12-Table29'!$AG$16</t>
  </si>
  <si>
    <t>Box12-Table29'!$AG$17</t>
  </si>
  <si>
    <t>Box12-Table29'!$AG$18</t>
  </si>
  <si>
    <t>Box12-Table29'!$N$20</t>
  </si>
  <si>
    <t>Box12-Table29'!$N$21</t>
  </si>
  <si>
    <t>Box12-Table29'!$AB$20</t>
  </si>
  <si>
    <t>Box12-Table29'!$AB$21</t>
  </si>
  <si>
    <t>Box12-Table29'!$AG$21</t>
  </si>
  <si>
    <t>Box12-Table29'!$Y$22</t>
  </si>
  <si>
    <t>Box12-Table29'!$AG$23</t>
  </si>
  <si>
    <t>Box12-Table29'!$AG$25</t>
  </si>
  <si>
    <t>Box12-Table29'!$N$27</t>
  </si>
  <si>
    <t>Box12-Table29'!$N$28</t>
  </si>
  <si>
    <t>Box12-Table29'!$N$29</t>
  </si>
  <si>
    <t>Box12-Table29'!$N$30</t>
  </si>
  <si>
    <t>Box12-Table29'!$S$30</t>
  </si>
  <si>
    <t>sch_wf_group_hw_wsoap</t>
  </si>
  <si>
    <t>sch_wf_group_hw_wosoap</t>
  </si>
  <si>
    <t>sch_wf_group_hw_nonfunctional</t>
  </si>
  <si>
    <t>sch_wf_group_hw_no_water_outlets</t>
  </si>
  <si>
    <t>sch_wf_individual_hw_wsoap</t>
  </si>
  <si>
    <t>sch_wf_individual_hw_wosoap</t>
  </si>
  <si>
    <t>sch_wf_individual_hw_nonfunctional</t>
  </si>
  <si>
    <t>sch_wf_individual_hw_no_water_outlets</t>
  </si>
  <si>
    <t>Box12-Table29'!$Q$40</t>
  </si>
  <si>
    <t>Box12-Table29'!$V$40</t>
  </si>
  <si>
    <t>Box12-Table29'!$AA$40</t>
  </si>
  <si>
    <t>Box12-Table29'!$AK$40</t>
  </si>
  <si>
    <t>Box12-Table29'!$Q$41</t>
  </si>
  <si>
    <t>Box12-Table29'!$V$41</t>
  </si>
  <si>
    <t>Box12-Table29'!$AA$41</t>
  </si>
  <si>
    <t>Box12-Table29'!$AK$41</t>
  </si>
  <si>
    <t>sch_oralh_details_num_lexamined_k</t>
  </si>
  <si>
    <t>es_oral_health</t>
  </si>
  <si>
    <t>sch_oralh_details_num_lexamined_g1</t>
  </si>
  <si>
    <t>sch_oralh_details_num_lexamined_g2</t>
  </si>
  <si>
    <t>sch_oralh_details_num_lexamined_g3</t>
  </si>
  <si>
    <t>sch_oralh_details_num_lexamined_g4</t>
  </si>
  <si>
    <t>sch_oralh_details_num_lexamined_g5</t>
  </si>
  <si>
    <t>sch_oralh_details_num_lexamined_g6</t>
  </si>
  <si>
    <t>sch_oralh_details_num_learner_dmftpermatet_k</t>
  </si>
  <si>
    <t>sch_oralh_details_num_learner_dmftpermatet_g1</t>
  </si>
  <si>
    <t>sch_oralh_details_num_learner_dmftpermatet_g2</t>
  </si>
  <si>
    <t>sch_oralh_details_num_learner_dmftpermatet_g3</t>
  </si>
  <si>
    <t>sch_oralh_details_num_learner_dmftpermatet_g4</t>
  </si>
  <si>
    <t>sch_oralh_details_num_learner_dmftpermatet_g5</t>
  </si>
  <si>
    <t>sch_oralh_details_num_learner_dmftpermatet_g6</t>
  </si>
  <si>
    <t>sch_oralh_details_num_dmftpermatet_k</t>
  </si>
  <si>
    <t>sch_oralh_details_num_dmftpermatet_g1</t>
  </si>
  <si>
    <t>sch_oralh_details_num_dmftpermatet_g2</t>
  </si>
  <si>
    <t>sch_oralh_details_num_dmftpermatet_g3</t>
  </si>
  <si>
    <t>sch_oralh_details_num_dmftpermatet_g4</t>
  </si>
  <si>
    <t>sch_oralh_details_num_dmftpermatet_g5</t>
  </si>
  <si>
    <t>sch_oralh_details_num_dmftpermatet_g6</t>
  </si>
  <si>
    <t>sch_oralh_details_num_learner_dmfttempotet_k</t>
  </si>
  <si>
    <t>sch_oralh_details_num_learner_dmfttempotet_g1</t>
  </si>
  <si>
    <t>sch_oralh_details_num_learner_dmfttempotet_g2</t>
  </si>
  <si>
    <t>sch_oralh_details_num_learner_dmfttempotet_g3</t>
  </si>
  <si>
    <t>sch_oralh_details_num_learner_dmfttempotet_g4</t>
  </si>
  <si>
    <t>sch_oralh_details_num_learner_dmfttempotet_g5</t>
  </si>
  <si>
    <t>sch_oralh_details_num_learner_dmfttempotet_g6</t>
  </si>
  <si>
    <t>sch_oralh_details_num_dmfttempotet_k</t>
  </si>
  <si>
    <t>sch_oralh_details_num_dmfttempotet_g1</t>
  </si>
  <si>
    <t>sch_oralh_details_num_dmfttempotet_g2</t>
  </si>
  <si>
    <t>sch_oralh_details_num_dmfttempotet_g3</t>
  </si>
  <si>
    <t>sch_oralh_details_num_dmfttempotet_g4</t>
  </si>
  <si>
    <t>sch_oralh_details_num_dmfttempotet_g5</t>
  </si>
  <si>
    <t>sch_oralh_details_num_dmfttempotet_g6</t>
  </si>
  <si>
    <t>sch_oralh_details_num_learner_fthgumdisease_k</t>
  </si>
  <si>
    <t>sch_oralh_details_num_learner_fthgumdisease_g1</t>
  </si>
  <si>
    <t>sch_oralh_details_num_learner_fthgumdisease_g2</t>
  </si>
  <si>
    <t>sch_oralh_details_num_learner_fthgumdisease_g3</t>
  </si>
  <si>
    <t>sch_oralh_details_num_learner_fthgumdisease_g4</t>
  </si>
  <si>
    <t>sch_oralh_details_num_learner_fthgumdisease_g5</t>
  </si>
  <si>
    <t>sch_oralh_details_num_learner_fthgumdisease_g6</t>
  </si>
  <si>
    <t>sch_oralh_details_num_learner_wosigdentalanom_k</t>
  </si>
  <si>
    <t>sch_oralh_details_num_learner_wosigdentalanom_g1</t>
  </si>
  <si>
    <t>sch_oralh_details_num_learner_wosigdentalanom_g2</t>
  </si>
  <si>
    <t>sch_oralh_details_num_learner_wosigdentalanom_g3</t>
  </si>
  <si>
    <t>sch_oralh_details_num_learner_wosigdentalanom_g4</t>
  </si>
  <si>
    <t>sch_oralh_details_num_learner_wosigdentalanom_g5</t>
  </si>
  <si>
    <t>sch_oralh_details_num_learner_wosigdentalanom_g6</t>
  </si>
  <si>
    <t>sch_oralh_details_num_learner_underwflourid_k</t>
  </si>
  <si>
    <t>sch_oralh_details_num_learner_underwflourid_g1</t>
  </si>
  <si>
    <t>sch_oralh_details_num_learner_underwflourid_g2</t>
  </si>
  <si>
    <t>sch_oralh_details_num_learner_underwflourid_g3</t>
  </si>
  <si>
    <t>sch_mednurservc_details_num_lexamined_k</t>
  </si>
  <si>
    <t>es_medical_services</t>
  </si>
  <si>
    <t>sch_mednurservc_details_num_lexamined_g1</t>
  </si>
  <si>
    <t>sch_mednurservc_details_num_lexamined_g2</t>
  </si>
  <si>
    <t>sch_mednurservc_details_num_lexamined_g3</t>
  </si>
  <si>
    <t>sch_mednurservc_details_num_lexamined_g4</t>
  </si>
  <si>
    <t>sch_mednurservc_details_num_lexamined_g5</t>
  </si>
  <si>
    <t>sch_mednurservc_details_num_lexamined_g6</t>
  </si>
  <si>
    <t>sch_mednurservc_details_num_lwfindings_k</t>
  </si>
  <si>
    <t>sch_mednurservc_details_num_lwfindings_g1</t>
  </si>
  <si>
    <t>sch_mednurservc_details_num_lwfindings_g2</t>
  </si>
  <si>
    <t>sch_mednurservc_details_num_lwfindings_g3</t>
  </si>
  <si>
    <t>sch_mednurservc_details_num_lwfindings_g4</t>
  </si>
  <si>
    <t>sch_mednurservc_details_num_lwfindings_g5</t>
  </si>
  <si>
    <t>sch_mednurservc_details_num_lwfindings_g6</t>
  </si>
  <si>
    <t>sch_mednurservc_details_num_lgiclindepedhealthp_k</t>
  </si>
  <si>
    <t>sch_mednurservc_details_num_lgiclindepedhealthp_g1</t>
  </si>
  <si>
    <t>sch_mednurservc_details_num_lgiclindepedhealthp_g2</t>
  </si>
  <si>
    <t>sch_mednurservc_details_num_lgiclindepedhealthp_g3</t>
  </si>
  <si>
    <t>sch_mednurservc_details_num_lgiclindepedhealthp_g4</t>
  </si>
  <si>
    <t>sch_mednurservc_details_num_lgiclindepedhealthp_g5</t>
  </si>
  <si>
    <t>sch_mednurservc_details_num_lgiclindepedhealthp_g6</t>
  </si>
  <si>
    <t>sch_mednurservc_details_num_lrefercityrurauotherphp_k</t>
  </si>
  <si>
    <t>sch_mednurservc_details_num_lrefercityrurauotherphp_g1</t>
  </si>
  <si>
    <t>sch_mednurservc_details_num_lrefercityrurauotherphp_g2</t>
  </si>
  <si>
    <t>sch_mednurservc_details_num_lrefercityrurauotherphp_g3</t>
  </si>
  <si>
    <t>sch_mednurservc_details_num_lrefercityrurauotherphp_g4</t>
  </si>
  <si>
    <t>sch_mednurservc_details_num_lrefercityrurauotherphp_g5</t>
  </si>
  <si>
    <t>sch_mednurservc_details_num_lrefercityrurauotherphp_g6</t>
  </si>
  <si>
    <t>Tables30.31.32'!$R$6</t>
  </si>
  <si>
    <t>Tables30.31.32'!$U$6</t>
  </si>
  <si>
    <t>Tables30.31.32'!$X$6</t>
  </si>
  <si>
    <t>Tables30.31.32'!$AA$6</t>
  </si>
  <si>
    <t>Tables30.31.32'!$AD$6</t>
  </si>
  <si>
    <t>Tables30.31.32'!$AG$6</t>
  </si>
  <si>
    <t>Tables30.31.32'!$AJ$6</t>
  </si>
  <si>
    <t>Tables30.31.32'!$R$8</t>
  </si>
  <si>
    <t>Tables30.31.32'!$U$8</t>
  </si>
  <si>
    <t>Tables30.31.32'!$X$8</t>
  </si>
  <si>
    <t>Tables30.31.32'!$AA$8</t>
  </si>
  <si>
    <t>Tables30.31.32'!$AD$8</t>
  </si>
  <si>
    <t>Tables30.31.32'!$AG$8</t>
  </si>
  <si>
    <t>Tables30.31.32'!$AJ$8</t>
  </si>
  <si>
    <t>Tables30.31.32'!$R$9</t>
  </si>
  <si>
    <t>Tables30.31.32'!$U$9</t>
  </si>
  <si>
    <t>Tables30.31.32'!$X$9</t>
  </si>
  <si>
    <t>Tables30.31.32'!$AA$9</t>
  </si>
  <si>
    <t>Tables30.31.32'!$AD$9</t>
  </si>
  <si>
    <t>Tables30.31.32'!$AG$9</t>
  </si>
  <si>
    <t>Tables30.31.32'!$AJ$9</t>
  </si>
  <si>
    <t>Tables30.31.32'!$R$11</t>
  </si>
  <si>
    <t>Tables30.31.32'!$U$11</t>
  </si>
  <si>
    <t>Tables30.31.32'!$X$11</t>
  </si>
  <si>
    <t>Tables30.31.32'!$AA$11</t>
  </si>
  <si>
    <t>Tables30.31.32'!$AD$11</t>
  </si>
  <si>
    <t>Tables30.31.32'!$AG$11</t>
  </si>
  <si>
    <t>Tables30.31.32'!$AJ$11</t>
  </si>
  <si>
    <t>Tables30.31.32'!$R$12</t>
  </si>
  <si>
    <t>Tables30.31.32'!$U$12</t>
  </si>
  <si>
    <t>Tables30.31.32'!$X$12</t>
  </si>
  <si>
    <t>Tables30.31.32'!$AA$12</t>
  </si>
  <si>
    <t>Tables30.31.32'!$AD$12</t>
  </si>
  <si>
    <t>Tables30.31.32'!$AG$12</t>
  </si>
  <si>
    <t>Tables30.31.32'!$AJ$12</t>
  </si>
  <si>
    <t>Tables30.31.32'!$R$13</t>
  </si>
  <si>
    <t>Tables30.31.32'!$U$13</t>
  </si>
  <si>
    <t>Tables30.31.32'!$X$13</t>
  </si>
  <si>
    <t>Tables30.31.32'!$AA$13</t>
  </si>
  <si>
    <t>Tables30.31.32'!$AD$13</t>
  </si>
  <si>
    <t>Tables30.31.32'!$AG$13</t>
  </si>
  <si>
    <t>Tables30.31.32'!$AJ$13</t>
  </si>
  <si>
    <t>Tables30.31.32'!$R$14</t>
  </si>
  <si>
    <t>Tables30.31.32'!$U$14</t>
  </si>
  <si>
    <t>Tables30.31.32'!$X$14</t>
  </si>
  <si>
    <t>Tables30.31.32'!$AA$14</t>
  </si>
  <si>
    <t>Tables30.31.32'!$AD$14</t>
  </si>
  <si>
    <t>Tables30.31.32'!$AG$14</t>
  </si>
  <si>
    <t>Tables30.31.32'!$AJ$14</t>
  </si>
  <si>
    <t>Tables30.31.32'!$R$15</t>
  </si>
  <si>
    <t>Tables30.31.32'!$U$15</t>
  </si>
  <si>
    <t>Tables30.31.32'!$X$15</t>
  </si>
  <si>
    <t>Tables30.31.32'!$AA$15</t>
  </si>
  <si>
    <t>Tables30.31.32'!$R$26</t>
  </si>
  <si>
    <t>Tables30.31.32'!$U$26</t>
  </si>
  <si>
    <t>Tables30.31.32'!$X$26</t>
  </si>
  <si>
    <t>Tables30.31.32'!$AA$26</t>
  </si>
  <si>
    <t>Tables30.31.32'!$AD$26</t>
  </si>
  <si>
    <t>Tables30.31.32'!$AG$26</t>
  </si>
  <si>
    <t>Tables30.31.32'!$AJ$26</t>
  </si>
  <si>
    <t>Tables30.31.32'!$R$27</t>
  </si>
  <si>
    <t>Tables30.31.32'!$U$27</t>
  </si>
  <si>
    <t>Tables30.31.32'!$X$27</t>
  </si>
  <si>
    <t>Tables30.31.32'!$AA$27</t>
  </si>
  <si>
    <t>Tables30.31.32'!$AD$27</t>
  </si>
  <si>
    <t>Tables30.31.32'!$AG$27</t>
  </si>
  <si>
    <t>Tables30.31.32'!$AJ$27</t>
  </si>
  <si>
    <t>Tables30.31.32'!$R$28</t>
  </si>
  <si>
    <t>Tables30.31.32'!$U$28</t>
  </si>
  <si>
    <t>Tables30.31.32'!$X$28</t>
  </si>
  <si>
    <t>Tables30.31.32'!$AA$28</t>
  </si>
  <si>
    <t>Tables30.31.32'!$AD$28</t>
  </si>
  <si>
    <t>Tables30.31.32'!$AG$28</t>
  </si>
  <si>
    <t>Tables30.31.32'!$AJ$28</t>
  </si>
  <si>
    <t>Tables30.31.32'!$R$29</t>
  </si>
  <si>
    <t>Tables30.31.32'!$U$29</t>
  </si>
  <si>
    <t>Tables30.31.32'!$X$29</t>
  </si>
  <si>
    <t>Tables30.31.32'!$AA$29</t>
  </si>
  <si>
    <t>Tables30.31.32'!$AD$29</t>
  </si>
  <si>
    <t>Tables30.31.32'!$AG$29</t>
  </si>
  <si>
    <t>Tables30.31.32'!$AJ$29</t>
  </si>
  <si>
    <t>es_mental_health_pandemic</t>
  </si>
  <si>
    <t>Tables30.31.32'!$G$37</t>
  </si>
  <si>
    <t>Tables30.31.32'!$I$37</t>
  </si>
  <si>
    <t>Tables30.31.32'!$K$37</t>
  </si>
  <si>
    <t>Tables30.31.32'!$M$37</t>
  </si>
  <si>
    <t>Tables30.31.32'!$O$37</t>
  </si>
  <si>
    <t>Tables30.31.32'!$Q$37</t>
  </si>
  <si>
    <t>Tables30.31.32'!$S$37</t>
  </si>
  <si>
    <t>Tables30.31.32'!$U$37</t>
  </si>
  <si>
    <t>Tables30.31.32'!$W$37</t>
  </si>
  <si>
    <t>Tables30.31.32'!$Y$37</t>
  </si>
  <si>
    <t>Tables30.31.32'!$AA$37</t>
  </si>
  <si>
    <t>Tables30.31.32'!$AC$37</t>
  </si>
  <si>
    <t>Tables30.31.32'!$AE$37</t>
  </si>
  <si>
    <t>Tables30.31.32'!$AG$37</t>
  </si>
  <si>
    <t>Tables30.31.32'!$AI$37</t>
  </si>
  <si>
    <t>Tables30.31.32'!$AK$37</t>
  </si>
  <si>
    <t>Tables30.31.32'!$AM$37</t>
  </si>
  <si>
    <t>Tables30.31.32'!$AO$37</t>
  </si>
  <si>
    <t>Tables30.31.32'!$AQ$37</t>
  </si>
  <si>
    <t>Tables30.31.32'!$AS$37</t>
  </si>
  <si>
    <t>Tables30.31.32'!$AU$37</t>
  </si>
  <si>
    <t>Tables30.31.32'!$AY$37</t>
  </si>
  <si>
    <t>Tables30.31.32'!$AW$37</t>
  </si>
  <si>
    <t>Tables30.31.32'!$BA$37</t>
  </si>
  <si>
    <t>Tables30.31.32'!$BC$37</t>
  </si>
  <si>
    <t>Tables30.31.32'!$BE$37</t>
  </si>
  <si>
    <t>Tables30.31.32'!$BG$37</t>
  </si>
  <si>
    <t>Tables30.31.32'!$BI$37</t>
  </si>
  <si>
    <t>Tables30.31.32'!$G$38</t>
  </si>
  <si>
    <t>Tables30.31.32'!$I$38</t>
  </si>
  <si>
    <t>Tables30.31.32'!$K$38</t>
  </si>
  <si>
    <t>Tables30.31.32'!$M$38</t>
  </si>
  <si>
    <t>Tables30.31.32'!$O$38</t>
  </si>
  <si>
    <t>Tables30.31.32'!$Q$38</t>
  </si>
  <si>
    <t>Tables30.31.32'!$S$38</t>
  </si>
  <si>
    <t>Tables30.31.32'!$U$38</t>
  </si>
  <si>
    <t>Tables30.31.32'!$W$38</t>
  </si>
  <si>
    <t>Tables30.31.32'!$Y$38</t>
  </si>
  <si>
    <t>Tables30.31.32'!$AA$38</t>
  </si>
  <si>
    <t>Tables30.31.32'!$AC$38</t>
  </si>
  <si>
    <t>Tables30.31.32'!$AE$38</t>
  </si>
  <si>
    <t>Tables30.31.32'!$AG$38</t>
  </si>
  <si>
    <t>Tables30.31.32'!$AI$38</t>
  </si>
  <si>
    <t>Tables30.31.32'!$AK$38</t>
  </si>
  <si>
    <t>Tables30.31.32'!$AM$38</t>
  </si>
  <si>
    <t>Tables30.31.32'!$AO$38</t>
  </si>
  <si>
    <t>Tables30.31.32'!$AQ$38</t>
  </si>
  <si>
    <t>Tables30.31.32'!$AS$38</t>
  </si>
  <si>
    <t>Tables30.31.32'!$AU$38</t>
  </si>
  <si>
    <t>Tables30.31.32'!$AW$38</t>
  </si>
  <si>
    <t>Tables30.31.32'!$AY$38</t>
  </si>
  <si>
    <t>Tables30.31.32'!$BA$38</t>
  </si>
  <si>
    <t>Tables30.31.32'!$BC$38</t>
  </si>
  <si>
    <t>Tables30.31.32'!$BE$38</t>
  </si>
  <si>
    <t>Tables30.31.32'!$BG$38</t>
  </si>
  <si>
    <t>Tables30.31.32'!$BI$38</t>
  </si>
  <si>
    <t>sch_guidanceofc_ifyes</t>
  </si>
  <si>
    <t>es_mental_health</t>
  </si>
  <si>
    <t>sch_pic_guidanceofc_regguidancecounselor_ifyes</t>
  </si>
  <si>
    <t>mental_learners_guidance_k</t>
  </si>
  <si>
    <t>mental_learners_guidance_g1</t>
  </si>
  <si>
    <t>mental_learners_guidance_g2</t>
  </si>
  <si>
    <t>mental_learners_guidance_g3</t>
  </si>
  <si>
    <t>mental_learners_guidance_g4</t>
  </si>
  <si>
    <t>mental_learners_guidance_g5</t>
  </si>
  <si>
    <t>mental_learners_guidance_g6</t>
  </si>
  <si>
    <t>sch_screentool_riskmentalcond_ifyes</t>
  </si>
  <si>
    <t>sch_celeb_natlmentalhealthwk_oct_ifyes</t>
  </si>
  <si>
    <t>sch_conduct_menttraining_learners_ifyes</t>
  </si>
  <si>
    <t>num_lrnrs_participate_menttraining_bullying_k</t>
  </si>
  <si>
    <t>num_lrnrs_participate_menttraining_mhpicdepression_k</t>
  </si>
  <si>
    <t>num_lrnrs_participate_menttraining_suicideprevention_k</t>
  </si>
  <si>
    <t>num_lrnrs_participate_menttraining_selfcare_k</t>
  </si>
  <si>
    <t>num_lrnrs_participate_menttraining_psycfirstaid_k</t>
  </si>
  <si>
    <t>num_lrnrs_participate_menttraining_othertopics_k</t>
  </si>
  <si>
    <t>num_lrnrs_participate_menttraining_bullying_g1</t>
  </si>
  <si>
    <t>num_lrnrs_participate_menttraining_mhpicdepression_g1</t>
  </si>
  <si>
    <t>num_lrnrs_participate_menttraining_suicideprevention_g1</t>
  </si>
  <si>
    <t>num_lrnrs_participate_menttraining_selfcare_g1</t>
  </si>
  <si>
    <t>num_lrnrs_participate_menttraining_psycfirstaid_g1</t>
  </si>
  <si>
    <t>num_lrnrs_participate_menttraining_othertopics_g1</t>
  </si>
  <si>
    <t>num_lrnrs_participate_menttraining_bullying_g2</t>
  </si>
  <si>
    <t>num_lrnrs_participate_menttraining_mhpicdepression_g2</t>
  </si>
  <si>
    <t>num_lrnrs_participate_menttraining_suicideprevention_g2</t>
  </si>
  <si>
    <t>num_lrnrs_participate_menttraining_selfcare_g2</t>
  </si>
  <si>
    <t>num_lrnrs_participate_menttraining_psycfirstaid_g2</t>
  </si>
  <si>
    <t>num_lrnrs_participate_menttraining_othertopics_g2</t>
  </si>
  <si>
    <t>num_lrnrs_participate_menttraining_bullying_g3</t>
  </si>
  <si>
    <t>num_lrnrs_participate_menttraining_mhpicdepression_g3</t>
  </si>
  <si>
    <t>num_lrnrs_participate_menttraining_suicideprevention_g3</t>
  </si>
  <si>
    <t>num_lrnrs_participate_menttraining_selfcare_g3</t>
  </si>
  <si>
    <t>num_lrnrs_participate_menttraining_psycfirstaid_g3</t>
  </si>
  <si>
    <t>num_lrnrs_participate_menttraining_othertopics_g3</t>
  </si>
  <si>
    <t>num_lrnrs_participate_menttraining_bullying_g4</t>
  </si>
  <si>
    <t>num_lrnrs_participate_menttraining_mhpicdepression_g4</t>
  </si>
  <si>
    <t>num_lrnrs_participate_menttraining_suicideprevention_g4</t>
  </si>
  <si>
    <t>num_lrnrs_participate_menttraining_selfcare_g4</t>
  </si>
  <si>
    <t>num_lrnrs_participate_menttraining_psycfirstaid_g4</t>
  </si>
  <si>
    <t>num_lrnrs_participate_menttraining_othertopics_g4</t>
  </si>
  <si>
    <t>num_lrnrs_participate_menttraining_bullying_g5</t>
  </si>
  <si>
    <t>num_lrnrs_participate_menttraining_mhpicdepression_g5</t>
  </si>
  <si>
    <t>num_lrnrs_participate_menttraining_suicideprevention_g5</t>
  </si>
  <si>
    <t>num_lrnrs_participate_menttraining_selfcare_g5</t>
  </si>
  <si>
    <t>num_lrnrs_participate_menttraining_psycfirstaid_g5</t>
  </si>
  <si>
    <t>num_lrnrs_participate_menttraining_othertopics_g5</t>
  </si>
  <si>
    <t>num_lrnrs_participate_menttraining_bullying_g6</t>
  </si>
  <si>
    <t>num_lrnrs_participate_menttraining_mhpicdepression_g6</t>
  </si>
  <si>
    <t>num_lrnrs_participate_menttraining_suicideprevention_g6</t>
  </si>
  <si>
    <t>num_lrnrs_participate_menttraining_selfcare_g6</t>
  </si>
  <si>
    <t>num_lrnrs_participate_menttraining_psycfirstaid_g6</t>
  </si>
  <si>
    <t>num_lrnrs_participate_menttraining_othertopics_g6</t>
  </si>
  <si>
    <t>sch_conduct_menttraining_teachers_ifyes</t>
  </si>
  <si>
    <t>num_teachers_participate_menttraining_bullying_k</t>
  </si>
  <si>
    <t>num_teachers_participate_menttraining_mhpicdepression_k</t>
  </si>
  <si>
    <t>num_teachers_participate_menttraining_suicideprevention_k</t>
  </si>
  <si>
    <t>num_teachers_participate_menttraining_selfcare_k</t>
  </si>
  <si>
    <t>num_teachers_participate_menttraining_psycfirstaid_k</t>
  </si>
  <si>
    <t>num_teachers_participate_menttraining_othertopics_k</t>
  </si>
  <si>
    <t>num_teachers_participate_menttraining_bullying_g1</t>
  </si>
  <si>
    <t>num_teachers_participate_menttraining_mhpicdepression_g1</t>
  </si>
  <si>
    <t>num_teachers_participate_menttraining_suicideprevention_g1</t>
  </si>
  <si>
    <t>num_teachers_participate_menttraining_selfcare_g1</t>
  </si>
  <si>
    <t>num_teachers_participate_menttraining_psycfirstaid_g1</t>
  </si>
  <si>
    <t>num_teachers_participate_menttraining_othertopics_g1</t>
  </si>
  <si>
    <t>num_teachers_participate_menttraining_bullying_g2</t>
  </si>
  <si>
    <t>num_teachers_participate_menttraining_mhpicdepression_g2</t>
  </si>
  <si>
    <t>num_teachers_participate_menttraining_suicideprevention_g2</t>
  </si>
  <si>
    <t>num_teachers_participate_menttraining_selfcare_g2</t>
  </si>
  <si>
    <t>num_teachers_participate_menttraining_psycfirstaid_g2</t>
  </si>
  <si>
    <t>num_teachers_participate_menttraining_othertopics_g2</t>
  </si>
  <si>
    <t>num_teachers_participate_menttraining_bullying_g3</t>
  </si>
  <si>
    <t>num_teachers_participate_menttraining_mhpicdepression_g3</t>
  </si>
  <si>
    <t>num_teachers_participate_menttraining_suicideprevention_g3</t>
  </si>
  <si>
    <t>num_teachers_participate_menttraining_selfcare_g3</t>
  </si>
  <si>
    <t>num_teachers_participate_menttraining_psycfirstaid_g3</t>
  </si>
  <si>
    <t>num_teachers_participate_menttraining_othertopics_g3</t>
  </si>
  <si>
    <t>num_teachers_participate_menttraining_bullying_g4</t>
  </si>
  <si>
    <t>num_teachers_participate_menttraining_mhpicdepression_g4</t>
  </si>
  <si>
    <t>num_teachers_participate_menttraining_suicideprevention_g4</t>
  </si>
  <si>
    <t>num_teachers_participate_menttraining_selfcare_g4</t>
  </si>
  <si>
    <t>num_teachers_participate_menttraining_psycfirstaid_g4</t>
  </si>
  <si>
    <t>num_teachers_participate_menttraining_othertopics_g4</t>
  </si>
  <si>
    <t>num_teachers_participate_menttraining_bullying_g5</t>
  </si>
  <si>
    <t>num_teachers_participate_menttraining_mhpicdepression_g5</t>
  </si>
  <si>
    <t>num_teachers_participate_menttraining_suicideprevention_g5</t>
  </si>
  <si>
    <t>num_teachers_participate_menttraining_selfcare_g5</t>
  </si>
  <si>
    <t>num_teachers_participate_menttraining_psycfirstaid_g5</t>
  </si>
  <si>
    <t>num_teachers_participate_menttraining_othertopics_g5</t>
  </si>
  <si>
    <t>num_teachers_participate_menttraining_bullying_g6</t>
  </si>
  <si>
    <t>num_teachers_participate_menttraining_mhpicdepression_g6</t>
  </si>
  <si>
    <t>num_teachers_participate_menttraining_suicideprevention_g6</t>
  </si>
  <si>
    <t>num_teachers_participate_menttraining_selfcare_g6</t>
  </si>
  <si>
    <t>num_teachers_participate_menttraining_psycfirstaid_g6</t>
  </si>
  <si>
    <t>num_teachers_participate_menttraining_othertopics_g6</t>
  </si>
  <si>
    <t>Box13'!$AA$5</t>
  </si>
  <si>
    <t>Box13'!$AA$7</t>
  </si>
  <si>
    <t>Box13'!$L$12</t>
  </si>
  <si>
    <t>Box13'!$L$13</t>
  </si>
  <si>
    <t>Box13'!$L$14</t>
  </si>
  <si>
    <t>Box13'!$L$15</t>
  </si>
  <si>
    <t>Box13'!$L$16</t>
  </si>
  <si>
    <t>Box13'!$L$17</t>
  </si>
  <si>
    <t>Box13'!$L$18</t>
  </si>
  <si>
    <t>Box13'!$AA$21</t>
  </si>
  <si>
    <t>Box13'!$AA$23</t>
  </si>
  <si>
    <t>Box13'!$AF$25</t>
  </si>
  <si>
    <t>Box13'!$I$29</t>
  </si>
  <si>
    <t>Box13'!$N$29</t>
  </si>
  <si>
    <t>Box13'!$S$29</t>
  </si>
  <si>
    <t>Box13'!$X$29</t>
  </si>
  <si>
    <t>Box13'!$AC$29</t>
  </si>
  <si>
    <t>Box13'!$AH$29</t>
  </si>
  <si>
    <t>Box13'!$I$30</t>
  </si>
  <si>
    <t>Box13'!$N$30</t>
  </si>
  <si>
    <t>Box13'!$S$30</t>
  </si>
  <si>
    <t>Box13'!$X$30</t>
  </si>
  <si>
    <t>Box13'!$AC$30</t>
  </si>
  <si>
    <t>Box13'!$AH$30</t>
  </si>
  <si>
    <t>Box13'!$I$31</t>
  </si>
  <si>
    <t>Box13'!$N$31</t>
  </si>
  <si>
    <t>Box13'!$S$31</t>
  </si>
  <si>
    <t>Box13'!$X$31</t>
  </si>
  <si>
    <t>Box13'!$AC$31</t>
  </si>
  <si>
    <t>Box13'!$AH$31</t>
  </si>
  <si>
    <t>Box13'!$I$32</t>
  </si>
  <si>
    <t>Box13'!$N$32</t>
  </si>
  <si>
    <t>Box13'!$S$32</t>
  </si>
  <si>
    <t>Box13'!$X$32</t>
  </si>
  <si>
    <t>Box13'!$AC$32</t>
  </si>
  <si>
    <t>Box13'!$AH$32</t>
  </si>
  <si>
    <t>Box13'!$I$33</t>
  </si>
  <si>
    <t>Box13'!$N$33</t>
  </si>
  <si>
    <t>Box13'!$S$33</t>
  </si>
  <si>
    <t>Box13'!$X$33</t>
  </si>
  <si>
    <t>Box13'!$AC$33</t>
  </si>
  <si>
    <t>Box13'!$AH$33</t>
  </si>
  <si>
    <t>Box13'!$I$34</t>
  </si>
  <si>
    <t>Box13'!$N$34</t>
  </si>
  <si>
    <t>Box13'!$S$34</t>
  </si>
  <si>
    <t>Box13'!$X$34</t>
  </si>
  <si>
    <t>Box13'!$AC$34</t>
  </si>
  <si>
    <t>Box13'!$AH$34</t>
  </si>
  <si>
    <t>Box13'!$I$35</t>
  </si>
  <si>
    <t>Box13'!$N$35</t>
  </si>
  <si>
    <t>Box13'!$S$35</t>
  </si>
  <si>
    <t>Box13'!$X$35</t>
  </si>
  <si>
    <t>Box13'!$AC$35</t>
  </si>
  <si>
    <t>Box13'!$AH$35</t>
  </si>
  <si>
    <t>Box13'!$AF$38</t>
  </si>
  <si>
    <t>Box13'!$I$42</t>
  </si>
  <si>
    <t>Box13'!$N$42</t>
  </si>
  <si>
    <t>Box13'!$S$42</t>
  </si>
  <si>
    <t>Box13'!$X$42</t>
  </si>
  <si>
    <t>Box13'!$AC$42</t>
  </si>
  <si>
    <t>Box13'!$AH$42</t>
  </si>
  <si>
    <t>Box13'!$I$43</t>
  </si>
  <si>
    <t>Box13'!$N$43</t>
  </si>
  <si>
    <t>Box13'!$S$43</t>
  </si>
  <si>
    <t>Box13'!$X$43</t>
  </si>
  <si>
    <t>Box13'!$AC$43</t>
  </si>
  <si>
    <t>Box13'!$AH$43</t>
  </si>
  <si>
    <t>Box13'!$I$44</t>
  </si>
  <si>
    <t>Box13'!$N$44</t>
  </si>
  <si>
    <t>Box13'!$S$44</t>
  </si>
  <si>
    <t>Box13'!$X$44</t>
  </si>
  <si>
    <t>Box13'!$AC$44</t>
  </si>
  <si>
    <t>Box13'!$AH$44</t>
  </si>
  <si>
    <t>Box13'!$I$45</t>
  </si>
  <si>
    <t>Box13'!$N$45</t>
  </si>
  <si>
    <t>Box13'!$S$45</t>
  </si>
  <si>
    <t>Box13'!$X$45</t>
  </si>
  <si>
    <t>Box13'!$AC$45</t>
  </si>
  <si>
    <t>Box13'!$AH$45</t>
  </si>
  <si>
    <t>Box13'!$I$46</t>
  </si>
  <si>
    <t>Box13'!$N$46</t>
  </si>
  <si>
    <t>Box13'!$S$46</t>
  </si>
  <si>
    <t>Box13'!$X$46</t>
  </si>
  <si>
    <t>Box13'!$AC$46</t>
  </si>
  <si>
    <t>Box13'!$AH$46</t>
  </si>
  <si>
    <t>Box13'!$I$47</t>
  </si>
  <si>
    <t>Box13'!$N$47</t>
  </si>
  <si>
    <t>Box13'!$S$47</t>
  </si>
  <si>
    <t>Box13'!$X$47</t>
  </si>
  <si>
    <t>Box13'!$AC$47</t>
  </si>
  <si>
    <t>Box13'!$AH$47</t>
  </si>
  <si>
    <t>Box13'!$I$48</t>
  </si>
  <si>
    <t>Box13'!$N$48</t>
  </si>
  <si>
    <t>Box13'!$S$48</t>
  </si>
  <si>
    <t>Box13'!$X$48</t>
  </si>
  <si>
    <t>Box13'!$AC$48</t>
  </si>
  <si>
    <t>Box13'!$AH$48</t>
  </si>
  <si>
    <t>num_lrnrs_leukemia_cancerpatients</t>
  </si>
  <si>
    <t>es_cancer_cases</t>
  </si>
  <si>
    <t>num_lrnrs_leukemia_livingwcancer</t>
  </si>
  <si>
    <t>num_lrnrs_leukemia_cancersurvivor</t>
  </si>
  <si>
    <t>num_lrnrs_leukemia_diedtocancer</t>
  </si>
  <si>
    <t>num_lrnrs_brainspinal_cancerpatients</t>
  </si>
  <si>
    <t>num_lrnrs_brainspinal_livingwcancer</t>
  </si>
  <si>
    <t>num_lrnrs_brainspinal_cancersurvivor</t>
  </si>
  <si>
    <t>num_lrnrs_brainspinal_diedtocancer</t>
  </si>
  <si>
    <t>num_lrnrs_others_cancerpatients</t>
  </si>
  <si>
    <t>num_lrnrs_others_livingwcancer</t>
  </si>
  <si>
    <t>num_lrnrs_others_cancersurvivor</t>
  </si>
  <si>
    <t>num_lrnrs_others_diedtocancer</t>
  </si>
  <si>
    <t>num_schpersonnel_breast_cancerpatients</t>
  </si>
  <si>
    <t>num_schpersonnel_breast_livingwcancer</t>
  </si>
  <si>
    <t>num_schpersonnel_breast_cancersurvivor</t>
  </si>
  <si>
    <t>num_schpersonnel_breast_diedtocancer</t>
  </si>
  <si>
    <t>num_schpersonnel_lung_cancerpatients</t>
  </si>
  <si>
    <t>num_schpersonnel_lung_livingwcancer</t>
  </si>
  <si>
    <t>num_schpersonnel_lung_cancersurvivor</t>
  </si>
  <si>
    <t>num_schpersonnel_lung_diedtocancer</t>
  </si>
  <si>
    <t>num_schpersonnel_others_cancerpatients</t>
  </si>
  <si>
    <t>num_schpersonnel_others_livingwcancer</t>
  </si>
  <si>
    <t>num_schpersonnel_others_cancersurvivor</t>
  </si>
  <si>
    <t>num_schpersonnel_others_diedtocancer</t>
  </si>
  <si>
    <t>Box14'!$M$10</t>
  </si>
  <si>
    <t>Box14'!$T$10</t>
  </si>
  <si>
    <t>Box14'!$AA$10</t>
  </si>
  <si>
    <t>Box14'!$AH$10</t>
  </si>
  <si>
    <t>Box14'!$M$11</t>
  </si>
  <si>
    <t>Box14'!$T$11</t>
  </si>
  <si>
    <t>Box14'!$AA$11</t>
  </si>
  <si>
    <t>Box14'!$AH$11</t>
  </si>
  <si>
    <t>Box14'!$M$12</t>
  </si>
  <si>
    <t>Box14'!$T$12</t>
  </si>
  <si>
    <t>Box14'!$AA$12</t>
  </si>
  <si>
    <t>Box14'!$AH$12</t>
  </si>
  <si>
    <t>Box14'!$M$20</t>
  </si>
  <si>
    <t>Box14'!$T$20</t>
  </si>
  <si>
    <t>Box14'!$AA$20</t>
  </si>
  <si>
    <t>Box14'!$AH$20</t>
  </si>
  <si>
    <t>Box14'!$M$21</t>
  </si>
  <si>
    <t>Box14'!$T$21</t>
  </si>
  <si>
    <t>Box14'!$AA$21</t>
  </si>
  <si>
    <t>Box14'!$AH$21</t>
  </si>
  <si>
    <t>Box14'!$M$22</t>
  </si>
  <si>
    <t>Box14'!$T$22</t>
  </si>
  <si>
    <t>Box14'!$AA$22</t>
  </si>
  <si>
    <t>Box14'!$AH$22</t>
  </si>
  <si>
    <t>num_lrnrs_pregnant_insch_g4</t>
  </si>
  <si>
    <t>es_adolescent_reprohealth</t>
  </si>
  <si>
    <t>num_lrnrs_pregnant_adm_g4</t>
  </si>
  <si>
    <t>num_lrnrs_pregnant_transin_g4</t>
  </si>
  <si>
    <t>num_lrnrs_pregnant_transout_g4</t>
  </si>
  <si>
    <t>num_lrnrs_pregnant_dropped_g4</t>
  </si>
  <si>
    <t>num_lrnrs_pregnant_insch_g5</t>
  </si>
  <si>
    <t>num_lrnrs_pregnant_adm_g5</t>
  </si>
  <si>
    <t>num_lrnrs_pregnant_transin_g5</t>
  </si>
  <si>
    <t>num_lrnrs_pregnant_transout_g5</t>
  </si>
  <si>
    <t>num_lrnrs_pregnant_dropped_g5</t>
  </si>
  <si>
    <t>num_lrnrs_pregnant_insch_g6</t>
  </si>
  <si>
    <t>num_lrnrs_pregnant_adm_g6</t>
  </si>
  <si>
    <t>num_lrnrs_pregnant_transin_g6</t>
  </si>
  <si>
    <t>num_lrnrs_pregnant_transout_g6</t>
  </si>
  <si>
    <t>num_lrnrs_pregnant_dropped_g6</t>
  </si>
  <si>
    <t>num_lrnrs_impregnator_insch_g4</t>
  </si>
  <si>
    <t>num_lrnrs_impregnator_adm_g4</t>
  </si>
  <si>
    <t>num_lrnrs_impregnator_transin_g4</t>
  </si>
  <si>
    <t>num_lrnrs_impregnator_transout_g4</t>
  </si>
  <si>
    <t>num_lrnrs_impregnator_dropped_g4</t>
  </si>
  <si>
    <t>num_lrnrs_impregnator_insch_g5</t>
  </si>
  <si>
    <t>num_lrnrs_impregnator_adm_g5</t>
  </si>
  <si>
    <t>num_lrnrs_impregnator_transin_g5</t>
  </si>
  <si>
    <t>num_lrnrs_impregnator_transout_g5</t>
  </si>
  <si>
    <t>num_lrnrs_impregnator_dropped_g5</t>
  </si>
  <si>
    <t>num_lrnrs_impregnator_insch_g6</t>
  </si>
  <si>
    <t>num_lrnrs_impregnator_adm_g6</t>
  </si>
  <si>
    <t>num_lrnrs_impregnator_transin_g6</t>
  </si>
  <si>
    <t>num_lrnrs_impregnator_transout_g6</t>
  </si>
  <si>
    <t>num_lrnrs_impregnator_dropped_g6</t>
  </si>
  <si>
    <t>sch_operational_teen_ctr_ifyes</t>
  </si>
  <si>
    <t>num_lrnrs_participate_hivtraining_g4</t>
  </si>
  <si>
    <t>num_lrnrs_trained_peered_asrh_g4</t>
  </si>
  <si>
    <t>num_lrnrs_screen_ashconcern_g4</t>
  </si>
  <si>
    <t>num_lrnrs_catered_teenctr_g4</t>
  </si>
  <si>
    <t>num_lrnrs_redcrossyouth_g4</t>
  </si>
  <si>
    <t>num_lrnrs_participate_hivtraining_g5</t>
  </si>
  <si>
    <t>num_lrnrs_trained_peered_asrh_g5</t>
  </si>
  <si>
    <t>num_lrnrs_screen_ashconcern_g5</t>
  </si>
  <si>
    <t>num_lrnrs_catered_teenctr_g5</t>
  </si>
  <si>
    <t>num_lrnrs_redcrossyouth_g5</t>
  </si>
  <si>
    <t>num_lrnrs_participate_hivtraining_g6</t>
  </si>
  <si>
    <t>num_lrnrs_trained_peered_asrh_g6</t>
  </si>
  <si>
    <t>num_lrnrs_screen_ashconcern_g6</t>
  </si>
  <si>
    <t>num_lrnrs_catered_teenctr_g6</t>
  </si>
  <si>
    <t>num_lrnrs_redcrossyouth_g6</t>
  </si>
  <si>
    <t>num_teachers_trained_aja_g4</t>
  </si>
  <si>
    <t>num_teachers_trained_adept_g4</t>
  </si>
  <si>
    <t>num_teachers_hivtraining_g4</t>
  </si>
  <si>
    <t>num_teachers_trained_aja_g5</t>
  </si>
  <si>
    <t>num_teachers_trained_adept_g5</t>
  </si>
  <si>
    <t>num_teachers_hivtraining_g5</t>
  </si>
  <si>
    <t>num_teachers_trained_aja_g6</t>
  </si>
  <si>
    <t>num_teachers_trained_adept_g6</t>
  </si>
  <si>
    <t>num_teachers_hivtraining_g6</t>
  </si>
  <si>
    <t>Box15'!$K$9</t>
  </si>
  <si>
    <t>Box15'!$Q$9</t>
  </si>
  <si>
    <t>Box15'!$W$9</t>
  </si>
  <si>
    <t>Box15'!$AC$9</t>
  </si>
  <si>
    <t>Box15'!$AI$9</t>
  </si>
  <si>
    <t>Box15'!$K$10</t>
  </si>
  <si>
    <t>Box15'!$Q$10</t>
  </si>
  <si>
    <t>Box15'!$W$10</t>
  </si>
  <si>
    <t>Box15'!$AC$10</t>
  </si>
  <si>
    <t>Box15'!$AI$10</t>
  </si>
  <si>
    <t>Box15'!$K$11</t>
  </si>
  <si>
    <t>Box15'!$Q$11</t>
  </si>
  <si>
    <t>Box15'!$W$11</t>
  </si>
  <si>
    <t>Box15'!$AC$11</t>
  </si>
  <si>
    <t>Box15'!$AI$11</t>
  </si>
  <si>
    <t>Box15'!$K$18</t>
  </si>
  <si>
    <t>Box15'!$Q$18</t>
  </si>
  <si>
    <t>Box15'!$W$18</t>
  </si>
  <si>
    <t>Box15'!$AC$18</t>
  </si>
  <si>
    <t>Box15'!$AI$18</t>
  </si>
  <si>
    <t>Box15'!$K$19</t>
  </si>
  <si>
    <t>Box15'!$Q$19</t>
  </si>
  <si>
    <t>Box15'!$W$19</t>
  </si>
  <si>
    <t>Box15'!$AC$19</t>
  </si>
  <si>
    <t>Box15'!$AI$19</t>
  </si>
  <si>
    <t>Box15'!$K$20</t>
  </si>
  <si>
    <t>Box15'!$Q$20</t>
  </si>
  <si>
    <t>Box15'!$W$20</t>
  </si>
  <si>
    <t>Box15'!$AC$20</t>
  </si>
  <si>
    <t>Box15'!$AI$20</t>
  </si>
  <si>
    <t>Box15'!$W$23</t>
  </si>
  <si>
    <t>Box15'!$K$28</t>
  </si>
  <si>
    <t>Box15'!$Q$28</t>
  </si>
  <si>
    <t>Box15'!$W$28</t>
  </si>
  <si>
    <t>Box15'!$AC$28</t>
  </si>
  <si>
    <t>Box15'!$AI$28</t>
  </si>
  <si>
    <t>Box15'!$K$29</t>
  </si>
  <si>
    <t>Box15'!$Q$29</t>
  </si>
  <si>
    <t>Box15'!$W$29</t>
  </si>
  <si>
    <t>Box15'!$AC$29</t>
  </si>
  <si>
    <t>Box15'!$AI$29</t>
  </si>
  <si>
    <t>Box15'!$K$30</t>
  </si>
  <si>
    <t>Box15'!$Q$30</t>
  </si>
  <si>
    <t>Box15'!$W$30</t>
  </si>
  <si>
    <t>Box15'!$AC$30</t>
  </si>
  <si>
    <t>Box15'!$AI$30</t>
  </si>
  <si>
    <t>Box15'!$K$36</t>
  </si>
  <si>
    <t>Box15'!$Q$36</t>
  </si>
  <si>
    <t>Box15'!$W$36</t>
  </si>
  <si>
    <t>Box15'!$K$37</t>
  </si>
  <si>
    <t>Box15'!$Q$37</t>
  </si>
  <si>
    <t>Box15'!$W$37</t>
  </si>
  <si>
    <t>Box15'!$K$38</t>
  </si>
  <si>
    <t>Box15'!$Q$38</t>
  </si>
  <si>
    <t>Box15'!$W$38</t>
  </si>
  <si>
    <t>sch_nosmoking_sign_yes</t>
  </si>
  <si>
    <t>es_tobacco_control</t>
  </si>
  <si>
    <t>sch_nosmoking_postsch_chkgate_yes</t>
  </si>
  <si>
    <t>store_win_100m_frsch_sell_tobacco</t>
  </si>
  <si>
    <t>store_win_100m_frsch_sell_vape_ecig</t>
  </si>
  <si>
    <t>sch_measureati_partner_may2017aug2018_num</t>
  </si>
  <si>
    <t>sch_measureati_partner_num_withmoa</t>
  </si>
  <si>
    <t>sch_measureati_partner_num_withdod</t>
  </si>
  <si>
    <t>sch_head_tobaccosmoker</t>
  </si>
  <si>
    <t>sch_head_endsennds_user</t>
  </si>
  <si>
    <t>sch_head_both_tobaccosmoker_endsennds_user</t>
  </si>
  <si>
    <t>sch_head_tobaccosmoker_nor_endsennds_user</t>
  </si>
  <si>
    <t>num_teachers_tobaccosmoker_k</t>
  </si>
  <si>
    <t>num_teachers_endsennds_user_k</t>
  </si>
  <si>
    <t>num_teachers_both_tobaccosmoker_endsennds_user_k</t>
  </si>
  <si>
    <t>num_teachers_tobaccosmoker_g1</t>
  </si>
  <si>
    <t>num_teachers_endsennds_user_g1</t>
  </si>
  <si>
    <t>num_teachers_both_tobaccosmoker_endsennds_user_g1</t>
  </si>
  <si>
    <t>num_teachers_tobaccosmoker_g2</t>
  </si>
  <si>
    <t>num_teachers_endsennds_user_g2</t>
  </si>
  <si>
    <t>num_teachers_both_tobaccosmoker_endsennds_user_g2</t>
  </si>
  <si>
    <t>num_teachers_tobaccosmoker_g3</t>
  </si>
  <si>
    <t>num_teachers_endsennds_user_g3</t>
  </si>
  <si>
    <t>num_teachers_both_tobaccosmoker_endsennds_user_g3</t>
  </si>
  <si>
    <t>num_teachers_tobaccosmoker_g4</t>
  </si>
  <si>
    <t>num_teachers_endsennds_user_g4</t>
  </si>
  <si>
    <t>num_teachers_both_tobaccosmoker_endsennds_user_g4</t>
  </si>
  <si>
    <t>num_teachers_tobaccosmoker_g5</t>
  </si>
  <si>
    <t>num_teachers_endsennds_user_g5</t>
  </si>
  <si>
    <t>num_teachers_both_tobaccosmoker_endsennds_user_g5</t>
  </si>
  <si>
    <t>num_teachers_tobaccosmoker_g6</t>
  </si>
  <si>
    <t>num_teachers_endsennds_user_g6</t>
  </si>
  <si>
    <t>num_teachers_both_tobaccosmoker_endsennds_user_g6</t>
  </si>
  <si>
    <t>num_lrnrs_smokedtobacco_k</t>
  </si>
  <si>
    <t>num_lrnrs_usedendsennds_k</t>
  </si>
  <si>
    <t>num_lrnrs_both_smokedtobacco_usedendsennds_k</t>
  </si>
  <si>
    <t>num_lrnrs_smokedtobacco_g1</t>
  </si>
  <si>
    <t>num_lrnrs_usedendsennds_g1</t>
  </si>
  <si>
    <t>num_lrnrs_both_smokedtobacco_usedendsennds_g1</t>
  </si>
  <si>
    <t>num_lrnrs_smokedtobacco_g2</t>
  </si>
  <si>
    <t>num_lrnrs_usedendsennds_g2</t>
  </si>
  <si>
    <t>num_lrnrs_both_smokedtobacco_usedendsennds_g2</t>
  </si>
  <si>
    <t>num_lrnrs_smokedtobacco_g3</t>
  </si>
  <si>
    <t>num_lrnrs_usedendsennds_g3</t>
  </si>
  <si>
    <t>num_lrnrs_both_smokedtobacco_usedendsennds_g3</t>
  </si>
  <si>
    <t>num_lrnrs_smokedtobacco_g4</t>
  </si>
  <si>
    <t>num_lrnrs_usedendsennds_g4</t>
  </si>
  <si>
    <t>num_lrnrs_both_smokedtobacco_usedendsennds_g4</t>
  </si>
  <si>
    <t>num_lrnrs_smokedtobacco_g5</t>
  </si>
  <si>
    <t>num_lrnrs_usedendsennds_g5</t>
  </si>
  <si>
    <t>num_lrnrs_both_smokedtobacco_usedendsennds_g5</t>
  </si>
  <si>
    <t>num_lrnrs_smokedtobacco_g6</t>
  </si>
  <si>
    <t>num_lrnrs_usedendsennds_g6</t>
  </si>
  <si>
    <t>num_lrnrs_both_smokedtobacco_usedendsennds_g6</t>
  </si>
  <si>
    <t>Box16'!$AJ$6</t>
  </si>
  <si>
    <t>Box16'!$AJ$7</t>
  </si>
  <si>
    <t>Box16'!$AJ$10</t>
  </si>
  <si>
    <t>Box16'!$AJ$11</t>
  </si>
  <si>
    <t>Box16'!$AJ$14</t>
  </si>
  <si>
    <t>Box16'!$AJ$15</t>
  </si>
  <si>
    <t>Box16'!$AJ$16</t>
  </si>
  <si>
    <t>Box16'!$H$20</t>
  </si>
  <si>
    <t>Box16'!$H$21</t>
  </si>
  <si>
    <t>Box16'!$H$22</t>
  </si>
  <si>
    <t>Box16'!$H$23</t>
  </si>
  <si>
    <t>Box16'!$Q$31</t>
  </si>
  <si>
    <t>Box16'!$Z$31</t>
  </si>
  <si>
    <t>Box16'!$AI$31</t>
  </si>
  <si>
    <t>Box16'!$Q$32</t>
  </si>
  <si>
    <t>Box16'!$Z$32</t>
  </si>
  <si>
    <t>Box16'!$AI$32</t>
  </si>
  <si>
    <t>Box16'!$Q$33</t>
  </si>
  <si>
    <t>Box16'!$Z$33</t>
  </si>
  <si>
    <t>Box16'!$AI$33</t>
  </si>
  <si>
    <t>Box16'!$Q$34</t>
  </si>
  <si>
    <t>Box16'!$Z$34</t>
  </si>
  <si>
    <t>Box16'!$AI$34</t>
  </si>
  <si>
    <t>Box16'!$Q$35</t>
  </si>
  <si>
    <t>Box16'!$Z$35</t>
  </si>
  <si>
    <t>Box16'!$AI$35</t>
  </si>
  <si>
    <t>Box16'!$Q$36</t>
  </si>
  <si>
    <t>Box16'!$Z$36</t>
  </si>
  <si>
    <t>Box16'!$AI$36</t>
  </si>
  <si>
    <t>Box16'!$Q$37</t>
  </si>
  <si>
    <t>Box16'!$Z$37</t>
  </si>
  <si>
    <t>Box16'!$AI$37</t>
  </si>
  <si>
    <t>Box16'!$Q$46</t>
  </si>
  <si>
    <t>Box16'!$Z$46</t>
  </si>
  <si>
    <t>Box16'!$AI$46</t>
  </si>
  <si>
    <t>Box16'!$Q$47</t>
  </si>
  <si>
    <t>Box16'!$Z$47</t>
  </si>
  <si>
    <t>Box16'!$AI$47</t>
  </si>
  <si>
    <t>Box16'!$Q$48</t>
  </si>
  <si>
    <t>Box16'!$Z$48</t>
  </si>
  <si>
    <t>Box16'!$AI$48</t>
  </si>
  <si>
    <t>Box16'!$Q$49</t>
  </si>
  <si>
    <t>Box16'!$Z$49</t>
  </si>
  <si>
    <t>Box16'!$AI$49</t>
  </si>
  <si>
    <t>Box16'!$Q$50</t>
  </si>
  <si>
    <t>Box16'!$Z$50</t>
  </si>
  <si>
    <t>Box16'!$AI$50</t>
  </si>
  <si>
    <t>Box16'!$Q$51</t>
  </si>
  <si>
    <t>Box16'!$Z$51</t>
  </si>
  <si>
    <t>Box16'!$AI$51</t>
  </si>
  <si>
    <t>Box16'!$Q$52</t>
  </si>
  <si>
    <t>Box16'!$Z$52</t>
  </si>
  <si>
    <t>Box16'!$AI$52</t>
  </si>
  <si>
    <t>sch_natpdruged_implement_yes</t>
  </si>
  <si>
    <t>es_drug_education</t>
  </si>
  <si>
    <t>sch_natpdruged_compart_curriculumin</t>
  </si>
  <si>
    <t>sch_natpdruged_compart_extrcurriact</t>
  </si>
  <si>
    <t>sch_natpdruged_compart_partnwbadac</t>
  </si>
  <si>
    <t>sch_natpdruged_compart_otherspec</t>
  </si>
  <si>
    <t>sch_natpdruged_compart_otherspec_specify</t>
  </si>
  <si>
    <t>sch_natpdruged_coord_yes</t>
  </si>
  <si>
    <t>sch_ndep_corners_classrooms</t>
  </si>
  <si>
    <t>sch_designated_OK_deped_focalperson_ifyes</t>
  </si>
  <si>
    <t>es_deped_program</t>
  </si>
  <si>
    <t>sch_observe_onehealthwk_prevsy</t>
  </si>
  <si>
    <t>sch_officially_manage_FBpage_ifyes</t>
  </si>
  <si>
    <t>sch_officially_manage_FBpage_address</t>
  </si>
  <si>
    <t>feeding_school_has_yes</t>
  </si>
  <si>
    <t>es_feeding</t>
  </si>
  <si>
    <t>feeding_school_fund_mooe</t>
  </si>
  <si>
    <t>feeding_school_fund_canteen</t>
  </si>
  <si>
    <t>feeding_school_fund_lgu</t>
  </si>
  <si>
    <t>feeding_school_fund_pta</t>
  </si>
  <si>
    <t>feeding_school_fund_barangay</t>
  </si>
  <si>
    <t>feeding_school_fund_privatesector</t>
  </si>
  <si>
    <t>feeding_school_fund_sbfp</t>
  </si>
  <si>
    <t>feeding_school_fund_others</t>
  </si>
  <si>
    <t>feeding_school_fund_others_value</t>
  </si>
  <si>
    <t>feeding_agriculture_gulayan</t>
  </si>
  <si>
    <t>feeding_agriculture_gulayan_legumes</t>
  </si>
  <si>
    <t>feeding_agriculture_gulayan_vegetables</t>
  </si>
  <si>
    <t>feeding_agriculture_gulayan_fruits</t>
  </si>
  <si>
    <t>feeding_agriculture_gulayan_rootcrops</t>
  </si>
  <si>
    <t>feeding_agriculture_fishpond</t>
  </si>
  <si>
    <t>feeding_agriculture_agicrops</t>
  </si>
  <si>
    <t>feeding_agriculture_livestock</t>
  </si>
  <si>
    <t>feeding_agriculture_others</t>
  </si>
  <si>
    <t>feeding_agriculture_others_values</t>
  </si>
  <si>
    <t>feeding_agriculture_none</t>
  </si>
  <si>
    <t>feeding_agriculture_used_has_yes</t>
  </si>
  <si>
    <t>feeding_agriculture_used_fund_mooe</t>
  </si>
  <si>
    <t>feeding_agriculture_used_fund_canteen</t>
  </si>
  <si>
    <t>feeding_agriculture_used_fund_lgu</t>
  </si>
  <si>
    <t>feeding_agriculture_used_fund_pta</t>
  </si>
  <si>
    <t>feeding_agriculture_used_fund_barangay</t>
  </si>
  <si>
    <t>feeding_agriculture_used_fund_privatesector</t>
  </si>
  <si>
    <t>feeding_agriculture_used_fund_others</t>
  </si>
  <si>
    <t>feeding_agriculture_used_fund_others_value</t>
  </si>
  <si>
    <t>handling_school_canteen_has_yes</t>
  </si>
  <si>
    <t>es_food_handling</t>
  </si>
  <si>
    <t>handling_school_canteen_managed_school</t>
  </si>
  <si>
    <t>handling_school_canteen_managed_school_sanitarypermit</t>
  </si>
  <si>
    <t>handling_school_canteen_managed_school_validity</t>
  </si>
  <si>
    <t>handling_canteen_school_healthcertificate_yes</t>
  </si>
  <si>
    <t>handling_school_canteen_managed_teachercoop</t>
  </si>
  <si>
    <t>handling_school_canteen_managed_teachercoop_sanitarypermit</t>
  </si>
  <si>
    <t>handling_school_canteen_managed_teachercoop_validity</t>
  </si>
  <si>
    <t>handling_canteen_teachercoop_healthcertificate_yes</t>
  </si>
  <si>
    <t>handling_school_canteen_managed_others</t>
  </si>
  <si>
    <t>handling_school_canteen_managed_others_value</t>
  </si>
  <si>
    <t>handling_school_canteen_managed_others_sanitarypermit</t>
  </si>
  <si>
    <t>handling_school_canteen_managed_others_validity</t>
  </si>
  <si>
    <t>handling_canteen_others_healthcertificate_yes</t>
  </si>
  <si>
    <t>Boxes17,18,19,20'!$AD$5</t>
  </si>
  <si>
    <t>Boxes17,18,19,20'!$F$7</t>
  </si>
  <si>
    <t>Boxes17,18,19,20'!$F$8</t>
  </si>
  <si>
    <t>Boxes17,18,19,20'!$U$7</t>
  </si>
  <si>
    <t>Boxes17,18,19,20'!$U$8</t>
  </si>
  <si>
    <t>Boxes17,18,19,20'!$Z$8</t>
  </si>
  <si>
    <t>Boxes17,18,19,20'!$AD$9</t>
  </si>
  <si>
    <t>Boxes17,18,19,20'!$AD$10</t>
  </si>
  <si>
    <t>Boxes17,18,19,20'!$AD$16</t>
  </si>
  <si>
    <t>Boxes17,18,19,20'!$AD$17</t>
  </si>
  <si>
    <t>Boxes17,18,19,20'!$AD$18</t>
  </si>
  <si>
    <t>Boxes17,18,19,20'!$AD$19</t>
  </si>
  <si>
    <t>Boxes17,18,19,20'!$P$25</t>
  </si>
  <si>
    <t>Boxes17,18,19,20'!$F$27</t>
  </si>
  <si>
    <t>Boxes17,18,19,20'!$F$28</t>
  </si>
  <si>
    <t>Boxes17,18,19,20'!$F$30</t>
  </si>
  <si>
    <t>Boxes17,18,19,20'!$F$31</t>
  </si>
  <si>
    <t>Boxes17,18,19,20'!$U$27</t>
  </si>
  <si>
    <t>Boxes17,18,19,20'!$U$28</t>
  </si>
  <si>
    <t>Boxes17,18,19,20'!$U$30</t>
  </si>
  <si>
    <t>Boxes17,18,19,20'!$U$31</t>
  </si>
  <si>
    <t>Boxes17,18,19,20'!$Z$31</t>
  </si>
  <si>
    <t>Boxes17,18,19,20'!$F$33</t>
  </si>
  <si>
    <t>Boxes17,18,19,20'!$I$34</t>
  </si>
  <si>
    <t>Boxes17,18,19,20'!$N$34</t>
  </si>
  <si>
    <t>Boxes17,18,19,20'!$U$34</t>
  </si>
  <si>
    <t>Boxes17,18,19,20'!$AA$34</t>
  </si>
  <si>
    <t>Boxes17,18,19,20'!$F$35</t>
  </si>
  <si>
    <t>Boxes17,18,19,20'!$F$36</t>
  </si>
  <si>
    <t>Boxes17,18,19,20'!$F$37</t>
  </si>
  <si>
    <t>Boxes17,18,19,20'!$F$38</t>
  </si>
  <si>
    <t>Boxes17,18,19,20'!$F$39</t>
  </si>
  <si>
    <t>Boxes17,18,19,20'!$K$38</t>
  </si>
  <si>
    <t>Boxes17,18,19,20'!$U$40</t>
  </si>
  <si>
    <t>Boxes17,18,19,20'!$F$42</t>
  </si>
  <si>
    <t>Boxes17,18,19,20'!$F$43</t>
  </si>
  <si>
    <t>Boxes17,18,19,20'!$F$45</t>
  </si>
  <si>
    <t>Boxes17,18,19,20'!$F$46</t>
  </si>
  <si>
    <t>Boxes17,18,19,20'!$U$42</t>
  </si>
  <si>
    <t>Boxes17,18,19,20'!$U$43</t>
  </si>
  <si>
    <t>Boxes17,18,19,20'!$U$45</t>
  </si>
  <si>
    <t>Boxes17,18,19,20'!$Z$45</t>
  </si>
  <si>
    <t>Boxes17,18,19,20'!$M$52</t>
  </si>
  <si>
    <t>Boxes17,18,19,20'!$E$55</t>
  </si>
  <si>
    <t>Boxes17,18,19,20'!$N$55</t>
  </si>
  <si>
    <t>Boxes17,18,19,20'!$V$55</t>
  </si>
  <si>
    <t>Boxes17,18,19,20'!$AD$55</t>
  </si>
  <si>
    <t>Boxes17,18,19,20'!$E$57</t>
  </si>
  <si>
    <t>Boxes17,18,19,20'!$N$57</t>
  </si>
  <si>
    <t>Boxes17,18,19,20'!$V$57</t>
  </si>
  <si>
    <t>Boxes17,18,19,20'!$AD$57</t>
  </si>
  <si>
    <t>Boxes17,18,19,20'!$E$59</t>
  </si>
  <si>
    <t>Boxes17,18,19,20'!$F$60</t>
  </si>
  <si>
    <t>Boxes17,18,19,20'!$N$60</t>
  </si>
  <si>
    <t>Boxes17,18,19,20'!$V$60</t>
  </si>
  <si>
    <t>Boxes17,18,19,20'!$AD$60</t>
  </si>
  <si>
    <t>solidwm_complieswma_yes</t>
  </si>
  <si>
    <t>es_solid_waste</t>
  </si>
  <si>
    <t>implesolidwm_composting</t>
  </si>
  <si>
    <t>implesolidwm_dtcp</t>
  </si>
  <si>
    <t>implesolidwm_pmsmcon</t>
  </si>
  <si>
    <t>implesolidwm_postsign</t>
  </si>
  <si>
    <t>implesolidwm_recyclingpr</t>
  </si>
  <si>
    <t>implesolidwmes_schrbs</t>
  </si>
  <si>
    <t>implesolidwm_usppcip</t>
  </si>
  <si>
    <t>implesolidwm_usrmtt</t>
  </si>
  <si>
    <t>implesolidwm_urfc</t>
  </si>
  <si>
    <t>implesolidwm_wasteseg</t>
  </si>
  <si>
    <t>implesolidwn_stakeholder_brgy</t>
  </si>
  <si>
    <t>implesolidwn_stakeholder_commulead</t>
  </si>
  <si>
    <t>implesolidwn_stakeholder_localbusp</t>
  </si>
  <si>
    <t>implesolidwn_stakeholder_mun_city</t>
  </si>
  <si>
    <t>implesolidwn_stakeholder_parents</t>
  </si>
  <si>
    <t>opmainsanf_sanfclean_daily</t>
  </si>
  <si>
    <t>es_operation_sanitation</t>
  </si>
  <si>
    <t>opmainsanf_sanfclean_attwiceawk</t>
  </si>
  <si>
    <t>opmainsanf_sanfclean_onceawk</t>
  </si>
  <si>
    <t>opmainsanf_sanfclean_lessonceawk</t>
  </si>
  <si>
    <t>opmainsanf_sanfclean_avecos_monbm_amount</t>
  </si>
  <si>
    <t>opmainsanf_sanfclean_payavecos_monbmes_schmooe</t>
  </si>
  <si>
    <t>opmainsanf_sanfclean_payavecos_monbm_lgu</t>
  </si>
  <si>
    <t>opmainsanf_sanfclean_payavecos_monbm_pta</t>
  </si>
  <si>
    <t>opmainsanf_sanfclean_payavecos_monbmes_schcantf</t>
  </si>
  <si>
    <t>opmainsanf_sanfclean_payavecos_monbm_privinds</t>
  </si>
  <si>
    <t>opmainsanf_sanfclean_payavecos_monbm_others</t>
  </si>
  <si>
    <t>opmainsanf_sanfclean_payavecos_monbm_other_specify</t>
  </si>
  <si>
    <t>mestrualh_avail_sanpads_yes</t>
  </si>
  <si>
    <t>es_menstrual_hygiene</t>
  </si>
  <si>
    <t>mestrualh_avail_sanpads_yeses_schcant</t>
  </si>
  <si>
    <t>mestrualh_avail_sanpads_yeses_schclinic</t>
  </si>
  <si>
    <t>mestrualh_avail_sanpads_yes_guidoff</t>
  </si>
  <si>
    <t>mestrualh_avail_sanpads_yes_others</t>
  </si>
  <si>
    <t>mestrualh_avail_sanpads_yes_others_specify</t>
  </si>
  <si>
    <t>Boxes21,22,23'!$AB$5</t>
  </si>
  <si>
    <t>Boxes21,22,23'!$I$8</t>
  </si>
  <si>
    <t>Boxes21,22,23'!$I$9</t>
  </si>
  <si>
    <t>Boxes21,22,23'!$I$10</t>
  </si>
  <si>
    <t>Boxes21,22,23'!$U$8</t>
  </si>
  <si>
    <t>Boxes21,22,23'!$U$9</t>
  </si>
  <si>
    <t>Boxes21,22,23'!$U$10</t>
  </si>
  <si>
    <t>Boxes21,22,23'!$AG$8</t>
  </si>
  <si>
    <t>Boxes21,22,23'!$AG$9</t>
  </si>
  <si>
    <t>Boxes21,22,23'!$AG$10</t>
  </si>
  <si>
    <t>Boxes21,22,23'!$AG$11</t>
  </si>
  <si>
    <t>Boxes21,22,23'!$I$14</t>
  </si>
  <si>
    <t>Boxes21,22,23'!$I$15</t>
  </si>
  <si>
    <t>Boxes21,22,23'!$U$14</t>
  </si>
  <si>
    <t>Boxes21,22,23'!$U$15</t>
  </si>
  <si>
    <t>Boxes21,22,23'!$AG$14</t>
  </si>
  <si>
    <t>Boxes21,22,23'!$I$22</t>
  </si>
  <si>
    <t>Boxes21,22,23'!$I$23</t>
  </si>
  <si>
    <t>Boxes21,22,23'!$U$22</t>
  </si>
  <si>
    <t>Boxes21,22,23'!$U$23</t>
  </si>
  <si>
    <t>Boxes21,22,23'!$Z$24</t>
  </si>
  <si>
    <t>Boxes21,22,23'!$I$26</t>
  </si>
  <si>
    <t>Boxes21,22,23'!$I$27</t>
  </si>
  <si>
    <t>Boxes21,22,23'!$I$28</t>
  </si>
  <si>
    <t>Boxes21,22,23'!$U$26</t>
  </si>
  <si>
    <t>Boxes21,22,23'!$U$27</t>
  </si>
  <si>
    <t>Boxes21,22,23'!$U$28</t>
  </si>
  <si>
    <t>Boxes21,22,23'!$Z$28</t>
  </si>
  <si>
    <t>Boxes21,22,23'!$X$34</t>
  </si>
  <si>
    <t>Boxes21,22,23'!$I$36</t>
  </si>
  <si>
    <t>Boxes21,22,23'!$I$37</t>
  </si>
  <si>
    <t>Boxes21,22,23'!$U$36</t>
  </si>
  <si>
    <t>Boxes21,22,23'!$U$37</t>
  </si>
  <si>
    <t>Boxes21,22,23'!$Z$37</t>
  </si>
  <si>
    <t>sch_cpc_yes</t>
  </si>
  <si>
    <t>es_child_protection</t>
  </si>
  <si>
    <t>sch_cpc_fmeet_monthly</t>
  </si>
  <si>
    <t>sch_cpc_fmeet_quarterly</t>
  </si>
  <si>
    <t>sch_cpc_fmeet_annually</t>
  </si>
  <si>
    <t>sch_cpc_fmeet_others</t>
  </si>
  <si>
    <t>sch_cpc_fmeet_others_specify</t>
  </si>
  <si>
    <t>sch_num_cpcases_refer_apprauth</t>
  </si>
  <si>
    <t>sch_studcodeconduct_yes</t>
  </si>
  <si>
    <t>cp_inc_violence_physical_lrnrs_m</t>
  </si>
  <si>
    <t>es_child_protection_vag</t>
  </si>
  <si>
    <t>cp_inc_violence_physical_lrnrs_f</t>
  </si>
  <si>
    <t>cp_perp_violence_physical_schpersonnel</t>
  </si>
  <si>
    <t>cp_perp_violence_physical_outsider</t>
  </si>
  <si>
    <t>cp_inc_violence_sexual_lrnrs_m</t>
  </si>
  <si>
    <t>cp_inc_violence_sexual_lrnrs_f</t>
  </si>
  <si>
    <t>cp_perp_violence_sexual_schpersonnel</t>
  </si>
  <si>
    <t>cp_perp_violence_sexual_outsider</t>
  </si>
  <si>
    <t>cp_inc_violence_psychological_lrnrs_m</t>
  </si>
  <si>
    <t>cp_inc_violence_psychological_lrnrs_f</t>
  </si>
  <si>
    <t>cp_perp_violence_psychological_schpersonnel</t>
  </si>
  <si>
    <t>cp_perp_violence_psychological_outsider</t>
  </si>
  <si>
    <t>cp_inc_violence_others_lrnrs_m</t>
  </si>
  <si>
    <t>cp_inc_violence_others_lrnrs_f</t>
  </si>
  <si>
    <t>cp_perp_violence_others_schpersonnel</t>
  </si>
  <si>
    <t>cp_perp_violence_others_outsider</t>
  </si>
  <si>
    <t>cp_inc_vag_k_m</t>
  </si>
  <si>
    <t>cp_inc_vag_k_f</t>
  </si>
  <si>
    <t>cp_inc_vag_g1_m</t>
  </si>
  <si>
    <t>cp_inc_vag_g1_f</t>
  </si>
  <si>
    <t>cp_inc_vag_g2_m</t>
  </si>
  <si>
    <t>cp_inc_vag_g2_f</t>
  </si>
  <si>
    <t>cp_inc_vag_g3_m</t>
  </si>
  <si>
    <t>cp_inc_vag_g3_f</t>
  </si>
  <si>
    <t>cp_inc_vag_g4_m</t>
  </si>
  <si>
    <t>cp_inc_vag_g4_f</t>
  </si>
  <si>
    <t>cp_inc_vag_g5_m</t>
  </si>
  <si>
    <t>cp_inc_vag_g5_f</t>
  </si>
  <si>
    <t>cp_inc_vag_g6_m</t>
  </si>
  <si>
    <t>cp_inc_vag_g6_f</t>
  </si>
  <si>
    <t>do_cp_focal_name</t>
  </si>
  <si>
    <t>do_cp_focal_pos_title</t>
  </si>
  <si>
    <t>Boxes24-25'!$AB$5</t>
  </si>
  <si>
    <t>Boxes24-25'!$P$6</t>
  </si>
  <si>
    <t>Boxes24-25'!$T$6</t>
  </si>
  <si>
    <t>Boxes24-25'!$X$6</t>
  </si>
  <si>
    <t>Boxes24-25'!$AB$6</t>
  </si>
  <si>
    <t>Boxes24-25'!$AG$6</t>
  </si>
  <si>
    <t>Boxes24-25'!$AB$7</t>
  </si>
  <si>
    <t>Boxes24-25'!$AB$9</t>
  </si>
  <si>
    <t>Boxes24-25'!$K$19</t>
  </si>
  <si>
    <t>Boxes24-25'!$Q$19</t>
  </si>
  <si>
    <t>Boxes24-25'!$AC$19</t>
  </si>
  <si>
    <t>Boxes24-25'!$AI$19</t>
  </si>
  <si>
    <t>Boxes24-25'!$K$20</t>
  </si>
  <si>
    <t>Boxes24-25'!$Q$20</t>
  </si>
  <si>
    <t>Boxes24-25'!$AC$20</t>
  </si>
  <si>
    <t>Boxes24-25'!$AI$20</t>
  </si>
  <si>
    <t>Boxes24-25'!$K$21</t>
  </si>
  <si>
    <t>Boxes24-25'!$Q$21</t>
  </si>
  <si>
    <t>Boxes24-25'!$AC$21</t>
  </si>
  <si>
    <t>Boxes24-25'!$AI$21</t>
  </si>
  <si>
    <t>Boxes24-25'!$K$22</t>
  </si>
  <si>
    <t>Boxes24-25'!$Q$22</t>
  </si>
  <si>
    <t>Boxes24-25'!$AC$22</t>
  </si>
  <si>
    <t>Boxes24-25'!$AI$22</t>
  </si>
  <si>
    <t>Boxes24-25'!$K$28</t>
  </si>
  <si>
    <t>Boxes24-25'!$Q$28</t>
  </si>
  <si>
    <t>Boxes24-25'!$K$29</t>
  </si>
  <si>
    <t>Boxes24-25'!$Q$29</t>
  </si>
  <si>
    <t>Boxes24-25'!$K$30</t>
  </si>
  <si>
    <t>Boxes24-25'!$Q$30</t>
  </si>
  <si>
    <t>Boxes24-25'!$K$31</t>
  </si>
  <si>
    <t>Boxes24-25'!$Q$31</t>
  </si>
  <si>
    <t>Boxes24-25'!$K$32</t>
  </si>
  <si>
    <t>Boxes24-25'!$Q$32</t>
  </si>
  <si>
    <t>Boxes24-25'!$K$33</t>
  </si>
  <si>
    <t>Boxes24-25'!$Q$33</t>
  </si>
  <si>
    <t>Boxes24-25'!$K$34</t>
  </si>
  <si>
    <t>Boxes24-25'!$Q$34</t>
  </si>
  <si>
    <t>Boxes24-25'!$P$43</t>
  </si>
  <si>
    <t>Boxes24-25'!$T$45</t>
  </si>
  <si>
    <t>cp_inc_bullying_physical_lrnrs_m</t>
  </si>
  <si>
    <t>es_child_protection_bullying</t>
  </si>
  <si>
    <t>cp_inc_bullying_physical_lrnrs_f</t>
  </si>
  <si>
    <t>cp_inc_bullying_cyber_lrnrs_m</t>
  </si>
  <si>
    <t>cp_inc_bullying_cyber_lrnrs_f</t>
  </si>
  <si>
    <t>cp_inc_bullying_genderbased_lrnrs_m</t>
  </si>
  <si>
    <t>cp_inc_bullying_genderbased_lrnrs_f</t>
  </si>
  <si>
    <t>cp_inc_bullying_social_lrnrs_m</t>
  </si>
  <si>
    <t>cp_inc_bullying_social_lrnrs_f</t>
  </si>
  <si>
    <t>cp_inc_bullying_k_m</t>
  </si>
  <si>
    <t>cp_inc_bullying_k_f</t>
  </si>
  <si>
    <t>cp_inc_bullying_g1_m</t>
  </si>
  <si>
    <t>cp_inc_bullying_g1_f</t>
  </si>
  <si>
    <t>cp_inc_bullying_g2_m</t>
  </si>
  <si>
    <t>cp_inc_bullying_g2_f</t>
  </si>
  <si>
    <t>cp_inc_bullying_g3_m</t>
  </si>
  <si>
    <t>cp_inc_bullying_g3_f</t>
  </si>
  <si>
    <t>cp_inc_bullying_g4_m</t>
  </si>
  <si>
    <t>cp_inc_bullying_g4_f</t>
  </si>
  <si>
    <t>cp_inc_bullying_g5_m</t>
  </si>
  <si>
    <t>cp_inc_bullying_g5_f</t>
  </si>
  <si>
    <t>cp_inc_bullying_g6_m</t>
  </si>
  <si>
    <t>cp_inc_bullying_g6_f</t>
  </si>
  <si>
    <t>cp_inc_bullying_due_physapp_k</t>
  </si>
  <si>
    <t>cp_inc_bullying_due_physapp_g1</t>
  </si>
  <si>
    <t>cp_inc_bullying_due_physapp_g2</t>
  </si>
  <si>
    <t>cp_inc_bullying_due_physapp_g3</t>
  </si>
  <si>
    <t>cp_inc_bullying_due_physapp_g4</t>
  </si>
  <si>
    <t>cp_inc_bullying_due_physapp_g5</t>
  </si>
  <si>
    <t>cp_inc_bullying_due_physapp_g6</t>
  </si>
  <si>
    <t>cp_inc_bullying_due_statinlife_k</t>
  </si>
  <si>
    <t>cp_inc_bullying_due_statinlife_g1</t>
  </si>
  <si>
    <t>cp_inc_bullying_due_statinlife_g2</t>
  </si>
  <si>
    <t>cp_inc_bullying_due_statinlife_g3</t>
  </si>
  <si>
    <t>cp_inc_bullying_due_statinlife_g4</t>
  </si>
  <si>
    <t>cp_inc_bullying_due_statinlife_g5</t>
  </si>
  <si>
    <t>cp_inc_bullying_due_statinlife_g6</t>
  </si>
  <si>
    <t>cp_inc_bullying_due_skincolor_k</t>
  </si>
  <si>
    <t>cp_inc_bullying_due_skincolor_g1</t>
  </si>
  <si>
    <t>cp_inc_bullying_due_skincolor_g2</t>
  </si>
  <si>
    <t>cp_inc_bullying_due_skincolor_g3</t>
  </si>
  <si>
    <t>cp_inc_bullying_due_skincolor_g4</t>
  </si>
  <si>
    <t>cp_inc_bullying_due_skincolor_g5</t>
  </si>
  <si>
    <t>cp_inc_bullying_due_skincolor_g6</t>
  </si>
  <si>
    <t>cp_inc_bullying_due_age_k</t>
  </si>
  <si>
    <t>cp_inc_bullying_due_age_g1</t>
  </si>
  <si>
    <t>cp_inc_bullying_due_age_g2</t>
  </si>
  <si>
    <t>cp_inc_bullying_due_age_g3</t>
  </si>
  <si>
    <t>cp_inc_bullying_due_age_g4</t>
  </si>
  <si>
    <t>cp_inc_bullying_due_age_g5</t>
  </si>
  <si>
    <t>cp_inc_bullying_due_age_g6</t>
  </si>
  <si>
    <t>cp_inc_bullying_due_gender_k</t>
  </si>
  <si>
    <t>cp_inc_bullying_due_gender_g1</t>
  </si>
  <si>
    <t>cp_inc_bullying_due_gender_g2</t>
  </si>
  <si>
    <t>cp_inc_bullying_due_gender_g3</t>
  </si>
  <si>
    <t>cp_inc_bullying_due_gender_g4</t>
  </si>
  <si>
    <t>cp_inc_bullying_due_gender_g5</t>
  </si>
  <si>
    <t>cp_inc_bullying_due_gender_g6</t>
  </si>
  <si>
    <t>cp_inc_bullying_due_race_k</t>
  </si>
  <si>
    <t>cp_inc_bullying_due_race_g1</t>
  </si>
  <si>
    <t>cp_inc_bullying_due_race_g2</t>
  </si>
  <si>
    <t>cp_inc_bullying_due_race_g3</t>
  </si>
  <si>
    <t>cp_inc_bullying_due_race_g4</t>
  </si>
  <si>
    <t>cp_inc_bullying_due_race_g5</t>
  </si>
  <si>
    <t>cp_inc_bullying_due_race_g6</t>
  </si>
  <si>
    <t>cp_inc_bullying_due_religion_k</t>
  </si>
  <si>
    <t>cp_inc_bullying_due_religion_g1</t>
  </si>
  <si>
    <t>cp_inc_bullying_due_religion_g2</t>
  </si>
  <si>
    <t>cp_inc_bullying_due_religion_g3</t>
  </si>
  <si>
    <t>cp_inc_bullying_due_religion_g4</t>
  </si>
  <si>
    <t>cp_inc_bullying_due_religion_g5</t>
  </si>
  <si>
    <t>cp_inc_bullying_due_religion_g6</t>
  </si>
  <si>
    <t>cp_inc_bullying_due_disability_k</t>
  </si>
  <si>
    <t>cp_inc_bullying_due_disability_g1</t>
  </si>
  <si>
    <t>cp_inc_bullying_due_disability_g2</t>
  </si>
  <si>
    <t>cp_inc_bullying_due_disability_g3</t>
  </si>
  <si>
    <t>cp_inc_bullying_due_disability_g4</t>
  </si>
  <si>
    <t>cp_inc_bullying_due_disability_g5</t>
  </si>
  <si>
    <t>cp_inc_bullying_due_disability_g6</t>
  </si>
  <si>
    <t>cp_inc_bullying_due_others_k</t>
  </si>
  <si>
    <t>cp_inc_bullying_due_others_g1</t>
  </si>
  <si>
    <t>cp_inc_bullying_due_others_g2</t>
  </si>
  <si>
    <t>cp_inc_bullying_due_others_g3</t>
  </si>
  <si>
    <t>cp_inc_bullying_due_others_g4</t>
  </si>
  <si>
    <t>cp_inc_bullying_due_others_g5</t>
  </si>
  <si>
    <t>cp_inc_bullying_due_others_g6</t>
  </si>
  <si>
    <t>Box26'!$J$9</t>
  </si>
  <si>
    <t>Box26'!$P$9</t>
  </si>
  <si>
    <t>Box26'!$J$10</t>
  </si>
  <si>
    <t>Box26'!$P$10</t>
  </si>
  <si>
    <t>Box26'!$J$11</t>
  </si>
  <si>
    <t>Box26'!$P$11</t>
  </si>
  <si>
    <t>Box26'!$J$12</t>
  </si>
  <si>
    <t>Box26'!$P$12</t>
  </si>
  <si>
    <t>Box26'!$J$18</t>
  </si>
  <si>
    <t>Box26'!$P$18</t>
  </si>
  <si>
    <t>Box26'!$J$19</t>
  </si>
  <si>
    <t>Box26'!$P$19</t>
  </si>
  <si>
    <t>Box26'!$J$20</t>
  </si>
  <si>
    <t>Box26'!$P$20</t>
  </si>
  <si>
    <t>Box26'!$J$21</t>
  </si>
  <si>
    <t>Box26'!$P$21</t>
  </si>
  <si>
    <t>Box26'!$J$22</t>
  </si>
  <si>
    <t>Box26'!$P$22</t>
  </si>
  <si>
    <t>Box26'!$J$23</t>
  </si>
  <si>
    <t>Box26'!$P$23</t>
  </si>
  <si>
    <t>Box26'!$J$24</t>
  </si>
  <si>
    <t>Box26'!$P$24</t>
  </si>
  <si>
    <t>Box26'!$J$31</t>
  </si>
  <si>
    <t>Box26'!$N$31</t>
  </si>
  <si>
    <t>Box26'!$R$31</t>
  </si>
  <si>
    <t>Box26'!$V$31</t>
  </si>
  <si>
    <t>Box26'!$Z$31</t>
  </si>
  <si>
    <t>Box26'!$AD$31</t>
  </si>
  <si>
    <t>Box26'!$AH$31</t>
  </si>
  <si>
    <t>Box26'!$J$32</t>
  </si>
  <si>
    <t>Box26'!$N$32</t>
  </si>
  <si>
    <t>Box26'!$R$32</t>
  </si>
  <si>
    <t>Box26'!$V$32</t>
  </si>
  <si>
    <t>Box26'!$Z$32</t>
  </si>
  <si>
    <t>Box26'!$AD$32</t>
  </si>
  <si>
    <t>Box26'!$AH$32</t>
  </si>
  <si>
    <t>Box26'!$J$33</t>
  </si>
  <si>
    <t>Box26'!$N$33</t>
  </si>
  <si>
    <t>Box26'!$R$33</t>
  </si>
  <si>
    <t>Box26'!$V$33</t>
  </si>
  <si>
    <t>Box26'!$Z$33</t>
  </si>
  <si>
    <t>Box26'!$AD$33</t>
  </si>
  <si>
    <t>Box26'!$AH$33</t>
  </si>
  <si>
    <t>Box26'!$J$34</t>
  </si>
  <si>
    <t>Box26'!$N$34</t>
  </si>
  <si>
    <t>Box26'!$R$34</t>
  </si>
  <si>
    <t>Box26'!$V$34</t>
  </si>
  <si>
    <t>Box26'!$Z$34</t>
  </si>
  <si>
    <t>Box26'!$AD$34</t>
  </si>
  <si>
    <t>Box26'!$AH$34</t>
  </si>
  <si>
    <t>Box26'!$J$35</t>
  </si>
  <si>
    <t>Box26'!$N$35</t>
  </si>
  <si>
    <t>Box26'!$R$35</t>
  </si>
  <si>
    <t>Box26'!$V$35</t>
  </si>
  <si>
    <t>Box26'!$Z$35</t>
  </si>
  <si>
    <t>Box26'!$AD$35</t>
  </si>
  <si>
    <t>Box26'!$AH$35</t>
  </si>
  <si>
    <t>Box26'!$J$36</t>
  </si>
  <si>
    <t>Box26'!$N$36</t>
  </si>
  <si>
    <t>Box26'!$R$36</t>
  </si>
  <si>
    <t>Box26'!$V$36</t>
  </si>
  <si>
    <t>Box26'!$Z$36</t>
  </si>
  <si>
    <t>Box26'!$AD$36</t>
  </si>
  <si>
    <t>Box26'!$AH$36</t>
  </si>
  <si>
    <t>Box26'!$J$37</t>
  </si>
  <si>
    <t>Box26'!$N$37</t>
  </si>
  <si>
    <t>Box26'!$R$37</t>
  </si>
  <si>
    <t>Box26'!$V$37</t>
  </si>
  <si>
    <t>Box26'!$Z$37</t>
  </si>
  <si>
    <t>Box26'!$AD$37</t>
  </si>
  <si>
    <t>Box26'!$AH$37</t>
  </si>
  <si>
    <t>Box26'!$J$38</t>
  </si>
  <si>
    <t>Box26'!$N$38</t>
  </si>
  <si>
    <t>Box26'!$R$38</t>
  </si>
  <si>
    <t>Box26'!$V$38</t>
  </si>
  <si>
    <t>Box26'!$Z$38</t>
  </si>
  <si>
    <t>Box26'!$AD$38</t>
  </si>
  <si>
    <t>Box26'!$AH$38</t>
  </si>
  <si>
    <t>Box26'!$J$39</t>
  </si>
  <si>
    <t>Box26'!$N$39</t>
  </si>
  <si>
    <t>Box26'!$R$39</t>
  </si>
  <si>
    <t>Box26'!$V$39</t>
  </si>
  <si>
    <t>Box26'!$Z$39</t>
  </si>
  <si>
    <t>Box26'!$AD$39</t>
  </si>
  <si>
    <t>Box26'!$AH$39</t>
  </si>
  <si>
    <t>sch_avail_sp_sportsevent_arch</t>
  </si>
  <si>
    <t>es_sports_program</t>
  </si>
  <si>
    <t>sch_avail_sp_sportsclub_arch</t>
  </si>
  <si>
    <t>sch_avail_sp_sportssportsfac_arch</t>
  </si>
  <si>
    <t>sch_avail_sp_sportsevent_arnis</t>
  </si>
  <si>
    <t>sch_avail_sp_sportsclub_arnis</t>
  </si>
  <si>
    <t>sch_avail_sp_sportssportsfac_arnis</t>
  </si>
  <si>
    <t>sch_avail_sp_sportsevent_athlthrow</t>
  </si>
  <si>
    <t>sch_avail_sp_sportsclub_athlthrow</t>
  </si>
  <si>
    <t>sch_avail_sp_sportssportsfac_athlthrow</t>
  </si>
  <si>
    <t>sch_avail_sp_sportsevent_athlrun</t>
  </si>
  <si>
    <t>sch_avail_sp_sportsclub_athlrun</t>
  </si>
  <si>
    <t>sch_avail_sp_sportssportsfac_athlrun</t>
  </si>
  <si>
    <t>sch_avail_sp_sportsevent_badm</t>
  </si>
  <si>
    <t>sch_avail_sp_sportsclub_badm</t>
  </si>
  <si>
    <t>sch_avail_sp_sportssportsfac_badm</t>
  </si>
  <si>
    <t>sch_avail_sp_sportsevent_basket</t>
  </si>
  <si>
    <t>sch_avail_sp_sportsclub_basket</t>
  </si>
  <si>
    <t>sch_avail_sp_sportssportsfac_basket</t>
  </si>
  <si>
    <t>sch_avail_sp_sportsevent_baseball</t>
  </si>
  <si>
    <t>sch_avail_sp_sportsclub_baseball</t>
  </si>
  <si>
    <t>sch_avail_sp_sportssportsfac_baseball</t>
  </si>
  <si>
    <t>sch_avail_sp_sportsevent_billard</t>
  </si>
  <si>
    <t>sch_avail_sp_sportsclub_billard</t>
  </si>
  <si>
    <t>sch_avail_sp_sportssportsfac_billard</t>
  </si>
  <si>
    <t>sch_avail_sp_sportsevent_boxing</t>
  </si>
  <si>
    <t>sch_avail_sp_sportsclub_boxing</t>
  </si>
  <si>
    <t>sch_avail_sp_sportssportsfac_boxing</t>
  </si>
  <si>
    <t>sch_avail_sp_sportsevent_chess</t>
  </si>
  <si>
    <t>sch_avail_sp_sportsclub_chess</t>
  </si>
  <si>
    <t>sch_avail_sp_sportssportsfac_chess</t>
  </si>
  <si>
    <t>sch_avail_sp_sportsevent_dancesports</t>
  </si>
  <si>
    <t>sch_avail_sp_sportsclub_dancesports</t>
  </si>
  <si>
    <t>sch_avail_sp_sportssportsfac_dancesports</t>
  </si>
  <si>
    <t>sch_avail_sp_sportsevent_football</t>
  </si>
  <si>
    <t>sch_avail_sp_sportsclub_football</t>
  </si>
  <si>
    <t>sch_avail_sp_sportssportsfac_football</t>
  </si>
  <si>
    <t>sch_avail_sp_sportsevent_futsal</t>
  </si>
  <si>
    <t>sch_avail_sp_sportsclub_futsal</t>
  </si>
  <si>
    <t>sch_avail_sp_sportssportsfac_futsal</t>
  </si>
  <si>
    <t>sch_avail_sp_sportsevent_aerogymn</t>
  </si>
  <si>
    <t>sch_avail_sp_sportsclub_aerogymn</t>
  </si>
  <si>
    <t>sch_avail_sp_sportssportsfac_aerogymn</t>
  </si>
  <si>
    <t>sch_avail_sp_sportsevent_mag</t>
  </si>
  <si>
    <t>sch_avail_sp_sportsclub_mag</t>
  </si>
  <si>
    <t>sch_avail_sp_sportssportsfac_mag</t>
  </si>
  <si>
    <t>sch_avail_sp_sportsevent_wag</t>
  </si>
  <si>
    <t>sch_avail_sp_sportsclub_wag</t>
  </si>
  <si>
    <t>sch_avail_sp_sportssportsfac_wag</t>
  </si>
  <si>
    <t>sch_avail_sp_sportsevent_rg</t>
  </si>
  <si>
    <t>sch_avail_sp_sportsclub_rg</t>
  </si>
  <si>
    <t>sch_avail_sp_sportssportsfac_rg</t>
  </si>
  <si>
    <t>sch_avail_sp_sportsevent_pencak</t>
  </si>
  <si>
    <t>sch_avail_sp_sportsclub_pencak</t>
  </si>
  <si>
    <t>sch_avail_sp_sportssportsfac_pencak</t>
  </si>
  <si>
    <t>sch_avail_sp_sportsevent_sepaktakraw</t>
  </si>
  <si>
    <t>sch_avail_sp_sportsclub_sepaktakraw</t>
  </si>
  <si>
    <t>sch_avail_sp_sportssportsfac_sepaktakraw</t>
  </si>
  <si>
    <t>sch_avail_sp_sportsevent_softball</t>
  </si>
  <si>
    <t>sch_avail_sp_sportsclub_softball</t>
  </si>
  <si>
    <t>sch_avail_sp_sportssportsfac_softball</t>
  </si>
  <si>
    <t>sch_avail_sp_sportsevent_swimming</t>
  </si>
  <si>
    <t>sch_avail_sp_sportsclub_swimming</t>
  </si>
  <si>
    <t>sch_avail_sp_sportssportsfac_swimming</t>
  </si>
  <si>
    <t>sch_avail_sp_sportsevent_tabletennis</t>
  </si>
  <si>
    <t>sch_avail_sp_sportsclub_tabletennis</t>
  </si>
  <si>
    <t>sch_avail_sp_sportssportsfac_tabletennis</t>
  </si>
  <si>
    <t>sch_avail_sp_sportsevent_taekwondo</t>
  </si>
  <si>
    <t>sch_avail_sp_sportsclub_taekwondo</t>
  </si>
  <si>
    <t>sch_avail_sp_sportssportsfac_taekwondo</t>
  </si>
  <si>
    <t>sch_avail_sp_sportsevent_tennis</t>
  </si>
  <si>
    <t>sch_avail_sp_sportsclub_tennis</t>
  </si>
  <si>
    <t>sch_avail_sp_sportssportsfac_tennis</t>
  </si>
  <si>
    <t>sch_avail_sp_sportsevent_volleyball</t>
  </si>
  <si>
    <t>sch_avail_sp_sportsclub_volleyball</t>
  </si>
  <si>
    <t>sch_avail_sp_sportssportsfac_volleyball</t>
  </si>
  <si>
    <t>sch_avail_sp_sportsevent_wrestling</t>
  </si>
  <si>
    <t>sch_avail_sp_sportsclub_wrestling</t>
  </si>
  <si>
    <t>sch_avail_sp_sportssportsfac_wrestling</t>
  </si>
  <si>
    <t>sch_avail_sp_sportsevent_wushu</t>
  </si>
  <si>
    <t>sch_avail_sp_sportsclub_wushu</t>
  </si>
  <si>
    <t>sch_avail_sp_sportssportsfac_wushu</t>
  </si>
  <si>
    <t>sch_avail_sp_sportsevent_bocce</t>
  </si>
  <si>
    <t>sch_avail_sp_sportsclub_bocce</t>
  </si>
  <si>
    <t>sch_avail_sp_sportssportsfac_bocce</t>
  </si>
  <si>
    <t>sch_avail_sp_sportsevent_goalball</t>
  </si>
  <si>
    <t>sch_avail_sp_sportsclub_goalball</t>
  </si>
  <si>
    <t>sch_avail_sp_sportssportsfac_goalball</t>
  </si>
  <si>
    <t>Box27'!$O$5</t>
  </si>
  <si>
    <t>Box27'!$R$5</t>
  </si>
  <si>
    <t>Box27'!$U$5</t>
  </si>
  <si>
    <t>Box27'!$O$6</t>
  </si>
  <si>
    <t>Box27'!$R$6</t>
  </si>
  <si>
    <t>Box27'!$U$6</t>
  </si>
  <si>
    <t>Box27'!$O$7</t>
  </si>
  <si>
    <t>Box27'!$R$7</t>
  </si>
  <si>
    <t>Box27'!$U$7</t>
  </si>
  <si>
    <t>Box27'!$O$8</t>
  </si>
  <si>
    <t>Box27'!$R$8</t>
  </si>
  <si>
    <t>Box27'!$U$8</t>
  </si>
  <si>
    <t>Box27'!$O$9</t>
  </si>
  <si>
    <t>Box27'!$R$9</t>
  </si>
  <si>
    <t>Box27'!$U$9</t>
  </si>
  <si>
    <t>Box27'!$O$10</t>
  </si>
  <si>
    <t>Box27'!$R$10</t>
  </si>
  <si>
    <t>Box27'!$U$10</t>
  </si>
  <si>
    <t>Box27'!$O$11</t>
  </si>
  <si>
    <t>Box27'!$R$11</t>
  </si>
  <si>
    <t>Box27'!$U$11</t>
  </si>
  <si>
    <t>Box27'!$O$12</t>
  </si>
  <si>
    <t>Box27'!$R$12</t>
  </si>
  <si>
    <t>Box27'!$U$12</t>
  </si>
  <si>
    <t>Box27'!$O$13</t>
  </si>
  <si>
    <t>Box27'!$R$13</t>
  </si>
  <si>
    <t>Box27'!$U$13</t>
  </si>
  <si>
    <t>Box27'!$O$14</t>
  </si>
  <si>
    <t>Box27'!$R$14</t>
  </si>
  <si>
    <t>Box27'!$U$14</t>
  </si>
  <si>
    <t>Box27'!$O$15</t>
  </si>
  <si>
    <t>Box27'!$R$15</t>
  </si>
  <si>
    <t>Box27'!$U$15</t>
  </si>
  <si>
    <t>Box27'!$O$16</t>
  </si>
  <si>
    <t>Box27'!$R$16</t>
  </si>
  <si>
    <t>Box27'!$U$16</t>
  </si>
  <si>
    <t>Box27'!$O$17</t>
  </si>
  <si>
    <t>Box27'!$R$17</t>
  </si>
  <si>
    <t>Box27'!$U$17</t>
  </si>
  <si>
    <t>Box27'!$O$18</t>
  </si>
  <si>
    <t>Box27'!$R$18</t>
  </si>
  <si>
    <t>Box27'!$U$18</t>
  </si>
  <si>
    <t>Box27'!$O$19</t>
  </si>
  <si>
    <t>Box27'!$R$19</t>
  </si>
  <si>
    <t>Box27'!$U$19</t>
  </si>
  <si>
    <t>Box27'!$AH$5</t>
  </si>
  <si>
    <t>Box27'!$AK$5</t>
  </si>
  <si>
    <t>Box27'!$AN$5</t>
  </si>
  <si>
    <t>Box27'!$AH$6</t>
  </si>
  <si>
    <t>Box27'!$AK$6</t>
  </si>
  <si>
    <t>Box27'!$AN$6</t>
  </si>
  <si>
    <t>Box27'!$AH$7</t>
  </si>
  <si>
    <t>Box27'!$AK$7</t>
  </si>
  <si>
    <t>Box27'!$AN$7</t>
  </si>
  <si>
    <t>Box27'!$AH$8</t>
  </si>
  <si>
    <t>Box27'!$AK$8</t>
  </si>
  <si>
    <t>Box27'!$AN$8</t>
  </si>
  <si>
    <t>Box27'!$AH$9</t>
  </si>
  <si>
    <t>Box27'!$AK$9</t>
  </si>
  <si>
    <t>Box27'!$AN$9</t>
  </si>
  <si>
    <t>Box27'!$AH$10</t>
  </si>
  <si>
    <t>Box27'!$AK$10</t>
  </si>
  <si>
    <t>Box27'!$AN$10</t>
  </si>
  <si>
    <t>Box27'!$AH$11</t>
  </si>
  <si>
    <t>Box27'!$AK$11</t>
  </si>
  <si>
    <t>Box27'!$AN$11</t>
  </si>
  <si>
    <t>Box27'!$AH$12</t>
  </si>
  <si>
    <t>Box27'!$AK$12</t>
  </si>
  <si>
    <t>Box27'!$AN$12</t>
  </si>
  <si>
    <t>Box27'!$AH$13</t>
  </si>
  <si>
    <t>Box27'!$AK$13</t>
  </si>
  <si>
    <t>Box27'!$AN$13</t>
  </si>
  <si>
    <t>Box27'!$AH$14</t>
  </si>
  <si>
    <t>Box27'!$AK$14</t>
  </si>
  <si>
    <t>Box27'!$AN$14</t>
  </si>
  <si>
    <t>Box27'!$AH$15</t>
  </si>
  <si>
    <t>Box27'!$AK$15</t>
  </si>
  <si>
    <t>Box27'!$AN$15</t>
  </si>
  <si>
    <t>Box27'!$AH$16</t>
  </si>
  <si>
    <t>Box27'!$AK$16</t>
  </si>
  <si>
    <t>Box27'!$AN$16</t>
  </si>
  <si>
    <t>Box27'!$AH$17</t>
  </si>
  <si>
    <t>Box27'!$AK$17</t>
  </si>
  <si>
    <t>Box27'!$AN$17</t>
  </si>
  <si>
    <t>Box27'!$AH$18</t>
  </si>
  <si>
    <t>Box27'!$AK$18</t>
  </si>
  <si>
    <t>Box27'!$AN$18</t>
  </si>
  <si>
    <t>do_sports_coordinator_name</t>
  </si>
  <si>
    <t>es_sports_personnel</t>
  </si>
  <si>
    <t>do_sports_coordinator_pos</t>
  </si>
  <si>
    <t>sch_sp_se_num_coaches_arch</t>
  </si>
  <si>
    <t>sch_sp_se_num_officials_arch</t>
  </si>
  <si>
    <t>sch_sp_se_num_peteachss_arch</t>
  </si>
  <si>
    <t>sch_sp_se_num_nonpeteachss_arch</t>
  </si>
  <si>
    <t>sch_sp_se_num_nonteachpss_arch</t>
  </si>
  <si>
    <t>sch_sp_se_num_coaches_arnis</t>
  </si>
  <si>
    <t>sch_sp_se_num_officials_arnis</t>
  </si>
  <si>
    <t>sch_sp_se_num_peteachss_arnis</t>
  </si>
  <si>
    <t>sch_sp_se_num_nonpeteachss_arnis</t>
  </si>
  <si>
    <t>sch_sp_se_num_nonteachpss_arnis</t>
  </si>
  <si>
    <t>sch_sp_se_num_coaches_athlthrow</t>
  </si>
  <si>
    <t>sch_sp_se_num_officials_athlthrow</t>
  </si>
  <si>
    <t>sch_sp_se_num_peteachss_athlthrow</t>
  </si>
  <si>
    <t>sch_sp_se_num_nonpeteachss_athlthrow</t>
  </si>
  <si>
    <t>sch_sp_se_num_nonteachpss_athlthrow</t>
  </si>
  <si>
    <t>sch_sp_se_num_coaches_athltrun</t>
  </si>
  <si>
    <t>sch_sp_se_num_officials_athltrun</t>
  </si>
  <si>
    <t>sch_sp_se_num_peteachss_athltrun</t>
  </si>
  <si>
    <t>sch_sp_se_num_nonpeteachss_athltrun</t>
  </si>
  <si>
    <t>sch_sp_se_num_nonteachpss_athltrun</t>
  </si>
  <si>
    <t>sch_sp_se_num_coaches_badm</t>
  </si>
  <si>
    <t>sch_sp_se_num_officials_badm</t>
  </si>
  <si>
    <t>sch_sp_se_num_peteachss_badm</t>
  </si>
  <si>
    <t>sch_sp_se_num_nonpeteachss_badm</t>
  </si>
  <si>
    <t>sch_sp_se_num_nonteachpss_badm</t>
  </si>
  <si>
    <t>sch_sp_se_num_coaches_basket</t>
  </si>
  <si>
    <t>sch_sp_se_num_officials_basket</t>
  </si>
  <si>
    <t>sch_sp_se_num_peteachss_basket</t>
  </si>
  <si>
    <t>sch_sp_se_num_nonpeteachss_basket</t>
  </si>
  <si>
    <t>sch_sp_se_num_nonteachpss_basket</t>
  </si>
  <si>
    <t>sch_sp_se_num_coaches_baseball</t>
  </si>
  <si>
    <t>sch_sp_se_num_officials_baseball</t>
  </si>
  <si>
    <t>sch_sp_se_num_peteachss_baseball</t>
  </si>
  <si>
    <t>sch_sp_se_num_nonpeteachss_baseball</t>
  </si>
  <si>
    <t>sch_sp_se_num_nonteachpss_baseball</t>
  </si>
  <si>
    <t>sch_sp_se_num_coaches_billard</t>
  </si>
  <si>
    <t>sch_sp_se_num_officials_billard</t>
  </si>
  <si>
    <t>sch_sp_se_num_peteachss_billard</t>
  </si>
  <si>
    <t>sch_sp_se_num_nonpeteachss_billard</t>
  </si>
  <si>
    <t>sch_sp_se_num_nonteachpss_billard</t>
  </si>
  <si>
    <t>sch_sp_se_num_coaches_boxing</t>
  </si>
  <si>
    <t>sch_sp_se_num_officials_boxing</t>
  </si>
  <si>
    <t>sch_sp_se_num_peteachss_boxing</t>
  </si>
  <si>
    <t>sch_sp_se_num_nonpeteachss_boxing</t>
  </si>
  <si>
    <t>sch_sp_se_num_nonteachpss_boxing</t>
  </si>
  <si>
    <t>sch_sp_se_num_coaches_chess</t>
  </si>
  <si>
    <t>sch_sp_se_num_officials_chess</t>
  </si>
  <si>
    <t>sch_sp_se_num_peteachss_chess</t>
  </si>
  <si>
    <t>sch_sp_se_num_nonpeteachss_chess</t>
  </si>
  <si>
    <t>sch_sp_se_num_nonteachpss_chess</t>
  </si>
  <si>
    <t>sch_sp_se_num_coaches_dancesports</t>
  </si>
  <si>
    <t>sch_sp_se_num_officials_dancesports</t>
  </si>
  <si>
    <t>sch_sp_se_num_peteachss_dancesports</t>
  </si>
  <si>
    <t>sch_sp_se_num_nonpeteachss_dancesports</t>
  </si>
  <si>
    <t>sch_sp_se_num_nonteachpss_dancesports</t>
  </si>
  <si>
    <t>sch_sp_se_num_coaches_football</t>
  </si>
  <si>
    <t>sch_sp_se_num_officials_football</t>
  </si>
  <si>
    <t>sch_sp_se_num_peteachss_football</t>
  </si>
  <si>
    <t>sch_sp_se_num_nonpeteachss_football</t>
  </si>
  <si>
    <t>sch_sp_se_num_nonteachpss_football</t>
  </si>
  <si>
    <t>sch_sp_se_num_coaches_futsal</t>
  </si>
  <si>
    <t>sch_sp_se_num_officials_futsal</t>
  </si>
  <si>
    <t>sch_sp_se_num_peteachss_futsal</t>
  </si>
  <si>
    <t>sch_sp_se_num_nonpeteachss_futsal</t>
  </si>
  <si>
    <t>sch_sp_se_num_nonteachpss_futsal</t>
  </si>
  <si>
    <t>sch_sp_se_num_coaches_aerogymn</t>
  </si>
  <si>
    <t>sch_sp_se_num_officials_aerogymn</t>
  </si>
  <si>
    <t>sch_sp_se_num_peteachss_aerogymn</t>
  </si>
  <si>
    <t>sch_sp_se_num_nonpeteachss_aerogymn</t>
  </si>
  <si>
    <t>sch_sp_se_num_nonteachpss_aerogymn</t>
  </si>
  <si>
    <t>sch_sp_se_num_coaches_mag</t>
  </si>
  <si>
    <t>sch_sp_se_num_officials_mag</t>
  </si>
  <si>
    <t>sch_sp_se_num_peteachss_mag</t>
  </si>
  <si>
    <t>sch_sp_se_num_nonpeteachss_mag</t>
  </si>
  <si>
    <t>sch_sp_se_num_nonteachpss_mag</t>
  </si>
  <si>
    <t>sch_sp_se_num_coaches_wag</t>
  </si>
  <si>
    <t>sch_sp_se_num_officials_wag</t>
  </si>
  <si>
    <t>sch_sp_se_num_peteachss_wag</t>
  </si>
  <si>
    <t>sch_sp_se_num_nonpeteachss_wag</t>
  </si>
  <si>
    <t>sch_sp_se_num_nonteachpss_wag</t>
  </si>
  <si>
    <t>sch_sp_se_num_coaches_rg</t>
  </si>
  <si>
    <t>sch_sp_se_num_officials_rg</t>
  </si>
  <si>
    <t>sch_sp_se_num_peteachss_rg</t>
  </si>
  <si>
    <t>sch_sp_se_num_nonpeteachss_rg</t>
  </si>
  <si>
    <t>sch_sp_se_num_nonteachpss_rg</t>
  </si>
  <si>
    <t>sch_sp_se_num_coaches_pencak</t>
  </si>
  <si>
    <t>sch_sp_se_num_officials_pencak</t>
  </si>
  <si>
    <t>sch_sp_se_num_peteachss_pencak</t>
  </si>
  <si>
    <t>sch_sp_se_num_nonpeteachss_pencak</t>
  </si>
  <si>
    <t>sch_sp_se_num_nonteachpss_pencak</t>
  </si>
  <si>
    <t>sch_sp_se_num_coaches_sepaktakraw</t>
  </si>
  <si>
    <t>sch_sp_se_num_officials_sepaktakraw</t>
  </si>
  <si>
    <t>sch_sp_se_num_peteachss_sepaktakraw</t>
  </si>
  <si>
    <t>sch_sp_se_num_nonpeteachss_sepaktakraw</t>
  </si>
  <si>
    <t>sch_sp_se_num_nonteachpss_sepaktakraw</t>
  </si>
  <si>
    <t>sch_sp_se_num_coaches_softball</t>
  </si>
  <si>
    <t>sch_sp_se_num_officials_softball</t>
  </si>
  <si>
    <t>sch_sp_se_num_peteachss_softball</t>
  </si>
  <si>
    <t>sch_sp_se_num_nonpeteachss_softball</t>
  </si>
  <si>
    <t>sch_sp_se_num_nonteachpss_softball</t>
  </si>
  <si>
    <t>sch_sp_se_num_coaches_swimming</t>
  </si>
  <si>
    <t>sch_sp_se_num_officials_swimming</t>
  </si>
  <si>
    <t>sch_sp_se_num_peteachss_swimming</t>
  </si>
  <si>
    <t>sch_sp_se_num_nonpeteachss_swimming</t>
  </si>
  <si>
    <t>sch_sp_se_num_nonteachpss_swimming</t>
  </si>
  <si>
    <t>sch_sp_se_num_coaches_tabletennis</t>
  </si>
  <si>
    <t>sch_sp_se_num_officials_tabletennis</t>
  </si>
  <si>
    <t>sch_sp_se_num_peteachss_tabletennis</t>
  </si>
  <si>
    <t>sch_sp_se_num_nonpeteachss_tabletennis</t>
  </si>
  <si>
    <t>sch_sp_se_num_nonteachpss_tabletennis</t>
  </si>
  <si>
    <t>sch_sp_se_num_coaches_taekwondo</t>
  </si>
  <si>
    <t>sch_sp_se_num_officials_taekwondo</t>
  </si>
  <si>
    <t>sch_sp_se_num_peteachss_taekwondo</t>
  </si>
  <si>
    <t>sch_sp_se_num_nonpeteachss_taekwondo</t>
  </si>
  <si>
    <t>sch_sp_se_num_nonteachpss_taekwondo</t>
  </si>
  <si>
    <t>sch_sp_se_num_coaches_tennis</t>
  </si>
  <si>
    <t>sch_sp_se_num_officials_tennis</t>
  </si>
  <si>
    <t>sch_sp_se_num_peteachss_tennis</t>
  </si>
  <si>
    <t>sch_sp_se_num_nonpeteachss_tennis</t>
  </si>
  <si>
    <t>sch_sp_se_num_nonteachpss_tennis</t>
  </si>
  <si>
    <t>sch_sp_se_num_coaches_volleyball</t>
  </si>
  <si>
    <t>sch_sp_se_num_officials_volleyball</t>
  </si>
  <si>
    <t>sch_sp_se_num_peteachss_volleyball</t>
  </si>
  <si>
    <t>sch_sp_se_num_nonpeteachss_volleyball</t>
  </si>
  <si>
    <t>sch_sp_se_num_nonteachpss_volleyball</t>
  </si>
  <si>
    <t>sch_sp_se_num_coaches_wrestling</t>
  </si>
  <si>
    <t>sch_sp_se_num_officials_wrestling</t>
  </si>
  <si>
    <t>sch_sp_se_num_peteachss_wrestling</t>
  </si>
  <si>
    <t>sch_sp_se_num_nonpeteachss_wrestling</t>
  </si>
  <si>
    <t>sch_sp_se_num_nonteachpss_wrestling</t>
  </si>
  <si>
    <t>sch_sp_se_num_coaches_wushu</t>
  </si>
  <si>
    <t>sch_sp_se_num_officials_wushu</t>
  </si>
  <si>
    <t>sch_sp_se_num_peteachss_wushu</t>
  </si>
  <si>
    <t>sch_sp_se_num_nonpeteachss_wushu</t>
  </si>
  <si>
    <t>sch_sp_se_num_nonteachpss_wushu</t>
  </si>
  <si>
    <t>sch_sp_se_num_coaches_bocce</t>
  </si>
  <si>
    <t>sch_sp_se_num_officials_bocce</t>
  </si>
  <si>
    <t>sch_sp_se_num_peteachss_bocce</t>
  </si>
  <si>
    <t>sch_sp_se_num_nonpeteachss_bocce</t>
  </si>
  <si>
    <t>sch_sp_se_num_nonteachpss_bocce</t>
  </si>
  <si>
    <t>sch_sp_se_num_coaches_goalball</t>
  </si>
  <si>
    <t>sch_sp_se_num_officials_goalball</t>
  </si>
  <si>
    <t>sch_sp_se_num_peteachss_goalball</t>
  </si>
  <si>
    <t>sch_sp_se_num_nonpeteachss_goalball</t>
  </si>
  <si>
    <t>sch_sp_se_num_nonteachpss_goalball</t>
  </si>
  <si>
    <t>Table33'!$N$5</t>
  </si>
  <si>
    <t>Table33'!$S$5</t>
  </si>
  <si>
    <t>Table33'!$X$5</t>
  </si>
  <si>
    <t>Table33'!$AC$5</t>
  </si>
  <si>
    <t>Table33'!$AH$5</t>
  </si>
  <si>
    <t>Table33'!$N$6</t>
  </si>
  <si>
    <t>Table33'!$S$6</t>
  </si>
  <si>
    <t>Table33'!$X$6</t>
  </si>
  <si>
    <t>Table33'!$AC$6</t>
  </si>
  <si>
    <t>Table33'!$AH$6</t>
  </si>
  <si>
    <t>Table33'!$N$7</t>
  </si>
  <si>
    <t>Table33'!$S$7</t>
  </si>
  <si>
    <t>Table33'!$X$7</t>
  </si>
  <si>
    <t>Table33'!$AC$7</t>
  </si>
  <si>
    <t>Table33'!$AH$7</t>
  </si>
  <si>
    <t>Table33'!$N$8</t>
  </si>
  <si>
    <t>Table33'!$S$8</t>
  </si>
  <si>
    <t>Table33'!$X$8</t>
  </si>
  <si>
    <t>Table33'!$AC$8</t>
  </si>
  <si>
    <t>Table33'!$AH$8</t>
  </si>
  <si>
    <t>Table33'!$N$9</t>
  </si>
  <si>
    <t>Table33'!$S$9</t>
  </si>
  <si>
    <t>Table33'!$X$9</t>
  </si>
  <si>
    <t>Table33'!$AC$9</t>
  </si>
  <si>
    <t>Table33'!$AH$9</t>
  </si>
  <si>
    <t>Table33'!$N$10</t>
  </si>
  <si>
    <t>Table33'!$S$10</t>
  </si>
  <si>
    <t>Table33'!$X$10</t>
  </si>
  <si>
    <t>Table33'!$AC$10</t>
  </si>
  <si>
    <t>Table33'!$AH$10</t>
  </si>
  <si>
    <t>Table33'!$N$11</t>
  </si>
  <si>
    <t>Table33'!$S$11</t>
  </si>
  <si>
    <t>Table33'!$X$11</t>
  </si>
  <si>
    <t>Table33'!$AC$11</t>
  </si>
  <si>
    <t>Table33'!$AH$11</t>
  </si>
  <si>
    <t>Table33'!$N$12</t>
  </si>
  <si>
    <t>Table33'!$S$12</t>
  </si>
  <si>
    <t>Table33'!$X$12</t>
  </si>
  <si>
    <t>Table33'!$AC$12</t>
  </si>
  <si>
    <t>Table33'!$AH$12</t>
  </si>
  <si>
    <t>Table33'!$N$13</t>
  </si>
  <si>
    <t>Table33'!$S$13</t>
  </si>
  <si>
    <t>Table33'!$X$13</t>
  </si>
  <si>
    <t>Table33'!$AC$13</t>
  </si>
  <si>
    <t>Table33'!$AH$13</t>
  </si>
  <si>
    <t>Table33'!$N$14</t>
  </si>
  <si>
    <t>Table33'!$S$14</t>
  </si>
  <si>
    <t>Table33'!$X$14</t>
  </si>
  <si>
    <t>Table33'!$AC$14</t>
  </si>
  <si>
    <t>Table33'!$AH$14</t>
  </si>
  <si>
    <t>Table33'!$N$15</t>
  </si>
  <si>
    <t>Table33'!$S$15</t>
  </si>
  <si>
    <t>Table33'!$X$15</t>
  </si>
  <si>
    <t>Table33'!$AC$15</t>
  </si>
  <si>
    <t>Table33'!$AH$15</t>
  </si>
  <si>
    <t>Table33'!$N$16</t>
  </si>
  <si>
    <t>Table33'!$S$16</t>
  </si>
  <si>
    <t>Table33'!$X$16</t>
  </si>
  <si>
    <t>Table33'!$AC$16</t>
  </si>
  <si>
    <t>Table33'!$AH$16</t>
  </si>
  <si>
    <t>Table33'!$N$17</t>
  </si>
  <si>
    <t>Table33'!$S$17</t>
  </si>
  <si>
    <t>Table33'!$X$17</t>
  </si>
  <si>
    <t>Table33'!$AC$17</t>
  </si>
  <si>
    <t>Table33'!$AH$17</t>
  </si>
  <si>
    <t>Table33'!$N$18</t>
  </si>
  <si>
    <t>Table33'!$S$18</t>
  </si>
  <si>
    <t>Table33'!$X$18</t>
  </si>
  <si>
    <t>Table33'!$AC$18</t>
  </si>
  <si>
    <t>Table33'!$AH$18</t>
  </si>
  <si>
    <t>Table33'!$N$19</t>
  </si>
  <si>
    <t>Table33'!$S$19</t>
  </si>
  <si>
    <t>Table33'!$X$19</t>
  </si>
  <si>
    <t>Table33'!$AC$19</t>
  </si>
  <si>
    <t>Table33'!$AH$19</t>
  </si>
  <si>
    <t>Table33'!$N$20</t>
  </si>
  <si>
    <t>Table33'!$S$20</t>
  </si>
  <si>
    <t>Table33'!$X$20</t>
  </si>
  <si>
    <t>Table33'!$AC$20</t>
  </si>
  <si>
    <t>Table33'!$AH$20</t>
  </si>
  <si>
    <t>Table33'!$N$21</t>
  </si>
  <si>
    <t>Table33'!$S$21</t>
  </si>
  <si>
    <t>Table33'!$X$21</t>
  </si>
  <si>
    <t>Table33'!$AC$21</t>
  </si>
  <si>
    <t>Table33'!$AH$21</t>
  </si>
  <si>
    <t>Table33'!$N$22</t>
  </si>
  <si>
    <t>Table33'!$S$22</t>
  </si>
  <si>
    <t>Table33'!$X$22</t>
  </si>
  <si>
    <t>Table33'!$AC$22</t>
  </si>
  <si>
    <t>Table33'!$AH$22</t>
  </si>
  <si>
    <t>Table33'!$N$23</t>
  </si>
  <si>
    <t>Table33'!$S$23</t>
  </si>
  <si>
    <t>Table33'!$X$23</t>
  </si>
  <si>
    <t>Table33'!$AC$23</t>
  </si>
  <si>
    <t>Table33'!$AH$23</t>
  </si>
  <si>
    <t>Table33'!$N$24</t>
  </si>
  <si>
    <t>Table33'!$S$24</t>
  </si>
  <si>
    <t>Table33'!$X$24</t>
  </si>
  <si>
    <t>Table33'!$AC$24</t>
  </si>
  <si>
    <t>Table33'!$AH$24</t>
  </si>
  <si>
    <t>Table33'!$N$25</t>
  </si>
  <si>
    <t>Table33'!$S$25</t>
  </si>
  <si>
    <t>Table33'!$X$25</t>
  </si>
  <si>
    <t>Table33'!$AC$25</t>
  </si>
  <si>
    <t>Table33'!$AH$25</t>
  </si>
  <si>
    <t>Table33'!$N$26</t>
  </si>
  <si>
    <t>Table33'!$S$26</t>
  </si>
  <si>
    <t>Table33'!$X$26</t>
  </si>
  <si>
    <t>Table33'!$AC$26</t>
  </si>
  <si>
    <t>Table33'!$AH$26</t>
  </si>
  <si>
    <t>Table33'!$N$27</t>
  </si>
  <si>
    <t>Table33'!$S$27</t>
  </si>
  <si>
    <t>Table33'!$X$27</t>
  </si>
  <si>
    <t>Table33'!$AC$27</t>
  </si>
  <si>
    <t>Table33'!$AH$27</t>
  </si>
  <si>
    <t>Table33'!$N$28</t>
  </si>
  <si>
    <t>Table33'!$S$28</t>
  </si>
  <si>
    <t>Table33'!$X$28</t>
  </si>
  <si>
    <t>Table33'!$AC$28</t>
  </si>
  <si>
    <t>Table33'!$AH$28</t>
  </si>
  <si>
    <t>Table33'!$N$29</t>
  </si>
  <si>
    <t>Table33'!$S$29</t>
  </si>
  <si>
    <t>Table33'!$X$29</t>
  </si>
  <si>
    <t>Table33'!$AC$29</t>
  </si>
  <si>
    <t>Table33'!$AH$29</t>
  </si>
  <si>
    <t>Table33'!$N$30</t>
  </si>
  <si>
    <t>Table33'!$S$30</t>
  </si>
  <si>
    <t>Table33'!$X$30</t>
  </si>
  <si>
    <t>Table33'!$AC$30</t>
  </si>
  <si>
    <t>Table33'!$AH$30</t>
  </si>
  <si>
    <t>Table33'!$N$31</t>
  </si>
  <si>
    <t>Table33'!$S$31</t>
  </si>
  <si>
    <t>Table33'!$X$31</t>
  </si>
  <si>
    <t>Table33'!$AC$31</t>
  </si>
  <si>
    <t>Table33'!$AH$31</t>
  </si>
  <si>
    <t>Table33'!$N$32</t>
  </si>
  <si>
    <t>Table33'!$S$32</t>
  </si>
  <si>
    <t>Table33'!$X$32</t>
  </si>
  <si>
    <t>Table33'!$AC$32</t>
  </si>
  <si>
    <t>Table33'!$AH$32</t>
  </si>
  <si>
    <t>Table33'!$N$33</t>
  </si>
  <si>
    <t>Table33'!$S$33</t>
  </si>
  <si>
    <t>Table33'!$X$33</t>
  </si>
  <si>
    <t>Table33'!$AC$33</t>
  </si>
  <si>
    <t>Table33'!$AH$33</t>
  </si>
  <si>
    <t>Table33'!$O$45</t>
  </si>
  <si>
    <t>Table33'!$S$47</t>
  </si>
  <si>
    <t>sch_dcnh_dr_06</t>
  </si>
  <si>
    <t>es_disaster</t>
  </si>
  <si>
    <t>sch_dcnh_dr_07</t>
  </si>
  <si>
    <t>sch_dcnh_dr_08</t>
  </si>
  <si>
    <t>sch_dcnh_dr_09</t>
  </si>
  <si>
    <t>sch_dcnh_dr_10</t>
  </si>
  <si>
    <t>sch_dcnh_dr_11</t>
  </si>
  <si>
    <t>sch_dcnh_dr_12</t>
  </si>
  <si>
    <t>sch_dcnh_dr_01</t>
  </si>
  <si>
    <t>sch_dcnh_dr_02</t>
  </si>
  <si>
    <t>sch_dcnh_dr_03</t>
  </si>
  <si>
    <t>sch_dcnh_dr_04</t>
  </si>
  <si>
    <t>sch_dcnh_dr_05</t>
  </si>
  <si>
    <t>sch_dcnh_ea_06</t>
  </si>
  <si>
    <t>sch_dcnh_ea_07</t>
  </si>
  <si>
    <t>sch_dcnh_ea_08</t>
  </si>
  <si>
    <t>sch_dcnh_ea_09</t>
  </si>
  <si>
    <t>sch_dcnh_ea_10</t>
  </si>
  <si>
    <t>sch_dcnh_ea_11</t>
  </si>
  <si>
    <t>sch_dcnh_ea_12</t>
  </si>
  <si>
    <t>sch_dcnh_ea_01</t>
  </si>
  <si>
    <t>sch_dcnh_ea_02</t>
  </si>
  <si>
    <t>sch_dcnh_ea_03</t>
  </si>
  <si>
    <t>sch_dcnh_ea_04</t>
  </si>
  <si>
    <t>sch_dcnh_ea_05</t>
  </si>
  <si>
    <t>sch_dcnh_fi_06</t>
  </si>
  <si>
    <t>sch_dcnh_fi_07</t>
  </si>
  <si>
    <t>sch_dcnh_fi_08</t>
  </si>
  <si>
    <t>sch_dcnh_fi_09</t>
  </si>
  <si>
    <t>sch_dcnh_fi_10</t>
  </si>
  <si>
    <t>sch_dcnh_fi_11</t>
  </si>
  <si>
    <t>sch_dcnh_fi_12</t>
  </si>
  <si>
    <t>sch_dcnh_fi_01</t>
  </si>
  <si>
    <t>sch_dcnh_fi_02</t>
  </si>
  <si>
    <t>sch_dcnh_fi_03</t>
  </si>
  <si>
    <t>sch_dcnh_fi_04</t>
  </si>
  <si>
    <t>sch_dcnh_fi_05</t>
  </si>
  <si>
    <t>sch_dcnh_fl_06</t>
  </si>
  <si>
    <t>sch_dcnh_fl_07</t>
  </si>
  <si>
    <t>sch_dcnh_fl_08</t>
  </si>
  <si>
    <t>sch_dcnh_fl_09</t>
  </si>
  <si>
    <t>sch_dcnh_fl_10</t>
  </si>
  <si>
    <t>sch_dcnh_fl_11</t>
  </si>
  <si>
    <t>sch_dcnh_fl_12</t>
  </si>
  <si>
    <t>sch_dcnh_fl_01</t>
  </si>
  <si>
    <t>sch_dcnh_fl_02</t>
  </si>
  <si>
    <t>sch_dcnh_fl_03</t>
  </si>
  <si>
    <t>sch_dcnh_fl_04</t>
  </si>
  <si>
    <t>sch_dcnh_fl_05</t>
  </si>
  <si>
    <t>sch_dcnh_ls_06</t>
  </si>
  <si>
    <t>sch_dcnh_ls_07</t>
  </si>
  <si>
    <t>sch_dcnh_ls_08</t>
  </si>
  <si>
    <t>sch_dcnh_ls_09</t>
  </si>
  <si>
    <t>sch_dcnh_ls_10</t>
  </si>
  <si>
    <t>sch_dcnh_ls_11</t>
  </si>
  <si>
    <t>sch_dcnh_ls_12</t>
  </si>
  <si>
    <t>sch_dcnh_ls_01</t>
  </si>
  <si>
    <t>sch_dcnh_ls_02</t>
  </si>
  <si>
    <t>sch_dcnh_ls_03</t>
  </si>
  <si>
    <t>sch_dcnh_ls_04</t>
  </si>
  <si>
    <t>sch_dcnh_ls_05</t>
  </si>
  <si>
    <t>sch_dcnh_ss_06</t>
  </si>
  <si>
    <t>sch_dcnh_ss_07</t>
  </si>
  <si>
    <t>sch_dcnh_ss_08</t>
  </si>
  <si>
    <t>sch_dcnh_ss_09</t>
  </si>
  <si>
    <t>sch_dcnh_ss_10</t>
  </si>
  <si>
    <t>sch_dcnh_ss_11</t>
  </si>
  <si>
    <t>sch_dcnh_ss_12</t>
  </si>
  <si>
    <t>sch_dcnh_ss_01</t>
  </si>
  <si>
    <t>sch_dcnh_ss_02</t>
  </si>
  <si>
    <t>sch_dcnh_ss_03</t>
  </si>
  <si>
    <t>sch_dcnh_ss_04</t>
  </si>
  <si>
    <t>sch_dcnh_ss_05</t>
  </si>
  <si>
    <t>sch_dcnh_tc_06</t>
  </si>
  <si>
    <t>sch_dcnh_tc_07</t>
  </si>
  <si>
    <t>sch_dcnh_tc_08</t>
  </si>
  <si>
    <t>sch_dcnh_tc_09</t>
  </si>
  <si>
    <t>sch_dcnh_tc_10</t>
  </si>
  <si>
    <t>sch_dcnh_tc_11</t>
  </si>
  <si>
    <t>sch_dcnh_tc_12</t>
  </si>
  <si>
    <t>sch_dcnh_tc_01</t>
  </si>
  <si>
    <t>sch_dcnh_tc_02</t>
  </si>
  <si>
    <t>sch_dcnh_tc_03</t>
  </si>
  <si>
    <t>sch_dcnh_tc_04</t>
  </si>
  <si>
    <t>sch_dcnh_tc_05</t>
  </si>
  <si>
    <t>sch_dcnh_ts_06</t>
  </si>
  <si>
    <t>sch_dcnh_ts_07</t>
  </si>
  <si>
    <t>sch_dcnh_ts_08</t>
  </si>
  <si>
    <t>sch_dcnh_ts_09</t>
  </si>
  <si>
    <t>sch_dcnh_ts_10</t>
  </si>
  <si>
    <t>sch_dcnh_ts_11</t>
  </si>
  <si>
    <t>sch_dcnh_ts_12</t>
  </si>
  <si>
    <t>sch_dcnh_ts_01</t>
  </si>
  <si>
    <t>sch_dcnh_ts_02</t>
  </si>
  <si>
    <t>sch_dcnh_ts_03</t>
  </si>
  <si>
    <t>sch_dcnh_ts_04</t>
  </si>
  <si>
    <t>sch_dcnh_ts_05</t>
  </si>
  <si>
    <t>sch_dcnh_ve_06</t>
  </si>
  <si>
    <t>sch_dcnh_ve_07</t>
  </si>
  <si>
    <t>sch_dcnh_ve_08</t>
  </si>
  <si>
    <t>sch_dcnh_ve_09</t>
  </si>
  <si>
    <t>sch_dcnh_ve_10</t>
  </si>
  <si>
    <t>sch_dcnh_ve_11</t>
  </si>
  <si>
    <t>sch_dcnh_ve_12</t>
  </si>
  <si>
    <t>sch_dcnh_ve_01</t>
  </si>
  <si>
    <t>sch_dcnh_ve_02</t>
  </si>
  <si>
    <t>sch_dcnh_ve_03</t>
  </si>
  <si>
    <t>sch_dcnh_ve_04</t>
  </si>
  <si>
    <t>sch_dcnh_ve_05</t>
  </si>
  <si>
    <t>sch_hih_bmth_06</t>
  </si>
  <si>
    <t>sch_hih_bmth_07</t>
  </si>
  <si>
    <t>sch_hih_bmth_08</t>
  </si>
  <si>
    <t>sch_hih_bmth_09</t>
  </si>
  <si>
    <t>sch_hih_bmth_10</t>
  </si>
  <si>
    <t>sch_hih_bmth_11</t>
  </si>
  <si>
    <t>sch_hih_bmth_12</t>
  </si>
  <si>
    <t>sch_hih_bmth_01</t>
  </si>
  <si>
    <t>sch_hih_bmth_02</t>
  </si>
  <si>
    <t>sch_hih_bmth_03</t>
  </si>
  <si>
    <t>sch_hih_bmth_04</t>
  </si>
  <si>
    <t>sch_hih_bmth_05</t>
  </si>
  <si>
    <t>sch_hih_bmsp_06</t>
  </si>
  <si>
    <t>sch_hih_bmsp_07</t>
  </si>
  <si>
    <t>sch_hih_bmsp_08</t>
  </si>
  <si>
    <t>sch_hih_bmsp_09</t>
  </si>
  <si>
    <t>sch_hih_bmsp_10</t>
  </si>
  <si>
    <t>sch_hih_bmsp_11</t>
  </si>
  <si>
    <t>sch_hih_bmsp_12</t>
  </si>
  <si>
    <t>sch_hih_bmsp_01</t>
  </si>
  <si>
    <t>sch_hih_bmsp_02</t>
  </si>
  <si>
    <t>sch_hih_bmsp_03</t>
  </si>
  <si>
    <t>sch_hih_bmsp_04</t>
  </si>
  <si>
    <t>sch_hih_bmsp_05</t>
  </si>
  <si>
    <t>sch_hih_crlrn_06</t>
  </si>
  <si>
    <t>sch_hih_crlrn_07</t>
  </si>
  <si>
    <t>sch_hih_crlrn_08</t>
  </si>
  <si>
    <t>sch_hih_crlrn_09</t>
  </si>
  <si>
    <t>sch_hih_crlrn_10</t>
  </si>
  <si>
    <t>sch_hih_crlrn_11</t>
  </si>
  <si>
    <t>sch_hih_crlrn_12</t>
  </si>
  <si>
    <t>sch_hih_crlrn_01</t>
  </si>
  <si>
    <t>sch_hih_crlrn_02</t>
  </si>
  <si>
    <t>sch_hih_crlrn_03</t>
  </si>
  <si>
    <t>sch_hih_crlrn_04</t>
  </si>
  <si>
    <t>sch_hih_crlrn_05</t>
  </si>
  <si>
    <t>sch_hih_crntch_06</t>
  </si>
  <si>
    <t>sch_hih_crntch_07</t>
  </si>
  <si>
    <t>sch_hih_crntch_08</t>
  </si>
  <si>
    <t>sch_hih_crntch_09</t>
  </si>
  <si>
    <t>sch_hih_crntch_10</t>
  </si>
  <si>
    <t>sch_hih_crntch_11</t>
  </si>
  <si>
    <t>sch_hih_crntch_12</t>
  </si>
  <si>
    <t>sch_hih_crntch_01</t>
  </si>
  <si>
    <t>sch_hih_crntch_02</t>
  </si>
  <si>
    <t>sch_hih_crntch_03</t>
  </si>
  <si>
    <t>sch_hih_crntch_04</t>
  </si>
  <si>
    <t>sch_hih_crntch_05</t>
  </si>
  <si>
    <t>sch_hih_crshe_06</t>
  </si>
  <si>
    <t>sch_hih_crshe_07</t>
  </si>
  <si>
    <t>sch_hih_crshe_08</t>
  </si>
  <si>
    <t>sch_hih_crshe_09</t>
  </si>
  <si>
    <t>sch_hih_crshe_10</t>
  </si>
  <si>
    <t>sch_hih_crshe_11</t>
  </si>
  <si>
    <t>sch_hih_crshe_12</t>
  </si>
  <si>
    <t>sch_hih_crshe_01</t>
  </si>
  <si>
    <t>sch_hih_crshe_02</t>
  </si>
  <si>
    <t>sch_hih_crshe_03</t>
  </si>
  <si>
    <t>sch_hih_crshe_04</t>
  </si>
  <si>
    <t>sch_hih_crshe_05</t>
  </si>
  <si>
    <t>sch_hih_crspr_06</t>
  </si>
  <si>
    <t>sch_hih_crspr_07</t>
  </si>
  <si>
    <t>sch_hih_crspr_08</t>
  </si>
  <si>
    <t>sch_hih_crspr_09</t>
  </si>
  <si>
    <t>sch_hih_crspr_10</t>
  </si>
  <si>
    <t>sch_hih_crspr_11</t>
  </si>
  <si>
    <t>sch_hih_crspr_12</t>
  </si>
  <si>
    <t>sch_hih_crspr_01</t>
  </si>
  <si>
    <t>sch_hih_crspr_02</t>
  </si>
  <si>
    <t>sch_hih_crspr_03</t>
  </si>
  <si>
    <t>sch_hih_crspr_04</t>
  </si>
  <si>
    <t>sch_hih_crspr_05</t>
  </si>
  <si>
    <t>sch_hih_crtch_06</t>
  </si>
  <si>
    <t>sch_hih_crtch_07</t>
  </si>
  <si>
    <t>sch_hih_crtch_08</t>
  </si>
  <si>
    <t>sch_hih_crtch_09</t>
  </si>
  <si>
    <t>sch_hih_crtch_10</t>
  </si>
  <si>
    <t>sch_hih_crtch_11</t>
  </si>
  <si>
    <t>sch_hih_crtch_12</t>
  </si>
  <si>
    <t>sch_hih_crtch_01</t>
  </si>
  <si>
    <t>sch_hih_crtch_02</t>
  </si>
  <si>
    <t>sch_hih_crtch_03</t>
  </si>
  <si>
    <t>sch_hih_crtch_04</t>
  </si>
  <si>
    <t>sch_hih_crtch_05</t>
  </si>
  <si>
    <t>sch_hih_fire_06</t>
  </si>
  <si>
    <t>sch_hih_fire_07</t>
  </si>
  <si>
    <t>sch_hih_fire_08</t>
  </si>
  <si>
    <t>sch_hih_fire_09</t>
  </si>
  <si>
    <t>sch_hih_fire_10</t>
  </si>
  <si>
    <t>sch_hih_fire_11</t>
  </si>
  <si>
    <t>sch_hih_fire_12</t>
  </si>
  <si>
    <t>sch_hih_fire_01</t>
  </si>
  <si>
    <t>sch_hih_fire_02</t>
  </si>
  <si>
    <t>sch_hih_fire_03</t>
  </si>
  <si>
    <t>sch_hih_fire_04</t>
  </si>
  <si>
    <t>sch_hih_fire_05</t>
  </si>
  <si>
    <t>sch_hih_hmti_06</t>
  </si>
  <si>
    <t>sch_hih_hmti_07</t>
  </si>
  <si>
    <t>sch_hih_hmti_08</t>
  </si>
  <si>
    <t>sch_hih_hmti_09</t>
  </si>
  <si>
    <t>sch_hih_hmti_10</t>
  </si>
  <si>
    <t>sch_hih_hmti_11</t>
  </si>
  <si>
    <t>sch_hih_hmti_12</t>
  </si>
  <si>
    <t>sch_hih_hmti_01</t>
  </si>
  <si>
    <t>sch_hih_hmti_02</t>
  </si>
  <si>
    <t>sch_hih_hmti_03</t>
  </si>
  <si>
    <t>sch_hih_hmti_04</t>
  </si>
  <si>
    <t>sch_hih_hmti_05</t>
  </si>
  <si>
    <t>sch_hih_helt_06</t>
  </si>
  <si>
    <t>sch_hih_helt_07</t>
  </si>
  <si>
    <t>sch_hih_helt_08</t>
  </si>
  <si>
    <t>sch_hih_helt_09</t>
  </si>
  <si>
    <t>sch_hih_helt_10</t>
  </si>
  <si>
    <t>sch_hih_helt_11</t>
  </si>
  <si>
    <t>sch_hih_helt_12</t>
  </si>
  <si>
    <t>sch_hih_helt_01</t>
  </si>
  <si>
    <t>sch_hih_helt_02</t>
  </si>
  <si>
    <t>sch_hih_helt_03</t>
  </si>
  <si>
    <t>sch_hih_helt_04</t>
  </si>
  <si>
    <t>sch_hih_helt_05</t>
  </si>
  <si>
    <t>sch_hih_htgt_06</t>
  </si>
  <si>
    <t>sch_hih_htgt_07</t>
  </si>
  <si>
    <t>sch_hih_htgt_08</t>
  </si>
  <si>
    <t>sch_hih_htgt_09</t>
  </si>
  <si>
    <t>sch_hih_htgt_10</t>
  </si>
  <si>
    <t>sch_hih_htgt_11</t>
  </si>
  <si>
    <t>sch_hih_htgt_12</t>
  </si>
  <si>
    <t>sch_hih_htgt_01</t>
  </si>
  <si>
    <t>sch_hih_htgt_02</t>
  </si>
  <si>
    <t>sch_hih_htgt_03</t>
  </si>
  <si>
    <t>sch_hih_htgt_04</t>
  </si>
  <si>
    <t>sch_hih_htgt_05</t>
  </si>
  <si>
    <t>sch_hih_sisv_06</t>
  </si>
  <si>
    <t>sch_hih_sisv_07</t>
  </si>
  <si>
    <t>sch_hih_sisv_08</t>
  </si>
  <si>
    <t>sch_hih_sisv_09</t>
  </si>
  <si>
    <t>sch_hih_sisv_10</t>
  </si>
  <si>
    <t>sch_hih_sisv_11</t>
  </si>
  <si>
    <t>sch_hih_sisv_12</t>
  </si>
  <si>
    <t>sch_hih_sisv_01</t>
  </si>
  <si>
    <t>sch_hih_sisv_02</t>
  </si>
  <si>
    <t>sch_hih_sisv_03</t>
  </si>
  <si>
    <t>sch_hih_sisv_04</t>
  </si>
  <si>
    <t>sch_hih_sisv_05</t>
  </si>
  <si>
    <t>sch_hih_stcl_06</t>
  </si>
  <si>
    <t>sch_hih_stcl_07</t>
  </si>
  <si>
    <t>sch_hih_stcl_08</t>
  </si>
  <si>
    <t>sch_hih_stcl_09</t>
  </si>
  <si>
    <t>sch_hih_stcl_10</t>
  </si>
  <si>
    <t>sch_hih_stcl_11</t>
  </si>
  <si>
    <t>sch_hih_stcl_12</t>
  </si>
  <si>
    <t>sch_hih_stcl_01</t>
  </si>
  <si>
    <t>sch_hih_stcl_02</t>
  </si>
  <si>
    <t>sch_hih_stcl_03</t>
  </si>
  <si>
    <t>sch_hih_stcl_04</t>
  </si>
  <si>
    <t>sch_hih_stcl_05</t>
  </si>
  <si>
    <t>disastercalamities_human_induced_others_specify</t>
  </si>
  <si>
    <t>sch_hih_othr_06</t>
  </si>
  <si>
    <t>sch_hih_othr_07</t>
  </si>
  <si>
    <t>sch_hih_othr_08</t>
  </si>
  <si>
    <t>sch_hih_othr_09</t>
  </si>
  <si>
    <t>sch_hih_othr_10</t>
  </si>
  <si>
    <t>sch_hih_othr_11</t>
  </si>
  <si>
    <t>sch_hih_othr_12</t>
  </si>
  <si>
    <t>sch_hih_othr_01</t>
  </si>
  <si>
    <t>sch_hih_othr_02</t>
  </si>
  <si>
    <t>sch_hih_othr_03</t>
  </si>
  <si>
    <t>sch_hih_othr_04</t>
  </si>
  <si>
    <t>sch_hih_othr_05</t>
  </si>
  <si>
    <t>drrm_coordinator_name</t>
  </si>
  <si>
    <t>drrm_coordinator_pos</t>
  </si>
  <si>
    <t>Table34'!$U$7</t>
  </si>
  <si>
    <t>Table34'!$W$7</t>
  </si>
  <si>
    <t>Table34'!$Y$7</t>
  </si>
  <si>
    <t>Table34'!$AA$7</t>
  </si>
  <si>
    <t>Table34'!$AC$7</t>
  </si>
  <si>
    <t>Table34'!$AE$7</t>
  </si>
  <si>
    <t>Table34'!$AG$7</t>
  </si>
  <si>
    <t>Table34'!$AI$7</t>
  </si>
  <si>
    <t>Table34'!$AK$7</t>
  </si>
  <si>
    <t>Table34'!$AM$7</t>
  </si>
  <si>
    <t>Table34'!$AO$7</t>
  </si>
  <si>
    <t>Table34'!$AQ$7</t>
  </si>
  <si>
    <t>Table34'!$U$8</t>
  </si>
  <si>
    <t>Table34'!$W$8</t>
  </si>
  <si>
    <t>Table34'!$Y$8</t>
  </si>
  <si>
    <t>Table34'!$AA$8</t>
  </si>
  <si>
    <t>Table34'!$AC$8</t>
  </si>
  <si>
    <t>Table34'!$AE$8</t>
  </si>
  <si>
    <t>Table34'!$AG$8</t>
  </si>
  <si>
    <t>Table34'!$AI$8</t>
  </si>
  <si>
    <t>Table34'!$AK$8</t>
  </si>
  <si>
    <t>Table34'!$AM$8</t>
  </si>
  <si>
    <t>Table34'!$AO$8</t>
  </si>
  <si>
    <t>Table34'!$AQ$8</t>
  </si>
  <si>
    <t>Table34'!$U$9</t>
  </si>
  <si>
    <t>Table34'!$W$9</t>
  </si>
  <si>
    <t>Table34'!$Y$9</t>
  </si>
  <si>
    <t>Table34'!$AA$9</t>
  </si>
  <si>
    <t>Table34'!$AC$9</t>
  </si>
  <si>
    <t>Table34'!$AE$9</t>
  </si>
  <si>
    <t>Table34'!$AG$9</t>
  </si>
  <si>
    <t>Table34'!$AI$9</t>
  </si>
  <si>
    <t>Table34'!$AK$9</t>
  </si>
  <si>
    <t>Table34'!$AM$9</t>
  </si>
  <si>
    <t>Table34'!$AO$9</t>
  </si>
  <si>
    <t>Table34'!$AQ$9</t>
  </si>
  <si>
    <t>Table34'!$U$10</t>
  </si>
  <si>
    <t>Table34'!$W$10</t>
  </si>
  <si>
    <t>Table34'!$Y$10</t>
  </si>
  <si>
    <t>Table34'!$AA$10</t>
  </si>
  <si>
    <t>Table34'!$AC$10</t>
  </si>
  <si>
    <t>Table34'!$AE$10</t>
  </si>
  <si>
    <t>Table34'!$AG$10</t>
  </si>
  <si>
    <t>Table34'!$AI$10</t>
  </si>
  <si>
    <t>Table34'!$AK$10</t>
  </si>
  <si>
    <t>Table34'!$AM$10</t>
  </si>
  <si>
    <t>Table34'!$AO$10</t>
  </si>
  <si>
    <t>Table34'!$AQ$10</t>
  </si>
  <si>
    <t>Table34'!$U$11</t>
  </si>
  <si>
    <t>Table34'!$W$11</t>
  </si>
  <si>
    <t>Table34'!$Y$11</t>
  </si>
  <si>
    <t>Table34'!$AA$11</t>
  </si>
  <si>
    <t>Table34'!$AC$11</t>
  </si>
  <si>
    <t>Table34'!$AE$11</t>
  </si>
  <si>
    <t>Table34'!$AG$11</t>
  </si>
  <si>
    <t>Table34'!$AI$11</t>
  </si>
  <si>
    <t>Table34'!$AK$11</t>
  </si>
  <si>
    <t>Table34'!$AM$11</t>
  </si>
  <si>
    <t>Table34'!$AO$11</t>
  </si>
  <si>
    <t>Table34'!$AQ$11</t>
  </si>
  <si>
    <t>Table34'!$U$12</t>
  </si>
  <si>
    <t>Table34'!$W$12</t>
  </si>
  <si>
    <t>Table34'!$Y$12</t>
  </si>
  <si>
    <t>Table34'!$AA$12</t>
  </si>
  <si>
    <t>Table34'!$AC$12</t>
  </si>
  <si>
    <t>Table34'!$AE$12</t>
  </si>
  <si>
    <t>Table34'!$AG$12</t>
  </si>
  <si>
    <t>Table34'!$AI$12</t>
  </si>
  <si>
    <t>Table34'!$AK$12</t>
  </si>
  <si>
    <t>Table34'!$AM$12</t>
  </si>
  <si>
    <t>Table34'!$AO$12</t>
  </si>
  <si>
    <t>Table34'!$AQ$12</t>
  </si>
  <si>
    <t>Table34'!$U$13</t>
  </si>
  <si>
    <t>Table34'!$W$13</t>
  </si>
  <si>
    <t>Table34'!$Y$13</t>
  </si>
  <si>
    <t>Table34'!$AA$13</t>
  </si>
  <si>
    <t>Table34'!$AC$13</t>
  </si>
  <si>
    <t>Table34'!$AE$13</t>
  </si>
  <si>
    <t>Table34'!$AG$13</t>
  </si>
  <si>
    <t>Table34'!$AI$13</t>
  </si>
  <si>
    <t>Table34'!$AK$13</t>
  </si>
  <si>
    <t>Table34'!$AM$13</t>
  </si>
  <si>
    <t>Table34'!$AO$13</t>
  </si>
  <si>
    <t>Table34'!$AQ$13</t>
  </si>
  <si>
    <t>Table34'!$U$14</t>
  </si>
  <si>
    <t>Table34'!$W$14</t>
  </si>
  <si>
    <t>Table34'!$Y$14</t>
  </si>
  <si>
    <t>Table34'!$AA$14</t>
  </si>
  <si>
    <t>Table34'!$AC$14</t>
  </si>
  <si>
    <t>Table34'!$AE$14</t>
  </si>
  <si>
    <t>Table34'!$AG$14</t>
  </si>
  <si>
    <t>Table34'!$AI$14</t>
  </si>
  <si>
    <t>Table34'!$AK$14</t>
  </si>
  <si>
    <t>Table34'!$AM$14</t>
  </si>
  <si>
    <t>Table34'!$AO$14</t>
  </si>
  <si>
    <t>Table34'!$AQ$14</t>
  </si>
  <si>
    <t>Table34'!$U$15</t>
  </si>
  <si>
    <t>Table34'!$W$15</t>
  </si>
  <si>
    <t>Table34'!$Y$15</t>
  </si>
  <si>
    <t>Table34'!$AA$15</t>
  </si>
  <si>
    <t>Table34'!$AC$15</t>
  </si>
  <si>
    <t>Table34'!$AE$15</t>
  </si>
  <si>
    <t>Table34'!$AG$15</t>
  </si>
  <si>
    <t>Table34'!$AI$15</t>
  </si>
  <si>
    <t>Table34'!$AK$15</t>
  </si>
  <si>
    <t>Table34'!$AM$15</t>
  </si>
  <si>
    <t>Table34'!$AO$15</t>
  </si>
  <si>
    <t>Table34'!$AQ$15</t>
  </si>
  <si>
    <t>Table34'!$U$17</t>
  </si>
  <si>
    <t>Table34'!$W$17</t>
  </si>
  <si>
    <t>Table34'!$Y$17</t>
  </si>
  <si>
    <t>Table34'!$AA$17</t>
  </si>
  <si>
    <t>Table34'!$AC$17</t>
  </si>
  <si>
    <t>Table34'!$AE$17</t>
  </si>
  <si>
    <t>Table34'!$AG$17</t>
  </si>
  <si>
    <t>Table34'!$AI$17</t>
  </si>
  <si>
    <t>Table34'!$AK$17</t>
  </si>
  <si>
    <t>Table34'!$AM$17</t>
  </si>
  <si>
    <t>Table34'!$AO$17</t>
  </si>
  <si>
    <t>Table34'!$AQ$17</t>
  </si>
  <si>
    <t>Table34'!$U$18</t>
  </si>
  <si>
    <t>Table34'!$W$18</t>
  </si>
  <si>
    <t>Table34'!$Y$18</t>
  </si>
  <si>
    <t>Table34'!$AA$18</t>
  </si>
  <si>
    <t>Table34'!$AC$18</t>
  </si>
  <si>
    <t>Table34'!$AE$18</t>
  </si>
  <si>
    <t>Table34'!$AG$18</t>
  </si>
  <si>
    <t>Table34'!$AI$18</t>
  </si>
  <si>
    <t>Table34'!$AK$18</t>
  </si>
  <si>
    <t>Table34'!$AM$18</t>
  </si>
  <si>
    <t>Table34'!$AO$18</t>
  </si>
  <si>
    <t>Table34'!$AQ$18</t>
  </si>
  <si>
    <t>Table34'!$U$19</t>
  </si>
  <si>
    <t>Table34'!$W$19</t>
  </si>
  <si>
    <t>Table34'!$Y$19</t>
  </si>
  <si>
    <t>Table34'!$AA$19</t>
  </si>
  <si>
    <t>Table34'!$AC$19</t>
  </si>
  <si>
    <t>Table34'!$AE$19</t>
  </si>
  <si>
    <t>Table34'!$AG$19</t>
  </si>
  <si>
    <t>Table34'!$AI$19</t>
  </si>
  <si>
    <t>Table34'!$AK$19</t>
  </si>
  <si>
    <t>Table34'!$AM$19</t>
  </si>
  <si>
    <t>Table34'!$AO$19</t>
  </si>
  <si>
    <t>Table34'!$AQ$19</t>
  </si>
  <si>
    <t>Table34'!$U$20</t>
  </si>
  <si>
    <t>Table34'!$W$20</t>
  </si>
  <si>
    <t>Table34'!$Y$20</t>
  </si>
  <si>
    <t>Table34'!$AA$20</t>
  </si>
  <si>
    <t>Table34'!$AC$20</t>
  </si>
  <si>
    <t>Table34'!$AE$20</t>
  </si>
  <si>
    <t>Table34'!$AG$20</t>
  </si>
  <si>
    <t>Table34'!$AI$20</t>
  </si>
  <si>
    <t>Table34'!$AK$20</t>
  </si>
  <si>
    <t>Table34'!$AM$20</t>
  </si>
  <si>
    <t>Table34'!$AO$20</t>
  </si>
  <si>
    <t>Table34'!$AQ$20</t>
  </si>
  <si>
    <t>Table34'!$U$21</t>
  </si>
  <si>
    <t>Table34'!$W$21</t>
  </si>
  <si>
    <t>Table34'!$Y$21</t>
  </si>
  <si>
    <t>Table34'!$AA$21</t>
  </si>
  <si>
    <t>Table34'!$AC$21</t>
  </si>
  <si>
    <t>Table34'!$AE$21</t>
  </si>
  <si>
    <t>Table34'!$AG$21</t>
  </si>
  <si>
    <t>Table34'!$AI$21</t>
  </si>
  <si>
    <t>Table34'!$AK$21</t>
  </si>
  <si>
    <t>Table34'!$AM$21</t>
  </si>
  <si>
    <t>Table34'!$AO$21</t>
  </si>
  <si>
    <t>Table34'!$AQ$21</t>
  </si>
  <si>
    <t>Table34'!$U$22</t>
  </si>
  <si>
    <t>Table34'!$W$22</t>
  </si>
  <si>
    <t>Table34'!$Y$22</t>
  </si>
  <si>
    <t>Table34'!$AA$22</t>
  </si>
  <si>
    <t>Table34'!$AC$22</t>
  </si>
  <si>
    <t>Table34'!$AE$22</t>
  </si>
  <si>
    <t>Table34'!$AG$22</t>
  </si>
  <si>
    <t>Table34'!$AI$22</t>
  </si>
  <si>
    <t>Table34'!$AK$22</t>
  </si>
  <si>
    <t>Table34'!$AM$22</t>
  </si>
  <si>
    <t>Table34'!$AO$22</t>
  </si>
  <si>
    <t>Table34'!$AQ$22</t>
  </si>
  <si>
    <t>Table34'!$U$23</t>
  </si>
  <si>
    <t>Table34'!$W$23</t>
  </si>
  <si>
    <t>Table34'!$Y$23</t>
  </si>
  <si>
    <t>Table34'!$AA$23</t>
  </si>
  <si>
    <t>Table34'!$AC$23</t>
  </si>
  <si>
    <t>Table34'!$AE$23</t>
  </si>
  <si>
    <t>Table34'!$AG$23</t>
  </si>
  <si>
    <t>Table34'!$AI$23</t>
  </si>
  <si>
    <t>Table34'!$AK$23</t>
  </si>
  <si>
    <t>Table34'!$AM$23</t>
  </si>
  <si>
    <t>Table34'!$AO$23</t>
  </si>
  <si>
    <t>Table34'!$AQ$23</t>
  </si>
  <si>
    <t>Table34'!$U$24</t>
  </si>
  <si>
    <t>Table34'!$W$24</t>
  </si>
  <si>
    <t>Table34'!$Y$24</t>
  </si>
  <si>
    <t>Table34'!$AA$24</t>
  </si>
  <si>
    <t>Table34'!$AC$24</t>
  </si>
  <si>
    <t>Table34'!$AE$24</t>
  </si>
  <si>
    <t>Table34'!$AG$24</t>
  </si>
  <si>
    <t>Table34'!$AI$24</t>
  </si>
  <si>
    <t>Table34'!$AK$24</t>
  </si>
  <si>
    <t>Table34'!$AM$24</t>
  </si>
  <si>
    <t>Table34'!$AO$24</t>
  </si>
  <si>
    <t>Table34'!$AQ$24</t>
  </si>
  <si>
    <t>Table34'!$U$25</t>
  </si>
  <si>
    <t>Table34'!$W$25</t>
  </si>
  <si>
    <t>Table34'!$Y$25</t>
  </si>
  <si>
    <t>Table34'!$AA$25</t>
  </si>
  <si>
    <t>Table34'!$AC$25</t>
  </si>
  <si>
    <t>Table34'!$AE$25</t>
  </si>
  <si>
    <t>Table34'!$AG$25</t>
  </si>
  <si>
    <t>Table34'!$AI$25</t>
  </si>
  <si>
    <t>Table34'!$AK$25</t>
  </si>
  <si>
    <t>Table34'!$AM$25</t>
  </si>
  <si>
    <t>Table34'!$AO$25</t>
  </si>
  <si>
    <t>Table34'!$AQ$25</t>
  </si>
  <si>
    <t>Table34'!$U$26</t>
  </si>
  <si>
    <t>Table34'!$W$26</t>
  </si>
  <si>
    <t>Table34'!$Y$26</t>
  </si>
  <si>
    <t>Table34'!$AA$26</t>
  </si>
  <si>
    <t>Table34'!$AC$26</t>
  </si>
  <si>
    <t>Table34'!$AE$26</t>
  </si>
  <si>
    <t>Table34'!$AG$26</t>
  </si>
  <si>
    <t>Table34'!$AI$26</t>
  </si>
  <si>
    <t>Table34'!$AK$26</t>
  </si>
  <si>
    <t>Table34'!$AM$26</t>
  </si>
  <si>
    <t>Table34'!$AO$26</t>
  </si>
  <si>
    <t>Table34'!$AQ$26</t>
  </si>
  <si>
    <t>Table34'!$U$27</t>
  </si>
  <si>
    <t>Table34'!$W$27</t>
  </si>
  <si>
    <t>Table34'!$Y$27</t>
  </si>
  <si>
    <t>Table34'!$AA$27</t>
  </si>
  <si>
    <t>Table34'!$AC$27</t>
  </si>
  <si>
    <t>Table34'!$AE$27</t>
  </si>
  <si>
    <t>Table34'!$AG$27</t>
  </si>
  <si>
    <t>Table34'!$AI$27</t>
  </si>
  <si>
    <t>Table34'!$AK$27</t>
  </si>
  <si>
    <t>Table34'!$AM$27</t>
  </si>
  <si>
    <t>Table34'!$AO$27</t>
  </si>
  <si>
    <t>Table34'!$AQ$27</t>
  </si>
  <si>
    <t>Table34'!$U$28</t>
  </si>
  <si>
    <t>Table34'!$W$28</t>
  </si>
  <si>
    <t>Table34'!$Y$28</t>
  </si>
  <si>
    <t>Table34'!$AA$28</t>
  </si>
  <si>
    <t>Table34'!$AC$28</t>
  </si>
  <si>
    <t>Table34'!$AE$28</t>
  </si>
  <si>
    <t>Table34'!$AG$28</t>
  </si>
  <si>
    <t>Table34'!$AI$28</t>
  </si>
  <si>
    <t>Table34'!$AK$28</t>
  </si>
  <si>
    <t>Table34'!$AM$28</t>
  </si>
  <si>
    <t>Table34'!$AO$28</t>
  </si>
  <si>
    <t>Table34'!$AQ$28</t>
  </si>
  <si>
    <t>Table34'!$U$29</t>
  </si>
  <si>
    <t>Table34'!$W$29</t>
  </si>
  <si>
    <t>Table34'!$Y$29</t>
  </si>
  <si>
    <t>Table34'!$AA$29</t>
  </si>
  <si>
    <t>Table34'!$AC$29</t>
  </si>
  <si>
    <t>Table34'!$AE$29</t>
  </si>
  <si>
    <t>Table34'!$AG$29</t>
  </si>
  <si>
    <t>Table34'!$AI$29</t>
  </si>
  <si>
    <t>Table34'!$AK$29</t>
  </si>
  <si>
    <t>Table34'!$AM$29</t>
  </si>
  <si>
    <t>Table34'!$AO$29</t>
  </si>
  <si>
    <t>Table34'!$AQ$29</t>
  </si>
  <si>
    <t>Table34'!$C$31</t>
  </si>
  <si>
    <t>Table34'!$U$30</t>
  </si>
  <si>
    <t>Table34'!$W$30</t>
  </si>
  <si>
    <t>Table34'!$Y$30</t>
  </si>
  <si>
    <t>Table34'!$AA$30</t>
  </si>
  <si>
    <t>Table34'!$AC$30</t>
  </si>
  <si>
    <t>Table34'!$AE$30</t>
  </si>
  <si>
    <t>Table34'!$AG$30</t>
  </si>
  <si>
    <t>Table34'!$AI$30</t>
  </si>
  <si>
    <t>Table34'!$AK$30</t>
  </si>
  <si>
    <t>Table34'!$AM$30</t>
  </si>
  <si>
    <t>Table34'!$AO$30</t>
  </si>
  <si>
    <t>Table34'!$AQ$30</t>
  </si>
  <si>
    <t>Table34'!$Q$37</t>
  </si>
  <si>
    <t>Table34'!$U$39</t>
  </si>
  <si>
    <t>sch_disascal_hih_acsa_armed_conflict_prevyr_jun</t>
  </si>
  <si>
    <t>es_conflict_bymonth</t>
  </si>
  <si>
    <t>sch_disascal_hih_acsa_armed_conflict_prevyr_jul</t>
  </si>
  <si>
    <t>sch_disascal_hih_acsa_armed_conflict_prevyr_aug</t>
  </si>
  <si>
    <t>sch_disascal_hih_acsa_armed_conflict_prevyr_sept</t>
  </si>
  <si>
    <t>sch_disascal_hih_acsa_armed_conflict_prevyr_oct</t>
  </si>
  <si>
    <t>sch_disascal_hih_acsa_armed_conflict_prevyr_nov</t>
  </si>
  <si>
    <t>sch_disascal_hih_acsa_armed_conflict_prevyr_dec</t>
  </si>
  <si>
    <t>sch_disascal_hih_acsa_armed_conflict_prevyr_jan</t>
  </si>
  <si>
    <t>sch_disascal_hih_acsa_armed_conflict_prevyr_feb</t>
  </si>
  <si>
    <t>sch_disascal_hih_acsa_armed_conflict_prevyr_mar</t>
  </si>
  <si>
    <t>sch_disascal_hih_acsa_armed_conflict_prevyr_april</t>
  </si>
  <si>
    <t>sch_disascal_hih_acsa_armed_conflict_prevyr_may</t>
  </si>
  <si>
    <t>sch_disascal_hih_acsa_jun_afp</t>
  </si>
  <si>
    <t>sch_disascal_hih_acsa_jul_afp</t>
  </si>
  <si>
    <t>sch_disascal_hih_acsa_aug_afp</t>
  </si>
  <si>
    <t>sch_disascal_hih_acsa_sep_afp</t>
  </si>
  <si>
    <t>sch_disascal_hih_acsa_oct_afp</t>
  </si>
  <si>
    <t>sch_disascal_hih_acsa_nov_afp</t>
  </si>
  <si>
    <t>sch_disascal_hih_acsa_dec_afp</t>
  </si>
  <si>
    <t>sch_disascal_hih_acsa_jan_afp</t>
  </si>
  <si>
    <t>sch_disascal_hih_acsa_feb_afp</t>
  </si>
  <si>
    <t>sch_disascal_hih_acsa_mar_afp</t>
  </si>
  <si>
    <t>sch_disascal_hih_acsa_apr_afp</t>
  </si>
  <si>
    <t>sch_disascal_hih_acsa_may_afp</t>
  </si>
  <si>
    <t>sch_disascal_hih_acsa_jun_pnp</t>
  </si>
  <si>
    <t>sch_disascal_hih_acsa_jul_pnp</t>
  </si>
  <si>
    <t>sch_disascal_hih_acsa_aug_pnp</t>
  </si>
  <si>
    <t>sch_disascal_hih_acsa_sep_pnp</t>
  </si>
  <si>
    <t>sch_disascal_hih_acsa_oct_pnp</t>
  </si>
  <si>
    <t>sch_disascal_hih_acsa_nov_pnp</t>
  </si>
  <si>
    <t>sch_disascal_hih_acsa_dec_pnp</t>
  </si>
  <si>
    <t>sch_disascal_hih_acsa_jan_pnp</t>
  </si>
  <si>
    <t>sch_disascal_hih_acsa_feb_pnp</t>
  </si>
  <si>
    <t>sch_disascal_hih_acsa_mar_pnp</t>
  </si>
  <si>
    <t>sch_disascal_hih_acsa_apr_pnp</t>
  </si>
  <si>
    <t>sch_disascal_hih_acsa_may_pnp</t>
  </si>
  <si>
    <t>sch_disascal_hih_acsa_others_specify</t>
  </si>
  <si>
    <t>sch_disascal_hih_acsa_jun_others_specify</t>
  </si>
  <si>
    <t>sch_disascal_hih_acsa_jul_others_specify</t>
  </si>
  <si>
    <t>sch_disascal_hih_acsa_aug_others_specify</t>
  </si>
  <si>
    <t>sch_disascal_hih_acsa_sep_others_specify</t>
  </si>
  <si>
    <t>sch_disascal_hih_acsa_oct_others_specify</t>
  </si>
  <si>
    <t>sch_disascal_hih_acsa_nov_others_specify</t>
  </si>
  <si>
    <t>sch_disascal_hih_acsa_dec_others_specify</t>
  </si>
  <si>
    <t>sch_disascal_hih_acsa_jan_others_specify</t>
  </si>
  <si>
    <t>sch_disascal_hih_acsa_feb_others_specify</t>
  </si>
  <si>
    <t>sch_disascal_hih_acsa_mar_others_specify</t>
  </si>
  <si>
    <t>sch_disascal_hih_acsa_apr_others_specify</t>
  </si>
  <si>
    <t>sch_disascal_hih_acsa_may_others_specify</t>
  </si>
  <si>
    <t>sch_disascal_hih_acnsa_jun_abu_sayyaf</t>
  </si>
  <si>
    <t>sch_disascal_hih_acnsa_jul_abu_sayyaf</t>
  </si>
  <si>
    <t>sch_disascal_hih_acnsa_aug_abu_sayyaf</t>
  </si>
  <si>
    <t>sch_disascal_hih_acnsa_sep_abu_sayyaf</t>
  </si>
  <si>
    <t>sch_disascal_hih_acnsa_oct_abu_sayyaf</t>
  </si>
  <si>
    <t>sch_disascal_hih_acnsa_nov_abu_sayyaf</t>
  </si>
  <si>
    <t>sch_disascal_hih_acnsa_dec_abu_sayyaf</t>
  </si>
  <si>
    <t>sch_disascal_hih_acnsa_jan_abu_sayyaf</t>
  </si>
  <si>
    <t>sch_disascal_hih_acnsa_feb_abu_sayyaf</t>
  </si>
  <si>
    <t>sch_disascal_hih_acnsa_mar_abu_sayyaf</t>
  </si>
  <si>
    <t>sch_disascal_hih_acnsa_apr_abu_sayyaf</t>
  </si>
  <si>
    <t>sch_disascal_hih_acnsa_may_abu_sayyaf</t>
  </si>
  <si>
    <t>sch_disascal_hih_acnsa_jun_biff</t>
  </si>
  <si>
    <t>sch_disascal_hih_acnsa_jul_biff</t>
  </si>
  <si>
    <t>sch_disascal_hih_acnsa_aug_biff</t>
  </si>
  <si>
    <t>sch_disascal_hih_acnsa_sep_biff</t>
  </si>
  <si>
    <t>sch_disascal_hih_acnsa_oct_biff</t>
  </si>
  <si>
    <t>sch_disascal_hih_acnsa_nov_biff</t>
  </si>
  <si>
    <t>sch_disascal_hih_acnsa_dec_biff</t>
  </si>
  <si>
    <t>sch_disascal_hih_acnsa_jan_biff</t>
  </si>
  <si>
    <t>sch_disascal_hih_acnsa_feb_biff</t>
  </si>
  <si>
    <t>sch_disascal_hih_acnsa_mar_biff</t>
  </si>
  <si>
    <t>sch_disascal_hih_acnsa_apr_biff</t>
  </si>
  <si>
    <t>sch_disascal_hih_acnsa_may_biff</t>
  </si>
  <si>
    <t>sch_disascal_hih_acnsa_jun_ccp_npa</t>
  </si>
  <si>
    <t>sch_disascal_hih_acnsa_jul_ccp_npa</t>
  </si>
  <si>
    <t>sch_disascal_hih_acnsa_aug_ccp_npa</t>
  </si>
  <si>
    <t>sch_disascal_hih_acnsa_sep_ccp_npa</t>
  </si>
  <si>
    <t>sch_disascal_hih_acnsa_oct_ccp_npa</t>
  </si>
  <si>
    <t>sch_disascal_hih_acnsa_nov_ccp_npa</t>
  </si>
  <si>
    <t>sch_disascal_hih_acnsa_dec_ccp_npa</t>
  </si>
  <si>
    <t>sch_disascal_hih_acnsa_jan_ccp_npa</t>
  </si>
  <si>
    <t>sch_disascal_hih_acnsa_feb_ccp_npa</t>
  </si>
  <si>
    <t>sch_disascal_hih_acnsa_mar_ccp_npa</t>
  </si>
  <si>
    <t>sch_disascal_hih_acnsa_apr_ccp_npa</t>
  </si>
  <si>
    <t>sch_disascal_hih_acnsa_may_ccp_npa</t>
  </si>
  <si>
    <t>sch_disascal_hih_acnsa_jun_maute</t>
  </si>
  <si>
    <t>sch_disascal_hih_acnsa_jul_maute</t>
  </si>
  <si>
    <t>sch_disascal_hih_acnsa_aug_maute</t>
  </si>
  <si>
    <t>sch_disascal_hih_acnsa_sep_maute</t>
  </si>
  <si>
    <t>sch_disascal_hih_acnsa_oct_maute</t>
  </si>
  <si>
    <t>sch_disascal_hih_acnsa_nov_maute</t>
  </si>
  <si>
    <t>sch_disascal_hih_acnsa_dec_maute</t>
  </si>
  <si>
    <t>sch_disascal_hih_acnsa_jan_maute</t>
  </si>
  <si>
    <t>sch_disascal_hih_acnsa_feb_maute</t>
  </si>
  <si>
    <t>sch_disascal_hih_acnsa_mar_maute</t>
  </si>
  <si>
    <t>sch_disascal_hih_acnsa_apr_maute</t>
  </si>
  <si>
    <t>sch_disascal_hih_acnsa_may_maute</t>
  </si>
  <si>
    <t>sch_disascal_hih_acnsa_jun_mnlf</t>
  </si>
  <si>
    <t>sch_disascal_hih_acnsa_jul_mnlf</t>
  </si>
  <si>
    <t>sch_disascal_hih_acnsa_aug_mnlf</t>
  </si>
  <si>
    <t>sch_disascal_hih_acnsa_sep_mnlf</t>
  </si>
  <si>
    <t>sch_disascal_hih_acnsa_oct_mnlf</t>
  </si>
  <si>
    <t>sch_disascal_hih_acnsa_nov_mnlf</t>
  </si>
  <si>
    <t>sch_disascal_hih_acnsa_dec_mnlf</t>
  </si>
  <si>
    <t>sch_disascal_hih_acnsa_jan_mnlf</t>
  </si>
  <si>
    <t>sch_disascal_hih_acnsa_feb_mnlf</t>
  </si>
  <si>
    <t>sch_disascal_hih_acnsa_mar_mnlf</t>
  </si>
  <si>
    <t>sch_disascal_hih_acnsa_apr_mnlf</t>
  </si>
  <si>
    <t>sch_disascal_hih_acnsa_may_mnlf</t>
  </si>
  <si>
    <t>sch_disascal_hih_acnsa_others_specify</t>
  </si>
  <si>
    <t>sch_disascal_hih_acnsa_jun_others_specify</t>
  </si>
  <si>
    <t>sch_disascal_hih_acnsa_jul_others_specify</t>
  </si>
  <si>
    <t>sch_disascal_hih_acnsa_aug_others_specify</t>
  </si>
  <si>
    <t>sch_disascal_hih_acnsa_sep_others_specify</t>
  </si>
  <si>
    <t>sch_disascal_hih_acnsa_oct_others_specify</t>
  </si>
  <si>
    <t>sch_disascal_hih_acnsa_nov_others_specify</t>
  </si>
  <si>
    <t>sch_disascal_hih_acnsa_dec_others_specify</t>
  </si>
  <si>
    <t>sch_disascal_hih_acnsa_jan_others_specify</t>
  </si>
  <si>
    <t>sch_disascal_hih_acnsa_feb_others_specify</t>
  </si>
  <si>
    <t>sch_disascal_hih_acnsa_mar_others_specify</t>
  </si>
  <si>
    <t>sch_disascal_hih_acnsa_apr_others_specify</t>
  </si>
  <si>
    <t>sch_disascal_hih_acnsa_may_others_specify</t>
  </si>
  <si>
    <t>sch_disascal_hih_child_jun_killing</t>
  </si>
  <si>
    <t>sch_disascal_hih_child_jul_killing</t>
  </si>
  <si>
    <t>sch_disascal_hih_child_aug_killing</t>
  </si>
  <si>
    <t>sch_disascal_hih_child_sep_killing</t>
  </si>
  <si>
    <t>sch_disascal_hih_child_oct_killing</t>
  </si>
  <si>
    <t>sch_disascal_hih_child_nov_killing</t>
  </si>
  <si>
    <t>sch_disascal_hih_child_dec_killing</t>
  </si>
  <si>
    <t>sch_disascal_hih_child_jan_killing</t>
  </si>
  <si>
    <t>sch_disascal_hih_child_feb_killing</t>
  </si>
  <si>
    <t>sch_disascal_hih_child_mar_killing</t>
  </si>
  <si>
    <t>sch_disascal_hih_child_apr_killing</t>
  </si>
  <si>
    <t>sch_disascal_hih_child_may_killing</t>
  </si>
  <si>
    <t>sch_disascal_hih_child_jun_abduction</t>
  </si>
  <si>
    <t>sch_disascal_hih_child_jul_abduction</t>
  </si>
  <si>
    <t>sch_disascal_hih_child_aug_abduction</t>
  </si>
  <si>
    <t>sch_disascal_hih_child_sep_abduction</t>
  </si>
  <si>
    <t>sch_disascal_hih_child_oct_abduction</t>
  </si>
  <si>
    <t>sch_disascal_hih_child_nov_abduction</t>
  </si>
  <si>
    <t>sch_disascal_hih_child_dec_abduction</t>
  </si>
  <si>
    <t>sch_disascal_hih_child_jan_abduction</t>
  </si>
  <si>
    <t>sch_disascal_hih_child_feb_abduction</t>
  </si>
  <si>
    <t>sch_disascal_hih_child_mar_abduction</t>
  </si>
  <si>
    <t>sch_disascal_hih_child_apr_abduction</t>
  </si>
  <si>
    <t>sch_disascal_hih_child_may_abduction</t>
  </si>
  <si>
    <t>sch_disascal_hih_child_jun_attacks</t>
  </si>
  <si>
    <t>sch_disascal_hih_child_jul_attacks</t>
  </si>
  <si>
    <t>sch_disascal_hih_child_aug_attacks</t>
  </si>
  <si>
    <t>sch_disascal_hih_child_sep_attacks</t>
  </si>
  <si>
    <t>sch_disascal_hih_child_oct_attacks</t>
  </si>
  <si>
    <t>sch_disascal_hih_child_nov_attacks</t>
  </si>
  <si>
    <t>sch_disascal_hih_child_dec_attacks</t>
  </si>
  <si>
    <t>sch_disascal_hih_child_jan_attacks</t>
  </si>
  <si>
    <t>sch_disascal_hih_child_feb_attacks</t>
  </si>
  <si>
    <t>sch_disascal_hih_child_mar_attacks</t>
  </si>
  <si>
    <t>sch_disascal_hih_child_apr_attacks</t>
  </si>
  <si>
    <t>sch_disascal_hih_child_may_attacks</t>
  </si>
  <si>
    <t>sch_disascal_hih_child_jun_denial</t>
  </si>
  <si>
    <t>sch_disascal_hih_child_jul_denial</t>
  </si>
  <si>
    <t>sch_disascal_hih_child_aug_denial</t>
  </si>
  <si>
    <t>sch_disascal_hih_child_sep_denial</t>
  </si>
  <si>
    <t>sch_disascal_hih_child_oct_denial</t>
  </si>
  <si>
    <t>sch_disascal_hih_child_nov_denial</t>
  </si>
  <si>
    <t>sch_disascal_hih_child_dec_denial</t>
  </si>
  <si>
    <t>sch_disascal_hih_child_jan_denial</t>
  </si>
  <si>
    <t>sch_disascal_hih_child_feb_denial</t>
  </si>
  <si>
    <t>sch_disascal_hih_child_mar_denial</t>
  </si>
  <si>
    <t>sch_disascal_hih_child_apr_denial</t>
  </si>
  <si>
    <t>sch_disascal_hih_child_may_denial</t>
  </si>
  <si>
    <t>sch_disascal_hih_child_jun_recruit</t>
  </si>
  <si>
    <t>sch_disascal_hih_child_jul_recruit</t>
  </si>
  <si>
    <t>sch_disascal_hih_child_aug_recruit</t>
  </si>
  <si>
    <t>sch_disascal_hih_child_sep_recruit</t>
  </si>
  <si>
    <t>sch_disascal_hih_child_oct_recruit</t>
  </si>
  <si>
    <t>sch_disascal_hih_child_nov_recruit</t>
  </si>
  <si>
    <t>sch_disascal_hih_child_dec_recruit</t>
  </si>
  <si>
    <t>sch_disascal_hih_child_jan_recruit</t>
  </si>
  <si>
    <t>sch_disascal_hih_child_feb_recruit</t>
  </si>
  <si>
    <t>sch_disascal_hih_child_mar_recruit</t>
  </si>
  <si>
    <t>sch_disascal_hih_child_apr_recruit</t>
  </si>
  <si>
    <t>sch_disascal_hih_child_may_recruit</t>
  </si>
  <si>
    <t>sch_disascal_hih_child_jun_sexual</t>
  </si>
  <si>
    <t>sch_disascal_hih_child_jul_sexual</t>
  </si>
  <si>
    <t>sch_disascal_hih_child_aug_sexual</t>
  </si>
  <si>
    <t>sch_disascal_hih_child_sep_sexual</t>
  </si>
  <si>
    <t>sch_disascal_hih_child_oct_sexual</t>
  </si>
  <si>
    <t>sch_disascal_hih_child_nov_sexual</t>
  </si>
  <si>
    <t>sch_disascal_hih_child_dec_sexual</t>
  </si>
  <si>
    <t>sch_disascal_hih_child_jan_sexual</t>
  </si>
  <si>
    <t>sch_disascal_hih_child_feb_sexual</t>
  </si>
  <si>
    <t>sch_disascal_hih_child_mar_sexual</t>
  </si>
  <si>
    <t>sch_disascal_hih_child_apr_sexual</t>
  </si>
  <si>
    <t>sch_disascal_hih_child_may_sexual</t>
  </si>
  <si>
    <t>Table35'!$U$8</t>
  </si>
  <si>
    <t>Table35'!$W$8</t>
  </si>
  <si>
    <t>Table35'!$Y$8</t>
  </si>
  <si>
    <t>Table35'!$AA$8</t>
  </si>
  <si>
    <t>Table35'!$AC$8</t>
  </si>
  <si>
    <t>Table35'!$AE$8</t>
  </si>
  <si>
    <t>Table35'!$AG$8</t>
  </si>
  <si>
    <t>Table35'!$AI$8</t>
  </si>
  <si>
    <t>Table35'!$AK$8</t>
  </si>
  <si>
    <t>Table35'!$AM$8</t>
  </si>
  <si>
    <t>Table35'!$AO$8</t>
  </si>
  <si>
    <t>Table35'!$AQ$8</t>
  </si>
  <si>
    <t>Table35'!$U$11</t>
  </si>
  <si>
    <t>Table35'!$W$11</t>
  </si>
  <si>
    <t>Table35'!$Y$11</t>
  </si>
  <si>
    <t>Table35'!$AA$11</t>
  </si>
  <si>
    <t>Table35'!$AC$11</t>
  </si>
  <si>
    <t>Table35'!$AE$11</t>
  </si>
  <si>
    <t>Table35'!$AG$11</t>
  </si>
  <si>
    <t>Table35'!$AI$11</t>
  </si>
  <si>
    <t>Table35'!$AK$11</t>
  </si>
  <si>
    <t>Table35'!$AM$11</t>
  </si>
  <si>
    <t>Table35'!$AO$11</t>
  </si>
  <si>
    <t>Table35'!$AQ$11</t>
  </si>
  <si>
    <t>Table35'!$U$12</t>
  </si>
  <si>
    <t>Table35'!$W$12</t>
  </si>
  <si>
    <t>Table35'!$Y$12</t>
  </si>
  <si>
    <t>Table35'!$AA$12</t>
  </si>
  <si>
    <t>Table35'!$AC$12</t>
  </si>
  <si>
    <t>Table35'!$AE$12</t>
  </si>
  <si>
    <t>Table35'!$AG$12</t>
  </si>
  <si>
    <t>Table35'!$AI$12</t>
  </si>
  <si>
    <t>Table35'!$AK$12</t>
  </si>
  <si>
    <t>Table35'!$AM$12</t>
  </si>
  <si>
    <t>Table35'!$AO$12</t>
  </si>
  <si>
    <t>Table35'!$AQ$12</t>
  </si>
  <si>
    <t>Table35'!$F$14</t>
  </si>
  <si>
    <t>Table35'!$U$13</t>
  </si>
  <si>
    <t>Table35'!$W$13</t>
  </si>
  <si>
    <t>Table35'!$Y$13</t>
  </si>
  <si>
    <t>Table35'!$AA$13</t>
  </si>
  <si>
    <t>Table35'!$AC$13</t>
  </si>
  <si>
    <t>Table35'!$AE$13</t>
  </si>
  <si>
    <t>Table35'!$AG$13</t>
  </si>
  <si>
    <t>Table35'!$AI$13</t>
  </si>
  <si>
    <t>Table35'!$AK$13</t>
  </si>
  <si>
    <t>Table35'!$AM$13</t>
  </si>
  <si>
    <t>Table35'!$AO$13</t>
  </si>
  <si>
    <t>Table35'!$AQ$13</t>
  </si>
  <si>
    <t>Table35'!$U$17</t>
  </si>
  <si>
    <t>Table35'!$W$17</t>
  </si>
  <si>
    <t>Table35'!$Y$17</t>
  </si>
  <si>
    <t>Table35'!$AA$17</t>
  </si>
  <si>
    <t>Table35'!$AC$17</t>
  </si>
  <si>
    <t>Table35'!$AE$17</t>
  </si>
  <si>
    <t>Table35'!$AG$17</t>
  </si>
  <si>
    <t>Table35'!$AI$17</t>
  </si>
  <si>
    <t>Table35'!$AK$17</t>
  </si>
  <si>
    <t>Table35'!$AM$17</t>
  </si>
  <si>
    <t>Table35'!$AO$17</t>
  </si>
  <si>
    <t>Table35'!$AQ$17</t>
  </si>
  <si>
    <t>Table35'!$U$18</t>
  </si>
  <si>
    <t>Table35'!$W$18</t>
  </si>
  <si>
    <t>Table35'!$Y$18</t>
  </si>
  <si>
    <t>Table35'!$AA$18</t>
  </si>
  <si>
    <t>Table35'!$AC$18</t>
  </si>
  <si>
    <t>Table35'!$AE$18</t>
  </si>
  <si>
    <t>Table35'!$AG$18</t>
  </si>
  <si>
    <t>Table35'!$AI$18</t>
  </si>
  <si>
    <t>Table35'!$AK$18</t>
  </si>
  <si>
    <t>Table35'!$AM$18</t>
  </si>
  <si>
    <t>Table35'!$AO$18</t>
  </si>
  <si>
    <t>Table35'!$AQ$18</t>
  </si>
  <si>
    <t>Table35'!$U$19</t>
  </si>
  <si>
    <t>Table35'!$W$19</t>
  </si>
  <si>
    <t>Table35'!$Y$19</t>
  </si>
  <si>
    <t>Table35'!$AA$19</t>
  </si>
  <si>
    <t>Table35'!$AC$19</t>
  </si>
  <si>
    <t>Table35'!$AE$19</t>
  </si>
  <si>
    <t>Table35'!$AG$19</t>
  </si>
  <si>
    <t>Table35'!$AI$19</t>
  </si>
  <si>
    <t>Table35'!$AK$19</t>
  </si>
  <si>
    <t>Table35'!$AM$19</t>
  </si>
  <si>
    <t>Table35'!$AO$19</t>
  </si>
  <si>
    <t>Table35'!$AQ$19</t>
  </si>
  <si>
    <t>Table35'!$U$20</t>
  </si>
  <si>
    <t>Table35'!$W$20</t>
  </si>
  <si>
    <t>Table35'!$Y$20</t>
  </si>
  <si>
    <t>Table35'!$AA$20</t>
  </si>
  <si>
    <t>Table35'!$AC$20</t>
  </si>
  <si>
    <t>Table35'!$AE$20</t>
  </si>
  <si>
    <t>Table35'!$AG$20</t>
  </si>
  <si>
    <t>Table35'!$AI$20</t>
  </si>
  <si>
    <t>Table35'!$AK$20</t>
  </si>
  <si>
    <t>Table35'!$AM$20</t>
  </si>
  <si>
    <t>Table35'!$AO$20</t>
  </si>
  <si>
    <t>Table35'!$AQ$20</t>
  </si>
  <si>
    <t>Table35'!$U$21</t>
  </si>
  <si>
    <t>Table35'!$W$21</t>
  </si>
  <si>
    <t>Table35'!$Y$21</t>
  </si>
  <si>
    <t>Table35'!$AA$21</t>
  </si>
  <si>
    <t>Table35'!$AC$21</t>
  </si>
  <si>
    <t>Table35'!$AE$21</t>
  </si>
  <si>
    <t>Table35'!$AG$21</t>
  </si>
  <si>
    <t>Table35'!$AI$21</t>
  </si>
  <si>
    <t>Table35'!$AK$21</t>
  </si>
  <si>
    <t>Table35'!$AM$21</t>
  </si>
  <si>
    <t>Table35'!$AO$21</t>
  </si>
  <si>
    <t>Table35'!$AQ$21</t>
  </si>
  <si>
    <t>Table35'!$F$23</t>
  </si>
  <si>
    <t>Table35'!$U$22</t>
  </si>
  <si>
    <t>Table35'!$W$22</t>
  </si>
  <si>
    <t>Table35'!$Y$22</t>
  </si>
  <si>
    <t>Table35'!$AA$22</t>
  </si>
  <si>
    <t>Table35'!$AC$22</t>
  </si>
  <si>
    <t>Table35'!$AE$22</t>
  </si>
  <si>
    <t>Table35'!$AG$22</t>
  </si>
  <si>
    <t>Table35'!$AI$22</t>
  </si>
  <si>
    <t>Table35'!$AK$22</t>
  </si>
  <si>
    <t>Table35'!$AM$22</t>
  </si>
  <si>
    <t>Table35'!$AO$22</t>
  </si>
  <si>
    <t>Table35'!$AQ$22</t>
  </si>
  <si>
    <t>Table35'!$U$27</t>
  </si>
  <si>
    <t>Table35'!$W$27</t>
  </si>
  <si>
    <t>Table35'!$Y$27</t>
  </si>
  <si>
    <t>Table35'!$AA$27</t>
  </si>
  <si>
    <t>Table35'!$AC$27</t>
  </si>
  <si>
    <t>Table35'!$AE$27</t>
  </si>
  <si>
    <t>Table35'!$AG$27</t>
  </si>
  <si>
    <t>Table35'!$AI$27</t>
  </si>
  <si>
    <t>Table35'!$AK$27</t>
  </si>
  <si>
    <t>Table35'!$AM$27</t>
  </si>
  <si>
    <t>Table35'!$AO$27</t>
  </si>
  <si>
    <t>Table35'!$AQ$27</t>
  </si>
  <si>
    <t>Table35'!$U$28</t>
  </si>
  <si>
    <t>Table35'!$W$28</t>
  </si>
  <si>
    <t>Table35'!$Y$28</t>
  </si>
  <si>
    <t>Table35'!$AA$28</t>
  </si>
  <si>
    <t>Table35'!$AC$28</t>
  </si>
  <si>
    <t>Table35'!$AE$28</t>
  </si>
  <si>
    <t>Table35'!$AG$28</t>
  </si>
  <si>
    <t>Table35'!$AI$28</t>
  </si>
  <si>
    <t>Table35'!$AK$28</t>
  </si>
  <si>
    <t>Table35'!$AM$28</t>
  </si>
  <si>
    <t>Table35'!$AO$28</t>
  </si>
  <si>
    <t>Table35'!$AQ$28</t>
  </si>
  <si>
    <t>Table35'!$U$29</t>
  </si>
  <si>
    <t>Table35'!$W$29</t>
  </si>
  <si>
    <t>Table35'!$Y$29</t>
  </si>
  <si>
    <t>Table35'!$AA$29</t>
  </si>
  <si>
    <t>Table35'!$AC$29</t>
  </si>
  <si>
    <t>Table35'!$AE$29</t>
  </si>
  <si>
    <t>Table35'!$AG$29</t>
  </si>
  <si>
    <t>Table35'!$AI$29</t>
  </si>
  <si>
    <t>Table35'!$AK$29</t>
  </si>
  <si>
    <t>Table35'!$AM$29</t>
  </si>
  <si>
    <t>Table35'!$AO$29</t>
  </si>
  <si>
    <t>Table35'!$AQ$29</t>
  </si>
  <si>
    <t>Table35'!$U$30</t>
  </si>
  <si>
    <t>Table35'!$W$30</t>
  </si>
  <si>
    <t>Table35'!$Y$30</t>
  </si>
  <si>
    <t>Table35'!$AA$30</t>
  </si>
  <si>
    <t>Table35'!$AC$30</t>
  </si>
  <si>
    <t>Table35'!$AE$30</t>
  </si>
  <si>
    <t>Table35'!$AG$30</t>
  </si>
  <si>
    <t>Table35'!$AI$30</t>
  </si>
  <si>
    <t>Table35'!$AK$30</t>
  </si>
  <si>
    <t>Table35'!$AM$30</t>
  </si>
  <si>
    <t>Table35'!$AO$30</t>
  </si>
  <si>
    <t>Table35'!$AQ$30</t>
  </si>
  <si>
    <t>Table35'!$U$31</t>
  </si>
  <si>
    <t>Table35'!$W$31</t>
  </si>
  <si>
    <t>Table35'!$Y$31</t>
  </si>
  <si>
    <t>Table35'!$AA$31</t>
  </si>
  <si>
    <t>Table35'!$AC$31</t>
  </si>
  <si>
    <t>Table35'!$AE$31</t>
  </si>
  <si>
    <t>Table35'!$AG$31</t>
  </si>
  <si>
    <t>Table35'!$AI$31</t>
  </si>
  <si>
    <t>Table35'!$AK$31</t>
  </si>
  <si>
    <t>Table35'!$AM$31</t>
  </si>
  <si>
    <t>Table35'!$AO$31</t>
  </si>
  <si>
    <t>Table35'!$AQ$31</t>
  </si>
  <si>
    <t>Table35'!$U$32</t>
  </si>
  <si>
    <t>Table35'!$W$32</t>
  </si>
  <si>
    <t>Table35'!$Y$32</t>
  </si>
  <si>
    <t>Table35'!$AA$32</t>
  </si>
  <si>
    <t>Table35'!$AC$32</t>
  </si>
  <si>
    <t>Table35'!$AE$32</t>
  </si>
  <si>
    <t>Table35'!$AG$32</t>
  </si>
  <si>
    <t>Table35'!$AI$32</t>
  </si>
  <si>
    <t>Table35'!$AK$32</t>
  </si>
  <si>
    <t>Table35'!$AM$32</t>
  </si>
  <si>
    <t>Table35'!$AO$32</t>
  </si>
  <si>
    <t>Table35'!$AQ$32</t>
  </si>
  <si>
    <t>sch_result_disasinci_jun_num_cls</t>
  </si>
  <si>
    <t>es_disaster_result</t>
  </si>
  <si>
    <t>sch_result_disasinci_jul_num_cls</t>
  </si>
  <si>
    <t>sch_result_disasinci_aug_num_cls</t>
  </si>
  <si>
    <t>sch_result_disasinci_sep_num_cls</t>
  </si>
  <si>
    <t>sch_result_disasinci_oct_num_cls</t>
  </si>
  <si>
    <t>sch_result_disasinci_nov_num_cls</t>
  </si>
  <si>
    <t>sch_result_disasinci_dec_num_cls</t>
  </si>
  <si>
    <t>sch_result_disasinci_jan_num_cls</t>
  </si>
  <si>
    <t>sch_result_disasinci_feb_num_cls</t>
  </si>
  <si>
    <t>sch_result_disasinci_mar_num_cls</t>
  </si>
  <si>
    <t>sch_result_disasinci_apr_num_cls</t>
  </si>
  <si>
    <t>sch_result_disasinci_may_num_cls</t>
  </si>
  <si>
    <t>sch_result_disasinci_jun_num_days</t>
  </si>
  <si>
    <t>sch_result_disasinci_jul_num_days</t>
  </si>
  <si>
    <t>sch_result_disasinci_aug_num_days</t>
  </si>
  <si>
    <t>sch_result_disasinci_sep_num_days</t>
  </si>
  <si>
    <t>sch_result_disasinci_oct_num_days</t>
  </si>
  <si>
    <t>sch_result_disasinci_nov_num_days</t>
  </si>
  <si>
    <t>sch_result_disasinci_dec_num_days</t>
  </si>
  <si>
    <t>sch_result_disasinci_jan_num_days</t>
  </si>
  <si>
    <t>sch_result_disasinci_feb_num_days</t>
  </si>
  <si>
    <t>sch_result_disasinci_mar_num_days</t>
  </si>
  <si>
    <t>sch_result_disasinci_apr_num_days</t>
  </si>
  <si>
    <t>sch_result_disasinci_may_num_days</t>
  </si>
  <si>
    <t>sch_result_disasinci_jun_num_suspend</t>
  </si>
  <si>
    <t>sch_result_disasinci_jul_num_suspend</t>
  </si>
  <si>
    <t>sch_result_disasinci_aug_num_suspend</t>
  </si>
  <si>
    <t>sch_result_disasinci_sep_num_suspend</t>
  </si>
  <si>
    <t>sch_result_disasinci_oct_num_suspend</t>
  </si>
  <si>
    <t>sch_result_disasinci_nov_num_suspend</t>
  </si>
  <si>
    <t>sch_result_disasinci_dec_num_suspend</t>
  </si>
  <si>
    <t>sch_result_disasinci_jan_num_suspend</t>
  </si>
  <si>
    <t>sch_result_disasinci_feb_num_suspend</t>
  </si>
  <si>
    <t>sch_result_disasinci_mar_num_suspend</t>
  </si>
  <si>
    <t>sch_result_disasinci_apr_num_suspend</t>
  </si>
  <si>
    <t>sch_result_disasinci_may_num_suspend</t>
  </si>
  <si>
    <t>sch_result_disasinci_jun_num_suspend_human_hazards</t>
  </si>
  <si>
    <t>sch_result_disasinci_jul_num_suspend_human_hazards</t>
  </si>
  <si>
    <t>sch_result_disasinci_aug_num_suspend_human_hazards</t>
  </si>
  <si>
    <t>sch_result_disasinci_sep_num_suspend_human_hazards</t>
  </si>
  <si>
    <t>sch_result_disasinci_oct_num_suspend_human_hazards</t>
  </si>
  <si>
    <t>sch_result_disasinci_nov_num_suspend_human_hazards</t>
  </si>
  <si>
    <t>sch_result_disasinci_dec_num_suspend_human_hazards</t>
  </si>
  <si>
    <t>sch_result_disasinci_jan_num_suspend_human_hazards</t>
  </si>
  <si>
    <t>sch_result_disasinci_feb_num_suspend_human_hazards</t>
  </si>
  <si>
    <t>sch_result_disasinci_mar_num_suspend_human_hazards</t>
  </si>
  <si>
    <t>sch_result_disasinci_apr_num_suspend_human_hazards</t>
  </si>
  <si>
    <t>sch_result_disasinci_may_num_suspend_human_hazards</t>
  </si>
  <si>
    <t>sch_result_disasinci_jun_num_arm_conflict</t>
  </si>
  <si>
    <t>sch_result_disasinci_jul_num_arm_conflict</t>
  </si>
  <si>
    <t>sch_result_disasinci_aug_num_arm_conflict</t>
  </si>
  <si>
    <t>sch_result_disasinci_sep_num_arm_conflict</t>
  </si>
  <si>
    <t>sch_result_disasinci_oct_num_arm_conflict</t>
  </si>
  <si>
    <t>sch_result_disasinci_nov_num_arm_conflict</t>
  </si>
  <si>
    <t>sch_result_disasinci_dec_num_arm_conflict</t>
  </si>
  <si>
    <t>sch_result_disasinci_jan_num_arm_conflict</t>
  </si>
  <si>
    <t>sch_result_disasinci_feb_num_arm_conflict</t>
  </si>
  <si>
    <t>sch_result_disasinci_mar_num_arm_conflict</t>
  </si>
  <si>
    <t>sch_result_disasinci_apr_num_arm_conflict</t>
  </si>
  <si>
    <t>sch_result_disasinci_may_num_arm_conflict</t>
  </si>
  <si>
    <t>Table35 cont.-Table36'!$U$13</t>
  </si>
  <si>
    <t>Table35 cont.-Table36'!$W$13</t>
  </si>
  <si>
    <t>Table35 cont.-Table36'!$Y$13</t>
  </si>
  <si>
    <t>Table35 cont.-Table36'!$AA$13</t>
  </si>
  <si>
    <t>Table35 cont.-Table36'!$AC$13</t>
  </si>
  <si>
    <t>Table35 cont.-Table36'!$AE$13</t>
  </si>
  <si>
    <t>Table35 cont.-Table36'!$AG$13</t>
  </si>
  <si>
    <t>Table35 cont.-Table36'!$AI$13</t>
  </si>
  <si>
    <t>Table35 cont.-Table36'!$AK$13</t>
  </si>
  <si>
    <t>Table35 cont.-Table36'!$AM$13</t>
  </si>
  <si>
    <t>Table35 cont.-Table36'!$AO$13</t>
  </si>
  <si>
    <t>Table35 cont.-Table36'!$AQ$13</t>
  </si>
  <si>
    <t>Table35 cont.-Table36'!$U$14</t>
  </si>
  <si>
    <t>Table35 cont.-Table36'!$W$14</t>
  </si>
  <si>
    <t>Table35 cont.-Table36'!$Y$14</t>
  </si>
  <si>
    <t>Table35 cont.-Table36'!$AA$14</t>
  </si>
  <si>
    <t>Table35 cont.-Table36'!$AC$14</t>
  </si>
  <si>
    <t>Table35 cont.-Table36'!$AE$14</t>
  </si>
  <si>
    <t>Table35 cont.-Table36'!$AG$14</t>
  </si>
  <si>
    <t>Table35 cont.-Table36'!$AI$14</t>
  </si>
  <si>
    <t>Table35 cont.-Table36'!$AK$14</t>
  </si>
  <si>
    <t>Table35 cont.-Table36'!$AM$14</t>
  </si>
  <si>
    <t>Table35 cont.-Table36'!$AO$14</t>
  </si>
  <si>
    <t>Table35 cont.-Table36'!$AQ$14</t>
  </si>
  <si>
    <t>Table35 cont.-Table36'!$U$15</t>
  </si>
  <si>
    <t>Table35 cont.-Table36'!$W$15</t>
  </si>
  <si>
    <t>Table35 cont.-Table36'!$Y$15</t>
  </si>
  <si>
    <t>Table35 cont.-Table36'!$AA$15</t>
  </si>
  <si>
    <t>Table35 cont.-Table36'!$AC$15</t>
  </si>
  <si>
    <t>Table35 cont.-Table36'!$AE$15</t>
  </si>
  <si>
    <t>Table35 cont.-Table36'!$AG$15</t>
  </si>
  <si>
    <t>Table35 cont.-Table36'!$AI$15</t>
  </si>
  <si>
    <t>Table35 cont.-Table36'!$AK$15</t>
  </si>
  <si>
    <t>Table35 cont.-Table36'!$AM$15</t>
  </si>
  <si>
    <t>Table35 cont.-Table36'!$AO$15</t>
  </si>
  <si>
    <t>Table35 cont.-Table36'!$AQ$15</t>
  </si>
  <si>
    <t>Table35 cont.-Table36'!$U$16</t>
  </si>
  <si>
    <t>Table35 cont.-Table36'!$W$16</t>
  </si>
  <si>
    <t>Table35 cont.-Table36'!$Y$16</t>
  </si>
  <si>
    <t>Table35 cont.-Table36'!$AA$16</t>
  </si>
  <si>
    <t>Table35 cont.-Table36'!$AC$16</t>
  </si>
  <si>
    <t>Table35 cont.-Table36'!$AE$16</t>
  </si>
  <si>
    <t>Table35 cont.-Table36'!$AG$16</t>
  </si>
  <si>
    <t>Table35 cont.-Table36'!$AI$16</t>
  </si>
  <si>
    <t>Table35 cont.-Table36'!$AK$16</t>
  </si>
  <si>
    <t>Table35 cont.-Table36'!$AM$16</t>
  </si>
  <si>
    <t>Table35 cont.-Table36'!$AO$16</t>
  </si>
  <si>
    <t>Table35 cont.-Table36'!$AQ$16</t>
  </si>
  <si>
    <t>Table35 cont.-Table36'!$U$17</t>
  </si>
  <si>
    <t>Table35 cont.-Table36'!$W$17</t>
  </si>
  <si>
    <t>Table35 cont.-Table36'!$Y$17</t>
  </si>
  <si>
    <t>Table35 cont.-Table36'!$AA$17</t>
  </si>
  <si>
    <t>Table35 cont.-Table36'!$AC$17</t>
  </si>
  <si>
    <t>Table35 cont.-Table36'!$AE$17</t>
  </si>
  <si>
    <t>Table35 cont.-Table36'!$AG$17</t>
  </si>
  <si>
    <t>Table35 cont.-Table36'!$AI$17</t>
  </si>
  <si>
    <t>Table35 cont.-Table36'!$AK$17</t>
  </si>
  <si>
    <t>Table35 cont.-Table36'!$AM$17</t>
  </si>
  <si>
    <t>Table35 cont.-Table36'!$AO$17</t>
  </si>
  <si>
    <t>Table35 cont.-Table36'!$AQ$17</t>
  </si>
  <si>
    <t>drrm_cca_policies_do82_2010</t>
  </si>
  <si>
    <t>es_enabling_environment</t>
  </si>
  <si>
    <t>drrm_cca_policies_do83_2011</t>
  </si>
  <si>
    <t>drrm_cca_policies_do43_2012</t>
  </si>
  <si>
    <t>drrm_cca_policies_do21_2015</t>
  </si>
  <si>
    <t>drrm_cca_policies_do23_2015</t>
  </si>
  <si>
    <t>drrm_cca_policies_do27_2015</t>
  </si>
  <si>
    <t>drrm_cca_policies_do37_2015</t>
  </si>
  <si>
    <t>drrm_cca_policies_do28_2016</t>
  </si>
  <si>
    <t>drrm_cca_policies_do24_2021</t>
  </si>
  <si>
    <t>drrm_cca_policies_do33_2021</t>
  </si>
  <si>
    <t>drrm_cca_policies_dm084_2019</t>
  </si>
  <si>
    <t>drrm_cca_policies_do44_2005</t>
  </si>
  <si>
    <t>drrm_cca_policies_do40_2012</t>
  </si>
  <si>
    <t>drrm_cca_policies_do57_2017</t>
  </si>
  <si>
    <t>drrm_cca_policies_do32_2019</t>
  </si>
  <si>
    <t>drrm_cca_policies_dm221_2013</t>
  </si>
  <si>
    <t>drrm_policy_learner_exclude_m</t>
  </si>
  <si>
    <t>drrm_policy_learner_exclude_f</t>
  </si>
  <si>
    <t>drrm_policy_learner_ip_m</t>
  </si>
  <si>
    <t>drrm_policy_learner_ip_f</t>
  </si>
  <si>
    <t>drrm_policy_learner_muslim_m</t>
  </si>
  <si>
    <t>drrm_policy_learner_muslim_f</t>
  </si>
  <si>
    <t>drrm_policy_learner_lwd_m</t>
  </si>
  <si>
    <t>drrm_policy_learner_lwd_f</t>
  </si>
  <si>
    <t>drrm_number_of_schoollevelpolicy_learners</t>
  </si>
  <si>
    <t>drrm_number_of_schoollevelpolicy_schpersonnel</t>
  </si>
  <si>
    <t>drrm_number_of_schoollevelpolicy_parents</t>
  </si>
  <si>
    <t>drrm_number_of_schoollevelpolicy_lgu</t>
  </si>
  <si>
    <t>drrm_number_of_schoollevelpolicy_ngo</t>
  </si>
  <si>
    <t>Box28_part1'!$D$10</t>
  </si>
  <si>
    <t>Box28_part1'!$D$11</t>
  </si>
  <si>
    <t>Box28_part1'!$D$12</t>
  </si>
  <si>
    <t>Box28_part1'!$D$13</t>
  </si>
  <si>
    <t>Box28_part1'!$D$14</t>
  </si>
  <si>
    <t>Box28_part1'!$D$15</t>
  </si>
  <si>
    <t>Box28_part1'!$D$16</t>
  </si>
  <si>
    <t>Box28_part1'!$D$17</t>
  </si>
  <si>
    <t>Box28_part1'!$D$18</t>
  </si>
  <si>
    <t>Box28_part1'!$D$19</t>
  </si>
  <si>
    <t>Box28_part1'!$D$20</t>
  </si>
  <si>
    <t>Box28_part1'!$D$22</t>
  </si>
  <si>
    <t>Box28_part1'!$D$23</t>
  </si>
  <si>
    <t>Box28_part1'!$D$24</t>
  </si>
  <si>
    <t>Box28_part1'!$D$25</t>
  </si>
  <si>
    <t>Box28_part1'!$D$26</t>
  </si>
  <si>
    <t>Box28_part1'!$D$31</t>
  </si>
  <si>
    <t>Box28_part1'!$G$31</t>
  </si>
  <si>
    <t>Box28_part1'!$J$31</t>
  </si>
  <si>
    <t>Box28_part1'!$M$31</t>
  </si>
  <si>
    <t>Box28_part1'!$P$31</t>
  </si>
  <si>
    <t>Box28_part1'!$S$31</t>
  </si>
  <si>
    <t>Box28_part1'!$V$31</t>
  </si>
  <si>
    <t>Box28_part1'!$Y$31</t>
  </si>
  <si>
    <t>Box28_part1'!$D$37</t>
  </si>
  <si>
    <t>Box28_part1'!$I$37</t>
  </si>
  <si>
    <t>Box28_part1'!$N$37</t>
  </si>
  <si>
    <t>Box28_part1'!$S$37</t>
  </si>
  <si>
    <t>Box28_part1'!$X$37</t>
  </si>
  <si>
    <t>Box28_part2_4'!$D$4</t>
  </si>
  <si>
    <t>Box28_part2_4'!$G$6</t>
  </si>
  <si>
    <t>Box28_part2_4'!$N$6</t>
  </si>
  <si>
    <t>Box28_part2_4'!$S$6</t>
  </si>
  <si>
    <t>Box28_part2_4'!$W$6</t>
  </si>
  <si>
    <t>Box28_part2_4'!$D$7</t>
  </si>
  <si>
    <t>drrm_sch_compre_drrm_ccam_pbp_chk</t>
  </si>
  <si>
    <t>drrm_sch_drrmccampbp_develop_chk_schpersonnel</t>
  </si>
  <si>
    <t>drrm_sch_drrmccampbp_develop_chk_parents</t>
  </si>
  <si>
    <t>drrm_sch_drrmccampbp_develop_chk_lgu</t>
  </si>
  <si>
    <t>drrm_sch_drrmccampbp_develop_chk_extpartners</t>
  </si>
  <si>
    <t>drrm_sch_drrmccampbp_consider_lwd_chk</t>
  </si>
  <si>
    <t>drrm_sch_drrmccampbp_consider_iksp_chk</t>
  </si>
  <si>
    <t>drrm_sch_drrmccampbp_gender_sensitive_chk</t>
  </si>
  <si>
    <t>drrm_sch_compre_drrm_ccam_pbp_chk2</t>
  </si>
  <si>
    <t>drrm_learner_participated_drrmccampbp_exclude_m</t>
  </si>
  <si>
    <t>drrm_learner_participated_drrmccampbp_exclude_f</t>
  </si>
  <si>
    <t>drrm_learner_participated_drrmccampbp_ip_m</t>
  </si>
  <si>
    <t>drrm_learner_participated_drrmccampbp_ip_f</t>
  </si>
  <si>
    <t>drrm_learner_participated_drrmccampbp_muslim_m</t>
  </si>
  <si>
    <t>drrm_learner_participated_drrmccampbp_muslim_f</t>
  </si>
  <si>
    <t>drrm_learner_participated_drrmccampbp_lwd_m</t>
  </si>
  <si>
    <t>drrm_learner_participated_drrmccampbp_lwd_f</t>
  </si>
  <si>
    <t>Box28_part2_4'!$D$8</t>
  </si>
  <si>
    <t>Box28_part2_4'!$D$9</t>
  </si>
  <si>
    <t>Box28_part2_4'!$D$10</t>
  </si>
  <si>
    <t>Box28_part2_4'!$D$15</t>
  </si>
  <si>
    <t>Box28_part2_4'!$G$15</t>
  </si>
  <si>
    <t>Box28_part2_4'!$J$15</t>
  </si>
  <si>
    <t>Box28_part2_4'!$M$15</t>
  </si>
  <si>
    <t>Box28_part2_4'!$P$15</t>
  </si>
  <si>
    <t>Box28_part2_4'!$S$15</t>
  </si>
  <si>
    <t>Box28_part2_4'!$V$15</t>
  </si>
  <si>
    <t>Box28_part2_4'!$Y$15</t>
  </si>
  <si>
    <t>drrm_sch_functional_drrm_team_chk</t>
  </si>
  <si>
    <t>drrm_sch_designated_drrm_coor_chk</t>
  </si>
  <si>
    <t>drrm_drrm_no_of_ppas</t>
  </si>
  <si>
    <t>drrm_drrm_cost_of_ppas</t>
  </si>
  <si>
    <t>drrm_drrm_percent_sch_budget</t>
  </si>
  <si>
    <t>drrm_ccam_no_of_ppas</t>
  </si>
  <si>
    <t>drrm_ccam_cost_of_ppas</t>
  </si>
  <si>
    <t>drrm_ccam_percent_sch_budget</t>
  </si>
  <si>
    <t>drrm_pbuild_no_of_ppas</t>
  </si>
  <si>
    <t>drrm_pbuild_cost_of_ppas</t>
  </si>
  <si>
    <t>drrm_pbuild_percent_sch_budget</t>
  </si>
  <si>
    <t>Box28_part2_4'!$D$22</t>
  </si>
  <si>
    <t>Box28_part2_4'!$D$23</t>
  </si>
  <si>
    <t>Box28_part2_4'!$D$27</t>
  </si>
  <si>
    <t>Box28_part2_4'!$G$27</t>
  </si>
  <si>
    <t>Box28_part2_4'!$J$27</t>
  </si>
  <si>
    <t>Box28_part2_4'!$M$27</t>
  </si>
  <si>
    <t>Box28_part2_4'!$P$27</t>
  </si>
  <si>
    <t>Box28_part2_4'!$S$27</t>
  </si>
  <si>
    <t>Box28_part2_4'!$V$27</t>
  </si>
  <si>
    <t>Box28_part2_4'!$Y$27</t>
  </si>
  <si>
    <t>Box28_part2_4'!$AB$27</t>
  </si>
  <si>
    <t>drrm_dim_personnel_trained_teaching_m</t>
  </si>
  <si>
    <t>drrm_dim_personnel_trained_teaching_f</t>
  </si>
  <si>
    <t>drrm_dim_personnel_trained_nteaching_m</t>
  </si>
  <si>
    <t>drrm_dim_personnel_trained_nteaching_f</t>
  </si>
  <si>
    <t>Box28_part2_4'!$D$36</t>
  </si>
  <si>
    <t>Box28_part2_4'!$G$36</t>
  </si>
  <si>
    <t>Box28_part2_4'!$J$36</t>
  </si>
  <si>
    <t>Box28_part2_4'!$M$36</t>
  </si>
  <si>
    <t>Box28_part2_4'!$AB$38</t>
  </si>
  <si>
    <t>Box28_part2_4'!$AB$40</t>
  </si>
  <si>
    <t>Box28_part2_4'!$AB$42</t>
  </si>
  <si>
    <t>drrm_dim_trainings_for_teaching_nteaching_data_mgmt</t>
  </si>
  <si>
    <t>drrm_dim_evidence_based_drrmccampbp</t>
  </si>
  <si>
    <t>drrm_dim_programs_developed_based_research</t>
  </si>
  <si>
    <t>drrm_dim_used_drrmccampbp_software_datacollect_chk</t>
  </si>
  <si>
    <t>Box28_part2_4'!$D$44</t>
  </si>
  <si>
    <t>drrm_sch_monitoring_evaluation_implementing_drrmccampbp_chk</t>
  </si>
  <si>
    <t>drrm_sch_use_css_monitoring_chk</t>
  </si>
  <si>
    <t>drrm_documented_practices_drrmccam</t>
  </si>
  <si>
    <t>drrm_documented_practices_pbuilding</t>
  </si>
  <si>
    <t>drrm_programs_developed_resultof_monitoring_evaluation_chk</t>
  </si>
  <si>
    <t>Box28_part2_5'!$D$4</t>
  </si>
  <si>
    <t>Box28_part2_5'!$D$6</t>
  </si>
  <si>
    <t>Box28_part2_5'!$J$12</t>
  </si>
  <si>
    <t>Box28_part2_5'!$AB$14</t>
  </si>
  <si>
    <t>Box28_part2_5'!$P$12</t>
  </si>
  <si>
    <t>es_safe_learning</t>
  </si>
  <si>
    <t>sch_safelearn_repair_y_jan</t>
  </si>
  <si>
    <t>sch_safelearn_repair_y_feb</t>
  </si>
  <si>
    <t>sch_safelearn_repair_y_mar</t>
  </si>
  <si>
    <t>sch_safelearn_repair_y_apr</t>
  </si>
  <si>
    <t>sch_safelearn_repair_y_may</t>
  </si>
  <si>
    <t>sch_safelearn_repair_y_jun</t>
  </si>
  <si>
    <t>sch_safelearn_repair_y_jul</t>
  </si>
  <si>
    <t>sch_safelearn_repair_y_aug</t>
  </si>
  <si>
    <t>sch_safelearn_repair_y_sep</t>
  </si>
  <si>
    <t>sch_safelearn_repair_y_oct</t>
  </si>
  <si>
    <t>sch_safelearn_repair_y_nov</t>
  </si>
  <si>
    <t>sch_safelearn_repair_y_dec</t>
  </si>
  <si>
    <t>number_classroom_risk_instructional_safe</t>
  </si>
  <si>
    <t>number_classroom_risk_instructional_unsafe</t>
  </si>
  <si>
    <t>number_classroom_risk_noninstructional_safe</t>
  </si>
  <si>
    <t>number_classroom_risk_noninstructional_unsafe</t>
  </si>
  <si>
    <t>number_instruct_spaces_retrofitted</t>
  </si>
  <si>
    <t>number_instruct_spaces_constructed_inclusive_resilient_design</t>
  </si>
  <si>
    <t>number_noninstruct_spaces_constructed_inclusive_resilient_design</t>
  </si>
  <si>
    <t>sch_struct_hazard_measure_seawall</t>
  </si>
  <si>
    <t>sch_struct_hazard_measure_floodwall</t>
  </si>
  <si>
    <t>sch_struct_hazard_measure_firewall</t>
  </si>
  <si>
    <t>sch_struct_hazard_measure_slopeprotect</t>
  </si>
  <si>
    <t>sch_struct_hazard_measure_others</t>
  </si>
  <si>
    <t>sch_struct_hazard_measure_others_specify</t>
  </si>
  <si>
    <t>sch_nonstruct_hazard_measure_ns_slopeprotect</t>
  </si>
  <si>
    <t>sch_nonstruct_hazard_measure_vegetation</t>
  </si>
  <si>
    <t>sch_nonstruct_hazard_measure_porlandscaping</t>
  </si>
  <si>
    <t>sch_nonstruct_hazard_measure_pruning</t>
  </si>
  <si>
    <t>sch_nonstruct_hazard_measure_others</t>
  </si>
  <si>
    <t>sch_nonstruct_hazard_measure_others_specify</t>
  </si>
  <si>
    <t>sch_conducts_regular_inspect_instruct_noninstruct_spaces</t>
  </si>
  <si>
    <t>sch_head_budget_maintenance_instruct_noninstruct_spaces</t>
  </si>
  <si>
    <t>sch_maintain_regular_repair_instruct_noninstruct_spaces</t>
  </si>
  <si>
    <t>Box29_part1'!$K$10</t>
  </si>
  <si>
    <t>Box29_part1'!$Q$10</t>
  </si>
  <si>
    <t>Box29_part1'!$K$11</t>
  </si>
  <si>
    <t>Box29_part1'!$Q$11</t>
  </si>
  <si>
    <t>Box29_part1'!$AB$13</t>
  </si>
  <si>
    <t>Box29_part1'!$AB$15</t>
  </si>
  <si>
    <t>Box29_part1'!$AB$17</t>
  </si>
  <si>
    <t>Box29_part1'!$AB$19</t>
  </si>
  <si>
    <t>number_noninstruct_spaces_retrofitted</t>
  </si>
  <si>
    <t>Box29_part1'!$G$22</t>
  </si>
  <si>
    <t>Box29_part1'!$G$23</t>
  </si>
  <si>
    <t>Box29_part1'!$G$24</t>
  </si>
  <si>
    <t>Box29_part1'!$S$22</t>
  </si>
  <si>
    <t>Box29_part1'!$S$23</t>
  </si>
  <si>
    <t>Box29_part1'!$X$23</t>
  </si>
  <si>
    <t>Box29_part1'!$G$25</t>
  </si>
  <si>
    <t>Box29_part1'!$G$26</t>
  </si>
  <si>
    <t>Box29_part1'!$G$27</t>
  </si>
  <si>
    <t>Box29_part1'!$S$25</t>
  </si>
  <si>
    <t>Box29_part1'!$S$26</t>
  </si>
  <si>
    <t>Box29_part1'!$X$26</t>
  </si>
  <si>
    <t>Box29_part1'!$D$29</t>
  </si>
  <si>
    <t>Box29_part1'!$D$30</t>
  </si>
  <si>
    <t>Box29_part1'!$D$31</t>
  </si>
  <si>
    <t>Box29_part1'!$M$36</t>
  </si>
  <si>
    <t>Box29_part1'!$P$36</t>
  </si>
  <si>
    <t>Box29_part1'!$S$36</t>
  </si>
  <si>
    <t>Box29_part1'!$V$36</t>
  </si>
  <si>
    <t>Box29_part1'!$Y$36</t>
  </si>
  <si>
    <t>Box29_part1'!$AB$36</t>
  </si>
  <si>
    <t>Box29_part1'!$M$38</t>
  </si>
  <si>
    <t>Box29_part1'!$P$38</t>
  </si>
  <si>
    <t>Box29_part1'!$S$38</t>
  </si>
  <si>
    <t>Box29_part1'!$V$38</t>
  </si>
  <si>
    <t>Box29_part1'!$Y$38</t>
  </si>
  <si>
    <t>Box29_part1'!$AB$38</t>
  </si>
  <si>
    <t>sch_safety_precaution_newold_bldg_construct</t>
  </si>
  <si>
    <t>sch_repaired_fs_instruct_beff</t>
  </si>
  <si>
    <t>sch_repaired_fs_instruct_qrf</t>
  </si>
  <si>
    <t>sch_repaired_fs_instruct_ndrrmf</t>
  </si>
  <si>
    <t>sch_repaired_fs_instruct_ep</t>
  </si>
  <si>
    <t>sch_repaired_fs_noninstruct_beff</t>
  </si>
  <si>
    <t>sch_repaired_fs_noninstruct_qrf</t>
  </si>
  <si>
    <t>sch_repaired_fs_noninstruct_ndrrmf</t>
  </si>
  <si>
    <t>sch_repaired_fs_noninstruct_ep</t>
  </si>
  <si>
    <t>sch_reconstruct_fs_instruct_beff</t>
  </si>
  <si>
    <t>sch_reconstruct_fs_instruct_qrf</t>
  </si>
  <si>
    <t>sch_reconstruct_fs_instruct_ndrrmf</t>
  </si>
  <si>
    <t>sch_reconstruct_fs_instruct_ep</t>
  </si>
  <si>
    <t>sch_reconstruct_fs_noninstruct_beff</t>
  </si>
  <si>
    <t>sch_reconstruct_fs_noninstruct_qrf</t>
  </si>
  <si>
    <t>sch_reconstruct_fs_noninstruct_ndrrmf</t>
  </si>
  <si>
    <t>sch_reconstruct_fs_noninstruct_ep</t>
  </si>
  <si>
    <t>Box29_part2'!$D$4</t>
  </si>
  <si>
    <t>Box29_part2'!$K$9</t>
  </si>
  <si>
    <t>Box29_part2'!$P$9</t>
  </si>
  <si>
    <t>Box29_part2'!$U$9</t>
  </si>
  <si>
    <t>Box29_part2'!$Z$9</t>
  </si>
  <si>
    <t>Box29_part2'!$K$10</t>
  </si>
  <si>
    <t>Box29_part2'!$P$10</t>
  </si>
  <si>
    <t>Box29_part2'!$U$10</t>
  </si>
  <si>
    <t>Box29_part2'!$Z$10</t>
  </si>
  <si>
    <t>Box29_part2'!$K$12</t>
  </si>
  <si>
    <t>Box29_part2'!$P$12</t>
  </si>
  <si>
    <t>Box29_part2'!$U$12</t>
  </si>
  <si>
    <t>Box29_part2'!$Z$12</t>
  </si>
  <si>
    <t>Box29_part2'!$K$13</t>
  </si>
  <si>
    <t>Box29_part2'!$P$13</t>
  </si>
  <si>
    <t>Box29_part2'!$U$13</t>
  </si>
  <si>
    <t>Box29_part2'!$Z$13</t>
  </si>
  <si>
    <t>es_disaster_risk</t>
  </si>
  <si>
    <t>spec_cont_plan_nh_tropicalcyclone</t>
  </si>
  <si>
    <t>spec_cont_plan_nh_flood</t>
  </si>
  <si>
    <t>spec_cont_plan_nh_drought</t>
  </si>
  <si>
    <t>spec_cont_plan_nh_landslide</t>
  </si>
  <si>
    <t>spec_cont_plan_nh_earthquake</t>
  </si>
  <si>
    <t>spec_cont_plan_nh_volcaniceruption</t>
  </si>
  <si>
    <t>spec_cont_plan_nh_tsunami</t>
  </si>
  <si>
    <t>spec_cont_plan_nh_fire</t>
  </si>
  <si>
    <t>spec_cont_plan_nh_stormsurge</t>
  </si>
  <si>
    <t>spec_cont_plan_nh_others</t>
  </si>
  <si>
    <t>spec_cont_plan_nh_others_specify</t>
  </si>
  <si>
    <t>spec_cont_plan_hih_armed_conflict</t>
  </si>
  <si>
    <t>spec_cont_plan_hih_bomb_threats</t>
  </si>
  <si>
    <t>spec_cont_plan_hih_civilian</t>
  </si>
  <si>
    <t>spec_cont_plan_hih_fire</t>
  </si>
  <si>
    <t>spec_cont_plan_hih_others</t>
  </si>
  <si>
    <t>spec_cont_plan_hih_others_specify</t>
  </si>
  <si>
    <t>slrapp_conduct_student_sch_watch_hazzard_mapping</t>
  </si>
  <si>
    <t>slrapp_incorp_studschwatch_hazmap_drrmccampbpsip</t>
  </si>
  <si>
    <t>slrapp_sch_watchteam_submit_schplanteam</t>
  </si>
  <si>
    <t>slrapp_sch_watchteam_coor_concern_agencies</t>
  </si>
  <si>
    <t>slrapp_sch_planteam_link_swhm_educadata</t>
  </si>
  <si>
    <t>sch_cont_plan_standard_hazard_vulne_assess</t>
  </si>
  <si>
    <t>sch_cont_plan_standard_evacplan</t>
  </si>
  <si>
    <t>sch_cont_plan_standard_sfrp</t>
  </si>
  <si>
    <t>sch_cont_plan_standard_tracksystem</t>
  </si>
  <si>
    <t>sch_cont_plan_standard_response_earlyrecov</t>
  </si>
  <si>
    <t>sch_cont_plan_standard_tls_wash</t>
  </si>
  <si>
    <t>sch_cont_plan_standard_pre_evaccenter</t>
  </si>
  <si>
    <t>sch_cont_plan_standard_space_temp_evaccenter</t>
  </si>
  <si>
    <t>sch_cont_plan_standard_classresump_strat</t>
  </si>
  <si>
    <t>sch_cont_plan_standard_list_emersupplies</t>
  </si>
  <si>
    <t>sch_cont_plan_standard_established_drrm_team</t>
  </si>
  <si>
    <t>sch_cont_plan_standard_lockdown_protocol</t>
  </si>
  <si>
    <t>sch_cont_plan_covid_space_quaratine_facility</t>
  </si>
  <si>
    <t>sch_cont_plan_covid_health_safety_protocol</t>
  </si>
  <si>
    <t>sch_cont_plan_covid_avail_ppe</t>
  </si>
  <si>
    <t>sch_cont_plan_covid_mgmt_covid_cases</t>
  </si>
  <si>
    <t>sch_cont_plan_conducted_with_learners</t>
  </si>
  <si>
    <t>sch_cont_plan_conducted_with_personnel</t>
  </si>
  <si>
    <t>sch_cont_plan_conducted_with_parents</t>
  </si>
  <si>
    <t>sch_cont_plan_conducted_with_lgu</t>
  </si>
  <si>
    <t>sch_cont_plan_conducted_with_partners</t>
  </si>
  <si>
    <t>sch_docu_mou_moa_ff_jmc2013_ra10821</t>
  </si>
  <si>
    <t>sch_docu_terms_cond_facilityforcovid_memo_osec_202002</t>
  </si>
  <si>
    <t>sch_present_result_fepp_pta_lgu</t>
  </si>
  <si>
    <t>sch_taken_action_result_fepp</t>
  </si>
  <si>
    <t>sch_develop_implement_drrm_commplan</t>
  </si>
  <si>
    <t>sch_implement_drrmccampbp_withpartners</t>
  </si>
  <si>
    <t>sch_participated_drrmccampdp_activities_lgu_partners</t>
  </si>
  <si>
    <t>number_partners_support_pbuilding_activities</t>
  </si>
  <si>
    <t>number_partners_support_drrm_ccamppa_activities</t>
  </si>
  <si>
    <t>number_drrm_ccam_pbpppa_imple_withpartners</t>
  </si>
  <si>
    <t>number_drrm_ccam_pbp_conducted_teaching_nonteaching</t>
  </si>
  <si>
    <t>Box30_part1'!$D$7</t>
  </si>
  <si>
    <t>Box30_part1'!$D$8</t>
  </si>
  <si>
    <t>Box30_part1'!$D$10</t>
  </si>
  <si>
    <t>Box30_part1'!$D$12</t>
  </si>
  <si>
    <t>Box30_part1'!$D$14</t>
  </si>
  <si>
    <t>Box30_part1'!$D$18</t>
  </si>
  <si>
    <t>Box30_part1'!$D$19</t>
  </si>
  <si>
    <t>Box30_part1'!$D$20</t>
  </si>
  <si>
    <t>Box30_part1'!$D$21</t>
  </si>
  <si>
    <t>Box30_part1'!$D$22</t>
  </si>
  <si>
    <t>Box30_part1'!$J$18</t>
  </si>
  <si>
    <t>Box30_part1'!$J$19</t>
  </si>
  <si>
    <t>Box30_part1'!$J$20</t>
  </si>
  <si>
    <t>Box30_part1'!$J$21</t>
  </si>
  <si>
    <t>Box30_part1'!$J$22</t>
  </si>
  <si>
    <t>Box30_part1'!$O$22</t>
  </si>
  <si>
    <t>Box30_part1'!$V$22</t>
  </si>
  <si>
    <t>Box30_part1'!$V$18</t>
  </si>
  <si>
    <t>Box30_part1'!$V$19</t>
  </si>
  <si>
    <t>Box30_part1'!$V$20</t>
  </si>
  <si>
    <t>Box30_part1'!$V$21</t>
  </si>
  <si>
    <t>Box30_part1'!$AA$22</t>
  </si>
  <si>
    <t>Box30_part1'!$D$26</t>
  </si>
  <si>
    <t>Box30_part1'!$D$28</t>
  </si>
  <si>
    <t>Box30_part1'!$D$29</t>
  </si>
  <si>
    <t>Box30_part1'!$D$31</t>
  </si>
  <si>
    <t>Box30_part1'!$D$33</t>
  </si>
  <si>
    <t>Box30_part1'!$D$34</t>
  </si>
  <si>
    <t>Box30_part1'!$D$36</t>
  </si>
  <si>
    <t>Box30_part1'!$D$39</t>
  </si>
  <si>
    <t>Box30_part1'!$D$42</t>
  </si>
  <si>
    <t>Box30_part1'!$T$26</t>
  </si>
  <si>
    <t>Box30_part1'!$T$29</t>
  </si>
  <si>
    <t>Box30_part1'!$T$30</t>
  </si>
  <si>
    <t>Box30_part1'!$T$32</t>
  </si>
  <si>
    <t>Box30_part1'!$T$36</t>
  </si>
  <si>
    <t>Box30_part1'!$T$34</t>
  </si>
  <si>
    <t>sch_cont_plan_standard_list_partners_event_disaster_emergency</t>
  </si>
  <si>
    <t>Box30_part1'!$T$39</t>
  </si>
  <si>
    <t>Box30_part1'!$T$41</t>
  </si>
  <si>
    <t>Box30_part1'!$G$45</t>
  </si>
  <si>
    <t>Box30_part1'!$L$45</t>
  </si>
  <si>
    <t>Box30_part1'!$R$45</t>
  </si>
  <si>
    <t>Box30_part1'!$W$45</t>
  </si>
  <si>
    <t>Box30_part1'!$AB$45</t>
  </si>
  <si>
    <t>Box30_part1'!$D$46</t>
  </si>
  <si>
    <t>Box30_part1'!$D$48</t>
  </si>
  <si>
    <t>Box30_part1'!$D$50</t>
  </si>
  <si>
    <t>Box30_part1'!$D$51</t>
  </si>
  <si>
    <t>Box30_part1'!$D$52</t>
  </si>
  <si>
    <t>Box30_part1'!$D$53</t>
  </si>
  <si>
    <t>Box30_part1'!$D$54</t>
  </si>
  <si>
    <t>Box30_part1'!$AD$56</t>
  </si>
  <si>
    <t>Box30_part1'!$AD$58</t>
  </si>
  <si>
    <t>Box30_part1'!$AD$60</t>
  </si>
  <si>
    <t>Box30_part1'!$AD$62</t>
  </si>
  <si>
    <t>sch_conducted_brigada_eskwela_ensure_school_safety</t>
  </si>
  <si>
    <t>sch_functional_early_warning_system</t>
  </si>
  <si>
    <t>sch_provided_safety_emer_supplies_deped_partners</t>
  </si>
  <si>
    <t>number_emergency_supplies_equip_foldstretch_deped</t>
  </si>
  <si>
    <t>number_emergency_supplies_equip_foldstretch_partner</t>
  </si>
  <si>
    <t>number_emergency_supplies_equip_cadaver_deped</t>
  </si>
  <si>
    <t>number_emergency_supplies_equip_cadaver_partner</t>
  </si>
  <si>
    <t>number_emergency_supplies_equip_ccollar_deped</t>
  </si>
  <si>
    <t>number_emergency_supplies_equip_ccollar_partner</t>
  </si>
  <si>
    <t>number_emergency_supplies_equip_cot_deped</t>
  </si>
  <si>
    <t>number_emergency_supplies_equip_cot_partner</t>
  </si>
  <si>
    <t>number_emergency_supplies_equip_cprboard_deped</t>
  </si>
  <si>
    <t>number_emergency_supplies_equip_cprboard_partner</t>
  </si>
  <si>
    <t>number_emergency_supplies_equip_headlamp_deped</t>
  </si>
  <si>
    <t>number_emergency_supplies_equip_headlamp_partner</t>
  </si>
  <si>
    <t>number_emergency_supplies_equip_whistle_deped</t>
  </si>
  <si>
    <t>number_emergency_supplies_equip_whistle_partner</t>
  </si>
  <si>
    <t>number_emergency_supplies_equip_fireextinguisher_deped</t>
  </si>
  <si>
    <t>number_emergency_supplies_equip_fireextinguisher_partner</t>
  </si>
  <si>
    <t>number_emergency_supplies_equip_fak_learner_deped</t>
  </si>
  <si>
    <t>number_emergency_supplies_equip_fak_learner_partner</t>
  </si>
  <si>
    <t>number_emergency_supplies_equip_fak_personnel_deped</t>
  </si>
  <si>
    <t>number_emergency_supplies_equip_fak_personnel_partner</t>
  </si>
  <si>
    <t>number_emergency_supplies_equip_gobag_learner_deped</t>
  </si>
  <si>
    <t>number_emergency_supplies_equip_gobag_learner_partner</t>
  </si>
  <si>
    <t>number_emergency_supplies_equip_gobag_personnel_deped</t>
  </si>
  <si>
    <t>number_emergency_supplies_equip_gobag_personnel_partner</t>
  </si>
  <si>
    <t>number_emergency_supplies_equip_radio_deped</t>
  </si>
  <si>
    <t>number_emergency_supplies_equip_radio_partner</t>
  </si>
  <si>
    <t>number_emergency_supplies_equip_ledflashlight_deped</t>
  </si>
  <si>
    <t>number_emergency_supplies_equip_ledflashlight_partner</t>
  </si>
  <si>
    <t>number_emergency_supplies_equip_ledsearchlight_deped</t>
  </si>
  <si>
    <t>number_emergency_supplies_equip_ledsearchlight_partner</t>
  </si>
  <si>
    <t>number_emergency_supplies_equip_lifevest_deped</t>
  </si>
  <si>
    <t>number_emergency_supplies_equip_lifevest_partner</t>
  </si>
  <si>
    <t>number_emergency_supplies_equip_mediccushion_deped</t>
  </si>
  <si>
    <t>number_emergency_supplies_equip_mediccushion_partner</t>
  </si>
  <si>
    <t>number_emergency_supplies_equip_spineboard_deped</t>
  </si>
  <si>
    <t>number_emergency_supplies_equip_spineboard_partner</t>
  </si>
  <si>
    <t>number_emergency_supplies_equip_pasystem_deped</t>
  </si>
  <si>
    <t>number_emergency_supplies_equip_pasystem_partner</t>
  </si>
  <si>
    <t>number_emergency_supplies_equip_safetycoat_deped</t>
  </si>
  <si>
    <t>number_emergency_supplies_equip_safetycoat_partner</t>
  </si>
  <si>
    <t>number_emergency_supplies_equip_safetyhelmet_deped</t>
  </si>
  <si>
    <t>number_emergency_supplies_equip_safetyhelmet_partner</t>
  </si>
  <si>
    <t>number_emergency_supplies_equip_safetyshoes_deped</t>
  </si>
  <si>
    <t>number_emergency_supplies_equip_safetyshoes_partner</t>
  </si>
  <si>
    <t>number_emergency_supplies_equip_splinter_deped</t>
  </si>
  <si>
    <t>number_emergency_supplies_equip_splinter_partner</t>
  </si>
  <si>
    <t>number_emergency_supplies_equip_steelbox_deped</t>
  </si>
  <si>
    <t>number_emergency_supplies_equip_steelbox_partner</t>
  </si>
  <si>
    <t>number_emergency_supplies_equip_steelcabinet_deped</t>
  </si>
  <si>
    <t>number_emergency_supplies_equip_steelcabinet_partner</t>
  </si>
  <si>
    <t>number_emergency_supplies_equip_trafficvest_deped</t>
  </si>
  <si>
    <t>number_emergency_supplies_equip_trafficvest_partner</t>
  </si>
  <si>
    <t>number_emergency_supplies_equip_transpobag_deped</t>
  </si>
  <si>
    <t>number_emergency_supplies_equip_transpobag_partner</t>
  </si>
  <si>
    <t>number_emergency_supplies_equip_traumabag_deped</t>
  </si>
  <si>
    <t>number_emergency_supplies_equip_traumabag_partner</t>
  </si>
  <si>
    <t>number_emergency_supplies_equip_headimmobilizer_deped</t>
  </si>
  <si>
    <t>number_emergency_supplies_equip_headimmobilizer_partner</t>
  </si>
  <si>
    <t>number_response_rescue_equip_bicycle_deped</t>
  </si>
  <si>
    <t>number_response_rescue_equip_bicycle_partner</t>
  </si>
  <si>
    <t>number_response_rescue_equip_firecabinet_deped</t>
  </si>
  <si>
    <t>number_response_rescue_equip_firecabinet_partner</t>
  </si>
  <si>
    <t>number_response_rescue_equip_fireextinguisher_deped</t>
  </si>
  <si>
    <t>number_response_rescue_equip_fireextinguisher_partner</t>
  </si>
  <si>
    <t>number_response_rescue_equip_firehose_deped</t>
  </si>
  <si>
    <t>number_response_rescue_equip_firehose_partner</t>
  </si>
  <si>
    <t>number_response_rescue_equip_lifevest_deped</t>
  </si>
  <si>
    <t>number_response_rescue_equip_lifevest_partner</t>
  </si>
  <si>
    <t>number_response_rescue_equip_motorbanca_deped</t>
  </si>
  <si>
    <t>number_response_rescue_equip_motorbanca_partner</t>
  </si>
  <si>
    <t>number_response_rescue_equip_powersprayer_deped</t>
  </si>
  <si>
    <t>number_response_rescue_equip_powersprayer_partner</t>
  </si>
  <si>
    <t>sch_participated_drill_01_earthquake</t>
  </si>
  <si>
    <t>sch_participated_drill_02_earthquake</t>
  </si>
  <si>
    <t>sch_participated_drill_03_earthquake</t>
  </si>
  <si>
    <t>sch_participated_drill_04_earthquake</t>
  </si>
  <si>
    <t>sch_participated_drill_05_earthquake</t>
  </si>
  <si>
    <t>sch_participated_drill_06_earthquake</t>
  </si>
  <si>
    <t>sch_participated_drill_07_earthquake</t>
  </si>
  <si>
    <t>sch_participated_drill_08_earthquake</t>
  </si>
  <si>
    <t>sch_participated_drill_09_earthquake</t>
  </si>
  <si>
    <t>sch_participated_drill_10_earthquake</t>
  </si>
  <si>
    <t>sch_participated_drill_11_earthquake</t>
  </si>
  <si>
    <t>sch_participated_drill_12_earthquake</t>
  </si>
  <si>
    <t>sch_participated_drill_01_fire</t>
  </si>
  <si>
    <t>sch_participated_drill_02_fire</t>
  </si>
  <si>
    <t>sch_participated_drill_03_fire</t>
  </si>
  <si>
    <t>sch_participated_drill_04_fire</t>
  </si>
  <si>
    <t>sch_participated_drill_05_fire</t>
  </si>
  <si>
    <t>sch_participated_drill_06_fire</t>
  </si>
  <si>
    <t>sch_participated_drill_07_fire</t>
  </si>
  <si>
    <t>sch_participated_drill_08_fire</t>
  </si>
  <si>
    <t>sch_participated_drill_09_fire</t>
  </si>
  <si>
    <t>sch_participated_drill_10_fire</t>
  </si>
  <si>
    <t>sch_participated_drill_11_fire</t>
  </si>
  <si>
    <t>sch_participated_drill_12_fire</t>
  </si>
  <si>
    <t>sch_participated_drill_01_flood_evacuation</t>
  </si>
  <si>
    <t>sch_participated_drill_02_flood_evacuation</t>
  </si>
  <si>
    <t>sch_participated_drill_03_flood_evacuation</t>
  </si>
  <si>
    <t>sch_participated_drill_04_flood_evacuation</t>
  </si>
  <si>
    <t>sch_participated_drill_05_flood_evacuation</t>
  </si>
  <si>
    <t>sch_participated_drill_06_flood_evacuation</t>
  </si>
  <si>
    <t>sch_participated_drill_07_flood_evacuation</t>
  </si>
  <si>
    <t>sch_participated_drill_08_flood_evacuation</t>
  </si>
  <si>
    <t>sch_participated_drill_09_flood_evacuation</t>
  </si>
  <si>
    <t>sch_participated_drill_10_flood_evacuation</t>
  </si>
  <si>
    <t>sch_participated_drill_11_flood_evacuation</t>
  </si>
  <si>
    <t>sch_participated_drill_12_flood_evacuation</t>
  </si>
  <si>
    <t>sch_participated_drill_01_lockdown</t>
  </si>
  <si>
    <t>sch_participated_drill_02_lockdown</t>
  </si>
  <si>
    <t>sch_participated_drill_03_lockdown</t>
  </si>
  <si>
    <t>sch_participated_drill_04_lockdown</t>
  </si>
  <si>
    <t>sch_participated_drill_05_lockdown</t>
  </si>
  <si>
    <t>sch_participated_drill_06_lockdown</t>
  </si>
  <si>
    <t>sch_participated_drill_07_lockdown</t>
  </si>
  <si>
    <t>sch_participated_drill_08_lockdown</t>
  </si>
  <si>
    <t>sch_participated_drill_09_lockdown</t>
  </si>
  <si>
    <t>sch_participated_drill_10_lockdown</t>
  </si>
  <si>
    <t>sch_participated_drill_11_lockdown</t>
  </si>
  <si>
    <t>sch_participated_drill_12_lockdown</t>
  </si>
  <si>
    <t>sch_participated_drill_01_stormsurge</t>
  </si>
  <si>
    <t>sch_participated_drill_02_stormsurge</t>
  </si>
  <si>
    <t>sch_participated_drill_03_stormsurge</t>
  </si>
  <si>
    <t>sch_participated_drill_04_stormsurge</t>
  </si>
  <si>
    <t>sch_participated_drill_05_stormsurge</t>
  </si>
  <si>
    <t>sch_participated_drill_06_stormsurge</t>
  </si>
  <si>
    <t>sch_participated_drill_07_stormsurge</t>
  </si>
  <si>
    <t>sch_participated_drill_08_stormsurge</t>
  </si>
  <si>
    <t>sch_participated_drill_09_stormsurge</t>
  </si>
  <si>
    <t>sch_participated_drill_10_stormsurge</t>
  </si>
  <si>
    <t>sch_participated_drill_11_stormsurge</t>
  </si>
  <si>
    <t>sch_participated_drill_12_stormsurge</t>
  </si>
  <si>
    <t>sch_participated_drill_01_tsunami</t>
  </si>
  <si>
    <t>sch_participated_drill_02_tsunami</t>
  </si>
  <si>
    <t>sch_participated_drill_03_tsunami</t>
  </si>
  <si>
    <t>sch_participated_drill_04_tsunami</t>
  </si>
  <si>
    <t>sch_participated_drill_05_tsunami</t>
  </si>
  <si>
    <t>sch_participated_drill_06_tsunami</t>
  </si>
  <si>
    <t>sch_participated_drill_07_tsunami</t>
  </si>
  <si>
    <t>sch_participated_drill_08_tsunami</t>
  </si>
  <si>
    <t>sch_participated_drill_09_tsunami</t>
  </si>
  <si>
    <t>sch_participated_drill_10_tsunami</t>
  </si>
  <si>
    <t>sch_participated_drill_11_tsunami</t>
  </si>
  <si>
    <t>sch_participated_drill_12_tsunami</t>
  </si>
  <si>
    <t>sch_personnel_participated_drills_teaching_m</t>
  </si>
  <si>
    <t>sch_personnel_participated_drills_teaching_f</t>
  </si>
  <si>
    <t>sch_personnel_participated_drills_nonteaching_m</t>
  </si>
  <si>
    <t>sch_personnel_participated_drills_nonteaching_f</t>
  </si>
  <si>
    <t>sch_learner_participated_drills_exclude_m</t>
  </si>
  <si>
    <t>sch_learner_participated_drills_exclude_f</t>
  </si>
  <si>
    <t>sch_learner_participated_drills_ip_m</t>
  </si>
  <si>
    <t>sch_learner_participated_drills_ip_f</t>
  </si>
  <si>
    <t>sch_learner_participated_drills_muslim_m</t>
  </si>
  <si>
    <t>sch_learner_participated_drills_muslim_f</t>
  </si>
  <si>
    <t>sch_learner_participated_drills_lwd_m</t>
  </si>
  <si>
    <t>sch_learner_participated_drills_lwd_f</t>
  </si>
  <si>
    <t>Box30_part2'!$F$4</t>
  </si>
  <si>
    <t>Box30_part2'!$F$5</t>
  </si>
  <si>
    <t>Box30_part2'!$F$7</t>
  </si>
  <si>
    <t>Box30_part2'!$N$11</t>
  </si>
  <si>
    <t>Box30_part2'!$Q$11</t>
  </si>
  <si>
    <t>Box30_part2'!$N$12</t>
  </si>
  <si>
    <t>Box30_part2'!$Q$12</t>
  </si>
  <si>
    <t>Box30_part2'!$N$13</t>
  </si>
  <si>
    <t>Box30_part2'!$Q$13</t>
  </si>
  <si>
    <t>Box30_part2'!$N$14</t>
  </si>
  <si>
    <t>Box30_part2'!$Q$14</t>
  </si>
  <si>
    <t>Box30_part2'!$N$15</t>
  </si>
  <si>
    <t>Box30_part2'!$Q$15</t>
  </si>
  <si>
    <t>Box30_part2'!$N$16</t>
  </si>
  <si>
    <t>Box30_part2'!$Q$16</t>
  </si>
  <si>
    <t>Box30_part2'!$N$17</t>
  </si>
  <si>
    <t>Box30_part2'!$Q$17</t>
  </si>
  <si>
    <t>Box30_part2'!$N$18</t>
  </si>
  <si>
    <t>Box30_part2'!$Q$18</t>
  </si>
  <si>
    <t>Box30_part2'!$N$19</t>
  </si>
  <si>
    <t>Box30_part2'!$Q$19</t>
  </si>
  <si>
    <t>Box30_part2'!$N$20</t>
  </si>
  <si>
    <t>Box30_part2'!$Q$20</t>
  </si>
  <si>
    <t>Box30_part2'!$N$22</t>
  </si>
  <si>
    <t>Box30_part2'!$Q$22</t>
  </si>
  <si>
    <t>Box30_part2'!$N$24</t>
  </si>
  <si>
    <t>Box30_part2'!$Q$24</t>
  </si>
  <si>
    <t>Box30_part2'!$N$26</t>
  </si>
  <si>
    <t>Box30_part2'!$Q$26</t>
  </si>
  <si>
    <t>Box30_part2'!$N$27</t>
  </si>
  <si>
    <t>Box30_part2'!$Q$27</t>
  </si>
  <si>
    <t>Box30_part2'!$N$28</t>
  </si>
  <si>
    <t>Box30_part2'!$Q$28</t>
  </si>
  <si>
    <t>Box30_part2'!$N$29</t>
  </si>
  <si>
    <t>Box30_part2'!$Q$29</t>
  </si>
  <si>
    <t>Box30_part2'!$N$30</t>
  </si>
  <si>
    <t>Box30_part2'!$Q$30</t>
  </si>
  <si>
    <t>Box30_part2'!$N$31</t>
  </si>
  <si>
    <t>Box30_part2'!$N$33</t>
  </si>
  <si>
    <t>Box30_part2'!$Q$31</t>
  </si>
  <si>
    <t>Box30_part2'!$Q$33</t>
  </si>
  <si>
    <t>Box30_part2'!$N$34</t>
  </si>
  <si>
    <t>Box30_part2'!$Q$34</t>
  </si>
  <si>
    <t>Box30_part2'!$N$35</t>
  </si>
  <si>
    <t>Box30_part2'!$Q$35</t>
  </si>
  <si>
    <t>Box30_part2'!$N$36</t>
  </si>
  <si>
    <t>Box30_part2'!$Q$36</t>
  </si>
  <si>
    <t>Box30_part2'!$N$37</t>
  </si>
  <si>
    <t>Box30_part2'!$Q$37</t>
  </si>
  <si>
    <t>Box30_part2'!$N$38</t>
  </si>
  <si>
    <t>Box30_part2'!$Q$38</t>
  </si>
  <si>
    <t>Box30_part2'!$N$39</t>
  </si>
  <si>
    <t>Box30_part2'!$Q$39</t>
  </si>
  <si>
    <t>Box30_part2'!$N$40</t>
  </si>
  <si>
    <t>Box30_part2'!$Q$40</t>
  </si>
  <si>
    <t>Box30_part2'!$N$41</t>
  </si>
  <si>
    <t>Box30_part2'!$Q$41</t>
  </si>
  <si>
    <t>Box30_part2'!$N$42</t>
  </si>
  <si>
    <t>Box30_part2'!$Q$42</t>
  </si>
  <si>
    <t>Box30_part2'!$N$44</t>
  </si>
  <si>
    <t>Box30_part2'!$Q$44</t>
  </si>
  <si>
    <t>Box30_part2'!$AF$11</t>
  </si>
  <si>
    <t>Box30_part2'!$AI$11</t>
  </si>
  <si>
    <t>Box30_part2'!$AF$12</t>
  </si>
  <si>
    <t>Box30_part2'!$AI$12</t>
  </si>
  <si>
    <t>Box30_part2'!$AF$13</t>
  </si>
  <si>
    <t>Box30_part2'!$AI$13</t>
  </si>
  <si>
    <t>Box30_part2'!$AF$14</t>
  </si>
  <si>
    <t>Box30_part2'!$AI$14</t>
  </si>
  <si>
    <t>Box30_part2'!$AF$15</t>
  </si>
  <si>
    <t>Box30_part2'!$AI$15</t>
  </si>
  <si>
    <t>Box30_part2'!$AF$17</t>
  </si>
  <si>
    <t>Box30_part2'!$AI$17</t>
  </si>
  <si>
    <t>Box30_part2'!$AF$19</t>
  </si>
  <si>
    <t>Box30_part2'!$AI$19</t>
  </si>
  <si>
    <t>Box30_part2'!$N$48</t>
  </si>
  <si>
    <t>Box30_part2'!$P$48</t>
  </si>
  <si>
    <t>Box30_part2'!$R$48</t>
  </si>
  <si>
    <t>Box30_part2'!$T$48</t>
  </si>
  <si>
    <t>Box30_part2'!$V$48</t>
  </si>
  <si>
    <t>Box30_part2'!$X$48</t>
  </si>
  <si>
    <t>Box30_part2'!$Z$48</t>
  </si>
  <si>
    <t>Box30_part2'!$AB$48</t>
  </si>
  <si>
    <t>Box30_part2'!$AD$48</t>
  </si>
  <si>
    <t>Box30_part2'!$AF$48</t>
  </si>
  <si>
    <t>Box30_part2'!$AH$48</t>
  </si>
  <si>
    <t>Box30_part2'!$AJ$48</t>
  </si>
  <si>
    <t>Box30_part2'!$N$49</t>
  </si>
  <si>
    <t>Box30_part2'!$P$49</t>
  </si>
  <si>
    <t>Box30_part2'!$R$49</t>
  </si>
  <si>
    <t>Box30_part2'!$T$49</t>
  </si>
  <si>
    <t>Box30_part2'!$V$49</t>
  </si>
  <si>
    <t>Box30_part2'!$X$49</t>
  </si>
  <si>
    <t>Box30_part2'!$Z$49</t>
  </si>
  <si>
    <t>Box30_part2'!$AB$49</t>
  </si>
  <si>
    <t>Box30_part2'!$AD$49</t>
  </si>
  <si>
    <t>Box30_part2'!$AF$49</t>
  </si>
  <si>
    <t>Box30_part2'!$AH$49</t>
  </si>
  <si>
    <t>Box30_part2'!$AJ$49</t>
  </si>
  <si>
    <t>Box30_part2'!$N$50</t>
  </si>
  <si>
    <t>Box30_part2'!$P$50</t>
  </si>
  <si>
    <t>Box30_part2'!$R$50</t>
  </si>
  <si>
    <t>Box30_part2'!$T$50</t>
  </si>
  <si>
    <t>Box30_part2'!$V$50</t>
  </si>
  <si>
    <t>Box30_part2'!$X$50</t>
  </si>
  <si>
    <t>Box30_part2'!$Z$50</t>
  </si>
  <si>
    <t>Box30_part2'!$AB$50</t>
  </si>
  <si>
    <t>Box30_part2'!$AD$50</t>
  </si>
  <si>
    <t>Box30_part2'!$AF$50</t>
  </si>
  <si>
    <t>Box30_part2'!$AH$50</t>
  </si>
  <si>
    <t>Box30_part2'!$AJ$50</t>
  </si>
  <si>
    <t>Box30_part2'!$N$51</t>
  </si>
  <si>
    <t>Box30_part2'!$P$51</t>
  </si>
  <si>
    <t>Box30_part2'!$R$51</t>
  </si>
  <si>
    <t>Box30_part2'!$T$51</t>
  </si>
  <si>
    <t>Box30_part2'!$V$51</t>
  </si>
  <si>
    <t>Box30_part2'!$X$51</t>
  </si>
  <si>
    <t>Box30_part2'!$Z$51</t>
  </si>
  <si>
    <t>Box30_part2'!$AB$51</t>
  </si>
  <si>
    <t>Box30_part2'!$AD$51</t>
  </si>
  <si>
    <t>Box30_part2'!$AF$51</t>
  </si>
  <si>
    <t>Box30_part2'!$AH$51</t>
  </si>
  <si>
    <t>Box30_part2'!$AJ$51</t>
  </si>
  <si>
    <t>Box30_part2'!$N$52</t>
  </si>
  <si>
    <t>Box30_part2'!$P$52</t>
  </si>
  <si>
    <t>Box30_part2'!$R$52</t>
  </si>
  <si>
    <t>Box30_part2'!$T$52</t>
  </si>
  <si>
    <t>Box30_part2'!$V$52</t>
  </si>
  <si>
    <t>Box30_part2'!$X$52</t>
  </si>
  <si>
    <t>Box30_part2'!$Z$52</t>
  </si>
  <si>
    <t>Box30_part2'!$AB$52</t>
  </si>
  <si>
    <t>Box30_part2'!$AD$52</t>
  </si>
  <si>
    <t>Box30_part2'!$AF$52</t>
  </si>
  <si>
    <t>Box30_part2'!$AH$52</t>
  </si>
  <si>
    <t>Box30_part2'!$AJ$52</t>
  </si>
  <si>
    <t>Box30_part2'!$N$53</t>
  </si>
  <si>
    <t>Box30_part2'!$P$53</t>
  </si>
  <si>
    <t>Box30_part2'!$R$53</t>
  </si>
  <si>
    <t>Box30_part2'!$T$53</t>
  </si>
  <si>
    <t>Box30_part2'!$V$53</t>
  </si>
  <si>
    <t>Box30_part2'!$X$53</t>
  </si>
  <si>
    <t>Box30_part2'!$Z$53</t>
  </si>
  <si>
    <t>Box30_part2'!$AB$53</t>
  </si>
  <si>
    <t>Box30_part2'!$AD$53</t>
  </si>
  <si>
    <t>Box30_part2'!$AF$53</t>
  </si>
  <si>
    <t>Box30_part2'!$AH$53</t>
  </si>
  <si>
    <t>Box30_part2'!$AJ$53</t>
  </si>
  <si>
    <t>Box30_part2'!$F$59</t>
  </si>
  <si>
    <t>Box30_part2'!$I$59</t>
  </si>
  <si>
    <t>Box30_part2'!$L$59</t>
  </si>
  <si>
    <t>Box30_part2'!$O$59</t>
  </si>
  <si>
    <t>Box30_part2'!$F$65</t>
  </si>
  <si>
    <t>Box30_part2'!$I$65</t>
  </si>
  <si>
    <t>Box30_part2'!$L$65</t>
  </si>
  <si>
    <t>Box30_part2'!$O$65</t>
  </si>
  <si>
    <t>Box30_part2'!$R$65</t>
  </si>
  <si>
    <t>Box30_part2'!$U$65</t>
  </si>
  <si>
    <t>Box30_part2'!$X$65</t>
  </si>
  <si>
    <t>Box30_part2'!$AA$65</t>
  </si>
  <si>
    <t>sch_conduct_brigada_aftermath_disaster</t>
  </si>
  <si>
    <t>sch_number_partners_support_pbuilding_after_armed</t>
  </si>
  <si>
    <t>sch_submit_radar_to_drrmsco_after_hazard</t>
  </si>
  <si>
    <t>response_interv_drrms_fundsupport_tempspace_number</t>
  </si>
  <si>
    <t>response_interv_drrms_fundsupport_tempspace_date</t>
  </si>
  <si>
    <t>response_interv_drrms_fundsupport_tempwash_number</t>
  </si>
  <si>
    <t>response_interv_drrms_fundsupport_tempwash_date</t>
  </si>
  <si>
    <t>response_interv_drrms_fundsupport_emerfeeding_number</t>
  </si>
  <si>
    <t>response_interv_drrms_fundsupport_emerfeeding_date</t>
  </si>
  <si>
    <t>response_interv_drrms_hygienekit_number</t>
  </si>
  <si>
    <t>response_interv_drrms_hygienekit_date</t>
  </si>
  <si>
    <t>response_interv_drrms_learnerkit_number</t>
  </si>
  <si>
    <t>response_interv_drrms_learnerkit_date</t>
  </si>
  <si>
    <t>response_interv_drrms_teacherkit_number</t>
  </si>
  <si>
    <t>response_interv_drrms_teacherkit_date</t>
  </si>
  <si>
    <t>response_interv_drrms_material_adm_number</t>
  </si>
  <si>
    <t>response_interv_drrms_material_adm_date</t>
  </si>
  <si>
    <t>response_interv_drrms_fundsupport_cleanup_number</t>
  </si>
  <si>
    <t>response_interv_drrms_fundsupport_cleanup_date</t>
  </si>
  <si>
    <t>response_interv_partner_donation_number</t>
  </si>
  <si>
    <t>response_interv_partner_emerfeeding_number</t>
  </si>
  <si>
    <t>response_interv_partner_hygienekit_number</t>
  </si>
  <si>
    <t>response_interv_partner_learnerkit_number</t>
  </si>
  <si>
    <t>response_interv_partner_teacherkit_number</t>
  </si>
  <si>
    <t>response_interv_partner_material_adm_number</t>
  </si>
  <si>
    <t>response_interv_partner_material_mhpss_number</t>
  </si>
  <si>
    <t>response_interv_partner_temp_learningspace_number</t>
  </si>
  <si>
    <t>response_interv_partner_temp_wash_number</t>
  </si>
  <si>
    <t>number_personnel_trained_adm_partofresponse_teaching_m</t>
  </si>
  <si>
    <t>number_personnel_trained_adm_partofresponse_teaching_f</t>
  </si>
  <si>
    <t>number_personnel_trained_adm_aftermath_teaching_m</t>
  </si>
  <si>
    <t>number_personnel_trained_adm_aftermath_teaching_f</t>
  </si>
  <si>
    <t>sch_imple_strategy_adm_educcontinuity_disaster_nh</t>
  </si>
  <si>
    <t>sch_imple_strategy_adm_educcontinuity_disaster_armed</t>
  </si>
  <si>
    <t>resump_strat_class_shift</t>
  </si>
  <si>
    <t>resump_strat_class_shift_number</t>
  </si>
  <si>
    <t>resump_strat_makeup_class</t>
  </si>
  <si>
    <t>resump_strat_makeup_class_number</t>
  </si>
  <si>
    <t>resump_strat_online_learning</t>
  </si>
  <si>
    <t>resump_strat_online_learning_number</t>
  </si>
  <si>
    <t>resump_strat_modular_learning</t>
  </si>
  <si>
    <t>resump_strat_modular_learning_number</t>
  </si>
  <si>
    <t>resump_strat_peer_learning</t>
  </si>
  <si>
    <t>resump_strat_peer_learning_number</t>
  </si>
  <si>
    <t>resump_strat_prog_teaching</t>
  </si>
  <si>
    <t>resump_strat_prog_teaching_number</t>
  </si>
  <si>
    <t>adm_eimpact_number</t>
  </si>
  <si>
    <t>adm_eimpact</t>
  </si>
  <si>
    <t>adm_homeschool</t>
  </si>
  <si>
    <t>adm_homeschool_number</t>
  </si>
  <si>
    <t>adm_misosa</t>
  </si>
  <si>
    <t>adm_misosa_number</t>
  </si>
  <si>
    <t>adm_nighthighschool</t>
  </si>
  <si>
    <t>adm_nighthighschool_number</t>
  </si>
  <si>
    <t>adm_ohsp</t>
  </si>
  <si>
    <t>adm_ohsp_number</t>
  </si>
  <si>
    <t>number_learners_affect_learning_session_exclude_m</t>
  </si>
  <si>
    <t>number_learners_affect_learning_session_exclude_f</t>
  </si>
  <si>
    <t>number_learners_affect_learning_session_ip_m</t>
  </si>
  <si>
    <t>number_learners_affect_learning_session_ip_f</t>
  </si>
  <si>
    <t>number_learners_affect_learning_session_muslim_m</t>
  </si>
  <si>
    <t>number_learners_affect_learning_session_muslim_f</t>
  </si>
  <si>
    <t>number_learners_affect_learning_session_lwd_m</t>
  </si>
  <si>
    <t>number_learners_affect_learning_session_lwd_f</t>
  </si>
  <si>
    <t>number_learners_affect_mhpss_exclude_m</t>
  </si>
  <si>
    <t>number_learners_affect_mhpss_exclude_f</t>
  </si>
  <si>
    <t>number_learners_affect_mhpss_ip_m</t>
  </si>
  <si>
    <t>number_learners_affect_mhpss_ip_f</t>
  </si>
  <si>
    <t>number_learners_affect_mhpss_muslim_m</t>
  </si>
  <si>
    <t>number_learners_affect_mhpss_muslim_f</t>
  </si>
  <si>
    <t>number_learners_affect_mhpss_lwd_m</t>
  </si>
  <si>
    <t>number_learners_affect_mhpss_lwd_f</t>
  </si>
  <si>
    <t>number_learners_affect_need_pss_exclude_m</t>
  </si>
  <si>
    <t>number_learners_affect_need_pss_exclude_f</t>
  </si>
  <si>
    <t>number_learners_affect_need_pss_ip_m</t>
  </si>
  <si>
    <t>number_learners_affect_need_pss_ip_f</t>
  </si>
  <si>
    <t>number_learners_affect_need_pss_muslim_m</t>
  </si>
  <si>
    <t>number_learners_affect_need_pss_muslim_f</t>
  </si>
  <si>
    <t>number_learners_affect_need_pss_lwd_m</t>
  </si>
  <si>
    <t>number_learners_affect_need_pss_lwd_f</t>
  </si>
  <si>
    <t>number_learners_affect_ref_mechanism_exclude_m</t>
  </si>
  <si>
    <t>number_learners_affect_ref_mechanism_exclude_f</t>
  </si>
  <si>
    <t>number_learners_affect_ref_mechanism_ip_m</t>
  </si>
  <si>
    <t>number_learners_affect_ref_mechanism_ip_f</t>
  </si>
  <si>
    <t>number_learners_affect_ref_mechanism_muslim_m</t>
  </si>
  <si>
    <t>number_learners_affect_ref_mechanism_muslim_f</t>
  </si>
  <si>
    <t>number_learners_affect_ref_mechanism_lwd_m</t>
  </si>
  <si>
    <t>number_learners_affect_ref_mechanism_lwd_f</t>
  </si>
  <si>
    <t>Box30_part3a'!$E$4</t>
  </si>
  <si>
    <t>Box30_part3a'!$AI$5</t>
  </si>
  <si>
    <t>Box30_part3a'!$E$7</t>
  </si>
  <si>
    <t>Box30_part3a'!$M$13</t>
  </si>
  <si>
    <t>Box30_part3a'!$Q$13</t>
  </si>
  <si>
    <t>Box30_part3a'!$M$15</t>
  </si>
  <si>
    <t>Box30_part3a'!$Q$15</t>
  </si>
  <si>
    <t>Box30_part3a'!$M$17</t>
  </si>
  <si>
    <t>Box30_part3a'!$Q$17</t>
  </si>
  <si>
    <t>Box30_part3a'!$M$19</t>
  </si>
  <si>
    <t>Box30_part3a'!$Q$19</t>
  </si>
  <si>
    <t>Box30_part3a'!$M$21</t>
  </si>
  <si>
    <t>Box30_part3a'!$Q$21</t>
  </si>
  <si>
    <t>Box30_part3a'!$M$22</t>
  </si>
  <si>
    <t>Box30_part3a'!$Q$22</t>
  </si>
  <si>
    <t>Box30_part3a'!$M$23</t>
  </si>
  <si>
    <t>Box30_part3a'!$Q$23</t>
  </si>
  <si>
    <t>Box30_part3a'!$M$24</t>
  </si>
  <si>
    <t>Box30_part3a'!$Q$24</t>
  </si>
  <si>
    <t>Box30_part3a'!$AH$13</t>
  </si>
  <si>
    <t>Box30_part3a'!$AH$14</t>
  </si>
  <si>
    <t>Box30_part3a'!$AH$15</t>
  </si>
  <si>
    <t>Box30_part3a'!$AH$16</t>
  </si>
  <si>
    <t>Box30_part3a'!$AH$17</t>
  </si>
  <si>
    <t>Box30_part3a'!$AH$18</t>
  </si>
  <si>
    <t>Box30_part3a'!$AH$20</t>
  </si>
  <si>
    <t>Box30_part3a'!$AH$21</t>
  </si>
  <si>
    <t>Box30_part3a'!$AH$23</t>
  </si>
  <si>
    <t>Box30_part3a'!$O$31</t>
  </si>
  <si>
    <t>Box30_part3a'!$R$31</t>
  </si>
  <si>
    <t>Box30_part3a'!$O$32</t>
  </si>
  <si>
    <t>Box30_part3a'!$R$32</t>
  </si>
  <si>
    <t>Box30_part3a'!$E$34</t>
  </si>
  <si>
    <t>Box30_part3a'!$E$36</t>
  </si>
  <si>
    <t>Box30_part3a'!$E$41</t>
  </si>
  <si>
    <t>Box30_part3a'!$M$41</t>
  </si>
  <si>
    <t>Box30_part3a'!$E$42</t>
  </si>
  <si>
    <t>Box30_part3a'!$M$42</t>
  </si>
  <si>
    <t>Box30_part3a'!$E$43</t>
  </si>
  <si>
    <t>Box30_part3a'!$M$43</t>
  </si>
  <si>
    <t>Box30_part3a'!$E$44</t>
  </si>
  <si>
    <t>Box30_part3a'!$M$44</t>
  </si>
  <si>
    <t>Box30_part3a'!$E$45</t>
  </si>
  <si>
    <t>Box30_part3a'!$M$45</t>
  </si>
  <si>
    <t>Box30_part3a'!$E$46</t>
  </si>
  <si>
    <t>Box30_part3a'!$M$46</t>
  </si>
  <si>
    <t>Box30_part3a'!$Z$41</t>
  </si>
  <si>
    <t>Box30_part3a'!$AH$41</t>
  </si>
  <si>
    <t>Box30_part3a'!$Z$42</t>
  </si>
  <si>
    <t>Box30_part3a'!$AH$42</t>
  </si>
  <si>
    <t>Box30_part3a'!$Z$43</t>
  </si>
  <si>
    <t>Box30_part3a'!$AH$43</t>
  </si>
  <si>
    <t>Box30_part3a'!$Z$44</t>
  </si>
  <si>
    <t>Box30_part3a'!$AH$44</t>
  </si>
  <si>
    <t>Box30_part3a'!$Z$45</t>
  </si>
  <si>
    <t>Box30_part3a'!$AH$45</t>
  </si>
  <si>
    <t>Box30_part3a'!$O$53</t>
  </si>
  <si>
    <t>Box30_part3a'!$R$53</t>
  </si>
  <si>
    <t>Box30_part3a'!$U$53</t>
  </si>
  <si>
    <t>Box30_part3a'!$X$53</t>
  </si>
  <si>
    <t>Box30_part3a'!$AA$53</t>
  </si>
  <si>
    <t>Box30_part3a'!$AD$53</t>
  </si>
  <si>
    <t>Box30_part3a'!$AG$53</t>
  </si>
  <si>
    <t>Box30_part3a'!$AJ$53</t>
  </si>
  <si>
    <t>Box30_part3a'!$O$54</t>
  </si>
  <si>
    <t>Box30_part3a'!$R$54</t>
  </si>
  <si>
    <t>Box30_part3a'!$U$54</t>
  </si>
  <si>
    <t>Box30_part3a'!$X$54</t>
  </si>
  <si>
    <t>Box30_part3a'!$AA$54</t>
  </si>
  <si>
    <t>Box30_part3a'!$AD$54</t>
  </si>
  <si>
    <t>Box30_part3a'!$AG$54</t>
  </si>
  <si>
    <t>Box30_part3a'!$AJ$54</t>
  </si>
  <si>
    <t>Box30_part3a'!$O$55</t>
  </si>
  <si>
    <t>Box30_part3a'!$R$55</t>
  </si>
  <si>
    <t>Box30_part3a'!$U$55</t>
  </si>
  <si>
    <t>Box30_part3a'!$X$55</t>
  </si>
  <si>
    <t>Box30_part3a'!$AA$55</t>
  </si>
  <si>
    <t>Box30_part3a'!$AD$55</t>
  </si>
  <si>
    <t>Box30_part3a'!$AG$55</t>
  </si>
  <si>
    <t>Box30_part3a'!$AJ$55</t>
  </si>
  <si>
    <t>Box30_part3a'!$O$56</t>
  </si>
  <si>
    <t>Box30_part3a'!$R$56</t>
  </si>
  <si>
    <t>Box30_part3a'!$U$56</t>
  </si>
  <si>
    <t>Box30_part3a'!$X$56</t>
  </si>
  <si>
    <t>Box30_part3a'!$AA$56</t>
  </si>
  <si>
    <t>Box30_part3a'!$AD$56</t>
  </si>
  <si>
    <t>Box30_part3a'!$AG$56</t>
  </si>
  <si>
    <t>Box30_part3a'!$AJ$56</t>
  </si>
  <si>
    <t>personnel_affected_provided_mhpss_teaching_m</t>
  </si>
  <si>
    <t>personnel_affected_provided_mhpss_teaching_f</t>
  </si>
  <si>
    <t>personnel_affected_provided_mhpss_nonteaching_m</t>
  </si>
  <si>
    <t>personnel_affected_provided_mhpss_nonteaching_f</t>
  </si>
  <si>
    <t>personnel_affected_need_pss_teaching_m</t>
  </si>
  <si>
    <t>personnel_affected_need_pss_teaching_f</t>
  </si>
  <si>
    <t>personnel_affected_need_pss_nonteaching_m</t>
  </si>
  <si>
    <t>personnel_affected_need_pss_nonteaching_f</t>
  </si>
  <si>
    <t>personnel_affected_ref_mechanism_teaching_m</t>
  </si>
  <si>
    <t>personnel_affected_ref_mechanism_teaching_f</t>
  </si>
  <si>
    <t>personnel_affected_ref_mechanism_nonteaching_m</t>
  </si>
  <si>
    <t>personnel_affected_ref_mechanism_nonteaching_f</t>
  </si>
  <si>
    <t>number_mhpss_intervention_learner_personnel_bypartners</t>
  </si>
  <si>
    <t>number_localgroups_mobilized_for_response</t>
  </si>
  <si>
    <t>sch_receive_replacement_damaged_furniture_disaster</t>
  </si>
  <si>
    <t>sch_receive_replacement_damaged_dcp_disaster</t>
  </si>
  <si>
    <t>sch_estab_feedback_toreport_recovery_intervention</t>
  </si>
  <si>
    <t>Box30_part3b'!$N$9</t>
  </si>
  <si>
    <t>Box30_part3b'!$Q$9</t>
  </si>
  <si>
    <t>Box30_part3b'!$T$9</t>
  </si>
  <si>
    <t>Box30_part3b'!$W$9</t>
  </si>
  <si>
    <t>Box30_part3b'!$N$12</t>
  </si>
  <si>
    <t>Box30_part3b'!$Q$12</t>
  </si>
  <si>
    <t>Box30_part3b'!$T$12</t>
  </si>
  <si>
    <t>Box30_part3b'!$W$12</t>
  </si>
  <si>
    <t>Box30_part3b'!$N$15</t>
  </si>
  <si>
    <t>Box30_part3b'!$Q$15</t>
  </si>
  <si>
    <t>Box30_part3b'!$T$15</t>
  </si>
  <si>
    <t>Box30_part3b'!$W$15</t>
  </si>
  <si>
    <t>Box30_part3b'!$AW$4</t>
  </si>
  <si>
    <t>Box30_part3b'!$AW$7</t>
  </si>
  <si>
    <t>Box30_part3b'!$AF$10</t>
  </si>
  <si>
    <t>Box30_part3b'!$AF$12</t>
  </si>
  <si>
    <t>Box30_part3b'!$AF$14</t>
  </si>
  <si>
    <t>Box30_part3b'!$AF$16</t>
  </si>
  <si>
    <t>sch_receive_replacement_damaged_learningresources_disaster</t>
  </si>
  <si>
    <t>sch_teachesdrrm_science_k</t>
  </si>
  <si>
    <t>sch_teachesdrrm_science_g1</t>
  </si>
  <si>
    <t>sch_teachesdrrm_science_g2</t>
  </si>
  <si>
    <t>sch_teachesdrrm_science_g3</t>
  </si>
  <si>
    <t>sch_teachesdrrm_science_g4</t>
  </si>
  <si>
    <t>sch_teachesdrrm_science_g5</t>
  </si>
  <si>
    <t>sch_teachesdrrm_science_g6</t>
  </si>
  <si>
    <t>sch_teachesccam_science_k</t>
  </si>
  <si>
    <t>sch_teachesccam_science_g1</t>
  </si>
  <si>
    <t>sch_teachesccam_science_g2</t>
  </si>
  <si>
    <t>sch_teachesccam_science_g3</t>
  </si>
  <si>
    <t>sch_teachesccam_science_g4</t>
  </si>
  <si>
    <t>sch_teachesccam_science_g5</t>
  </si>
  <si>
    <t>sch_teachesccam_science_g6</t>
  </si>
  <si>
    <t>sch_teachespeacebuilding_science_k</t>
  </si>
  <si>
    <t>sch_teachespeacebuilding_science_g1</t>
  </si>
  <si>
    <t>sch_teachespeacebuilding_science_g2</t>
  </si>
  <si>
    <t>sch_teachespeacebuilding_science_g3</t>
  </si>
  <si>
    <t>sch_teachespeacebuilding_science_g4</t>
  </si>
  <si>
    <t>sch_teachespeacebuilding_science_g5</t>
  </si>
  <si>
    <t>sch_teachespeacebuilding_science_g6</t>
  </si>
  <si>
    <t>sch_teachesdrrm_ap_k</t>
  </si>
  <si>
    <t>sch_teachesdrrm_ap_g1</t>
  </si>
  <si>
    <t>sch_teachesdrrm_ap_g2</t>
  </si>
  <si>
    <t>sch_teachesdrrm_ap_g3</t>
  </si>
  <si>
    <t>sch_teachesdrrm_ap_g4</t>
  </si>
  <si>
    <t>sch_teachesdrrm_ap_g5</t>
  </si>
  <si>
    <t>sch_teachesdrrm_ap_g6</t>
  </si>
  <si>
    <t>sch_teachesccam_ap_k</t>
  </si>
  <si>
    <t>sch_teachesccam_ap_g1</t>
  </si>
  <si>
    <t>sch_teachesccam_ap_g2</t>
  </si>
  <si>
    <t>sch_teachesccam_ap_g3</t>
  </si>
  <si>
    <t>sch_teachesccam_ap_g4</t>
  </si>
  <si>
    <t>sch_teachesccam_ap_g5</t>
  </si>
  <si>
    <t>sch_teachesccam_ap_g6</t>
  </si>
  <si>
    <t>sch_teachespeacebuilding_ap_k</t>
  </si>
  <si>
    <t>sch_teachespeacebuilding_ap_g1</t>
  </si>
  <si>
    <t>sch_teachespeacebuilding_ap_g2</t>
  </si>
  <si>
    <t>sch_teachespeacebuilding_ap_g3</t>
  </si>
  <si>
    <t>sch_teachespeacebuilding_ap_g4</t>
  </si>
  <si>
    <t>sch_teachespeacebuilding_ap_g5</t>
  </si>
  <si>
    <t>sch_teachespeacebuilding_ap_g6</t>
  </si>
  <si>
    <t>sch_teachesdrrm_esp_k</t>
  </si>
  <si>
    <t>sch_teachesdrrm_esp_g1</t>
  </si>
  <si>
    <t>sch_teachesdrrm_esp_g2</t>
  </si>
  <si>
    <t>sch_teachesdrrm_esp_g3</t>
  </si>
  <si>
    <t>sch_teachesdrrm_esp_g4</t>
  </si>
  <si>
    <t>sch_teachesdrrm_esp_g5</t>
  </si>
  <si>
    <t>sch_teachesdrrm_esp_g6</t>
  </si>
  <si>
    <t>sch_teachesccam_esp_k</t>
  </si>
  <si>
    <t>sch_teachesccam_esp_g1</t>
  </si>
  <si>
    <t>sch_teachesccam_esp_g2</t>
  </si>
  <si>
    <t>sch_teachesccam_esp_g3</t>
  </si>
  <si>
    <t>sch_teachesccam_esp_g4</t>
  </si>
  <si>
    <t>sch_teachesccam_esp_g5</t>
  </si>
  <si>
    <t>sch_teachesccam_esp_g6</t>
  </si>
  <si>
    <t>sch_teachespeacebuilding_esp_k</t>
  </si>
  <si>
    <t>sch_teachespeacebuilding_esp_g1</t>
  </si>
  <si>
    <t>sch_teachespeacebuilding_esp_g2</t>
  </si>
  <si>
    <t>sch_teachespeacebuilding_esp_g3</t>
  </si>
  <si>
    <t>sch_teachespeacebuilding_esp_g4</t>
  </si>
  <si>
    <t>sch_teachespeacebuilding_esp_g5</t>
  </si>
  <si>
    <t>sch_teachespeacebuilding_esp_g6</t>
  </si>
  <si>
    <t>sch_teachesdrrm_pe_k</t>
  </si>
  <si>
    <t>sch_teachesdrrm_pe_g1</t>
  </si>
  <si>
    <t>sch_teachesdrrm_pe_g2</t>
  </si>
  <si>
    <t>sch_teachesdrrm_pe_g3</t>
  </si>
  <si>
    <t>sch_teachesdrrm_pe_g4</t>
  </si>
  <si>
    <t>sch_teachesdrrm_pe_g5</t>
  </si>
  <si>
    <t>sch_teachesdrrm_pe_g6</t>
  </si>
  <si>
    <t>sch_teachesccam_pe_k</t>
  </si>
  <si>
    <t>sch_teachesccam_pe_g1</t>
  </si>
  <si>
    <t>sch_teachesccam_pe_g2</t>
  </si>
  <si>
    <t>sch_teachesccam_pe_g3</t>
  </si>
  <si>
    <t>sch_teachesccam_pe_g4</t>
  </si>
  <si>
    <t>sch_teachesccam_pe_g5</t>
  </si>
  <si>
    <t>sch_teachesccam_pe_g6</t>
  </si>
  <si>
    <t>sch_teachespeacebuilding_pe_k</t>
  </si>
  <si>
    <t>sch_teachespeacebuilding_pe_g1</t>
  </si>
  <si>
    <t>sch_teachespeacebuilding_pe_g2</t>
  </si>
  <si>
    <t>sch_teachespeacebuilding_pe_g3</t>
  </si>
  <si>
    <t>sch_teachespeacebuilding_pe_g4</t>
  </si>
  <si>
    <t>sch_teachespeacebuilding_pe_g5</t>
  </si>
  <si>
    <t>sch_teachespeacebuilding_pe_g6</t>
  </si>
  <si>
    <t>sch_teachesdrrm_health_k</t>
  </si>
  <si>
    <t>sch_teachesdrrm_health_g1</t>
  </si>
  <si>
    <t>sch_teachesdrrm_health_g2</t>
  </si>
  <si>
    <t>sch_teachesdrrm_health_g3</t>
  </si>
  <si>
    <t>sch_teachesdrrm_health_g4</t>
  </si>
  <si>
    <t>sch_teachesdrrm_health_g5</t>
  </si>
  <si>
    <t>sch_teachesdrrm_health_g6</t>
  </si>
  <si>
    <t>sch_teachesccam_health_k</t>
  </si>
  <si>
    <t>sch_teachesccam_health_g1</t>
  </si>
  <si>
    <t>sch_teachesccam_health_g2</t>
  </si>
  <si>
    <t>sch_teachesccam_health_g3</t>
  </si>
  <si>
    <t>sch_teachesccam_health_g4</t>
  </si>
  <si>
    <t>sch_teachesccam_health_g5</t>
  </si>
  <si>
    <t>sch_teachesccam_health_g6</t>
  </si>
  <si>
    <t>sch_teachespeacebuilding_health_k</t>
  </si>
  <si>
    <t>sch_teachespeacebuilding_health_g1</t>
  </si>
  <si>
    <t>sch_teachespeacebuilding_health_g2</t>
  </si>
  <si>
    <t>sch_teachespeacebuilding_health_g3</t>
  </si>
  <si>
    <t>sch_teachespeacebuilding_health_g4</t>
  </si>
  <si>
    <t>sch_teachespeacebuilding_health_g5</t>
  </si>
  <si>
    <t>sch_teachespeacebuilding_health_g6</t>
  </si>
  <si>
    <t>sch_teachesdrrm_epp_k</t>
  </si>
  <si>
    <t>sch_teachesdrrm_epp_g1</t>
  </si>
  <si>
    <t>sch_teachesdrrm_epp_g2</t>
  </si>
  <si>
    <t>sch_teachesdrrm_epp_g3</t>
  </si>
  <si>
    <t>sch_teachesdrrm_epp_g4</t>
  </si>
  <si>
    <t>sch_teachesdrrm_epp_g5</t>
  </si>
  <si>
    <t>sch_teachesdrrm_epp_g6</t>
  </si>
  <si>
    <t>sch_teachesccam_epp_k</t>
  </si>
  <si>
    <t>sch_teachesccam_epp_g1</t>
  </si>
  <si>
    <t>sch_teachesccam_epp_g2</t>
  </si>
  <si>
    <t>sch_teachesccam_epp_g3</t>
  </si>
  <si>
    <t>sch_teachesccam_epp_g4</t>
  </si>
  <si>
    <t>sch_teachesccam_epp_g5</t>
  </si>
  <si>
    <t>sch_teachesccam_epp_g6</t>
  </si>
  <si>
    <t>sch_teachespeacebuilding_epp_k</t>
  </si>
  <si>
    <t>sch_teachespeacebuilding_epp_g1</t>
  </si>
  <si>
    <t>sch_teachespeacebuilding_epp_g2</t>
  </si>
  <si>
    <t>sch_teachespeacebuilding_epp_g3</t>
  </si>
  <si>
    <t>sch_teachespeacebuilding_epp_g4</t>
  </si>
  <si>
    <t>sch_teachespeacebuilding_epp_g5</t>
  </si>
  <si>
    <t>sch_teachespeacebuilding_epp_g6</t>
  </si>
  <si>
    <t>sch_teachesdrrm_others_k</t>
  </si>
  <si>
    <t>sch_teachesdrrm_others_g1</t>
  </si>
  <si>
    <t>sch_teachesdrrm_others_g2</t>
  </si>
  <si>
    <t>sch_teachesdrrm_others_g3</t>
  </si>
  <si>
    <t>sch_teachesdrrm_others_g4</t>
  </si>
  <si>
    <t>sch_teachesdrrm_others_g5</t>
  </si>
  <si>
    <t>sch_teachesdrrm_others_g6</t>
  </si>
  <si>
    <t>sch_teachesccam_others_k</t>
  </si>
  <si>
    <t>sch_teachesccam_others_g1</t>
  </si>
  <si>
    <t>sch_teachesccam_others_g2</t>
  </si>
  <si>
    <t>sch_teachesccam_others_g3</t>
  </si>
  <si>
    <t>sch_teachesccam_others_g4</t>
  </si>
  <si>
    <t>sch_teachesccam_others_g5</t>
  </si>
  <si>
    <t>sch_teachesccam_others_g6</t>
  </si>
  <si>
    <t>sch_teachespeacebuilding_others_k</t>
  </si>
  <si>
    <t>sch_teachespeacebuilding_others_g1</t>
  </si>
  <si>
    <t>sch_teachespeacebuilding_others_g2</t>
  </si>
  <si>
    <t>sch_teachespeacebuilding_others_g3</t>
  </si>
  <si>
    <t>sch_teachespeacebuilding_others_g4</t>
  </si>
  <si>
    <t>sch_teachespeacebuilding_others_g5</t>
  </si>
  <si>
    <t>sch_teachespeacebuilding_others_g6</t>
  </si>
  <si>
    <t>es_disaster_risk_education</t>
  </si>
  <si>
    <t>curri_guide_drrm_sped</t>
  </si>
  <si>
    <t>curri_guide_drrm_iped</t>
  </si>
  <si>
    <t>curri_guide_drrm_als</t>
  </si>
  <si>
    <t>curri_guide_drrm_learningcomp</t>
  </si>
  <si>
    <t>curri_guide_drrm_contents</t>
  </si>
  <si>
    <t>curri_guide_drrm_context_lr</t>
  </si>
  <si>
    <t>curri_guide_ccam_sped</t>
  </si>
  <si>
    <t>curri_guide_ccam_iped</t>
  </si>
  <si>
    <t>curri_guide_ccam_als</t>
  </si>
  <si>
    <t>curri_guide_ccam_learningcomp</t>
  </si>
  <si>
    <t>curri_guide_ccam_contents</t>
  </si>
  <si>
    <t>curri_guide_ccam_context_lr</t>
  </si>
  <si>
    <t>curri_guide_pbuilding_sped</t>
  </si>
  <si>
    <t>curri_guide_pbuilding_iped</t>
  </si>
  <si>
    <t>curri_guide_pbuilding_als</t>
  </si>
  <si>
    <t>curri_guide_pbuilding_learningcomp</t>
  </si>
  <si>
    <t>curri_guide_pbuilding_contents</t>
  </si>
  <si>
    <t>curri_guide_pbuilding_context_lr</t>
  </si>
  <si>
    <t>sch_assess_drrmccampbp_competencies</t>
  </si>
  <si>
    <t>sch_uses_drrm_dev_drrmccampbp_iec_materials</t>
  </si>
  <si>
    <t>sch_has_drrmccampbp_iec_materials_posted</t>
  </si>
  <si>
    <t>personnel_participated_survey_iec_teaching_m</t>
  </si>
  <si>
    <t>personnel_participated_survey_iec_teaching_f</t>
  </si>
  <si>
    <t>personnel_participated_survey_iec_nonteaching_m</t>
  </si>
  <si>
    <t>personnel_participated_survey_iec_nonteaching_f</t>
  </si>
  <si>
    <t>learners_participated_iec_effectiveness_exclude_m</t>
  </si>
  <si>
    <t>learners_participated_iec_effectiveness_exclude_f</t>
  </si>
  <si>
    <t>learners_participated_iec_effectiveness_ip_m</t>
  </si>
  <si>
    <t>learners_participated_iec_effectiveness_ip_f</t>
  </si>
  <si>
    <t>learners_participated_iec_effectiveness_muslim_m</t>
  </si>
  <si>
    <t>learners_participated_iec_effectiveness_muslim_f</t>
  </si>
  <si>
    <t>learners_participated_iec_effectiveness_lwd_m</t>
  </si>
  <si>
    <t>learners_participated_iec_effectiveness_lwd_f</t>
  </si>
  <si>
    <t>learners_participated_iec_consulted_exclude_m</t>
  </si>
  <si>
    <t>learners_participated_iec_consulted_exclude_f</t>
  </si>
  <si>
    <t>learners_participated_iec_consulted_ip_m</t>
  </si>
  <si>
    <t>learners_participated_iec_consulted_ip_f</t>
  </si>
  <si>
    <t>learners_participated_iec_consulted_muslim_m</t>
  </si>
  <si>
    <t>learners_participated_iec_consulted_muslim_f</t>
  </si>
  <si>
    <t>learners_participated_iec_consulted_lwd_m</t>
  </si>
  <si>
    <t>learners_participated_iec_consulted_lwd_f</t>
  </si>
  <si>
    <t>learners_participated_iec_codevelop_exclude_m</t>
  </si>
  <si>
    <t>learners_participated_iec_codevelop_exclude_f</t>
  </si>
  <si>
    <t>learners_participated_iec_codevelop_ip_m</t>
  </si>
  <si>
    <t>learners_participated_iec_codevelop_ip_f</t>
  </si>
  <si>
    <t>learners_participated_iec_codevelop_muslim_m</t>
  </si>
  <si>
    <t>learners_participated_iec_codevelop_muslim_f</t>
  </si>
  <si>
    <t>learners_participated_iec_codevelop_lwd_m</t>
  </si>
  <si>
    <t>learners_participated_iec_codevelop_lwd_f</t>
  </si>
  <si>
    <t>learners_participated_iec_initiated_exclude_m</t>
  </si>
  <si>
    <t>learners_participated_iec_initiated_exclude_f</t>
  </si>
  <si>
    <t>learners_participated_iec_initiated_ip_m</t>
  </si>
  <si>
    <t>learners_participated_iec_initiated_ip_f</t>
  </si>
  <si>
    <t>learners_participated_iec_initiated_muslim_m</t>
  </si>
  <si>
    <t>learners_participated_iec_initiated_muslim_f</t>
  </si>
  <si>
    <t>learners_participated_iec_initiated_lwd_m</t>
  </si>
  <si>
    <t>learners_participated_iec_initiated_lwd_f</t>
  </si>
  <si>
    <t>Box31_Parts1-2'!$G$10</t>
  </si>
  <si>
    <t>Box31_Parts1-2'!$H$10</t>
  </si>
  <si>
    <t>Box31_Parts1-2'!$I$10</t>
  </si>
  <si>
    <t>Box31_Parts1-2'!$J$10</t>
  </si>
  <si>
    <t>Box31_Parts1-2'!$K$10</t>
  </si>
  <si>
    <t>Box31_Parts1-2'!$L$10</t>
  </si>
  <si>
    <t>Box31_Parts1-2'!$M$10</t>
  </si>
  <si>
    <t>Box31_Parts1-2'!$N$10</t>
  </si>
  <si>
    <t>Box31_Parts1-2'!$O$10</t>
  </si>
  <si>
    <t>Box31_Parts1-2'!$P$10</t>
  </si>
  <si>
    <t>Box31_Parts1-2'!$Q$10</t>
  </si>
  <si>
    <t>Box31_Parts1-2'!$R$10</t>
  </si>
  <si>
    <t>Box31_Parts1-2'!$S$10</t>
  </si>
  <si>
    <t>Box31_Parts1-2'!$T$10</t>
  </si>
  <si>
    <t>Box31_Parts1-2'!$G$11</t>
  </si>
  <si>
    <t>Box31_Parts1-2'!$H$11</t>
  </si>
  <si>
    <t>Box31_Parts1-2'!$I$11</t>
  </si>
  <si>
    <t>Box31_Parts1-2'!$J$11</t>
  </si>
  <si>
    <t>Box31_Parts1-2'!$K$11</t>
  </si>
  <si>
    <t>Box31_Parts1-2'!$L$11</t>
  </si>
  <si>
    <t>Box31_Parts1-2'!$M$11</t>
  </si>
  <si>
    <t>Box31_Parts1-2'!$N$11</t>
  </si>
  <si>
    <t>Box31_Parts1-2'!$O$11</t>
  </si>
  <si>
    <t>Box31_Parts1-2'!$P$11</t>
  </si>
  <si>
    <t>Box31_Parts1-2'!$Q$11</t>
  </si>
  <si>
    <t>Box31_Parts1-2'!$R$11</t>
  </si>
  <si>
    <t>Box31_Parts1-2'!$S$11</t>
  </si>
  <si>
    <t>Box31_Parts1-2'!$T$11</t>
  </si>
  <si>
    <t>Box31_Parts1-2'!$G$12</t>
  </si>
  <si>
    <t>Box31_Parts1-2'!$H$12</t>
  </si>
  <si>
    <t>Box31_Parts1-2'!$I$12</t>
  </si>
  <si>
    <t>Box31_Parts1-2'!$J$12</t>
  </si>
  <si>
    <t>Box31_Parts1-2'!$K$12</t>
  </si>
  <si>
    <t>Box31_Parts1-2'!$L$12</t>
  </si>
  <si>
    <t>Box31_Parts1-2'!$M$12</t>
  </si>
  <si>
    <t>Box31_Parts1-2'!$N$12</t>
  </si>
  <si>
    <t>Box31_Parts1-2'!$O$12</t>
  </si>
  <si>
    <t>Box31_Parts1-2'!$P$12</t>
  </si>
  <si>
    <t>Box31_Parts1-2'!$Q$12</t>
  </si>
  <si>
    <t>Box31_Parts1-2'!$R$12</t>
  </si>
  <si>
    <t>Box31_Parts1-2'!$S$12</t>
  </si>
  <si>
    <t>Box31_Parts1-2'!$T$12</t>
  </si>
  <si>
    <t>Box31_Parts1-2'!$G$13</t>
  </si>
  <si>
    <t>Box31_Parts1-2'!$H$13</t>
  </si>
  <si>
    <t>Box31_Parts1-2'!$I$13</t>
  </si>
  <si>
    <t>Box31_Parts1-2'!$J$13</t>
  </si>
  <si>
    <t>Box31_Parts1-2'!$K$13</t>
  </si>
  <si>
    <t>Box31_Parts1-2'!$L$13</t>
  </si>
  <si>
    <t>Box31_Parts1-2'!$M$13</t>
  </si>
  <si>
    <t>Box31_Parts1-2'!$N$13</t>
  </si>
  <si>
    <t>Box31_Parts1-2'!$O$13</t>
  </si>
  <si>
    <t>Box31_Parts1-2'!$P$13</t>
  </si>
  <si>
    <t>Box31_Parts1-2'!$Q$13</t>
  </si>
  <si>
    <t>Box31_Parts1-2'!$R$13</t>
  </si>
  <si>
    <t>Box31_Parts1-2'!$S$13</t>
  </si>
  <si>
    <t>Box31_Parts1-2'!$T$13</t>
  </si>
  <si>
    <t>Box31_Parts1-2'!$G$14</t>
  </si>
  <si>
    <t>Box31_Parts1-2'!$H$14</t>
  </si>
  <si>
    <t>Box31_Parts1-2'!$I$14</t>
  </si>
  <si>
    <t>Box31_Parts1-2'!$J$14</t>
  </si>
  <si>
    <t>Box31_Parts1-2'!$K$14</t>
  </si>
  <si>
    <t>Box31_Parts1-2'!$L$14</t>
  </si>
  <si>
    <t>Box31_Parts1-2'!$M$14</t>
  </si>
  <si>
    <t>Box31_Parts1-2'!$N$14</t>
  </si>
  <si>
    <t>Box31_Parts1-2'!$O$14</t>
  </si>
  <si>
    <t>Box31_Parts1-2'!$P$14</t>
  </si>
  <si>
    <t>Box31_Parts1-2'!$Q$14</t>
  </si>
  <si>
    <t>Box31_Parts1-2'!$R$14</t>
  </si>
  <si>
    <t>Box31_Parts1-2'!$S$14</t>
  </si>
  <si>
    <t>Box31_Parts1-2'!$T$14</t>
  </si>
  <si>
    <t>Box31_Parts1-2'!$G$15</t>
  </si>
  <si>
    <t>Box31_Parts1-2'!$H$15</t>
  </si>
  <si>
    <t>Box31_Parts1-2'!$I$15</t>
  </si>
  <si>
    <t>Box31_Parts1-2'!$J$15</t>
  </si>
  <si>
    <t>Box31_Parts1-2'!$K$15</t>
  </si>
  <si>
    <t>Box31_Parts1-2'!$L$15</t>
  </si>
  <si>
    <t>Box31_Parts1-2'!$M$15</t>
  </si>
  <si>
    <t>Box31_Parts1-2'!$N$15</t>
  </si>
  <si>
    <t>Box31_Parts1-2'!$O$15</t>
  </si>
  <si>
    <t>Box31_Parts1-2'!$P$15</t>
  </si>
  <si>
    <t>Box31_Parts1-2'!$Q$15</t>
  </si>
  <si>
    <t>Box31_Parts1-2'!$R$15</t>
  </si>
  <si>
    <t>Box31_Parts1-2'!$S$15</t>
  </si>
  <si>
    <t>Box31_Parts1-2'!$T$15</t>
  </si>
  <si>
    <t>Box31_Parts1-2'!$G$16</t>
  </si>
  <si>
    <t>Box31_Parts1-2'!$H$16</t>
  </si>
  <si>
    <t>Box31_Parts1-2'!$I$16</t>
  </si>
  <si>
    <t>Box31_Parts1-2'!$J$16</t>
  </si>
  <si>
    <t>Box31_Parts1-2'!$K$16</t>
  </si>
  <si>
    <t>Box31_Parts1-2'!$L$16</t>
  </si>
  <si>
    <t>Box31_Parts1-2'!$M$16</t>
  </si>
  <si>
    <t>Box31_Parts1-2'!$N$16</t>
  </si>
  <si>
    <t>Box31_Parts1-2'!$O$16</t>
  </si>
  <si>
    <t>Box31_Parts1-2'!$P$16</t>
  </si>
  <si>
    <t>Box31_Parts1-2'!$Q$16</t>
  </si>
  <si>
    <t>Box31_Parts1-2'!$R$16</t>
  </si>
  <si>
    <t>Box31_Parts1-2'!$S$16</t>
  </si>
  <si>
    <t>Box31_Parts1-2'!$T$16</t>
  </si>
  <si>
    <t>Box31_Parts1-2'!$G$20</t>
  </si>
  <si>
    <t>Box31_Parts1-2'!$H$20</t>
  </si>
  <si>
    <t>Box31_Parts1-2'!$I$20</t>
  </si>
  <si>
    <t>Box31_Parts1-2'!$J$20</t>
  </si>
  <si>
    <t>Box31_Parts1-2'!$K$20</t>
  </si>
  <si>
    <t>Box31_Parts1-2'!$L$20</t>
  </si>
  <si>
    <t>Box31_Parts1-2'!$M$20</t>
  </si>
  <si>
    <t>Box31_Parts1-2'!$G$21</t>
  </si>
  <si>
    <t>Box31_Parts1-2'!$H$21</t>
  </si>
  <si>
    <t>Box31_Parts1-2'!$I$21</t>
  </si>
  <si>
    <t>Box31_Parts1-2'!$J$21</t>
  </si>
  <si>
    <t>Box31_Parts1-2'!$K$21</t>
  </si>
  <si>
    <t>Box31_Parts1-2'!$L$21</t>
  </si>
  <si>
    <t>Box31_Parts1-2'!$M$21</t>
  </si>
  <si>
    <t>Box31_Parts1-2'!$G$22</t>
  </si>
  <si>
    <t>Box31_Parts1-2'!$H$22</t>
  </si>
  <si>
    <t>Box31_Parts1-2'!$I$22</t>
  </si>
  <si>
    <t>Box31_Parts1-2'!$J$22</t>
  </si>
  <si>
    <t>Box31_Parts1-2'!$K$22</t>
  </si>
  <si>
    <t>Box31_Parts1-2'!$L$22</t>
  </si>
  <si>
    <t>Box31_Parts1-2'!$M$22</t>
  </si>
  <si>
    <t>Box31_Parts1-2'!$G$23</t>
  </si>
  <si>
    <t>Box31_Parts1-2'!$H$23</t>
  </si>
  <si>
    <t>Box31_Parts1-2'!$I$23</t>
  </si>
  <si>
    <t>Box31_Parts1-2'!$J$23</t>
  </si>
  <si>
    <t>Box31_Parts1-2'!$K$23</t>
  </si>
  <si>
    <t>Box31_Parts1-2'!$L$23</t>
  </si>
  <si>
    <t>Box31_Parts1-2'!$M$23</t>
  </si>
  <si>
    <t>Box31_Parts1-2'!$G$24</t>
  </si>
  <si>
    <t>Box31_Parts1-2'!$H$24</t>
  </si>
  <si>
    <t>Box31_Parts1-2'!$I$24</t>
  </si>
  <si>
    <t>Box31_Parts1-2'!$J$24</t>
  </si>
  <si>
    <t>Box31_Parts1-2'!$K$24</t>
  </si>
  <si>
    <t>Box31_Parts1-2'!$L$24</t>
  </si>
  <si>
    <t>Box31_Parts1-2'!$M$24</t>
  </si>
  <si>
    <t>Box31_Parts1-2'!$G$25</t>
  </si>
  <si>
    <t>Box31_Parts1-2'!$H$25</t>
  </si>
  <si>
    <t>Box31_Parts1-2'!$I$25</t>
  </si>
  <si>
    <t>Box31_Parts1-2'!$J$25</t>
  </si>
  <si>
    <t>Box31_Parts1-2'!$K$25</t>
  </si>
  <si>
    <t>Box31_Parts1-2'!$L$25</t>
  </si>
  <si>
    <t>Box31_Parts1-2'!$M$25</t>
  </si>
  <si>
    <t>Box31_Parts1-2'!$G$26</t>
  </si>
  <si>
    <t>Box31_Parts1-2'!$H$26</t>
  </si>
  <si>
    <t>Box31_Parts1-2'!$I$26</t>
  </si>
  <si>
    <t>Box31_Parts1-2'!$J$26</t>
  </si>
  <si>
    <t>Box31_Parts1-2'!$K$26</t>
  </si>
  <si>
    <t>Box31_Parts1-2'!$L$26</t>
  </si>
  <si>
    <t>Box31_Parts1-2'!$M$26</t>
  </si>
  <si>
    <t>Box31_Parts1-2'!$E$31</t>
  </si>
  <si>
    <t>Box31_Parts1-2'!$F$31</t>
  </si>
  <si>
    <t>Box31_Parts1-2'!$H$31</t>
  </si>
  <si>
    <t>Box31_Parts1-2'!$J$31</t>
  </si>
  <si>
    <t>Box31_Parts1-2'!$M$31</t>
  </si>
  <si>
    <t>Box31_Parts1-2'!$P$31</t>
  </si>
  <si>
    <t>Box31_Parts1-2'!$E$32</t>
  </si>
  <si>
    <t>Box31_Parts1-2'!$F$32</t>
  </si>
  <si>
    <t>Box31_Parts1-2'!$H$32</t>
  </si>
  <si>
    <t>Box31_Parts1-2'!$J$32</t>
  </si>
  <si>
    <t>Box31_Parts1-2'!$M$32</t>
  </si>
  <si>
    <t>Box31_Parts1-2'!$P$32</t>
  </si>
  <si>
    <t>Box31_Parts1-2'!$E$33</t>
  </si>
  <si>
    <t>Box31_Parts1-2'!$F$33</t>
  </si>
  <si>
    <t>Box31_Parts1-2'!$H$33</t>
  </si>
  <si>
    <t>Box31_Parts1-2'!$J$33</t>
  </si>
  <si>
    <t>Box31_Parts1-2'!$M$33</t>
  </si>
  <si>
    <t>Box31_Parts1-2'!$P$33</t>
  </si>
  <si>
    <t>Box31_Parts1-2'!$C$35</t>
  </si>
  <si>
    <t>Box31_Parts1-2'!$C$39</t>
  </si>
  <si>
    <t>Box31_Parts1-2'!$C$40</t>
  </si>
  <si>
    <t>Box31_Parts1-2'!$E$44</t>
  </si>
  <si>
    <t>Box31_Parts1-2'!$G$44</t>
  </si>
  <si>
    <t>Box31_Parts1-2'!$J$44</t>
  </si>
  <si>
    <t>Box31_Parts1-2'!$M$44</t>
  </si>
  <si>
    <t>Box31_Parts1-2'!$E$48</t>
  </si>
  <si>
    <t>Box31_Parts1-2'!$F$48</t>
  </si>
  <si>
    <t>Box31_Parts1-2'!$H$48</t>
  </si>
  <si>
    <t>Box31_Parts1-2'!$J$48</t>
  </si>
  <si>
    <t>Box31_Parts1-2'!$L$48</t>
  </si>
  <si>
    <t>Box31_Parts1-2'!$N$48</t>
  </si>
  <si>
    <t>Box31_Parts1-2'!$P$48</t>
  </si>
  <si>
    <t>Box31_Parts1-2'!$R$48</t>
  </si>
  <si>
    <t>Box31_Parts1-2'!$E$49</t>
  </si>
  <si>
    <t>Box31_Parts1-2'!$F$49</t>
  </si>
  <si>
    <t>Box31_Parts1-2'!$H$49</t>
  </si>
  <si>
    <t>Box31_Parts1-2'!$J$49</t>
  </si>
  <si>
    <t>Box31_Parts1-2'!$L$49</t>
  </si>
  <si>
    <t>Box31_Parts1-2'!$N$49</t>
  </si>
  <si>
    <t>Box31_Parts1-2'!$P$49</t>
  </si>
  <si>
    <t>Box31_Parts1-2'!$R$49</t>
  </si>
  <si>
    <t>Box31_Parts1-2'!$E$50</t>
  </si>
  <si>
    <t>Box31_Parts1-2'!$F$50</t>
  </si>
  <si>
    <t>Box31_Parts1-2'!$H$50</t>
  </si>
  <si>
    <t>Box31_Parts1-2'!$J$50</t>
  </si>
  <si>
    <t>Box31_Parts1-2'!$L$50</t>
  </si>
  <si>
    <t>Box31_Parts1-2'!$N$50</t>
  </si>
  <si>
    <t>Box31_Parts1-2'!$P$50</t>
  </si>
  <si>
    <t>Box31_Parts1-2'!$R$50</t>
  </si>
  <si>
    <t>Box31_Parts1-2'!$E$51</t>
  </si>
  <si>
    <t>Box31_Parts1-2'!$F$51</t>
  </si>
  <si>
    <t>Box31_Parts1-2'!$H$51</t>
  </si>
  <si>
    <t>Box31_Parts1-2'!$J$51</t>
  </si>
  <si>
    <t>Box31_Parts1-2'!$L$51</t>
  </si>
  <si>
    <t>Box31_Parts1-2'!$N$51</t>
  </si>
  <si>
    <t>Box31_Parts1-2'!$P$51</t>
  </si>
  <si>
    <t>Box31_Parts1-2'!$R$51</t>
  </si>
  <si>
    <t xml:space="preserve">School Head  :  </t>
  </si>
  <si>
    <t xml:space="preserve">Position Title : </t>
  </si>
  <si>
    <t xml:space="preserve">                           (Signature Over Printed Name) / Date</t>
  </si>
  <si>
    <t>number_personnel_trained_drrmccampbp_bypartners_teaching_m</t>
  </si>
  <si>
    <t>number_personnel_trained_drrmccampbp_bypartners_teaching_f</t>
  </si>
  <si>
    <t>number_personnel_trained_drrmccampbp_bypartners_nonteaching_m</t>
  </si>
  <si>
    <t>number_personnel_trained_drrmccampbp_bypartners_nonteaching_f</t>
  </si>
  <si>
    <t>number_stakeholders_participated_drrmccampbp_learner</t>
  </si>
  <si>
    <t>number_stakeholders_participated_drrmccampbp_personnel</t>
  </si>
  <si>
    <t>number_stakeholders_participated_drrmccampbp_parent</t>
  </si>
  <si>
    <t>number_stakeholders_participated_drrmccampbp_lgu</t>
  </si>
  <si>
    <t>number_stakeholders_participated_drrmccampbp_ngo</t>
  </si>
  <si>
    <t>number_stakeholder_drrm_firstaid_teaching_m</t>
  </si>
  <si>
    <t>number_stakeholder_drrm_firstaid_teaching_f</t>
  </si>
  <si>
    <t>number_stakeholder_drrm_firstaid_nonteaching_m</t>
  </si>
  <si>
    <t>number_stakeholder_drrm_firstaid_nonteaching_f</t>
  </si>
  <si>
    <t>number_stakeholder_drrm_earthquake_prepare_teaching_m</t>
  </si>
  <si>
    <t>number_stakeholder_drrm_earthquake_prepare_teaching_f</t>
  </si>
  <si>
    <t>number_stakeholder_drrm_earthquake_prepare_nonteaching_m</t>
  </si>
  <si>
    <t>number_stakeholder_drrm_earthquake_prepare_nonteaching_f</t>
  </si>
  <si>
    <t>number_stakeholder_drrm_swhm_teaching_m</t>
  </si>
  <si>
    <t>number_stakeholder_drrm_swhm_teaching_f</t>
  </si>
  <si>
    <t>number_stakeholder_drrm_swhm_nonteaching_m</t>
  </si>
  <si>
    <t>number_stakeholder_drrm_swhm_nonteaching_f</t>
  </si>
  <si>
    <t>number_stakeholder_drrm_celebration_events_teaching_m</t>
  </si>
  <si>
    <t>number_stakeholder_drrm_celebration_events_teaching_f</t>
  </si>
  <si>
    <t>number_stakeholder_drrm_celebration_events_nonteaching_m</t>
  </si>
  <si>
    <t>number_stakeholder_drrm_celebration_events_nonteaching_f</t>
  </si>
  <si>
    <t>number_stakeholder_drrm_drrmcamp_teaching_m</t>
  </si>
  <si>
    <t>number_stakeholder_drrm_drrmcamp_teaching_f</t>
  </si>
  <si>
    <t>number_stakeholder_drrm_drrmcamp_nonteaching_m</t>
  </si>
  <si>
    <t>number_stakeholder_drrm_drrmcamp_nonteaching_f</t>
  </si>
  <si>
    <t>number_stakeholder_drrm_youth_action_teaching_m</t>
  </si>
  <si>
    <t>number_stakeholder_drrm_youth_action_teaching_f</t>
  </si>
  <si>
    <t>number_stakeholder_drrm_youth_action_nonteaching_m</t>
  </si>
  <si>
    <t>number_stakeholder_drrm_youth_action_nonteaching_f</t>
  </si>
  <si>
    <t>number_stakeholder_drrm_youth_council_teaching_m</t>
  </si>
  <si>
    <t>number_stakeholder_drrm_youth_council_teaching_f</t>
  </si>
  <si>
    <t>number_stakeholder_drrm_youth_council_nonteaching_m</t>
  </si>
  <si>
    <t>number_stakeholder_drrm_youth_council_nonteaching_f</t>
  </si>
  <si>
    <t>number_stakeholder_drrm_campusjourn_teaching_m</t>
  </si>
  <si>
    <t>number_stakeholder_drrm_campusjourn_teaching_f</t>
  </si>
  <si>
    <t>number_stakeholder_drrm_campusjourn_nonteaching_m</t>
  </si>
  <si>
    <t>number_stakeholder_drrm_campusjourn_nonteaching_f</t>
  </si>
  <si>
    <t>number_stakeholder_drrm_others_teaching_m</t>
  </si>
  <si>
    <t>number_stakeholder_drrm_others_teaching_f</t>
  </si>
  <si>
    <t>number_stakeholder_drrm_others_nonteaching_m</t>
  </si>
  <si>
    <t>number_stakeholder_drrm_others_nonteaching_f</t>
  </si>
  <si>
    <t>number_stakeholder_drrm_others_specify</t>
  </si>
  <si>
    <t>number_stakeholder_ccam_art_climatechange_teaching_m</t>
  </si>
  <si>
    <t>number_stakeholder_ccam_art_climatechange_teaching_f</t>
  </si>
  <si>
    <t>number_stakeholder_ccam_art_climatechange_nonteaching_m</t>
  </si>
  <si>
    <t>number_stakeholder_ccam_art_climatechange_nonteaching_f</t>
  </si>
  <si>
    <t>number_stakeholder_ccam_change_current_teaching_m</t>
  </si>
  <si>
    <t>number_stakeholder_ccam_change_current_teaching_f</t>
  </si>
  <si>
    <t>number_stakeholder_ccam_change_current_nonteaching_m</t>
  </si>
  <si>
    <t>number_stakeholder_ccam_change_current_nonteaching_f</t>
  </si>
  <si>
    <t>number_stakeholder_ccam_climate_adaptation_teaching_m</t>
  </si>
  <si>
    <t>number_stakeholder_ccam_climate_adaptation_teaching_f</t>
  </si>
  <si>
    <t>number_stakeholder_ccam_climate_adaptation_nonteaching_m</t>
  </si>
  <si>
    <t>number_stakeholder_ccam_climate_adaptation_nonteaching_f</t>
  </si>
  <si>
    <t>number_stakeholder_ccam_climate_changemaker_teaching_m</t>
  </si>
  <si>
    <t>number_stakeholder_ccam_climate_changemaker_teaching_f</t>
  </si>
  <si>
    <t>number_stakeholder_ccam_climate_changemaker_nonteaching_m</t>
  </si>
  <si>
    <t>number_stakeholder_ccam_climate_changemaker_nonteaching_f</t>
  </si>
  <si>
    <t>number_stakeholder_ccam_envi_journalism_teaching_m</t>
  </si>
  <si>
    <t>number_stakeholder_ccam_envi_journalism_teaching_f</t>
  </si>
  <si>
    <t>number_stakeholder_ccam_envi_journalism_nonteaching_m</t>
  </si>
  <si>
    <t>number_stakeholder_ccam_envi_journalism_nonteaching_f</t>
  </si>
  <si>
    <t>number_stakeholder_ccam_gulayan_paaralan_teaching_m</t>
  </si>
  <si>
    <t>number_stakeholder_ccam_gulayan_paaralan_teaching_f</t>
  </si>
  <si>
    <t>number_stakeholder_ccam_gulayan_paaralan_nonteaching_m</t>
  </si>
  <si>
    <t>number_stakeholder_ccam_gulayan_paaralan_nonteaching_f</t>
  </si>
  <si>
    <t>number_stakeholder_ccam_material_recovery_teaching_m</t>
  </si>
  <si>
    <t>number_stakeholder_ccam_material_recovery_teaching_f</t>
  </si>
  <si>
    <t>number_stakeholder_ccam_material_recovery_nonteaching_m</t>
  </si>
  <si>
    <t>number_stakeholder_ccam_material_recovery_nonteaching_f</t>
  </si>
  <si>
    <t>number_stakeholder_ccam_kalikhasan_teaching_m</t>
  </si>
  <si>
    <t>number_stakeholder_ccam_kalikhasan_teaching_f</t>
  </si>
  <si>
    <t>number_stakeholder_ccam_kalikhasan_nonteaching_m</t>
  </si>
  <si>
    <t>number_stakeholder_ccam_kalikhasan_nonteaching_f</t>
  </si>
  <si>
    <t>number_stakeholder_ccam_solidwaste_mgmt_teaching_m</t>
  </si>
  <si>
    <t>number_stakeholder_ccam_solidwaste_mgmt_teaching_f</t>
  </si>
  <si>
    <t>number_stakeholder_ccam_solidwaste_mgmt_nonteaching_m</t>
  </si>
  <si>
    <t>number_stakeholder_ccam_solidwaste_mgmt_nonteaching_f</t>
  </si>
  <si>
    <t>number_stakeholder_ccam_recycling_teaching_m</t>
  </si>
  <si>
    <t>number_stakeholder_ccam_recycling_teaching_f</t>
  </si>
  <si>
    <t>number_stakeholder_ccam_recycling_nonteaching_m</t>
  </si>
  <si>
    <t>number_stakeholder_ccam_recycling_nonteaching_f</t>
  </si>
  <si>
    <t>number_stakeholder_ccam_tree_planting_teaching_m</t>
  </si>
  <si>
    <t>number_stakeholder_ccam_tree_planting_teaching_f</t>
  </si>
  <si>
    <t>number_stakeholder_ccam_tree_planting_nonteaching_m</t>
  </si>
  <si>
    <t>number_stakeholder_ccam_tree_planting_nonteaching_f</t>
  </si>
  <si>
    <t>number_stakeholder_ccam_youth_strike_teaching_m</t>
  </si>
  <si>
    <t>number_stakeholder_ccam_youth_strike_teaching_f</t>
  </si>
  <si>
    <t>number_stakeholder_ccam_youth_strike_nonteaching_m</t>
  </si>
  <si>
    <t>number_stakeholder_ccam_youth_strike_nonteaching_f</t>
  </si>
  <si>
    <t>number_stakeholder_ccam_celebration_events_teaching_m</t>
  </si>
  <si>
    <t>number_stakeholder_ccam_celebration_events_teaching_f</t>
  </si>
  <si>
    <t>number_stakeholder_ccam_celebration_events_nonteaching_m</t>
  </si>
  <si>
    <t>number_stakeholder_ccam_celebration_events_nonteaching_f</t>
  </si>
  <si>
    <t>number_stakeholder_ccam_others_teaching_m</t>
  </si>
  <si>
    <t>number_stakeholder_ccam_others_teaching_f</t>
  </si>
  <si>
    <t>number_stakeholder_ccam_others_nonteaching_m</t>
  </si>
  <si>
    <t>number_stakeholder_ccam_others_nonteaching_f</t>
  </si>
  <si>
    <t>number_stakeholder_ccam_others_specify</t>
  </si>
  <si>
    <t>number_stakeholder_pbp_peaceconfe_teaching_m</t>
  </si>
  <si>
    <t>number_stakeholder_pbp_peaceconfe_teaching_f</t>
  </si>
  <si>
    <t>number_stakeholder_pbp_peaceconfe_nonteaching_m</t>
  </si>
  <si>
    <t>number_stakeholder_pbp_peaceconfe_nonteaching_f</t>
  </si>
  <si>
    <t>number_stakeholder_pbp_youth_networks_teaching_m</t>
  </si>
  <si>
    <t>number_stakeholder_pbp_youth_networks_teaching_f</t>
  </si>
  <si>
    <t>number_stakeholder_pbp_youth_networks_nonteaching_m</t>
  </si>
  <si>
    <t>number_stakeholder_pbp_youth_networks_nonteaching_f</t>
  </si>
  <si>
    <t>number_stakeholder_pbp_art_contests_teaching_m</t>
  </si>
  <si>
    <t>number_stakeholder_pbp_art_contests_teaching_f</t>
  </si>
  <si>
    <t>number_stakeholder_pbp_art_contests_nonteaching_m</t>
  </si>
  <si>
    <t>number_stakeholder_pbp_art_contests_nonteaching_f</t>
  </si>
  <si>
    <t>number_stakeholder_pbp_celebration_events_teaching_m</t>
  </si>
  <si>
    <t>number_stakeholder_pbp_celebration_events_teaching_f</t>
  </si>
  <si>
    <t>number_stakeholder_pbp_celebration_events_nonteaching_m</t>
  </si>
  <si>
    <t>number_stakeholder_pbp_celebration_events_nonteaching_f</t>
  </si>
  <si>
    <t>number_stakeholder_pbp_others_teaching_m</t>
  </si>
  <si>
    <t>number_stakeholder_pbp_others_teaching_f</t>
  </si>
  <si>
    <t>number_stakeholder_pbp_others_nonteaching_m</t>
  </si>
  <si>
    <t>number_stakeholder_pbp_others_nonteaching_f</t>
  </si>
  <si>
    <t>number_stakeholder_pbp_others_specify</t>
  </si>
  <si>
    <t>Box31_part3a'!$F$8</t>
  </si>
  <si>
    <t>Box31_part3a'!$I$8</t>
  </si>
  <si>
    <t>Box31_part3a'!$L$8</t>
  </si>
  <si>
    <t>Box31_part3a'!$O$8</t>
  </si>
  <si>
    <t>Box31_part3a'!$F$13</t>
  </si>
  <si>
    <t>Box31_part3a'!$K$13</t>
  </si>
  <si>
    <t>Box31_part3a'!$P$13</t>
  </si>
  <si>
    <t>Box31_part3a'!$U$13</t>
  </si>
  <si>
    <t>Box31_part3a'!$Z$13</t>
  </si>
  <si>
    <t>Box31_part3a'!$Z$20</t>
  </si>
  <si>
    <t>Box31_part3a'!$AC$20</t>
  </si>
  <si>
    <t>Box31_part3a'!$AF$20</t>
  </si>
  <si>
    <t>Box31_part3a'!$AI$20</t>
  </si>
  <si>
    <t>Box31_part3a'!$Z$21</t>
  </si>
  <si>
    <t>Box31_part3a'!$AC$21</t>
  </si>
  <si>
    <t>Box31_part3a'!$AF$21</t>
  </si>
  <si>
    <t>Box31_part3a'!$AI$21</t>
  </si>
  <si>
    <t>Box31_part3a'!$Z$22</t>
  </si>
  <si>
    <t>Box31_part3a'!$AC$22</t>
  </si>
  <si>
    <t>Box31_part3a'!$AF$22</t>
  </si>
  <si>
    <t>Box31_part3a'!$AI$22</t>
  </si>
  <si>
    <t>Box31_part3a'!$Z$23</t>
  </si>
  <si>
    <t>Box31_part3a'!$AC$23</t>
  </si>
  <si>
    <t>Box31_part3a'!$AF$23</t>
  </si>
  <si>
    <t>Box31_part3a'!$AI$23</t>
  </si>
  <si>
    <t>Box31_part3a'!$Z$24</t>
  </si>
  <si>
    <t>Box31_part3a'!$AC$24</t>
  </si>
  <si>
    <t>Box31_part3a'!$AF$24</t>
  </si>
  <si>
    <t>Box31_part3a'!$AI$24</t>
  </si>
  <si>
    <t>Box31_part3a'!$Z$25</t>
  </si>
  <si>
    <t>Box31_part3a'!$AC$25</t>
  </si>
  <si>
    <t>Box31_part3a'!$AF$25</t>
  </si>
  <si>
    <t>Box31_part3a'!$AI$25</t>
  </si>
  <si>
    <t>Box31_part3a'!$Z$26</t>
  </si>
  <si>
    <t>Box31_part3a'!$AC$26</t>
  </si>
  <si>
    <t>Box31_part3a'!$AF$26</t>
  </si>
  <si>
    <t>Box31_part3a'!$AI$26</t>
  </si>
  <si>
    <t>Box31_part3a'!$Z$27</t>
  </si>
  <si>
    <t>Box31_part3a'!$AC$27</t>
  </si>
  <si>
    <t>Box31_part3a'!$AF$27</t>
  </si>
  <si>
    <t>Box31_part3a'!$AI$27</t>
  </si>
  <si>
    <t>Box31_part3a'!$Z$28</t>
  </si>
  <si>
    <t>Box31_part3a'!$AC$28</t>
  </si>
  <si>
    <t>Box31_part3a'!$AF$28</t>
  </si>
  <si>
    <t>Box31_part3a'!$AI$28</t>
  </si>
  <si>
    <t>Box31_part3a'!$K$28</t>
  </si>
  <si>
    <t>Box31_part3a'!$Z$31</t>
  </si>
  <si>
    <t>Box31_part3a'!$AC$31</t>
  </si>
  <si>
    <t>Box31_part3a'!$AF$31</t>
  </si>
  <si>
    <t>Box31_part3a'!$AI$31</t>
  </si>
  <si>
    <t>Box31_part3a'!$Z$32</t>
  </si>
  <si>
    <t>Box31_part3a'!$AC$32</t>
  </si>
  <si>
    <t>Box31_part3a'!$AF$32</t>
  </si>
  <si>
    <t>Box31_part3a'!$AI$32</t>
  </si>
  <si>
    <t>Box31_part3a'!$Z$33</t>
  </si>
  <si>
    <t>Box31_part3a'!$AC$33</t>
  </si>
  <si>
    <t>Box31_part3a'!$AF$33</t>
  </si>
  <si>
    <t>Box31_part3a'!$AI$33</t>
  </si>
  <si>
    <t>Box31_part3a'!$Z$34</t>
  </si>
  <si>
    <t>Box31_part3a'!$AC$34</t>
  </si>
  <si>
    <t>Box31_part3a'!$AF$34</t>
  </si>
  <si>
    <t>Box31_part3a'!$AI$34</t>
  </si>
  <si>
    <t>Box31_part3a'!$Z$35</t>
  </si>
  <si>
    <t>Box31_part3a'!$AC$35</t>
  </si>
  <si>
    <t>Box31_part3a'!$AF$35</t>
  </si>
  <si>
    <t>Box31_part3a'!$AI$35</t>
  </si>
  <si>
    <t>Box31_part3a'!$Z$36</t>
  </si>
  <si>
    <t>Box31_part3a'!$AC$36</t>
  </si>
  <si>
    <t>Box31_part3a'!$AF$36</t>
  </si>
  <si>
    <t>Box31_part3a'!$AI$36</t>
  </si>
  <si>
    <t>Box31_part3a'!$Z$37</t>
  </si>
  <si>
    <t>Box31_part3a'!$AC$37</t>
  </si>
  <si>
    <t>Box31_part3a'!$AF$37</t>
  </si>
  <si>
    <t>Box31_part3a'!$AI$37</t>
  </si>
  <si>
    <t>Box31_part3a'!$Z$38</t>
  </si>
  <si>
    <t>Box31_part3a'!$AC$38</t>
  </si>
  <si>
    <t>Box31_part3a'!$AF$38</t>
  </si>
  <si>
    <t>Box31_part3a'!$AI$38</t>
  </si>
  <si>
    <t>Box31_part3a'!$Z$39</t>
  </si>
  <si>
    <t>Box31_part3a'!$AC$39</t>
  </si>
  <si>
    <t>Box31_part3a'!$AF$39</t>
  </si>
  <si>
    <t>Box31_part3a'!$AI$39</t>
  </si>
  <si>
    <t>Box31_part3a'!$Z$40</t>
  </si>
  <si>
    <t>Box31_part3a'!$AC$40</t>
  </si>
  <si>
    <t>Box31_part3a'!$AF$40</t>
  </si>
  <si>
    <t>Box31_part3a'!$AI$40</t>
  </si>
  <si>
    <t>Box31_part3a'!$Z$41</t>
  </si>
  <si>
    <t>Box31_part3a'!$AC$41</t>
  </si>
  <si>
    <t>Box31_part3a'!$AF$41</t>
  </si>
  <si>
    <t>Box31_part3a'!$AI$41</t>
  </si>
  <si>
    <t>Box31_part3a'!$Z$42</t>
  </si>
  <si>
    <t>Box31_part3a'!$AC$42</t>
  </si>
  <si>
    <t>Box31_part3a'!$AF$42</t>
  </si>
  <si>
    <t>Box31_part3a'!$AI$42</t>
  </si>
  <si>
    <t>Box31_part3a'!$Z$43</t>
  </si>
  <si>
    <t>Box31_part3a'!$AC$43</t>
  </si>
  <si>
    <t>Box31_part3a'!$AF$43</t>
  </si>
  <si>
    <t>Box31_part3a'!$AI$43</t>
  </si>
  <si>
    <t>Box31_part3a'!$Z$44</t>
  </si>
  <si>
    <t>Box31_part3a'!$AC$44</t>
  </si>
  <si>
    <t>Box31_part3a'!$AF$44</t>
  </si>
  <si>
    <t>Box31_part3a'!$AI$44</t>
  </si>
  <si>
    <t>Box31_part3a'!$K$44</t>
  </si>
  <si>
    <t>Box31_part3a'!$Z$47</t>
  </si>
  <si>
    <t>Box31_part3a'!$AC$47</t>
  </si>
  <si>
    <t>Box31_part3a'!$AF$47</t>
  </si>
  <si>
    <t>Box31_part3a'!$AI$47</t>
  </si>
  <si>
    <t>Box31_part3a'!$Z$48</t>
  </si>
  <si>
    <t>Box31_part3a'!$AC$48</t>
  </si>
  <si>
    <t>Box31_part3a'!$AF$48</t>
  </si>
  <si>
    <t>Box31_part3a'!$AI$48</t>
  </si>
  <si>
    <t>Box31_part3a'!$Z$49</t>
  </si>
  <si>
    <t>Box31_part3a'!$AC$49</t>
  </si>
  <si>
    <t>Box31_part3a'!$AF$49</t>
  </si>
  <si>
    <t>Box31_part3a'!$AI$49</t>
  </si>
  <si>
    <t>Box31_part3a'!$Z$50</t>
  </si>
  <si>
    <t>Box31_part3a'!$AC$50</t>
  </si>
  <si>
    <t>Box31_part3a'!$AF$50</t>
  </si>
  <si>
    <t>Box31_part3a'!$AI$50</t>
  </si>
  <si>
    <t>Box31_part3a'!$Z$51</t>
  </si>
  <si>
    <t>Box31_part3a'!$AC$51</t>
  </si>
  <si>
    <t>Box31_part3a'!$AF$51</t>
  </si>
  <si>
    <t>Box31_part3a'!$AI$51</t>
  </si>
  <si>
    <t>Box31_part3a'!$K$51</t>
  </si>
  <si>
    <t>number_stakeholder_drrm_firstaid_ip_m</t>
  </si>
  <si>
    <t>number_stakeholder_drrm_firstaid_ip_f</t>
  </si>
  <si>
    <t>number_stakeholder_drrm_firstaid_muslim_m</t>
  </si>
  <si>
    <t>number_stakeholder_drrm_firstaid_muslim_f</t>
  </si>
  <si>
    <t>number_stakeholder_drrm_firstaid_lwd_m</t>
  </si>
  <si>
    <t>number_stakeholder_drrm_firstaid_lwd_f</t>
  </si>
  <si>
    <t>number_stakeholder_drrm_firstaid_exclude_m</t>
  </si>
  <si>
    <t>number_stakeholder_drrm_firstaid_exclude_f</t>
  </si>
  <si>
    <t>number_stakeholder_drrm_earthquake_prepare_exclude_m</t>
  </si>
  <si>
    <t>number_stakeholder_drrm_earthquake_prepare_exclude_f</t>
  </si>
  <si>
    <t>number_stakeholder_drrm_earthquake_prepare_ip_m</t>
  </si>
  <si>
    <t>number_stakeholder_drrm_earthquake_prepare_ip_f</t>
  </si>
  <si>
    <t>number_stakeholder_drrm_earthquake_prepare_muslim_m</t>
  </si>
  <si>
    <t>number_stakeholder_drrm_earthquake_prepare_muslim_f</t>
  </si>
  <si>
    <t>number_stakeholder_drrm_earthquake_prepare_lwd_m</t>
  </si>
  <si>
    <t>number_stakeholder_drrm_earthquake_prepare_lwd_f</t>
  </si>
  <si>
    <t>number_stakeholder_drrm_swhm_exclude_m</t>
  </si>
  <si>
    <t>number_stakeholder_drrm_swhm_exclude_f</t>
  </si>
  <si>
    <t>number_stakeholder_drrm_swhm_ip_m</t>
  </si>
  <si>
    <t>number_stakeholder_drrm_swhm_ip_f</t>
  </si>
  <si>
    <t>number_stakeholder_drrm_swhm_muslim_m</t>
  </si>
  <si>
    <t>number_stakeholder_drrm_swhm_muslim_f</t>
  </si>
  <si>
    <t>number_stakeholder_drrm_swhm_lwd_m</t>
  </si>
  <si>
    <t>number_stakeholder_drrm_swhm_lwd_f</t>
  </si>
  <si>
    <t>number_stakeholder_drrm_online_mhpss_exclude_m</t>
  </si>
  <si>
    <t>number_stakeholder_drrm_online_mhpss_exclude_f</t>
  </si>
  <si>
    <t>number_stakeholder_drrm_online_mhpss_ip_m</t>
  </si>
  <si>
    <t>number_stakeholder_drrm_online_mhpss_ip_f</t>
  </si>
  <si>
    <t>number_stakeholder_drrm_online_mhpss_muslim_m</t>
  </si>
  <si>
    <t>number_stakeholder_drrm_online_mhpss_muslim_f</t>
  </si>
  <si>
    <t>number_stakeholder_drrm_online_mhpss_lwd_m</t>
  </si>
  <si>
    <t>number_stakeholder_drrm_online_mhpss_lwd_f</t>
  </si>
  <si>
    <t>number_stakeholder_drrm_celebration_events_exclude_m</t>
  </si>
  <si>
    <t>number_stakeholder_drrm_celebration_events_exclude_f</t>
  </si>
  <si>
    <t>number_stakeholder_drrm_celebration_events_ip_m</t>
  </si>
  <si>
    <t>number_stakeholder_drrm_celebration_events_ip_f</t>
  </si>
  <si>
    <t>number_stakeholder_drrm_celebration_events_muslim_m</t>
  </si>
  <si>
    <t>number_stakeholder_drrm_celebration_events_muslim_f</t>
  </si>
  <si>
    <t>number_stakeholder_drrm_celebration_events_lwd_m</t>
  </si>
  <si>
    <t>number_stakeholder_drrm_celebration_events_lwd_f</t>
  </si>
  <si>
    <t>number_stakeholder_drrm_drrmcamp_exclude_m</t>
  </si>
  <si>
    <t>number_stakeholder_drrm_drrmcamp_exclude_f</t>
  </si>
  <si>
    <t>number_stakeholder_drrm_drrmcamp_ip_m</t>
  </si>
  <si>
    <t>number_stakeholder_drrm_drrmcamp_ip_f</t>
  </si>
  <si>
    <t>number_stakeholder_drrm_drrmcamp_muslim_m</t>
  </si>
  <si>
    <t>number_stakeholder_drrm_drrmcamp_muslim_f</t>
  </si>
  <si>
    <t>number_stakeholder_drrm_drrmcamp_lwd_m</t>
  </si>
  <si>
    <t>number_stakeholder_drrm_drrmcamp_lwd_f</t>
  </si>
  <si>
    <t>number_stakeholder_drrm_youth_council_exclude_m</t>
  </si>
  <si>
    <t>number_stakeholder_drrm_youth_council_exclude_f</t>
  </si>
  <si>
    <t>number_stakeholder_drrm_youth_council_ip_m</t>
  </si>
  <si>
    <t>number_stakeholder_drrm_youth_council_ip_f</t>
  </si>
  <si>
    <t>number_stakeholder_drrm_youth_council_muslim_m</t>
  </si>
  <si>
    <t>number_stakeholder_drrm_youth_council_muslim_f</t>
  </si>
  <si>
    <t>number_stakeholder_drrm_youth_council_lwd_m</t>
  </si>
  <si>
    <t>number_stakeholder_drrm_youth_council_lwd_f</t>
  </si>
  <si>
    <t>number_stakeholder_drrm_youth_action_exclude_m</t>
  </si>
  <si>
    <t>number_stakeholder_drrm_youth_action_exclude_f</t>
  </si>
  <si>
    <t>number_stakeholder_drrm_youth_action_ip_m</t>
  </si>
  <si>
    <t>number_stakeholder_drrm_youth_action_ip_f</t>
  </si>
  <si>
    <t>number_stakeholder_drrm_youth_action_muslim_m</t>
  </si>
  <si>
    <t>number_stakeholder_drrm_youth_action_muslim_f</t>
  </si>
  <si>
    <t>number_stakeholder_drrm_youth_action_lwd_m</t>
  </si>
  <si>
    <t>number_stakeholder_drrm_youth_action_lwd_f</t>
  </si>
  <si>
    <t>number_stakeholder_drrm_campusjourn_exclude_m</t>
  </si>
  <si>
    <t>number_stakeholder_drrm_campusjourn_exclude_f</t>
  </si>
  <si>
    <t>number_stakeholder_drrm_campusjourn_ip_m</t>
  </si>
  <si>
    <t>number_stakeholder_drrm_campusjourn_ip_f</t>
  </si>
  <si>
    <t>number_stakeholder_drrm_campusjourn_muslim_m</t>
  </si>
  <si>
    <t>number_stakeholder_drrm_campusjourn_muslim_f</t>
  </si>
  <si>
    <t>number_stakeholder_drrm_campusjourn_lwd_m</t>
  </si>
  <si>
    <t>number_stakeholder_drrm_campusjourn_lwd_f</t>
  </si>
  <si>
    <t>number_stakeholder_drrm_others_exclude_m</t>
  </si>
  <si>
    <t>number_stakeholder_drrm_others_exclude_f</t>
  </si>
  <si>
    <t>number_stakeholder_drrm_others_ip_m</t>
  </si>
  <si>
    <t>number_stakeholder_drrm_others_ip_f</t>
  </si>
  <si>
    <t>number_stakeholder_drrm_others_muslim_m</t>
  </si>
  <si>
    <t>number_stakeholder_drrm_others_muslim_f</t>
  </si>
  <si>
    <t>number_stakeholder_drrm_others_lwd_m</t>
  </si>
  <si>
    <t>number_stakeholder_drrm_others_lwd_f</t>
  </si>
  <si>
    <t>number_stakeholder_drrm_learner_others_specify</t>
  </si>
  <si>
    <t>number_stakeholder_ccam_art_contests_exclude_m</t>
  </si>
  <si>
    <t>number_stakeholder_ccam_art_contests_exclude_f</t>
  </si>
  <si>
    <t>number_stakeholder_ccam_art_contests_ip_m</t>
  </si>
  <si>
    <t>number_stakeholder_ccam_art_contests_ip_f</t>
  </si>
  <si>
    <t>number_stakeholder_ccam_art_contests_muslim_m</t>
  </si>
  <si>
    <t>number_stakeholder_ccam_art_contests_muslim_f</t>
  </si>
  <si>
    <t>number_stakeholder_ccam_art_contests_lwd_m</t>
  </si>
  <si>
    <t>number_stakeholder_ccam_art_contests_lwd_f</t>
  </si>
  <si>
    <t>number_stakeholder_ccam_change_current_exclude_m</t>
  </si>
  <si>
    <t>number_stakeholder_ccam_change_current_exclude_f</t>
  </si>
  <si>
    <t>number_stakeholder_ccam_change_current_ip_m</t>
  </si>
  <si>
    <t>number_stakeholder_ccam_change_current_ip_f</t>
  </si>
  <si>
    <t>number_stakeholder_ccam_change_current_muslim_m</t>
  </si>
  <si>
    <t>number_stakeholder_ccam_change_current_muslim_f</t>
  </si>
  <si>
    <t>number_stakeholder_ccam_change_current_lwd_m</t>
  </si>
  <si>
    <t>number_stakeholder_ccam_change_current_lwd_f</t>
  </si>
  <si>
    <t>number_stakeholder_ccam_climate_adapt_exclude_m</t>
  </si>
  <si>
    <t>number_stakeholder_ccam_climate_adapt_exclude_f</t>
  </si>
  <si>
    <t>number_stakeholder_ccam_climate_adapt_ip_m</t>
  </si>
  <si>
    <t>number_stakeholder_ccam_climate_adapt_ip_f</t>
  </si>
  <si>
    <t>number_stakeholder_ccam_climate_adapt_muslim_m</t>
  </si>
  <si>
    <t>number_stakeholder_ccam_climate_adapt_muslim_f</t>
  </si>
  <si>
    <t>number_stakeholder_ccam_climate_adapt_lwd_m</t>
  </si>
  <si>
    <t>number_stakeholder_ccam_climate_adapt_lwd_f</t>
  </si>
  <si>
    <t>number_stakeholder_ccam_envi_journalism_exclude_m</t>
  </si>
  <si>
    <t>number_stakeholder_ccam_envi_journalism_exclude_f</t>
  </si>
  <si>
    <t>number_stakeholder_ccam_envi_journalism_ip_m</t>
  </si>
  <si>
    <t>number_stakeholder_ccam_envi_journalism_ip_f</t>
  </si>
  <si>
    <t>number_stakeholder_ccam_envi_journalism_muslim_m</t>
  </si>
  <si>
    <t>number_stakeholder_ccam_envi_journalism_muslim_f</t>
  </si>
  <si>
    <t>number_stakeholder_ccam_envi_journalism_lwd_m</t>
  </si>
  <si>
    <t>number_stakeholder_ccam_envi_journalism_lwd_f</t>
  </si>
  <si>
    <t>number_stakeholder_ccam_gulayan_paaralan_exclude_m</t>
  </si>
  <si>
    <t>number_stakeholder_ccam_gulayan_paaralan_exclude_f</t>
  </si>
  <si>
    <t>number_stakeholder_ccam_gulayan_paaralan_ip_m</t>
  </si>
  <si>
    <t>number_stakeholder_ccam_gulayan_paaralan_ip_f</t>
  </si>
  <si>
    <t>number_stakeholder_ccam_gulayan_paaralan_muslim_m</t>
  </si>
  <si>
    <t>number_stakeholder_ccam_gulayan_paaralan_muslim_f</t>
  </si>
  <si>
    <t>number_stakeholder_ccam_gulayan_paaralan_lwd_m</t>
  </si>
  <si>
    <t>number_stakeholder_ccam_gulayan_paaralan_lwd_f</t>
  </si>
  <si>
    <t>number_stakeholder_ccam_kalikhasan_exclude_m</t>
  </si>
  <si>
    <t>number_stakeholder_ccam_kalikhasan_exclude_f</t>
  </si>
  <si>
    <t>number_stakeholder_ccam_kalikhasan_ip_m</t>
  </si>
  <si>
    <t>number_stakeholder_ccam_kalikhasan_ip_f</t>
  </si>
  <si>
    <t>number_stakeholder_ccam_kalikhasan_muslim_m</t>
  </si>
  <si>
    <t>number_stakeholder_ccam_kalikhasan_muslim_f</t>
  </si>
  <si>
    <t>number_stakeholder_ccam_kalikhasan_lwd_m</t>
  </si>
  <si>
    <t>number_stakeholder_ccam_kalikhasan_lwd_f</t>
  </si>
  <si>
    <t>number_stakeholder_ccam_solidwaste_mgmt_exclude_m</t>
  </si>
  <si>
    <t>number_stakeholder_ccam_solidwaste_mgmt_exclude_f</t>
  </si>
  <si>
    <t>number_stakeholder_ccam_solidwaste_mgmt_ip_m</t>
  </si>
  <si>
    <t>number_stakeholder_ccam_solidwaste_mgmt_ip_f</t>
  </si>
  <si>
    <t>number_stakeholder_ccam_solidwaste_mgmt_muslim_m</t>
  </si>
  <si>
    <t>number_stakeholder_ccam_solidwaste_mgmt_muslim_f</t>
  </si>
  <si>
    <t>number_stakeholder_ccam_solidwaste_mgmt_lwd_m</t>
  </si>
  <si>
    <t>number_stakeholder_ccam_solidwaste_mgmt_lwd_f</t>
  </si>
  <si>
    <t>number_stakeholder_ccam_recycling_exclude_m</t>
  </si>
  <si>
    <t>number_stakeholder_ccam_recycling_exclude_f</t>
  </si>
  <si>
    <t>number_stakeholder_ccam_recycling_ip_m</t>
  </si>
  <si>
    <t>number_stakeholder_ccam_recycling_ip_f</t>
  </si>
  <si>
    <t>number_stakeholder_ccam_recycling_muslim_m</t>
  </si>
  <si>
    <t>number_stakeholder_ccam_recycling_muslim_f</t>
  </si>
  <si>
    <t>number_stakeholder_ccam_recycling_lwd_m</t>
  </si>
  <si>
    <t>number_stakeholder_ccam_recycling_lwd_f</t>
  </si>
  <si>
    <t>number_stakeholder_ccam_tree_planting_exclude_m</t>
  </si>
  <si>
    <t>number_stakeholder_ccam_tree_planting_exclude_f</t>
  </si>
  <si>
    <t>number_stakeholder_ccam_tree_planting_ip_m</t>
  </si>
  <si>
    <t>number_stakeholder_ccam_tree_planting_ip_f</t>
  </si>
  <si>
    <t>number_stakeholder_ccam_tree_planting_muslim_m</t>
  </si>
  <si>
    <t>number_stakeholder_ccam_tree_planting_muslim_f</t>
  </si>
  <si>
    <t>number_stakeholder_ccam_tree_planting_lwd_m</t>
  </si>
  <si>
    <t>number_stakeholder_ccam_tree_planting_lwd_f</t>
  </si>
  <si>
    <t>number_stakeholder_ccam_youth_strike_exclude_m</t>
  </si>
  <si>
    <t>number_stakeholder_ccam_youth_strike_exclude_f</t>
  </si>
  <si>
    <t>number_stakeholder_ccam_youth_strike_ip_m</t>
  </si>
  <si>
    <t>number_stakeholder_ccam_youth_strike_ip_f</t>
  </si>
  <si>
    <t>number_stakeholder_ccam_youth_strike_muslim_m</t>
  </si>
  <si>
    <t>number_stakeholder_ccam_youth_strike_muslim_f</t>
  </si>
  <si>
    <t>number_stakeholder_ccam_youth_strike_lwd_m</t>
  </si>
  <si>
    <t>number_stakeholder_ccam_youth_strike_lwd_f</t>
  </si>
  <si>
    <t>number_stakeholder_ccam_celebration_events_exclude_m</t>
  </si>
  <si>
    <t>number_stakeholder_ccam_celebration_events_exclude_f</t>
  </si>
  <si>
    <t>number_stakeholder_ccam_celebration_events_ip_m</t>
  </si>
  <si>
    <t>number_stakeholder_ccam_celebration_events_ip_f</t>
  </si>
  <si>
    <t>number_stakeholder_ccam_celebration_events_muslim_m</t>
  </si>
  <si>
    <t>number_stakeholder_ccam_celebration_events_muslim_f</t>
  </si>
  <si>
    <t>number_stakeholder_ccam_celebration_events_lwd_m</t>
  </si>
  <si>
    <t>number_stakeholder_ccam_celebration_events_lwd_f</t>
  </si>
  <si>
    <t>number_stakeholder_ccam_others_exclude_m</t>
  </si>
  <si>
    <t>number_stakeholder_ccam_others_exclude_f</t>
  </si>
  <si>
    <t>number_stakeholder_ccam_others_ip_m</t>
  </si>
  <si>
    <t>number_stakeholder_ccam_others_ip_f</t>
  </si>
  <si>
    <t>number_stakeholder_ccam_others_muslim_m</t>
  </si>
  <si>
    <t>number_stakeholder_ccam_others_muslim_f</t>
  </si>
  <si>
    <t>number_stakeholder_ccam_others_lwd_m</t>
  </si>
  <si>
    <t>number_stakeholder_ccam_others_lwd_f</t>
  </si>
  <si>
    <t>number_stakeholder_ccam_learner_others_specify</t>
  </si>
  <si>
    <t>number_stakeholder_pbp_others_exclude_m</t>
  </si>
  <si>
    <t>number_stakeholder_pbp_others_exclude_f</t>
  </si>
  <si>
    <t>number_stakeholder_pbp_others_ip_m</t>
  </si>
  <si>
    <t>number_stakeholder_pbp_others_ip_f</t>
  </si>
  <si>
    <t>number_stakeholder_pbp_others_muslim_m</t>
  </si>
  <si>
    <t>number_stakeholder_pbp_others_muslim_f</t>
  </si>
  <si>
    <t>number_stakeholder_pbp_others_lwd_m</t>
  </si>
  <si>
    <t>number_stakeholder_pbp_others_lwd_f</t>
  </si>
  <si>
    <t>number_stakeholder_pbp_peaceconfe_exclude_m</t>
  </si>
  <si>
    <t>number_stakeholder_pbp_peaceconfe_exclude_f</t>
  </si>
  <si>
    <t>number_stakeholder_pbp_peaceconfe_ip_m</t>
  </si>
  <si>
    <t>number_stakeholder_pbp_peaceconfe_ip_f</t>
  </si>
  <si>
    <t>number_stakeholder_pbp_peaceconfe_muslim_m</t>
  </si>
  <si>
    <t>number_stakeholder_pbp_peaceconfe_muslim_f</t>
  </si>
  <si>
    <t>number_stakeholder_pbp_peaceconfe_lwd_m</t>
  </si>
  <si>
    <t>number_stakeholder_pbp_peaceconfe_lwd_f</t>
  </si>
  <si>
    <t>number_stakeholder_pbp_youth_networks_exclude_m</t>
  </si>
  <si>
    <t>number_stakeholder_pbp_youth_networks_exclude_f</t>
  </si>
  <si>
    <t>number_stakeholder_pbp_youth_networks_ip_m</t>
  </si>
  <si>
    <t>number_stakeholder_pbp_youth_networks_ip_f</t>
  </si>
  <si>
    <t>number_stakeholder_pbp_youth_networks_muslim_m</t>
  </si>
  <si>
    <t>number_stakeholder_pbp_youth_networks_muslim_f</t>
  </si>
  <si>
    <t>number_stakeholder_pbp_youth_networks_lwd_m</t>
  </si>
  <si>
    <t>number_stakeholder_pbp_youth_networks_lwd_f</t>
  </si>
  <si>
    <t>number_stakeholder_pbp_art_contests_exclude_m</t>
  </si>
  <si>
    <t>number_stakeholder_pbp_art_contests_exclude_f</t>
  </si>
  <si>
    <t>number_stakeholder_pbp_art_contests_ip_m</t>
  </si>
  <si>
    <t>number_stakeholder_pbp_art_contests_ip_f</t>
  </si>
  <si>
    <t>number_stakeholder_pbp_art_contests_muslim_m</t>
  </si>
  <si>
    <t>number_stakeholder_pbp_art_contests_muslim_f</t>
  </si>
  <si>
    <t>number_stakeholder_pbp_art_contests_lwd_m</t>
  </si>
  <si>
    <t>number_stakeholder_pbp_art_contests_lwd_f</t>
  </si>
  <si>
    <t>number_stakeholder_pbp_celebration_events_exclude_m</t>
  </si>
  <si>
    <t>number_stakeholder_pbp_celebration_events_exclude_f</t>
  </si>
  <si>
    <t>number_stakeholder_pbp_celebration_events_ip_m</t>
  </si>
  <si>
    <t>number_stakeholder_pbp_celebration_events_ip_f</t>
  </si>
  <si>
    <t>number_stakeholder_pbp_celebration_events_muslim_m</t>
  </si>
  <si>
    <t>number_stakeholder_pbp_celebration_events_muslim_f</t>
  </si>
  <si>
    <t>number_stakeholder_pbp_celebration_events_lwd_m</t>
  </si>
  <si>
    <t>number_stakeholder_pbp_celebration_events_lwd_f</t>
  </si>
  <si>
    <t>number_stakeholder_pbp_learner_others_specify</t>
  </si>
  <si>
    <t>sch_use_deped_dev_lr_drrmccampbp</t>
  </si>
  <si>
    <t>number_training_conducted_learner_drrm</t>
  </si>
  <si>
    <t>number_training_conducted_learner_ccam</t>
  </si>
  <si>
    <t>number_training_conducted_learner_pbuilding</t>
  </si>
  <si>
    <t>Box31_part3b'!$P$9</t>
  </si>
  <si>
    <t>Box31_part3b'!$S$9</t>
  </si>
  <si>
    <t>Box31_part3b'!$V$9</t>
  </si>
  <si>
    <t>Box31_part3b'!$Y$9</t>
  </si>
  <si>
    <t>Box31_part3b'!$AB$9</t>
  </si>
  <si>
    <t>Box31_part3b'!$AE$9</t>
  </si>
  <si>
    <t>Box31_part3b'!$AH$9</t>
  </si>
  <si>
    <t>Box31_part3b'!$AK$9</t>
  </si>
  <si>
    <t>Box31_part3b'!$P$10</t>
  </si>
  <si>
    <t>Box31_part3b'!$S$10</t>
  </si>
  <si>
    <t>Box31_part3b'!$V$10</t>
  </si>
  <si>
    <t>Box31_part3b'!$Y$10</t>
  </si>
  <si>
    <t>Box31_part3b'!$AB$10</t>
  </si>
  <si>
    <t>Box31_part3b'!$AE$10</t>
  </si>
  <si>
    <t>Box31_part3b'!$AH$10</t>
  </si>
  <si>
    <t>Box31_part3b'!$AK$10</t>
  </si>
  <si>
    <t>Box31_part3b'!$P$11</t>
  </si>
  <si>
    <t>Box31_part3b'!$S$11</t>
  </si>
  <si>
    <t>Box31_part3b'!$V$11</t>
  </si>
  <si>
    <t>Box31_part3b'!$Y$11</t>
  </si>
  <si>
    <t>Box31_part3b'!$AB$11</t>
  </si>
  <si>
    <t>Box31_part3b'!$AE$11</t>
  </si>
  <si>
    <t>Box31_part3b'!$AH$11</t>
  </si>
  <si>
    <t>Box31_part3b'!$AK$11</t>
  </si>
  <si>
    <t>Box31_part3b'!$P$12</t>
  </si>
  <si>
    <t>Box31_part3b'!$S$12</t>
  </si>
  <si>
    <t>Box31_part3b'!$V$12</t>
  </si>
  <si>
    <t>Box31_part3b'!$Y$12</t>
  </si>
  <si>
    <t>Box31_part3b'!$AB$12</t>
  </si>
  <si>
    <t>Box31_part3b'!$AE$12</t>
  </si>
  <si>
    <t>Box31_part3b'!$AH$12</t>
  </si>
  <si>
    <t>Box31_part3b'!$AK$12</t>
  </si>
  <si>
    <t>Box31_part3b'!$P$13</t>
  </si>
  <si>
    <t>Box31_part3b'!$S$13</t>
  </si>
  <si>
    <t>Box31_part3b'!$V$13</t>
  </si>
  <si>
    <t>Box31_part3b'!$Y$13</t>
  </si>
  <si>
    <t>Box31_part3b'!$AB$13</t>
  </si>
  <si>
    <t>Box31_part3b'!$AE$13</t>
  </si>
  <si>
    <t>Box31_part3b'!$AH$13</t>
  </si>
  <si>
    <t>Box31_part3b'!$AK$13</t>
  </si>
  <si>
    <t>Box31_part3b'!$P$14</t>
  </si>
  <si>
    <t>Box31_part3b'!$S$14</t>
  </si>
  <si>
    <t>Box31_part3b'!$V$14</t>
  </si>
  <si>
    <t>Box31_part3b'!$Y$14</t>
  </si>
  <si>
    <t>Box31_part3b'!$AB$14</t>
  </si>
  <si>
    <t>Box31_part3b'!$AE$14</t>
  </si>
  <si>
    <t>Box31_part3b'!$AH$14</t>
  </si>
  <si>
    <t>Box31_part3b'!$AK$14</t>
  </si>
  <si>
    <t>Box31_part3b'!$P$15</t>
  </si>
  <si>
    <t>Box31_part3b'!$S$15</t>
  </si>
  <si>
    <t>Box31_part3b'!$V$15</t>
  </si>
  <si>
    <t>Box31_part3b'!$Y$15</t>
  </si>
  <si>
    <t>Box31_part3b'!$AB$15</t>
  </si>
  <si>
    <t>Box31_part3b'!$AE$15</t>
  </si>
  <si>
    <t>Box31_part3b'!$AH$15</t>
  </si>
  <si>
    <t>Box31_part3b'!$AK$15</t>
  </si>
  <si>
    <t>Box31_part3b'!$P$16</t>
  </si>
  <si>
    <t>Box31_part3b'!$S$16</t>
  </si>
  <si>
    <t>Box31_part3b'!$V$16</t>
  </si>
  <si>
    <t>Box31_part3b'!$Y$16</t>
  </si>
  <si>
    <t>Box31_part3b'!$AB$16</t>
  </si>
  <si>
    <t>Box31_part3b'!$AE$16</t>
  </si>
  <si>
    <t>Box31_part3b'!$AH$16</t>
  </si>
  <si>
    <t>Box31_part3b'!$AK$16</t>
  </si>
  <si>
    <t>Box31_part3b'!$P$17</t>
  </si>
  <si>
    <t>Box31_part3b'!$S$17</t>
  </si>
  <si>
    <t>Box31_part3b'!$V$17</t>
  </si>
  <si>
    <t>Box31_part3b'!$Y$17</t>
  </si>
  <si>
    <t>Box31_part3b'!$AB$17</t>
  </si>
  <si>
    <t>Box31_part3b'!$AE$17</t>
  </si>
  <si>
    <t>Box31_part3b'!$AH$17</t>
  </si>
  <si>
    <t>Box31_part3b'!$AK$17</t>
  </si>
  <si>
    <t>Box31_part3b'!$P$18</t>
  </si>
  <si>
    <t>Box31_part3b'!$S$18</t>
  </si>
  <si>
    <t>Box31_part3b'!$V$18</t>
  </si>
  <si>
    <t>Box31_part3b'!$Y$18</t>
  </si>
  <si>
    <t>Box31_part3b'!$AB$18</t>
  </si>
  <si>
    <t>Box31_part3b'!$AE$18</t>
  </si>
  <si>
    <t>Box31_part3b'!$AH$18</t>
  </si>
  <si>
    <t>Box31_part3b'!$AK$18</t>
  </si>
  <si>
    <t>Box31_part3b'!$E$19</t>
  </si>
  <si>
    <t>Box31_part3b'!$P$22</t>
  </si>
  <si>
    <t>Box31_part3b'!$S$22</t>
  </si>
  <si>
    <t>Box31_part3b'!$V$22</t>
  </si>
  <si>
    <t>Box31_part3b'!$Y$22</t>
  </si>
  <si>
    <t>Box31_part3b'!$AB$22</t>
  </si>
  <si>
    <t>Box31_part3b'!$AE$22</t>
  </si>
  <si>
    <t>Box31_part3b'!$AH$22</t>
  </si>
  <si>
    <t>Box31_part3b'!$AK$22</t>
  </si>
  <si>
    <t>Box31_part3b'!$P$23</t>
  </si>
  <si>
    <t>Box31_part3b'!$S$23</t>
  </si>
  <si>
    <t>Box31_part3b'!$V$23</t>
  </si>
  <si>
    <t>Box31_part3b'!$Y$23</t>
  </si>
  <si>
    <t>Box31_part3b'!$AB$23</t>
  </si>
  <si>
    <t>Box31_part3b'!$AE$23</t>
  </si>
  <si>
    <t>Box31_part3b'!$AH$23</t>
  </si>
  <si>
    <t>Box31_part3b'!$AK$23</t>
  </si>
  <si>
    <t>Box31_part3b'!$P$24</t>
  </si>
  <si>
    <t>Box31_part3b'!$S$24</t>
  </si>
  <si>
    <t>Box31_part3b'!$V$24</t>
  </si>
  <si>
    <t>Box31_part3b'!$Y$24</t>
  </si>
  <si>
    <t>Box31_part3b'!$AB$24</t>
  </si>
  <si>
    <t>Box31_part3b'!$AE$24</t>
  </si>
  <si>
    <t>Box31_part3b'!$AH$24</t>
  </si>
  <si>
    <t>Box31_part3b'!$AK$24</t>
  </si>
  <si>
    <t>Box31_part3b'!$P$25</t>
  </si>
  <si>
    <t>Box31_part3b'!$S$25</t>
  </si>
  <si>
    <t>Box31_part3b'!$V$25</t>
  </si>
  <si>
    <t>Box31_part3b'!$Y$25</t>
  </si>
  <si>
    <t>Box31_part3b'!$AB$25</t>
  </si>
  <si>
    <t>Box31_part3b'!$AE$25</t>
  </si>
  <si>
    <t>Box31_part3b'!$AH$25</t>
  </si>
  <si>
    <t>Box31_part3b'!$AK$25</t>
  </si>
  <si>
    <t>Box31_part3b'!$P$26</t>
  </si>
  <si>
    <t>Box31_part3b'!$S$26</t>
  </si>
  <si>
    <t>Box31_part3b'!$V$26</t>
  </si>
  <si>
    <t>Box31_part3b'!$Y$26</t>
  </si>
  <si>
    <t>Box31_part3b'!$AB$26</t>
  </si>
  <si>
    <t>Box31_part3b'!$AE$26</t>
  </si>
  <si>
    <t>Box31_part3b'!$AH$26</t>
  </si>
  <si>
    <t>Box31_part3b'!$AK$26</t>
  </si>
  <si>
    <t>Box31_part3b'!$P$27</t>
  </si>
  <si>
    <t>Box31_part3b'!$S$27</t>
  </si>
  <si>
    <t>Box31_part3b'!$V$27</t>
  </si>
  <si>
    <t>Box31_part3b'!$Y$27</t>
  </si>
  <si>
    <t>Box31_part3b'!$AB$27</t>
  </si>
  <si>
    <t>Box31_part3b'!$AE$27</t>
  </si>
  <si>
    <t>Box31_part3b'!$AH$27</t>
  </si>
  <si>
    <t>Box31_part3b'!$AK$27</t>
  </si>
  <si>
    <t>Box31_part3b'!$P$28</t>
  </si>
  <si>
    <t>Box31_part3b'!$S$28</t>
  </si>
  <si>
    <t>Box31_part3b'!$V$28</t>
  </si>
  <si>
    <t>Box31_part3b'!$Y$28</t>
  </si>
  <si>
    <t>Box31_part3b'!$AB$28</t>
  </si>
  <si>
    <t>Box31_part3b'!$AE$28</t>
  </si>
  <si>
    <t>Box31_part3b'!$AH$28</t>
  </si>
  <si>
    <t>Box31_part3b'!$AK$28</t>
  </si>
  <si>
    <t>Box31_part3b'!$P$29</t>
  </si>
  <si>
    <t>Box31_part3b'!$S$29</t>
  </si>
  <si>
    <t>Box31_part3b'!$V$29</t>
  </si>
  <si>
    <t>Box31_part3b'!$Y$29</t>
  </si>
  <si>
    <t>Box31_part3b'!$AB$29</t>
  </si>
  <si>
    <t>Box31_part3b'!$AE$29</t>
  </si>
  <si>
    <t>Box31_part3b'!$AH$29</t>
  </si>
  <si>
    <t>Box31_part3b'!$AK$29</t>
  </si>
  <si>
    <t>Box31_part3b'!$P$30</t>
  </si>
  <si>
    <t>Box31_part3b'!$S$30</t>
  </si>
  <si>
    <t>Box31_part3b'!$V$30</t>
  </si>
  <si>
    <t>Box31_part3b'!$Y$30</t>
  </si>
  <si>
    <t>Box31_part3b'!$AB$30</t>
  </si>
  <si>
    <t>Box31_part3b'!$AE$30</t>
  </si>
  <si>
    <t>Box31_part3b'!$AH$30</t>
  </si>
  <si>
    <t>Box31_part3b'!$AK$30</t>
  </si>
  <si>
    <t>Box31_part3b'!$P$31</t>
  </si>
  <si>
    <t>Box31_part3b'!$S$31</t>
  </si>
  <si>
    <t>Box31_part3b'!$V$31</t>
  </si>
  <si>
    <t>Box31_part3b'!$Y$31</t>
  </si>
  <si>
    <t>Box31_part3b'!$AB$31</t>
  </si>
  <si>
    <t>Box31_part3b'!$AE$31</t>
  </si>
  <si>
    <t>Box31_part3b'!$AH$31</t>
  </si>
  <si>
    <t>Box31_part3b'!$AK$31</t>
  </si>
  <si>
    <t>Box31_part3b'!$P$32</t>
  </si>
  <si>
    <t>Box31_part3b'!$S$32</t>
  </si>
  <si>
    <t>Box31_part3b'!$V$32</t>
  </si>
  <si>
    <t>Box31_part3b'!$Y$32</t>
  </si>
  <si>
    <t>Box31_part3b'!$AB$32</t>
  </si>
  <si>
    <t>Box31_part3b'!$AE$32</t>
  </si>
  <si>
    <t>Box31_part3b'!$AH$32</t>
  </si>
  <si>
    <t>Box31_part3b'!$AK$32</t>
  </si>
  <si>
    <t>Box31_part3b'!$P$33</t>
  </si>
  <si>
    <t>Box31_part3b'!$S$33</t>
  </si>
  <si>
    <t>Box31_part3b'!$V$33</t>
  </si>
  <si>
    <t>Box31_part3b'!$Y$33</t>
  </si>
  <si>
    <t>Box31_part3b'!$AB$33</t>
  </si>
  <si>
    <t>Box31_part3b'!$AE$33</t>
  </si>
  <si>
    <t>Box31_part3b'!$AH$33</t>
  </si>
  <si>
    <t>Box31_part3b'!$AK$33</t>
  </si>
  <si>
    <t>Box31_part3b'!$E$34</t>
  </si>
  <si>
    <t>Box31_part3b'!$P$37</t>
  </si>
  <si>
    <t>Box31_part3b'!$S$37</t>
  </si>
  <si>
    <t>Box31_part3b'!$V$37</t>
  </si>
  <si>
    <t>Box31_part3b'!$Y$37</t>
  </si>
  <si>
    <t>Box31_part3b'!$AB$37</t>
  </si>
  <si>
    <t>Box31_part3b'!$AE$37</t>
  </si>
  <si>
    <t>Box31_part3b'!$AH$37</t>
  </si>
  <si>
    <t>Box31_part3b'!$AK$37</t>
  </si>
  <si>
    <t>Box31_part3b'!$P$38</t>
  </si>
  <si>
    <t>Box31_part3b'!$S$38</t>
  </si>
  <si>
    <t>Box31_part3b'!$V$38</t>
  </si>
  <si>
    <t>Box31_part3b'!$Y$38</t>
  </si>
  <si>
    <t>Box31_part3b'!$AB$38</t>
  </si>
  <si>
    <t>Box31_part3b'!$AE$38</t>
  </si>
  <si>
    <t>Box31_part3b'!$AH$38</t>
  </si>
  <si>
    <t>Box31_part3b'!$AK$38</t>
  </si>
  <si>
    <t>Box31_part3b'!$P$39</t>
  </si>
  <si>
    <t>Box31_part3b'!$S$39</t>
  </si>
  <si>
    <t>Box31_part3b'!$V$39</t>
  </si>
  <si>
    <t>Box31_part3b'!$Y$39</t>
  </si>
  <si>
    <t>Box31_part3b'!$AB$39</t>
  </si>
  <si>
    <t>Box31_part3b'!$AE$39</t>
  </si>
  <si>
    <t>Box31_part3b'!$AH$39</t>
  </si>
  <si>
    <t>Box31_part3b'!$AK$39</t>
  </si>
  <si>
    <t>Box31_part3b'!$P$40</t>
  </si>
  <si>
    <t>Box31_part3b'!$S$40</t>
  </si>
  <si>
    <t>Box31_part3b'!$V$40</t>
  </si>
  <si>
    <t>Box31_part3b'!$Y$40</t>
  </si>
  <si>
    <t>Box31_part3b'!$AB$40</t>
  </si>
  <si>
    <t>Box31_part3b'!$AE$40</t>
  </si>
  <si>
    <t>Box31_part3b'!$AH$40</t>
  </si>
  <si>
    <t>Box31_part3b'!$AK$40</t>
  </si>
  <si>
    <t>Box31_part3b'!$P$41</t>
  </si>
  <si>
    <t>Box31_part3b'!$S$41</t>
  </si>
  <si>
    <t>Box31_part3b'!$V$41</t>
  </si>
  <si>
    <t>Box31_part3b'!$Y$41</t>
  </si>
  <si>
    <t>Box31_part3b'!$AB$41</t>
  </si>
  <si>
    <t>Box31_part3b'!$AE$41</t>
  </si>
  <si>
    <t>Box31_part3b'!$AH$41</t>
  </si>
  <si>
    <t>Box31_part3b'!$AK$41</t>
  </si>
  <si>
    <t>Box31_part3b'!$E$42</t>
  </si>
  <si>
    <t>Box31_part3b'!$D$47</t>
  </si>
  <si>
    <t>Box31_part3b'!$J$52</t>
  </si>
  <si>
    <t>Box31_part3b'!$J$53</t>
  </si>
  <si>
    <t>Box31_part3b'!$J$54</t>
  </si>
  <si>
    <t>number_learner_drrmccampbp_completed_exclude_m</t>
  </si>
  <si>
    <t>number_learner_drrmccampbp_completed_exclude_f</t>
  </si>
  <si>
    <t>number_learner_drrmccampbp_completed_ip_m</t>
  </si>
  <si>
    <t>number_learner_drrmccampbp_completed_ip_f</t>
  </si>
  <si>
    <t>number_learner_drrmccampbp_completed_muslim_m</t>
  </si>
  <si>
    <t>number_learner_drrmccampbp_completed_muslim_f</t>
  </si>
  <si>
    <t>number_learner_drrmccampbp_completed_lwd_m</t>
  </si>
  <si>
    <t>number_learner_drrmccampbp_completed_lwd_f</t>
  </si>
  <si>
    <t>number_learner_drrmccampbp_trained_exclude_m</t>
  </si>
  <si>
    <t>number_learner_drrmccampbp_trained_exclude_f</t>
  </si>
  <si>
    <t>number_learner_drrmccampbp_trained_ip_m</t>
  </si>
  <si>
    <t>number_learner_drrmccampbp_trained_ip_f</t>
  </si>
  <si>
    <t>number_learner_drrmccampbp_trained_muslim_m</t>
  </si>
  <si>
    <t>number_learner_drrmccampbp_trained_muslim_f</t>
  </si>
  <si>
    <t>number_learner_drrmccampbp_trained_lwd_m</t>
  </si>
  <si>
    <t>number_learner_drrmccampbp_trained_lwd_f</t>
  </si>
  <si>
    <t>number_learner_drrmccampbp_coled_ppa_exclude_m</t>
  </si>
  <si>
    <t>number_learner_drrmccampbp_coled_ppa_exclude_f</t>
  </si>
  <si>
    <t>number_learner_drrmccampbp_coled_ppa_ip_m</t>
  </si>
  <si>
    <t>number_learner_drrmccampbp_coled_ppa_ip_f</t>
  </si>
  <si>
    <t>number_learner_drrmccampbp_coled_ppa_muslim_m</t>
  </si>
  <si>
    <t>number_learner_drrmccampbp_coled_ppa_muslim_f</t>
  </si>
  <si>
    <t>number_learner_drrmccampbp_coled_ppa_lwd_m</t>
  </si>
  <si>
    <t>number_learner_drrmccampbp_coled_ppa_lwd_f</t>
  </si>
  <si>
    <t>number_learner_drrmccampbp_led_ppa_exclude_m</t>
  </si>
  <si>
    <t>number_learner_drrmccampbp_led_ppa_exclude_f</t>
  </si>
  <si>
    <t>number_learner_drrmccampbp_led_ppa_ip_m</t>
  </si>
  <si>
    <t>number_learner_drrmccampbp_led_ppa_ip_f</t>
  </si>
  <si>
    <t>number_learner_drrmccampbp_led_ppa_muslim_m</t>
  </si>
  <si>
    <t>number_learner_drrmccampbp_led_ppa_muslim_f</t>
  </si>
  <si>
    <t>number_learner_drrmccampbp_led_ppa_lwd_m</t>
  </si>
  <si>
    <t>number_learner_drrmccampbp_led_ppa_lwd_f</t>
  </si>
  <si>
    <t>number_led_bylearner_drrm</t>
  </si>
  <si>
    <t>number_led_bylearner_ccam</t>
  </si>
  <si>
    <t>number_led_bylearner_pbuilding</t>
  </si>
  <si>
    <t>sch_used_deped_standard_training_manual_drrmccampbp</t>
  </si>
  <si>
    <t>number_trained_module_terminologies_teaching_m</t>
  </si>
  <si>
    <t>number_trained_module_terminologies_teaching_f</t>
  </si>
  <si>
    <t>number_trained_module_terminologies_nonteaching_m</t>
  </si>
  <si>
    <t>number_trained_module_terminologies_nonteaching_f</t>
  </si>
  <si>
    <t>number_trained_module_intl_ntl_foundations_teaching_m</t>
  </si>
  <si>
    <t>number_trained_module_intl_ntl_foundations_teaching_f</t>
  </si>
  <si>
    <t>number_trained_module_intl_ntl_foundations_nonteaching_m</t>
  </si>
  <si>
    <t>number_trained_module_intl_ntl_foundations_nonteaching_f</t>
  </si>
  <si>
    <t>number_trained_module_cdrrmef_teaching_m</t>
  </si>
  <si>
    <t>number_trained_module_cdrrmef_teaching_f</t>
  </si>
  <si>
    <t>number_trained_module_cdrrmef_nonteaching_m</t>
  </si>
  <si>
    <t>number_trained_module_cdrrmef_nonteaching_f</t>
  </si>
  <si>
    <t>number_trained_module_inclusive_childcenter_teaching_m</t>
  </si>
  <si>
    <t>number_trained_module_inclusive_childcenter_teaching_f</t>
  </si>
  <si>
    <t>number_trained_module_inclusive_childcenter_nonteaching_m</t>
  </si>
  <si>
    <t>number_trained_module_inclusive_childcenter_nonteaching_f</t>
  </si>
  <si>
    <t>number_trained_module_eie_teaching_m</t>
  </si>
  <si>
    <t>number_trained_module_eie_teaching_f</t>
  </si>
  <si>
    <t>number_trained_module_eie_nonteaching_m</t>
  </si>
  <si>
    <t>number_trained_module_eie_nonteaching_f</t>
  </si>
  <si>
    <t>number_trained_module_adm_teaching_m</t>
  </si>
  <si>
    <t>number_trained_module_adm_teaching_f</t>
  </si>
  <si>
    <t>number_trained_module_adm_nonteaching_m</t>
  </si>
  <si>
    <t>number_trained_module_adm_nonteaching_f</t>
  </si>
  <si>
    <t>number_trained_module_im_teaching_m</t>
  </si>
  <si>
    <t>number_trained_module_im_teaching_f</t>
  </si>
  <si>
    <t>number_trained_module_im_nonteaching_m</t>
  </si>
  <si>
    <t>number_trained_module_im_nonteaching_f</t>
  </si>
  <si>
    <t>number_trained_module_schoolbased_teaching_m</t>
  </si>
  <si>
    <t>number_trained_module_schoolbased_teaching_f</t>
  </si>
  <si>
    <t>number_trained_module_schoolbased_nonteaching_m</t>
  </si>
  <si>
    <t>number_trained_module_schoolbased_nonteaching_f</t>
  </si>
  <si>
    <t>number_trained_module_camp_mgmt_teaching_m</t>
  </si>
  <si>
    <t>number_trained_module_camp_mgmt_teaching_f</t>
  </si>
  <si>
    <t>number_trained_module_camp_mgmt_nonteaching_m</t>
  </si>
  <si>
    <t>number_trained_module_camp_mgmt_nonteaching_f</t>
  </si>
  <si>
    <t>number_trained_module_tls_teaching_m</t>
  </si>
  <si>
    <t>number_trained_module_tls_teaching_f</t>
  </si>
  <si>
    <t>number_trained_module_tls_nonteaching_m</t>
  </si>
  <si>
    <t>number_trained_module_tls_nonteaching_f</t>
  </si>
  <si>
    <t>number_trained_module_beie_teaching_m</t>
  </si>
  <si>
    <t>number_trained_module_beie_teaching_f</t>
  </si>
  <si>
    <t>number_trained_module_beie_nonteaching_m</t>
  </si>
  <si>
    <t>number_trained_module_beie_nonteaching_f</t>
  </si>
  <si>
    <t>number_trained_module_resource_mobil_teaching_m</t>
  </si>
  <si>
    <t>number_trained_module_resource_mobil_teaching_f</t>
  </si>
  <si>
    <t>number_trained_module_resource_mobil_nonteaching_m</t>
  </si>
  <si>
    <t>number_trained_module_resource_mobil_nonteaching_f</t>
  </si>
  <si>
    <t>number_trained_module_contingency_teaching_m</t>
  </si>
  <si>
    <t>number_trained_module_contingency_teaching_f</t>
  </si>
  <si>
    <t>number_trained_module_contingency_nonteaching_m</t>
  </si>
  <si>
    <t>number_trained_module_contingency_nonteaching_f</t>
  </si>
  <si>
    <t>number_trained_module_common_hazards_teaching_m</t>
  </si>
  <si>
    <t>number_trained_module_common_hazards_teaching_f</t>
  </si>
  <si>
    <t>number_trained_module_common_hazards_nonteaching_m</t>
  </si>
  <si>
    <t>number_trained_module_common_hazards_nonteaching_f</t>
  </si>
  <si>
    <t>number_trained_module_mainstream_planning_teaching_m</t>
  </si>
  <si>
    <t>number_trained_module_mainstream_planning_teaching_f</t>
  </si>
  <si>
    <t>number_trained_module_mainstream_planning_nonteaching_m</t>
  </si>
  <si>
    <t>number_trained_module_mainstream_planning_nonteaching_f</t>
  </si>
  <si>
    <t>number_trained_module_cchange_global_teaching_m</t>
  </si>
  <si>
    <t>number_trained_module_cchange_global_teaching_f</t>
  </si>
  <si>
    <t>number_trained_module_cchange_global_nonteaching_m</t>
  </si>
  <si>
    <t>number_trained_module_cchange_global_nonteaching_f</t>
  </si>
  <si>
    <t>number_trained_module_understand_cchange_teaching_m</t>
  </si>
  <si>
    <t>number_trained_module_understand_cchange_teaching_f</t>
  </si>
  <si>
    <t>number_trained_module_understand_cchange_nonteaching_m</t>
  </si>
  <si>
    <t>number_trained_module_understand_cchange_nonteaching_f</t>
  </si>
  <si>
    <t>number_trained_module_peace_conflict_teaching_m</t>
  </si>
  <si>
    <t>number_trained_module_peace_conflict_teaching_f</t>
  </si>
  <si>
    <t>number_trained_module_peace_conflict_nonteaching_m</t>
  </si>
  <si>
    <t>number_trained_module_peace_conflict_nonteaching_f</t>
  </si>
  <si>
    <t>number_trained_module_sensitive_educ_teaching_m</t>
  </si>
  <si>
    <t>number_trained_module_sensitive_educ_teaching_f</t>
  </si>
  <si>
    <t>number_trained_module_sensitive_educ_nonteaching_m</t>
  </si>
  <si>
    <t>number_trained_module_sensitive_educ_nonteaching_f</t>
  </si>
  <si>
    <t>number_trained_module_mhpss_teaching_m</t>
  </si>
  <si>
    <t>number_trained_module_mhpss_teaching_f</t>
  </si>
  <si>
    <t>number_trained_module_mhpss_nonteaching_m</t>
  </si>
  <si>
    <t>number_trained_module_mhpss_nonteaching_f</t>
  </si>
  <si>
    <t>number_trained_module_life_support_teaching_m</t>
  </si>
  <si>
    <t>number_trained_module_life_support_teaching_f</t>
  </si>
  <si>
    <t>number_trained_module_life_support_nonteaching_m</t>
  </si>
  <si>
    <t>number_trained_module_life_support_nonteaching_f</t>
  </si>
  <si>
    <t>number_trained_module_staff_safety_teaching_m</t>
  </si>
  <si>
    <t>number_trained_module_staff_safety_teaching_f</t>
  </si>
  <si>
    <t>number_trained_module_staff_safety_nonteaching_m</t>
  </si>
  <si>
    <t>number_trained_module_staff_safety_nonteaching_f</t>
  </si>
  <si>
    <t>number_trained_module_others_teaching_m</t>
  </si>
  <si>
    <t>number_trained_module_others_teaching_f</t>
  </si>
  <si>
    <t>number_trained_module_others_nonteaching_m</t>
  </si>
  <si>
    <t>number_trained_module_others_nonteaching_f</t>
  </si>
  <si>
    <t>number_trained_module_others_specify</t>
  </si>
  <si>
    <t>Box31_part3c'!$O$8</t>
  </si>
  <si>
    <t>Box31_part3c'!$R$8</t>
  </si>
  <si>
    <t>Box31_part3c'!$U$8</t>
  </si>
  <si>
    <t>Box31_part3c'!$X$8</t>
  </si>
  <si>
    <t>Box31_part3c'!$AA$8</t>
  </si>
  <si>
    <t>Box31_part3c'!$AD$8</t>
  </si>
  <si>
    <t>Box31_part3c'!$AG$8</t>
  </si>
  <si>
    <t>Box31_part3c'!$AJ$8</t>
  </si>
  <si>
    <t>Box31_part3c'!$O$9</t>
  </si>
  <si>
    <t>Box31_part3c'!$R$9</t>
  </si>
  <si>
    <t>Box31_part3c'!$U$9</t>
  </si>
  <si>
    <t>Box31_part3c'!$X$9</t>
  </si>
  <si>
    <t>Box31_part3c'!$AA$9</t>
  </si>
  <si>
    <t>Box31_part3c'!$AD$9</t>
  </si>
  <si>
    <t>Box31_part3c'!$AG$9</t>
  </si>
  <si>
    <t>Box31_part3c'!$AJ$9</t>
  </si>
  <si>
    <t>Box31_part3c'!$O$10</t>
  </si>
  <si>
    <t>Box31_part3c'!$R$10</t>
  </si>
  <si>
    <t>Box31_part3c'!$U$10</t>
  </si>
  <si>
    <t>Box31_part3c'!$X$10</t>
  </si>
  <si>
    <t>Box31_part3c'!$AA$10</t>
  </si>
  <si>
    <t>Box31_part3c'!$AD$10</t>
  </si>
  <si>
    <t>Box31_part3c'!$AG$10</t>
  </si>
  <si>
    <t>Box31_part3c'!$AJ$10</t>
  </si>
  <si>
    <t>Box31_part3c'!$O$11</t>
  </si>
  <si>
    <t>Box31_part3c'!$R$11</t>
  </si>
  <si>
    <t>Box31_part3c'!$U$11</t>
  </si>
  <si>
    <t>Box31_part3c'!$X$11</t>
  </si>
  <si>
    <t>Box31_part3c'!$AA$11</t>
  </si>
  <si>
    <t>Box31_part3c'!$AD$11</t>
  </si>
  <si>
    <t>Box31_part3c'!$AG$11</t>
  </si>
  <si>
    <t>Box31_part3c'!$AJ$11</t>
  </si>
  <si>
    <t>Box31_part3c'!$K$19</t>
  </si>
  <si>
    <t>Box31_part3c'!$K$20</t>
  </si>
  <si>
    <t>Box31_part3c'!$K$21</t>
  </si>
  <si>
    <t>Box31_part3c'!$E$22</t>
  </si>
  <si>
    <t>Box31_part3c'!$Y$29</t>
  </si>
  <si>
    <t>Box31_part3c'!$AB$29</t>
  </si>
  <si>
    <t>Box31_part3c'!$AE$29</t>
  </si>
  <si>
    <t>Box31_part3c'!$AH$29</t>
  </si>
  <si>
    <t>Box31_part3c'!$Y$30</t>
  </si>
  <si>
    <t>Box31_part3c'!$AB$30</t>
  </si>
  <si>
    <t>Box31_part3c'!$AE$30</t>
  </si>
  <si>
    <t>Box31_part3c'!$AH$30</t>
  </si>
  <si>
    <t>Box31_part3c'!$Y$31</t>
  </si>
  <si>
    <t>Box31_part3c'!$AB$31</t>
  </si>
  <si>
    <t>Box31_part3c'!$AE$31</t>
  </si>
  <si>
    <t>Box31_part3c'!$AH$31</t>
  </si>
  <si>
    <t>Box31_part3c'!$Y$32</t>
  </si>
  <si>
    <t>Box31_part3c'!$AB$32</t>
  </si>
  <si>
    <t>Box31_part3c'!$AE$32</t>
  </si>
  <si>
    <t>Box31_part3c'!$AH$32</t>
  </si>
  <si>
    <t>Box31_part3c'!$Y$33</t>
  </si>
  <si>
    <t>Box31_part3c'!$AB$33</t>
  </si>
  <si>
    <t>Box31_part3c'!$AE$33</t>
  </si>
  <si>
    <t>Box31_part3c'!$AH$33</t>
  </si>
  <si>
    <t>Box31_part3c'!$Y$34</t>
  </si>
  <si>
    <t>Box31_part3c'!$AB$34</t>
  </si>
  <si>
    <t>Box31_part3c'!$AE$34</t>
  </si>
  <si>
    <t>Box31_part3c'!$AH$34</t>
  </si>
  <si>
    <t>Box31_part3c'!$Y$35</t>
  </si>
  <si>
    <t>Box31_part3c'!$AB$35</t>
  </si>
  <si>
    <t>Box31_part3c'!$AE$35</t>
  </si>
  <si>
    <t>Box31_part3c'!$AH$35</t>
  </si>
  <si>
    <t>Box31_part3c'!$Y$36</t>
  </si>
  <si>
    <t>Box31_part3c'!$AB$36</t>
  </si>
  <si>
    <t>Box31_part3c'!$AE$36</t>
  </si>
  <si>
    <t>Box31_part3c'!$AH$36</t>
  </si>
  <si>
    <t>Box31_part3c'!$Y$37</t>
  </si>
  <si>
    <t>Box31_part3c'!$AB$37</t>
  </si>
  <si>
    <t>Box31_part3c'!$AE$37</t>
  </si>
  <si>
    <t>Box31_part3c'!$AH$37</t>
  </si>
  <si>
    <t>Box31_part3c'!$Y$38</t>
  </si>
  <si>
    <t>Box31_part3c'!$AB$38</t>
  </si>
  <si>
    <t>Box31_part3c'!$AE$38</t>
  </si>
  <si>
    <t>Box31_part3c'!$AH$38</t>
  </si>
  <si>
    <t>Box31_part3c'!$Y$39</t>
  </si>
  <si>
    <t>Box31_part3c'!$AB$39</t>
  </si>
  <si>
    <t>Box31_part3c'!$AE$39</t>
  </si>
  <si>
    <t>Box31_part3c'!$AH$39</t>
  </si>
  <si>
    <t>Box31_part3c'!$Y$40</t>
  </si>
  <si>
    <t>Box31_part3c'!$AB$40</t>
  </si>
  <si>
    <t>Box31_part3c'!$AE$40</t>
  </si>
  <si>
    <t>Box31_part3c'!$AH$40</t>
  </si>
  <si>
    <t>Box31_part3c'!$Y$41</t>
  </si>
  <si>
    <t>Box31_part3c'!$AB$41</t>
  </si>
  <si>
    <t>Box31_part3c'!$AE$41</t>
  </si>
  <si>
    <t>Box31_part3c'!$AH$41</t>
  </si>
  <si>
    <t>Box31_part3c'!$Y$42</t>
  </si>
  <si>
    <t>Box31_part3c'!$AB$42</t>
  </si>
  <si>
    <t>Box31_part3c'!$AE$42</t>
  </si>
  <si>
    <t>Box31_part3c'!$AH$42</t>
  </si>
  <si>
    <t>Box31_part3c'!$Y$43</t>
  </si>
  <si>
    <t>Box31_part3c'!$AB$43</t>
  </si>
  <si>
    <t>Box31_part3c'!$AE$43</t>
  </si>
  <si>
    <t>Box31_part3c'!$AH$43</t>
  </si>
  <si>
    <t>Box31_part3c'!$Y$44</t>
  </si>
  <si>
    <t>Box31_part3c'!$AB$44</t>
  </si>
  <si>
    <t>Box31_part3c'!$AE$44</t>
  </si>
  <si>
    <t>Box31_part3c'!$AH$44</t>
  </si>
  <si>
    <t>Box31_part3c'!$Y$45</t>
  </si>
  <si>
    <t>Box31_part3c'!$AB$45</t>
  </si>
  <si>
    <t>Box31_part3c'!$AE$45</t>
  </si>
  <si>
    <t>Box31_part3c'!$AH$45</t>
  </si>
  <si>
    <t>Box31_part3c'!$Y$46</t>
  </si>
  <si>
    <t>Box31_part3c'!$AB$46</t>
  </si>
  <si>
    <t>Box31_part3c'!$AE$46</t>
  </si>
  <si>
    <t>Box31_part3c'!$AH$46</t>
  </si>
  <si>
    <t>Box31_part3c'!$Y$47</t>
  </si>
  <si>
    <t>Box31_part3c'!$AB$47</t>
  </si>
  <si>
    <t>Box31_part3c'!$AE$47</t>
  </si>
  <si>
    <t>Box31_part3c'!$AH$47</t>
  </si>
  <si>
    <t>Box31_part3c'!$Y$48</t>
  </si>
  <si>
    <t>Box31_part3c'!$AB$48</t>
  </si>
  <si>
    <t>Box31_part3c'!$AE$48</t>
  </si>
  <si>
    <t>Box31_part3c'!$AH$48</t>
  </si>
  <si>
    <t>Box31_part3c'!$Y$49</t>
  </si>
  <si>
    <t>Box31_part3c'!$AB$49</t>
  </si>
  <si>
    <t>Box31_part3c'!$AE$49</t>
  </si>
  <si>
    <t>Box31_part3c'!$AH$49</t>
  </si>
  <si>
    <t>Box31_part3c'!$Y$50</t>
  </si>
  <si>
    <t>Box31_part3c'!$AB$50</t>
  </si>
  <si>
    <t>Box31_part3c'!$AE$50</t>
  </si>
  <si>
    <t>Box31_part3c'!$AH$50</t>
  </si>
  <si>
    <t>Box31_part3c'!$Y$51</t>
  </si>
  <si>
    <t>Box31_part3c'!$AB$51</t>
  </si>
  <si>
    <t>Box31_part3c'!$AE$51</t>
  </si>
  <si>
    <t>Box31_part3c'!$AH$51</t>
  </si>
  <si>
    <t>Box31_part3c'!$F$52</t>
  </si>
  <si>
    <t>number_completed_trng_drrmccampbp_teaching_m</t>
  </si>
  <si>
    <t>number_completed_trng_drrmccampbp_teaching_f</t>
  </si>
  <si>
    <t>number_completed_trng_drrmccampbp_nonteaching_m</t>
  </si>
  <si>
    <t>number_completed_trng_drrmccampbp_nonteaching_f</t>
  </si>
  <si>
    <t>number_teachers_trained_integ_drrmccampbp_daily_m</t>
  </si>
  <si>
    <t>number_teachers_trained_integ_drrmccampbp_daily_f</t>
  </si>
  <si>
    <t>sch_used_deped_dev_mhpss_standard_manual</t>
  </si>
  <si>
    <t>number_mhpss_training_drrm_learner</t>
  </si>
  <si>
    <t>number_mhpss_training_drrm_personnel</t>
  </si>
  <si>
    <t>number_mhpss_training_ccam_learner</t>
  </si>
  <si>
    <t>number_mhpss_training_ccam_personnel</t>
  </si>
  <si>
    <t>number_mhpss_training_pbp_learner</t>
  </si>
  <si>
    <t>number_mhpss_training_pbp_personnel</t>
  </si>
  <si>
    <t>number_personnel_mhpss_psychfirstaid_teaching_m</t>
  </si>
  <si>
    <t>number_personnel_mhpss_psychfirstaid_teaching_f</t>
  </si>
  <si>
    <t>number_personnel_mhpss_psychfirstaid_nonteaching_m</t>
  </si>
  <si>
    <t>number_personnel_mhpss_psychfirstaid_nonteaching_f</t>
  </si>
  <si>
    <t>Box31_part3d'!$D$10</t>
  </si>
  <si>
    <t>Box31_part3d'!$M$10</t>
  </si>
  <si>
    <t>Box31_part3d'!$G$10</t>
  </si>
  <si>
    <t>Box31_part3d'!$J$10</t>
  </si>
  <si>
    <t>Box31_part3d'!$X$10</t>
  </si>
  <si>
    <t>Box31_part3d'!$AB$10</t>
  </si>
  <si>
    <t>Box31_part3d'!$D$12</t>
  </si>
  <si>
    <t>Box31_part3d'!$I$18</t>
  </si>
  <si>
    <t>Box31_part3d'!$N$18</t>
  </si>
  <si>
    <t>Box31_part3d'!$I$19</t>
  </si>
  <si>
    <t>Box31_part3d'!$N$19</t>
  </si>
  <si>
    <t>Box31_part3d'!$I$20</t>
  </si>
  <si>
    <t>Box31_part3d'!$N$20</t>
  </si>
  <si>
    <t>Box31_part3d'!$IY$20</t>
  </si>
  <si>
    <t>Box31_part3d'!$AE$20</t>
  </si>
  <si>
    <t>Box31_part3d'!$AB$20</t>
  </si>
  <si>
    <r>
      <t xml:space="preserve">  If </t>
    </r>
    <r>
      <rPr>
        <b/>
        <sz val="12"/>
        <rFont val="Times New Roman"/>
        <family val="1"/>
      </rPr>
      <t>Yes</t>
    </r>
    <r>
      <rPr>
        <sz val="12"/>
        <rFont val="Times New Roman"/>
        <family val="1"/>
      </rPr>
      <t xml:space="preserve">, what ethnicity?  </t>
    </r>
  </si>
  <si>
    <t>sch_cond_peaceandordertensions_past5yrs</t>
  </si>
  <si>
    <t>sch_cond_cant_reach_regcars_regpuv</t>
  </si>
  <si>
    <t>sch_cond_occ_danger_geo_challenges</t>
  </si>
  <si>
    <t>es_iped_program</t>
  </si>
  <si>
    <t>num_teachers_reside_withinschmun_k_m</t>
  </si>
  <si>
    <t>num_teachers_reside_withinschmun_k_f</t>
  </si>
  <si>
    <t>num_teachers_reside_withinschmun_g1_m</t>
  </si>
  <si>
    <t>num_teachers_reside_withinschmun_g1_f</t>
  </si>
  <si>
    <t>num_teachers_reside_withinschmun_g2_m</t>
  </si>
  <si>
    <t>num_teachers_reside_withinschmun_g2_f</t>
  </si>
  <si>
    <t>num_teachers_reside_withinschmun_g3_m</t>
  </si>
  <si>
    <t>num_teachers_reside_withinschmun_g3_f</t>
  </si>
  <si>
    <t>num_teachers_reside_withinschmun_g4_m</t>
  </si>
  <si>
    <t>num_teachers_reside_withinschmun_g4_f</t>
  </si>
  <si>
    <t>num_teachers_reside_withinschmun_g5_m</t>
  </si>
  <si>
    <t>num_teachers_reside_withinschmun_g5_f</t>
  </si>
  <si>
    <t>num_teachers_reside_withinschmun_g6_m</t>
  </si>
  <si>
    <t>num_teachers_reside_withinschmun_g6_f</t>
  </si>
  <si>
    <t>num_teachers_reside_outsideschmun_k_m</t>
  </si>
  <si>
    <t>num_teachers_reside_outsideschmun_k_f</t>
  </si>
  <si>
    <t>num_teachers_reside_outsideschmun_g1_m</t>
  </si>
  <si>
    <t>num_teachers_reside_outsideschmun_g1_f</t>
  </si>
  <si>
    <t>num_teachers_reside_outsideschmun_g2_m</t>
  </si>
  <si>
    <t>num_teachers_reside_outsideschmun_g2_f</t>
  </si>
  <si>
    <t>num_teachers_reside_outsideschmun_g3_m</t>
  </si>
  <si>
    <t>num_teachers_reside_outsideschmun_g3_f</t>
  </si>
  <si>
    <t>num_teachers_reside_outsideschmun_g4_m</t>
  </si>
  <si>
    <t>num_teachers_reside_outsideschmun_g4_f</t>
  </si>
  <si>
    <t>num_teachers_reside_outsideschmun_g5_m</t>
  </si>
  <si>
    <t>num_teachers_reside_outsideschmun_g5_f</t>
  </si>
  <si>
    <t>num_teachers_reside_outsideschmun_g6_m</t>
  </si>
  <si>
    <t>num_teachers_reside_outsideschmun_g6_f</t>
  </si>
  <si>
    <t>sch_workexp_IPcomm_devtlessonplans_ifyes</t>
  </si>
  <si>
    <t>do_iped_focal_name</t>
  </si>
  <si>
    <t>do_iped_focal_pos_title</t>
  </si>
  <si>
    <t>sch_use_ip_mt_medium_instruction</t>
  </si>
  <si>
    <t>sch_use_ip_mt_mtb_mle_subjects</t>
  </si>
  <si>
    <t>sch_celebrate_ip_day</t>
  </si>
  <si>
    <t>sch_celebrate_ip_month</t>
  </si>
  <si>
    <t>sch_schoolhead_ip</t>
  </si>
  <si>
    <t>sch_schoolhead_ip_specify</t>
  </si>
  <si>
    <t>sch_schoolhead_attended_iped_orientation</t>
  </si>
  <si>
    <t>num_teachers_ip_k_m</t>
  </si>
  <si>
    <t>num_teachers_ip_k_f</t>
  </si>
  <si>
    <t>num_teachers_ip_g1_m</t>
  </si>
  <si>
    <t>num_teachers_ip_g1_f</t>
  </si>
  <si>
    <t>num_teachers_ip_g2_m</t>
  </si>
  <si>
    <t>num_teachers_ip_g2_f</t>
  </si>
  <si>
    <t>num_teachers_ip_g3_m</t>
  </si>
  <si>
    <t>num_teachers_ip_g3_f</t>
  </si>
  <si>
    <t>num_teachers_ip_g4_m</t>
  </si>
  <si>
    <t>num_teachers_ip_g4_f</t>
  </si>
  <si>
    <t>num_teachers_ip_g5_m</t>
  </si>
  <si>
    <t>num_teachers_ip_g5_f</t>
  </si>
  <si>
    <t>num_teachers_ip_g6_m</t>
  </si>
  <si>
    <t>num_teachers_ip_g6_f</t>
  </si>
  <si>
    <t>num_teacher_attended_iped_orientation_m</t>
  </si>
  <si>
    <t>num_teacher_attended_iped_orientation_f</t>
  </si>
  <si>
    <t>num_teacher_attended_iped_orientation_outside_deped_m</t>
  </si>
  <si>
    <t>num_teacher_attended_iped_orientation_outside_deped_f</t>
  </si>
  <si>
    <t>sch_health_ip_vacc_mcv_g1_m</t>
  </si>
  <si>
    <t>sch_health_ip_vacc_mcv_g1_f</t>
  </si>
  <si>
    <t>sch_health_ip_vacc_td_g1_m</t>
  </si>
  <si>
    <t>sch_health_ip_vacc_td_g1_f</t>
  </si>
  <si>
    <t>sch_health_ip_vacc_hpv_g4_f</t>
  </si>
  <si>
    <t>sch_ip_located_ancestral_domain_affected_ac</t>
  </si>
  <si>
    <t>Box32'!$D$6</t>
  </si>
  <si>
    <t>Box32'!$D$8</t>
  </si>
  <si>
    <t>Box32'!$D$10</t>
  </si>
  <si>
    <t>Box32'!$M$17</t>
  </si>
  <si>
    <t>Box32'!$O$17</t>
  </si>
  <si>
    <t>Box32'!$Q$17</t>
  </si>
  <si>
    <t>Box32'!$S$17</t>
  </si>
  <si>
    <t>Box32'!$U$17</t>
  </si>
  <si>
    <t>Box32'!$W$17</t>
  </si>
  <si>
    <t>Box32'!$Y$17</t>
  </si>
  <si>
    <t>Box32'!$AA$17</t>
  </si>
  <si>
    <t>Box32'!$AC$17</t>
  </si>
  <si>
    <t>Box32'!$AE$17</t>
  </si>
  <si>
    <t>Box32'!$AG$17</t>
  </si>
  <si>
    <t>Box32'!$AI$17</t>
  </si>
  <si>
    <t>Box32'!$AK$17</t>
  </si>
  <si>
    <t>Box32'!$AM$17</t>
  </si>
  <si>
    <t>Box32'!$M$18</t>
  </si>
  <si>
    <t>Box32'!$O$18</t>
  </si>
  <si>
    <t>Box32'!$Q$18</t>
  </si>
  <si>
    <t>Box32'!$S$18</t>
  </si>
  <si>
    <t>Box32'!$U$18</t>
  </si>
  <si>
    <t>Box32'!$W$18</t>
  </si>
  <si>
    <t>Box32'!$Y$18</t>
  </si>
  <si>
    <t>Box32'!$AA$18</t>
  </si>
  <si>
    <t>Box32'!$AC$18</t>
  </si>
  <si>
    <t>Box32'!$AE$18</t>
  </si>
  <si>
    <t>Box32'!$AG$18</t>
  </si>
  <si>
    <t>Box32'!$AI$18</t>
  </si>
  <si>
    <t>Box32'!$AK$18</t>
  </si>
  <si>
    <t>Box32'!$AM$18</t>
  </si>
  <si>
    <t>Box32'!$AH$20</t>
  </si>
  <si>
    <t>Box32'!$AH$21</t>
  </si>
  <si>
    <t>Box32'!$AH$22</t>
  </si>
  <si>
    <t>Box32'!$M$23</t>
  </si>
  <si>
    <t>Box32'!$M$24</t>
  </si>
  <si>
    <t>Box32'!$M$25</t>
  </si>
  <si>
    <t>Box32'!$AA$25</t>
  </si>
  <si>
    <t>Box32'!$U$26</t>
  </si>
  <si>
    <t>Box32'!$D$30</t>
  </si>
  <si>
    <t>Box32'!$F$30</t>
  </si>
  <si>
    <t>Box32'!$H$30</t>
  </si>
  <si>
    <t>Box32'!$J$30</t>
  </si>
  <si>
    <t>Box32'!$L$30</t>
  </si>
  <si>
    <t>Box32'!$N$30</t>
  </si>
  <si>
    <t>Box32'!$P$30</t>
  </si>
  <si>
    <t>Box32'!$R$30</t>
  </si>
  <si>
    <t>Box32'!$T$30</t>
  </si>
  <si>
    <t>Box32'!$V$30</t>
  </si>
  <si>
    <t>Box32'!$X$30</t>
  </si>
  <si>
    <t>Box32'!$Z$30</t>
  </si>
  <si>
    <t>Box32'!$AB$30</t>
  </si>
  <si>
    <t>Box32'!$AD$30</t>
  </si>
  <si>
    <t>Box32'!$D$33</t>
  </si>
  <si>
    <t>Box32'!$J$33</t>
  </si>
  <si>
    <t>Box32'!$D$36</t>
  </si>
  <si>
    <t>Box32'!$J$36</t>
  </si>
  <si>
    <t>Box32'!$L$40</t>
  </si>
  <si>
    <t>Box32'!$O$40</t>
  </si>
  <si>
    <t>Box32'!$L$41</t>
  </si>
  <si>
    <t>Box32'!$O$41</t>
  </si>
  <si>
    <t>Box32'!$U$42</t>
  </si>
  <si>
    <t>Box32'!$U$43</t>
  </si>
  <si>
    <t>Box32'!$X$55</t>
  </si>
  <si>
    <t>Box32'!$T$53</t>
  </si>
  <si>
    <t>Remarks</t>
  </si>
  <si>
    <t>New field in existing table</t>
  </si>
  <si>
    <t>Renamed</t>
  </si>
  <si>
    <t>New field and new table</t>
  </si>
  <si>
    <r>
      <t xml:space="preserve">1.2. Average Cost of Monthly Bills/Maintenance:  </t>
    </r>
    <r>
      <rPr>
        <i/>
        <sz val="12"/>
        <rFont val="Times New Roman"/>
        <family val="1"/>
      </rPr>
      <t>(Indicate the amount in PhP)</t>
    </r>
  </si>
  <si>
    <t>Table11 '!$L$11</t>
  </si>
  <si>
    <t>Table11 '!$O$11</t>
  </si>
  <si>
    <t>Table11 '!$R$11</t>
  </si>
  <si>
    <t>Table11 '!$X$11</t>
  </si>
  <si>
    <t>Table11 '!$AA$11</t>
  </si>
  <si>
    <t>Table11 '!$AD$11</t>
  </si>
  <si>
    <t>Table11 '!$AG$11</t>
  </si>
  <si>
    <t>Table11 '!$AJ$11</t>
  </si>
  <si>
    <t>Table11 '!$AT$11</t>
  </si>
  <si>
    <t>Table11 '!$AW$11</t>
  </si>
  <si>
    <t>Table11 '!$L$12</t>
  </si>
  <si>
    <t>Table11 '!$O$12</t>
  </si>
  <si>
    <t>Table11 '!$R$12</t>
  </si>
  <si>
    <t>Table11 '!$X$12</t>
  </si>
  <si>
    <t>Table11 '!$AA$12</t>
  </si>
  <si>
    <t>Table11 '!$AD$12</t>
  </si>
  <si>
    <t>Table11 '!$AG$12</t>
  </si>
  <si>
    <t>Table11 '!$AJ$12</t>
  </si>
  <si>
    <t>Table11 '!$AT$12</t>
  </si>
  <si>
    <t>Table11 '!$AW$12</t>
  </si>
  <si>
    <t>Table11 '!$L$13</t>
  </si>
  <si>
    <t>Table11 '!$O$13</t>
  </si>
  <si>
    <t>Table11 '!$R$13</t>
  </si>
  <si>
    <t>Table11 '!$X$13</t>
  </si>
  <si>
    <t>Table11 '!$AA$13</t>
  </si>
  <si>
    <t>Table11 '!$AD$13</t>
  </si>
  <si>
    <t>Table11 '!$AG$13</t>
  </si>
  <si>
    <t>Table11 '!$AJ$13</t>
  </si>
  <si>
    <t>Table11 '!$AT$13</t>
  </si>
  <si>
    <t>Table11 '!$AW$13</t>
  </si>
  <si>
    <t>Table11 '!$L$14</t>
  </si>
  <si>
    <t>Table11 '!$O$14</t>
  </si>
  <si>
    <t>Table11 '!$R$14</t>
  </si>
  <si>
    <t>Table11 '!$X$14</t>
  </si>
  <si>
    <t>Table11 '!$AA$14</t>
  </si>
  <si>
    <t>Table11 '!$AD$14</t>
  </si>
  <si>
    <t>Table11 '!$AG$14</t>
  </si>
  <si>
    <t>Table11 '!$AJ$14</t>
  </si>
  <si>
    <t>Table11 '!$AT$14</t>
  </si>
  <si>
    <t>Table11 '!$AW$14</t>
  </si>
  <si>
    <t>Table11 '!$L$15</t>
  </si>
  <si>
    <t>Table11 '!$O$15</t>
  </si>
  <si>
    <t>Table11 '!$R$15</t>
  </si>
  <si>
    <t>Table11 '!$X$15</t>
  </si>
  <si>
    <t>Table11 '!$AA$15</t>
  </si>
  <si>
    <t>Table11 '!$AD$15</t>
  </si>
  <si>
    <t>Table11 '!$AG$15</t>
  </si>
  <si>
    <t>Table11 '!$AJ$15</t>
  </si>
  <si>
    <t>Table11 '!$AT$15</t>
  </si>
  <si>
    <t>Table11 '!$AW$15</t>
  </si>
  <si>
    <t>Table11 '!$L$16</t>
  </si>
  <si>
    <t>Table11 '!$O$16</t>
  </si>
  <si>
    <t>Table11 '!$R$16</t>
  </si>
  <si>
    <t>Table11 '!$X$16</t>
  </si>
  <si>
    <t>Table11 '!$AA$16</t>
  </si>
  <si>
    <t>Table11 '!$AD$16</t>
  </si>
  <si>
    <t>Table11 '!$AG$16</t>
  </si>
  <si>
    <t>Table11 '!$AJ$16</t>
  </si>
  <si>
    <t>Table11 '!$AT$16</t>
  </si>
  <si>
    <t>Table11 '!$AW$16</t>
  </si>
  <si>
    <t>Table11 '!$L$17</t>
  </si>
  <si>
    <t>Table11 '!$O$17</t>
  </si>
  <si>
    <t>Table11 '!$R$17</t>
  </si>
  <si>
    <t>Table11 '!$X$17</t>
  </si>
  <si>
    <t>Table11 '!$AA$17</t>
  </si>
  <si>
    <t>Table11 '!$AD$17</t>
  </si>
  <si>
    <t>Table11 '!$AG$17</t>
  </si>
  <si>
    <t>Table11 '!$AJ$17</t>
  </si>
  <si>
    <t>Table11 '!$AT$17</t>
  </si>
  <si>
    <t>Table11 '!$AW$17</t>
  </si>
  <si>
    <t>Table11 '!$L$18</t>
  </si>
  <si>
    <t>Table11 '!$O$18</t>
  </si>
  <si>
    <t>Table11 '!$R$18</t>
  </si>
  <si>
    <t>Table11 '!$X$18</t>
  </si>
  <si>
    <t>Table11 '!$AA$18</t>
  </si>
  <si>
    <t>Table11 '!$AD$18</t>
  </si>
  <si>
    <t>Table11 '!$AG$18</t>
  </si>
  <si>
    <t>Table11 '!$AJ$18</t>
  </si>
  <si>
    <t>Table11 '!$AT$18</t>
  </si>
  <si>
    <t>Table11 '!$AW$18</t>
  </si>
  <si>
    <t>Table11 '!$L$19</t>
  </si>
  <si>
    <t>Table11 '!$O$19</t>
  </si>
  <si>
    <t>Table11 '!$R$19</t>
  </si>
  <si>
    <t>Table11 '!$X$19</t>
  </si>
  <si>
    <t>Table11 '!$AA$19</t>
  </si>
  <si>
    <t>Table11 '!$AD$19</t>
  </si>
  <si>
    <t>Table11 '!$AG$19</t>
  </si>
  <si>
    <t>Table11 '!$AJ$19</t>
  </si>
  <si>
    <t>Table11 '!$AT$19</t>
  </si>
  <si>
    <t>Table11 '!$AW$19</t>
  </si>
  <si>
    <t>Table11 '!$L$20</t>
  </si>
  <si>
    <t>Table11 '!$O$20</t>
  </si>
  <si>
    <t>Table11 '!$R$20</t>
  </si>
  <si>
    <t>Table11 '!$X$20</t>
  </si>
  <si>
    <t>Table11 '!$AA$20</t>
  </si>
  <si>
    <t>Table11 '!$AD$20</t>
  </si>
  <si>
    <t>Table11 '!$AG$20</t>
  </si>
  <si>
    <t>Table11 '!$AJ$20</t>
  </si>
  <si>
    <t>Table11 '!$AT$20</t>
  </si>
  <si>
    <t>Table11 '!$AW$20</t>
  </si>
  <si>
    <t>Table11 '!$L$21</t>
  </si>
  <si>
    <t>Table11 '!$O$21</t>
  </si>
  <si>
    <t>Table11 '!$R$21</t>
  </si>
  <si>
    <t>Table11 '!$X$21</t>
  </si>
  <si>
    <t>Table11 '!$AA$21</t>
  </si>
  <si>
    <t>Table11 '!$AD$21</t>
  </si>
  <si>
    <t>Table11 '!$AG$21</t>
  </si>
  <si>
    <t>Table11 '!$AJ$21</t>
  </si>
  <si>
    <t>Table11 '!$AT$21</t>
  </si>
  <si>
    <t>Table11 '!$AW$21</t>
  </si>
  <si>
    <t>Table11 '!$L$22</t>
  </si>
  <si>
    <t>Table11 '!$O$22</t>
  </si>
  <si>
    <t>Table11 '!$R$22</t>
  </si>
  <si>
    <t>Table11 '!$X$22</t>
  </si>
  <si>
    <t>Table11 '!$AA$22</t>
  </si>
  <si>
    <t>Table11 '!$AD$22</t>
  </si>
  <si>
    <t>Table11 '!$AG$22</t>
  </si>
  <si>
    <t>Table11 '!$AJ$22</t>
  </si>
  <si>
    <t>Table11 '!$AT$22</t>
  </si>
  <si>
    <t>Table11 '!$AW$22</t>
  </si>
  <si>
    <t>Table11 '!$O$25</t>
  </si>
  <si>
    <t>Table11 '!$R$25</t>
  </si>
  <si>
    <t>Table11 '!$AT$25</t>
  </si>
  <si>
    <t>Table11 '!$AW$25</t>
  </si>
  <si>
    <t>Table11 '!$O$26</t>
  </si>
  <si>
    <t>Table11 '!$R$26</t>
  </si>
  <si>
    <t>Table11 '!$AT$26</t>
  </si>
  <si>
    <t>Table11 '!$AW$26</t>
  </si>
  <si>
    <t>Table11 '!$O$27</t>
  </si>
  <si>
    <t>Table11 '!$R$27</t>
  </si>
  <si>
    <t>Table11 '!$AT$27</t>
  </si>
  <si>
    <t>Table11 '!$AW$27</t>
  </si>
  <si>
    <t>Table11 '!$O$28</t>
  </si>
  <si>
    <t>Table11 '!$R$28</t>
  </si>
  <si>
    <t>Table11 '!$AT$28</t>
  </si>
  <si>
    <t>Table11 '!$AW$28</t>
  </si>
  <si>
    <t>Table11 '!$O$29</t>
  </si>
  <si>
    <t>Table11 '!$R$29</t>
  </si>
  <si>
    <t>Table11 '!$AT$29</t>
  </si>
  <si>
    <t>Table11 '!$AW$29</t>
  </si>
  <si>
    <t>Table11 '!$O$30</t>
  </si>
  <si>
    <t>Table11 '!$R$30</t>
  </si>
  <si>
    <t>Table11 '!$AT$30</t>
  </si>
  <si>
    <t>Table11 '!$AW$30</t>
  </si>
  <si>
    <t>Table11 '!$O$31</t>
  </si>
  <si>
    <t>Table11 '!$R$31</t>
  </si>
  <si>
    <t>Table11 '!$AT$31</t>
  </si>
  <si>
    <t>Table11 '!$AW$31</t>
  </si>
  <si>
    <t>Table11 '!$O$32</t>
  </si>
  <si>
    <t>Table11 '!$R$32</t>
  </si>
  <si>
    <t>Table11 '!$AT$32</t>
  </si>
  <si>
    <t>Table11 '!$AW$32</t>
  </si>
  <si>
    <t>mental_cases_suicide_learners_after_lastsy_jul</t>
  </si>
  <si>
    <t>mental_cases_suicide_learners_after_lastsy_aug</t>
  </si>
  <si>
    <t>mental_cases_suicide_personnel_after_lastsy_jul</t>
  </si>
  <si>
    <t>mental_cases_suicide_personnel_after_lastsy_aug</t>
  </si>
  <si>
    <t>mental_cases_attemptsuicide_learners_after_lastsy_jul</t>
  </si>
  <si>
    <t>mental_cases_attemptsuicide_learners_after_lastsy_aug</t>
  </si>
  <si>
    <t>mental_cases_attemptsuicide_personnel_after_lastsy_jul</t>
  </si>
  <si>
    <t>mental_cases_attemptsuicide_personnel_after_lastsy_aug</t>
  </si>
  <si>
    <t>mental_cases_suicide_learners_lastsy_dec</t>
  </si>
  <si>
    <t>mental_cases_suicide_learners_lastsy_jan</t>
  </si>
  <si>
    <t>mental_cases_suicide_learners_lastsy_feb</t>
  </si>
  <si>
    <t>mental_cases_suicide_learners_lastsy_mar</t>
  </si>
  <si>
    <t>mental_cases_suicide_learners_lastsy_apr</t>
  </si>
  <si>
    <t>mental_cases_suicide_learners_lastsy_may</t>
  </si>
  <si>
    <t>mental_cases_suicide_learners_lastsy_jun</t>
  </si>
  <si>
    <t>mental_cases_suicide_personnel_lastsy_dec</t>
  </si>
  <si>
    <t>mental_cases_suicide_personnel_lastsy_jan</t>
  </si>
  <si>
    <t>mental_cases_suicide_personnel_lastsy_feb</t>
  </si>
  <si>
    <t>mental_cases_suicide_personnel_lastsy_mar</t>
  </si>
  <si>
    <t>mental_cases_suicide_personnel_lastsy_apr</t>
  </si>
  <si>
    <t>mental_cases_suicide_personnel_lastsy_may</t>
  </si>
  <si>
    <t>mental_cases_suicide_personnel_lastsy_jun</t>
  </si>
  <si>
    <t>mental_cases_attemptsuicide_learners_lastsy_dec</t>
  </si>
  <si>
    <t>mental_cases_attemptsuicide_learners_lastsy_jan</t>
  </si>
  <si>
    <t>mental_cases_attemptsuicide_learners_lastsy_feb</t>
  </si>
  <si>
    <t>mental_cases_attemptsuicide_learners_lastsy_mar</t>
  </si>
  <si>
    <t>mental_cases_attemptsuicide_learners_lastsy_apr</t>
  </si>
  <si>
    <t>mental_cases_attemptsuicide_learners_lastsy_may</t>
  </si>
  <si>
    <t>mental_cases_attemptsuicide_learners_lastsy_jun</t>
  </si>
  <si>
    <t>mental_cases_attemptsuicide_personnel_lastsy_dec</t>
  </si>
  <si>
    <t>mental_cases_attemptsuicide_personnel_lastsy_jan</t>
  </si>
  <si>
    <t>mental_cases_attemptsuicide_personnel_lastsy_feb</t>
  </si>
  <si>
    <t>mental_cases_attemptsuicide_personnel_lastsy_mar</t>
  </si>
  <si>
    <t>mental_cases_attemptsuicide_personnel_lastsy_apr</t>
  </si>
  <si>
    <t>mental_cases_attemptsuicide_personnel_lastsy_may</t>
  </si>
  <si>
    <t>mental_cases_attemptsuicide_personnel_lastsy_jun</t>
  </si>
  <si>
    <t>mental_cases_suicide_learners_currsy_sep</t>
  </si>
  <si>
    <t>mental_cases_suicide_learners_currsy_oct</t>
  </si>
  <si>
    <t>mental_cases_suicide_learners_currsy_nov</t>
  </si>
  <si>
    <t>mental_cases_suicide_personnel_currsy_sep</t>
  </si>
  <si>
    <t>mental_cases_suicide_personnel_currsy_oct</t>
  </si>
  <si>
    <t>mental_cases_suicide_personnel_currsy_nov</t>
  </si>
  <si>
    <t>mental_cases_attemptsuicide_learners_currsy_sep</t>
  </si>
  <si>
    <t>mental_cases_attemptsuicide_learners_currsy_oct</t>
  </si>
  <si>
    <t>mental_cases_attemptsuicide_learners_currsy_nov</t>
  </si>
  <si>
    <t>mental_cases_attemptsuicide_personnel_currsy_sep</t>
  </si>
  <si>
    <t>mental_cases_attemptsuicide_personnel_currsy_oct</t>
  </si>
  <si>
    <t>mental_cases_attemptsuicide_personnel_currsy_nov</t>
  </si>
  <si>
    <t>Victorias City</t>
  </si>
  <si>
    <t xml:space="preserve">Position Title :   </t>
  </si>
  <si>
    <t xml:space="preserve">Number of school personnel that participated in DRRM, CCAM, and Peacebuilding activities </t>
  </si>
  <si>
    <t>2.a. If Yes, for how many years as adviser?</t>
  </si>
  <si>
    <t xml:space="preserve">        Important:  Read the definitions/instructions found at the bottom of each table before filling out the form.  No item shall be left blank.  Instead, "zero ( 0 )" or "not applicable (n/a)" shall be written. Shaded boxes shall not be filled.</t>
  </si>
  <si>
    <t xml:space="preserve">(HH:MM:SS 24 hrs. format)
e.g. 1:20 AM = 1:20:00
       1:20 PM = 13:20:00 </t>
  </si>
  <si>
    <t>5. Autism Spectrum Disorder</t>
  </si>
  <si>
    <t>School has integrated DRRM, CCAM, and Peacebuilding into the School Improvement Plan (SIP)</t>
  </si>
  <si>
    <t>GESPv2022.12.02</t>
  </si>
  <si>
    <t>SY 2022-2023</t>
  </si>
  <si>
    <t>Table 1. LEARNERS BY PROGRAM, SY 2022-2023 (As of October 31, 2022)</t>
  </si>
  <si>
    <t>Table 2. LEARNERS WITH DISABILITIES (LWDs) UNDER THE HOMEBOUND AND HOSPITAL BOUND PROGRAM, SY 2022-2023 (As of October 31, 2022)</t>
  </si>
  <si>
    <t>DEVICES FOR LWDs, SY 2022-2023 (As of October 31, 2022)</t>
  </si>
  <si>
    <t>SY 2022-2023 (As of October 31, 2022)</t>
  </si>
  <si>
    <t>Table 5.  LEARNING RESOURCES NEEDED FOR THE LEARNERS WITH DISABILITIES (LWDs)
SY 2022-2023 (As of October 31, 2022)</t>
  </si>
  <si>
    <t>Table 6. TEACHERS HANDLING LEARNERS WITH DISABILITIES (LWDs) (Nationally-funded teachers only), SY 2022-2023 (As of October 31, 2022)</t>
  </si>
  <si>
    <t>Table 7. LOCALLY-FUNDED TEACHERS WORKING IN THE SCHOOL BY FUNDING SOURCE,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</si>
  <si>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</si>
  <si>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</si>
  <si>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10. TEACHING RELATED AND NON-TEACHING PERSONNEL (Nationally-funded), SY 2022-2023 (As of October 31, 2022)</t>
  </si>
  <si>
    <t>Table 11. TEACHING PERSONNEL (Nationally-funded), SY 2022-2023 (As of October 31, 2022)</t>
  </si>
  <si>
    <t>Table 12. TEACHER ASSIGNMENTS (Nationally-funded teachers working in the school), SY 2022-2023 (As of October 31, 2022)</t>
  </si>
  <si>
    <t>Table 13. TEACHERS WHO RECEIVED TRAINING WHILE IN-SERVICE FROM JULY 2021 TO JUNE 2022
(Nationally-funded teachers working in the school)</t>
  </si>
  <si>
    <t>(Nationally-funded teachers working in the school), SY 2022-2023 (As of October 31, 2022)</t>
  </si>
  <si>
    <t>(Nationally-funded teachers working in the school),  SY 2022-2023 (As of October 31, 2022)</t>
  </si>
  <si>
    <t>If a teacher is teaching more than one grade level, he/she can be counted in all the grade levels that he/she is handling. In case of a teacher teaching one grade level only, he/she shall also be counted in the grade level that he/she is handling in table "Counted more than once".</t>
  </si>
  <si>
    <t>(Nationally-funded teachers only), SY 2022-2023 (As of October 31, 2022)</t>
  </si>
  <si>
    <t>Box 1. LEARNING ACTION CELL (LAC) SESSIONS, SY 2022-2023 (As of October 31, 2022)</t>
  </si>
  <si>
    <t>1.a.  Conducted last SY 2021-2022</t>
  </si>
  <si>
    <t>1.b.  Planned to be conducted this SY 2022-2023</t>
  </si>
  <si>
    <t>Box 2. ACTION RESEARCH, SY 2022-2023 (As of October 31, 2022)</t>
  </si>
  <si>
    <t>1.a.  Completed last SY 2021-2022</t>
  </si>
  <si>
    <t>Box 3. SCHOOL GOVERNMENT PROGRAM (SGP), SY 2022-2023 (As of October 31, 2022)</t>
  </si>
  <si>
    <t>Box 4. SUPREME PUPILS GOVERNMENT (SPG) ACTIVITIES, SY 2022-2023 (As of October 31, 2022)</t>
  </si>
  <si>
    <t>Box 5. CAREER GUIDANCE PROGRAM, SY 2022-2023 (As of October 31, 2022)</t>
  </si>
  <si>
    <t>Table 19. NUMBER OF FUNCTIONAL COMPUTERS IN THE SCHOOL BY FUNDING SOURCE, SY 2022-2023 (As of October 31, 2022)</t>
  </si>
  <si>
    <t>Table 20. NUMBER OF FUNCTIONAL ICT EQUIPMENT IN THE SCHOOL BY FUNDING SOURCE, SY 2022-2023 (As of October 31, 2022)</t>
  </si>
  <si>
    <t>Box 6. INTERNET CONNECTIVITY, SY 2022-2023 (As of October 31, 2022)</t>
  </si>
  <si>
    <t>Table 21. AVERAGE MONTHLY EXPENSE (IN PESOS) OF INTERNET CONNECTION BY FUNDING SOURCE, SY 2022-2023 (As of October 31, 2022)</t>
  </si>
  <si>
    <t>Table 22. CELLULAR COMMUNICATION, SY 2022-2023 (As of October 31, 2022)</t>
  </si>
  <si>
    <t>Table 23. AVAILABILITY OF PRINTER / PHOTOCOPIER, SY 2022-2023 (As of October 31, 2022)</t>
  </si>
  <si>
    <t>Table 24. BROADCASTING STATION, SY 2022-2023 (As of October 31, 2022)</t>
  </si>
  <si>
    <t>Table 25. SCHOOL RADIO, SY 2022-2023 (As of October 31, 2022)</t>
  </si>
  <si>
    <t>DEVELOPED BY TEACHERS, PREVIOUS SY 2021-2022</t>
  </si>
  <si>
    <t>Box 7. NATIONALLY-FUNDED TEACHERS WHO USED DEPED TV AS PART OF INSTRUCTIONAL STRATEGY IN DELIVERING DISTANCE LEARNING, SY 2022-2023 (As of October 31, 2022)</t>
  </si>
  <si>
    <t>FROM JANUARY 2021 TO DECEMBER 2021</t>
  </si>
  <si>
    <t>Box 8. AVAILABILITY OF ELECTRICAL SUPPLY, SY 2022-2023 (As of Octobert 31, 2022)</t>
  </si>
  <si>
    <t>Box 9. SCHOOL SITE, SY 2022-2023 (As of October 31, 2022)</t>
  </si>
  <si>
    <t>Box 10. SCHOOL LOCATION, SY 2022-2023 (As of October 31, 2022)</t>
  </si>
  <si>
    <t>Table 28. HEALTH AND NUTRITION, SY 2022-2023   (As of December 31, 2022)</t>
  </si>
  <si>
    <t>Box 11. SCHOOL CLINIC, SY 2022-2023 (As of December 31, 2022)</t>
  </si>
  <si>
    <t>Box 12. AVAILABILITY OF WATER SUPPLY, SY 2022-2023 (As of December 31, 2022)</t>
  </si>
  <si>
    <t>Water Well / Deep Well</t>
  </si>
  <si>
    <t>Table 29. NUMBER OF EXISTING WASH FACILITIES, SY 2022-2023 (As of December 31, 2022)</t>
  </si>
  <si>
    <t>Table 30. ORAL HEALTH, PREVIOUS SY 2021-2022</t>
  </si>
  <si>
    <t>Table 31. MEDICAL AND NURSING SERVICES, PREVIOUS SY 2021-2022</t>
  </si>
  <si>
    <t>Number of Cases from December 2021 to November 2022</t>
  </si>
  <si>
    <t>After SY 2021-2022</t>
  </si>
  <si>
    <t>Box 13. SCHOOL MENTAL HEALTH, PREVIOUS SY 2021-2022</t>
  </si>
  <si>
    <t>Did the school celebrate the National Mental Health Week in October 2021?</t>
  </si>
  <si>
    <t>Box 14. CANCER CASES, PREVIOUS SY 2021-2022</t>
  </si>
  <si>
    <t>Box 16. COMPREHENSIVE TOBACCO CONTROL, SY 2022-2023 (As of December 31, 2022)</t>
  </si>
  <si>
    <t>Box 17. NATIONAL PREVENTIVE DRUG EDUCATION, SY 2022-2023 (As of December 31, 2022)</t>
  </si>
  <si>
    <t>Box 18. OK sa DepED PROGRAM, SY 2022-2023 (As of December 31, 2022)</t>
  </si>
  <si>
    <t>Box 19. FEEDING PROGRAM, SY 2022-2023 (As of December 31, 2022)</t>
  </si>
  <si>
    <t>Box 20. FOOD HANDLING, SY 2022-2023 (As of December 31, 2022)</t>
  </si>
  <si>
    <t>Box 21. SOLID WASTE MANAGEMENT, SY 2022-2023 (As of December 31, 2022)</t>
  </si>
  <si>
    <t>Box 22. OPERATION AND MAINTENANCE OF SANITATION FACILITIES, SY 2022-2023 (As of December 31, 2022)</t>
  </si>
  <si>
    <t>Box 23. MENSTRUAL HYGIENE, SY 2022-2023 (As of December 31, 2022)</t>
  </si>
  <si>
    <t>Box 24. CHILD PROTECTION, PREVIOUS SY 2021-2022</t>
  </si>
  <si>
    <t>Box 25. CHILD PROTECTION: VIOLENCE AGAINST CHILDREN, PREVIOUS SY 2021-2022</t>
  </si>
  <si>
    <t>Box 26. CHILD PROTECTION: BULLYING, PREVIOUS SY 2021-2022</t>
  </si>
  <si>
    <t>Box 27. SCHOOL SPORTS PROGRAM: AVAILABLE SPORTS EVENTS, CLUBS, AND FACILITIES, SY 2022-2023 (As of October 31,2022)</t>
  </si>
  <si>
    <t>Table 33. SCHOOL SPORTS PROGRAM: SPORTS PERSONNEL (DepEd Funded), SY 2022-2023 (As of October 31,2022)</t>
  </si>
  <si>
    <t>Table 34. DISASTERS/CALAMITIES, For the months of June 2021 to May 2022</t>
  </si>
  <si>
    <t>Table 35.  DISASTERS/CALAMITIES (Human-Induced Hazards - Armed Conflict and Grave Child Rights Violations), For the months of June 2021 to May 2022</t>
  </si>
  <si>
    <t>Table 36. RESULT OF DISASTER INCIDENCES, For the months of June 2021 to May 2022</t>
  </si>
  <si>
    <t>Box 28. ENABLING ENVIRONMENT, For the months of June 2021 to May 2022</t>
  </si>
  <si>
    <t>Box 29. PILLAR 1. SAFE LEARNING FACILITIES, For the months of June 2021 to May 2022</t>
  </si>
  <si>
    <t>Maintenance of School Facilities
in Year 2021</t>
  </si>
  <si>
    <t>Box 30. PILLAR 2. DISASTER RISK MANAGEMENT, For the months of June 2021 to May 2022</t>
  </si>
  <si>
    <t>Box 31. Pillar 3. Risk Reduction and Resilience Education, For the months of June 2021 to May 2022</t>
  </si>
  <si>
    <t>Box 32.  INDIGENOUS PEOPLES EDUCATION (IPEd) PROGRAM, SY 2022-2023   (As of October 31, 2022)</t>
  </si>
  <si>
    <t>GOVERNMENT ELEMENTARY SCHOOL PROFILE, SY 2022-2023</t>
  </si>
  <si>
    <t>Table 3. NUMBER OF FUNCTIONAL ASSISTIVE TECHNOLOGY AND ADAPTIVE  DEVICES FOR LWDs,  SY 2022-2023 (As of October 31, 2022)</t>
  </si>
  <si>
    <t>Table 4. NUMBER OF FUNCTIONAL EQUIPMENT AND TOOLS FOR LWDs, SY 2022-2023 (As of October 31, 2022)</t>
  </si>
  <si>
    <t>Table 5. LEARNING RESOURCES NEEDED FOR THE LEARNERS WITH DISABILITIES (LWDs),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</si>
  <si>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</si>
  <si>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</si>
  <si>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14. TEACHERS WHO RECEIVED TRAINING ON INFORMATION AND COMMUNICATIONS TECHNOLOGY (ICT)  
(Nationally-funded teachers working in the school),  SY 2022-2023 (As of October 31, 2022)</t>
  </si>
  <si>
    <t>Table 15. TEACHERS WHO RECEIVED TRAINING ON PEDAGOGY 
(Nationally-funded teachers working in the school), SY 2022-2023 (As of October 31, 2022)</t>
  </si>
  <si>
    <t>Table 16. NUMBER OF TEACHERS BY GRADE LEVEL (Nationally-funded teachers working in the school), SY 2022-2023 (As of October 31, 2022)</t>
  </si>
  <si>
    <t>Table 17. NUMBER OF TEACHERS BY TEACHING ASSIGNMENT IN GRADES 4 TO 6   
(Nationally-funded teachers working in the school), SY 2022-2023 (As of October 31, 2022)</t>
  </si>
  <si>
    <t>Table 18. NUMBER OF TEACHERS BY HIGHEST EDUCATIONAL ATTAINMENT (Nationally-funded teachers only), SY 2022-2023 (As of October 31, 2022)</t>
  </si>
  <si>
    <t xml:space="preserve">Box 32.  INDIGENOUS PEOPLES EDUCATION (IPEd) PROGRAM, SY 2022-2023   (As of October 31, 2022)  </t>
  </si>
  <si>
    <t>Table 26. NUMBER OF OPEN EDUCATIONAL RESOURCES (OERs) USED AS DISTANCE LEARNING MODALITY DEVELOPED BY TEACHERS, PREVIOUS SY 2021-2022</t>
  </si>
  <si>
    <t>Box 10. SCHOOL LOCATION, SY 2021-2022 (As of October 31, 2020)</t>
  </si>
  <si>
    <t>Box 15. ADOLESCENT REPRODUCTIVE HEALTH, PREVIOUS SY 2021-2022</t>
  </si>
  <si>
    <t>Table 35. DISASTERS/CALAMITIES (Human-Induced Hazards - Armed Conflict and Grave Child Rights Violations), For the months of June 2021 to May 2022</t>
  </si>
  <si>
    <t xml:space="preserve">Box 28. Enabling Environment, For the months of June 2021 to May 2022 </t>
  </si>
  <si>
    <t>Box 29. Pillar 1. Safe Learning Facilities, For the months of June 2021 to May 2022</t>
  </si>
  <si>
    <t>Box 30. Pillar 2. Disaster Risk Management, For the months of June 2021 to May 2022</t>
  </si>
  <si>
    <t>Box 27. SCHOOL SPORTS PROGRAM: AVAILABLE SPORTS EVENTS, CLUBS, AND FACILITIES,  SY 2022-2023 (As of October 31,2022)</t>
  </si>
  <si>
    <t>SchInfo!$R$35</t>
  </si>
  <si>
    <t>Aug</t>
  </si>
  <si>
    <t>new</t>
  </si>
  <si>
    <t>mental_cases_suicide_learners_after_lastsy_jun</t>
  </si>
  <si>
    <t>mental_cases_attemptsuicide_learners_after_lastsy_jun</t>
  </si>
  <si>
    <t>mental_cases_suicide_learners_currsy_aug</t>
  </si>
  <si>
    <t>mental_cases_attemptsuicide_learners_currsy_aug</t>
  </si>
  <si>
    <t>mental_cases_suicide_personnel_after_lastsy_jun</t>
  </si>
  <si>
    <t>During SY 2022-2023</t>
  </si>
  <si>
    <t>mental_cases_suicide_personnel_currsy_aug</t>
  </si>
  <si>
    <t>mental_cases_attemptsuicide_personnel_after_lastsy_jun</t>
  </si>
  <si>
    <t>mental_cases_attemptsuicide_personnel_currsy_aug</t>
  </si>
  <si>
    <t>Table 32. MENTAL HEALTH, For the months of December 2021 to November 2022</t>
  </si>
  <si>
    <t>Table 13. TEACHERS WHO RECEIVED TRAINING WHILE IN-SERVICE FROM JULY 2021 TO JUNE 2022 (Nationally-funded teachers working in the school)</t>
  </si>
  <si>
    <t>Table 27. MOOE ALLOCATION, UTILIZATION AND LIQUIDATION FROM JANUARY 2021 TO DECEMBER 2021</t>
  </si>
  <si>
    <r>
      <t xml:space="preserve">Number of conducted regular hazard-specific drills (at least 3 priority hazards based on risk assessment) with the participation of key stakeholders (e.g. BFP, Medic, LGUs, NGOs, community, PTA, alumni, and others) from </t>
    </r>
    <r>
      <rPr>
        <b/>
        <i/>
        <sz val="13"/>
        <rFont val="Times New Roman"/>
        <family val="1"/>
      </rPr>
      <t>January to December 2021</t>
    </r>
  </si>
  <si>
    <t>Science City of Muñoz</t>
  </si>
  <si>
    <t>Taguig City and Pateros</t>
  </si>
  <si>
    <t>San Pedro City</t>
  </si>
  <si>
    <t>(3 kHz to 300 GHz)</t>
  </si>
  <si>
    <t>Special Geographic Area</t>
  </si>
  <si>
    <r>
      <t>In Table 11</t>
    </r>
    <r>
      <rPr>
        <b/>
        <i/>
        <vertAlign val="subscript"/>
        <sz val="12.8"/>
        <rFont val="Times New Roman"/>
        <family val="1"/>
      </rPr>
      <t>b</t>
    </r>
    <r>
      <rPr>
        <b/>
        <i/>
        <sz val="12.8"/>
        <rFont val="Times New Roman"/>
        <family val="1"/>
      </rPr>
      <t xml:space="preserve"> columns 16, 17 &amp; 18, totals of entries in Handling Kindergarten classes, Handling Grades 1-6 and Handling SPED classes shall tally with the entries in the Number of Teachers (counted only once) in Table 16.</t>
    </r>
  </si>
  <si>
    <t>PLARIDEL CENTRAL SCHOOL</t>
  </si>
  <si>
    <t>Plaridel North</t>
  </si>
  <si>
    <t>n/a</t>
  </si>
  <si>
    <t>127503@deped.gov.ph</t>
  </si>
  <si>
    <t>RICO S. MISPEROS</t>
  </si>
  <si>
    <t>SCHOOL PRINCIPAL II</t>
  </si>
  <si>
    <t>MICHAEL T. JAMIS</t>
  </si>
  <si>
    <t>Northern Poblacion</t>
  </si>
  <si>
    <t>Plaridel</t>
  </si>
  <si>
    <t>Calderon St.</t>
  </si>
  <si>
    <t>EDWIN R. MARIBOJOC, EdD, CESO V</t>
  </si>
  <si>
    <t>Schools Division Superintendent</t>
  </si>
  <si>
    <t>RONE RAY M. PORTACION</t>
  </si>
  <si>
    <t>ELYN KENDRA D. DELA CRUZ</t>
  </si>
  <si>
    <t>Project Development Officer II</t>
  </si>
  <si>
    <t>Education Program Supervisor</t>
  </si>
  <si>
    <t>ELMA CEZARIE Y. ROMERO</t>
  </si>
  <si>
    <t>Administrative Officer IV</t>
  </si>
  <si>
    <t>PARA D. TALIP</t>
  </si>
  <si>
    <t>MARIANNE APRIL A. BUTA</t>
  </si>
  <si>
    <t>Project Development Officer I</t>
  </si>
  <si>
    <t>ANNE VALERIE KERSTEINE I. VILLANUEVA</t>
  </si>
  <si>
    <t>ROBERTO L. TORRES</t>
  </si>
  <si>
    <t>BRYAN REY P. JAMIS</t>
  </si>
  <si>
    <t>Enginner III</t>
  </si>
  <si>
    <t>Accountant II</t>
  </si>
  <si>
    <t>RAQUEL N. ACOMPAŇADO</t>
  </si>
  <si>
    <t>Nurse II</t>
  </si>
  <si>
    <t>December, 2021</t>
  </si>
  <si>
    <t>none</t>
  </si>
  <si>
    <t>EPSON L1210</t>
  </si>
  <si>
    <t>ENGLISH</t>
  </si>
  <si>
    <t>QUEENIE DARRAH S. TAŇAMOR</t>
  </si>
  <si>
    <t>CATHERINE G. MALON</t>
  </si>
  <si>
    <t>Education Program Specialist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</si>
</sst>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_-* #,##0_-;\-* #,##0_-;_-* &quot;-&quot;_-;_-@_-"/>
    <numFmt numFmtId="165" formatCode="_-&quot;₱&quot;* #,##0.00_-;\-&quot;₱&quot;* #,##0.00_-;_-&quot;₱&quot;* &quot;-&quot;??_-;_-@_-"/>
    <numFmt numFmtId="166" formatCode="_-* #,##0.00_-;\-* #,##0.00_-;_-* &quot;-&quot;??_-;_-@_-"/>
    <numFmt numFmtId="167" formatCode="_(&quot;Php&quot;* #,##0.00_);_(&quot;Php&quot;* \(#,##0.00\);_(&quot;Php&quot;* &quot;-&quot;??_);_(@_)"/>
    <numFmt numFmtId="168" formatCode="_-&quot;$&quot;* #,##0_-;\-&quot;$&quot;* #,##0_-;_-&quot;$&quot;* &quot;-&quot;_-;_-@_-"/>
    <numFmt numFmtId="169" formatCode="_-&quot;$&quot;* #,##0.00_-;\-&quot;$&quot;* #,##0.00_-;_-&quot;$&quot;* &quot;-&quot;??_-;_-@_-"/>
    <numFmt numFmtId="170" formatCode="_(* #,##0_);_(* \(#,##0\);_(* &quot;-&quot;??_);_(@_)"/>
    <numFmt numFmtId="171" formatCode="0.00_)"/>
    <numFmt numFmtId="172" formatCode="m/d/yyyy;@"/>
    <numFmt numFmtId="173" formatCode="yyyy\-mm\-dd;@"/>
    <numFmt numFmtId="174" formatCode="h:mm:ss;@"/>
    <numFmt numFmtId="175" formatCode="mm/dd/yyyy;@"/>
  </numFmts>
  <fonts count="166">
    <font>
      <sz val="12"/>
      <name val="Times New Roman"/>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name val="Times New Roman"/>
      <family val="1"/>
    </font>
    <font>
      <sz val="10"/>
      <name val="Arial"/>
      <family val="2"/>
    </font>
    <font>
      <b/>
      <sz val="12"/>
      <name val="Times New Roman"/>
      <family val="1"/>
    </font>
    <font>
      <b/>
      <i/>
      <sz val="10"/>
      <name val="Times New Roman"/>
      <family val="1"/>
    </font>
    <font>
      <b/>
      <sz val="10"/>
      <name val="Times New Roman"/>
      <family val="1"/>
    </font>
    <font>
      <sz val="10"/>
      <name val="Times New Roman"/>
      <family val="1"/>
    </font>
    <font>
      <b/>
      <i/>
      <sz val="12"/>
      <name val="Times New Roman"/>
      <family val="1"/>
    </font>
    <font>
      <sz val="12"/>
      <name val="Times New Roman"/>
      <family val="1"/>
    </font>
    <font>
      <b/>
      <i/>
      <sz val="9"/>
      <name val="Times New Roman"/>
      <family val="1"/>
    </font>
    <font>
      <b/>
      <sz val="11"/>
      <name val="Times New Roman"/>
      <family val="1"/>
    </font>
    <font>
      <b/>
      <sz val="9"/>
      <name val="Times New Roman"/>
      <family val="1"/>
    </font>
    <font>
      <sz val="8"/>
      <name val="Arial"/>
      <family val="2"/>
    </font>
    <font>
      <b/>
      <i/>
      <sz val="16"/>
      <name val="Helv"/>
    </font>
    <font>
      <sz val="11"/>
      <name val="Times New Roman"/>
      <family val="1"/>
    </font>
    <font>
      <b/>
      <i/>
      <sz val="11"/>
      <name val="Times New Roman"/>
      <family val="1"/>
    </font>
    <font>
      <i/>
      <sz val="12"/>
      <name val="Times New Roman"/>
      <family val="1"/>
    </font>
    <font>
      <b/>
      <i/>
      <sz val="14"/>
      <name val="Times New Roman"/>
      <family val="1"/>
    </font>
    <font>
      <b/>
      <u/>
      <sz val="12"/>
      <name val="Times New Roman"/>
      <family val="1"/>
    </font>
    <font>
      <i/>
      <sz val="11"/>
      <name val="Times New Roman"/>
      <family val="1"/>
    </font>
    <font>
      <sz val="16"/>
      <name val="Wingdings"/>
      <charset val="2"/>
    </font>
    <font>
      <b/>
      <sz val="16"/>
      <name val="Times New Roman"/>
      <family val="1"/>
    </font>
    <font>
      <sz val="20"/>
      <name val="Wingdings"/>
      <charset val="2"/>
    </font>
    <font>
      <b/>
      <sz val="14"/>
      <name val="Times New Roman"/>
      <family val="1"/>
    </font>
    <font>
      <sz val="16"/>
      <name val="Times New Roman"/>
      <family val="1"/>
    </font>
    <font>
      <sz val="11"/>
      <name val="Calibri"/>
      <family val="2"/>
      <scheme val="minor"/>
    </font>
    <font>
      <sz val="12"/>
      <name val="Calibri"/>
      <family val="2"/>
      <scheme val="minor"/>
    </font>
    <font>
      <sz val="12"/>
      <name val="Wingdings"/>
      <charset val="2"/>
    </font>
    <font>
      <sz val="12"/>
      <name val="Times New Roman"/>
      <family val="1"/>
    </font>
    <font>
      <sz val="10"/>
      <color rgb="FF000000"/>
      <name val="Calibri"/>
      <family val="2"/>
    </font>
    <font>
      <b/>
      <sz val="13"/>
      <name val="Times New Roman"/>
      <family val="1"/>
    </font>
    <font>
      <b/>
      <sz val="16"/>
      <name val="Wingdings"/>
      <charset val="2"/>
    </font>
    <font>
      <b/>
      <sz val="20"/>
      <name val="Wingdings"/>
      <charset val="2"/>
    </font>
    <font>
      <sz val="16"/>
      <name val="Arial"/>
      <family val="2"/>
    </font>
    <font>
      <b/>
      <i/>
      <sz val="13"/>
      <name val="Times New Roman"/>
      <family val="1"/>
    </font>
    <font>
      <sz val="13"/>
      <name val="Times New Roman"/>
      <family val="1"/>
    </font>
    <font>
      <b/>
      <i/>
      <u/>
      <sz val="12"/>
      <name val="Times New Roman"/>
      <family val="1"/>
    </font>
    <font>
      <sz val="8"/>
      <name val="Times New Roman"/>
      <family val="1"/>
    </font>
    <font>
      <sz val="14"/>
      <name val="Times New Roman"/>
      <family val="1"/>
    </font>
    <font>
      <b/>
      <sz val="8"/>
      <name val="Times New Roman"/>
      <family val="1"/>
    </font>
    <font>
      <i/>
      <sz val="14"/>
      <name val="Times New Roman"/>
      <family val="1"/>
    </font>
    <font>
      <b/>
      <u/>
      <sz val="10"/>
      <name val="Times New Roman"/>
      <family val="1"/>
    </font>
    <font>
      <strike/>
      <sz val="12"/>
      <name val="Times New Roman"/>
      <family val="1"/>
    </font>
    <font>
      <sz val="18"/>
      <name val="Times New Roman"/>
      <family val="1"/>
    </font>
    <font>
      <sz val="11"/>
      <name val="Arial"/>
      <family val="2"/>
    </font>
    <font>
      <sz val="12"/>
      <name val="Showcard Gothic"/>
      <family val="5"/>
    </font>
    <font>
      <i/>
      <sz val="13"/>
      <name val="Times New Roman"/>
      <family val="1"/>
    </font>
    <font>
      <sz val="14"/>
      <name val="Wingdings"/>
      <charset val="2"/>
    </font>
    <font>
      <b/>
      <sz val="12"/>
      <name val="Arial Narrow"/>
      <family val="2"/>
    </font>
    <font>
      <sz val="12"/>
      <name val="Arial Narrow"/>
      <family val="2"/>
    </font>
    <font>
      <sz val="10"/>
      <name val="Arial Narrow"/>
      <family val="2"/>
    </font>
    <font>
      <b/>
      <sz val="12"/>
      <color theme="0"/>
      <name val="Arial Narrow"/>
      <family val="2"/>
    </font>
    <font>
      <u/>
      <sz val="12"/>
      <name val="Times New Roman"/>
      <family val="1"/>
    </font>
    <font>
      <b/>
      <i/>
      <sz val="28"/>
      <name val="Times New Roman"/>
      <family val="1"/>
    </font>
    <font>
      <b/>
      <i/>
      <sz val="20"/>
      <name val="Times New Roman"/>
      <family val="1"/>
    </font>
    <font>
      <b/>
      <i/>
      <sz val="12"/>
      <name val="Webdings"/>
      <family val="1"/>
      <charset val="2"/>
    </font>
    <font>
      <sz val="12"/>
      <name val="GudeaRegular"/>
    </font>
    <font>
      <sz val="12"/>
      <name val="Arial"/>
      <family val="2"/>
    </font>
    <font>
      <b/>
      <i/>
      <u/>
      <sz val="13"/>
      <name val="Times New Roman"/>
      <family val="1"/>
    </font>
    <font>
      <b/>
      <sz val="12"/>
      <color theme="0"/>
      <name val="Times New Roman"/>
      <family val="1"/>
    </font>
    <font>
      <b/>
      <sz val="12"/>
      <color rgb="FFFF0000"/>
      <name val="Times New Roman"/>
      <family val="1"/>
    </font>
    <font>
      <b/>
      <sz val="10"/>
      <name val="Calibri"/>
      <family val="2"/>
      <scheme val="minor"/>
    </font>
    <font>
      <b/>
      <sz val="14"/>
      <name val="Arial"/>
      <family val="2"/>
    </font>
    <font>
      <sz val="11"/>
      <name val="Calibri"/>
      <family val="2"/>
    </font>
    <font>
      <b/>
      <sz val="11"/>
      <name val="Calibri"/>
      <family val="2"/>
      <scheme val="minor"/>
    </font>
    <font>
      <sz val="12"/>
      <color theme="0"/>
      <name val="Times New Roman"/>
      <family val="1"/>
    </font>
    <font>
      <sz val="11"/>
      <name val="Wingdings"/>
      <charset val="2"/>
    </font>
    <font>
      <b/>
      <i/>
      <sz val="12"/>
      <color theme="0"/>
      <name val="Times New Roman"/>
      <family val="1"/>
    </font>
    <font>
      <i/>
      <sz val="10"/>
      <name val="Times New Roman"/>
      <family val="1"/>
    </font>
    <font>
      <i/>
      <sz val="9"/>
      <name val="Times New Roman"/>
      <family val="1"/>
    </font>
    <font>
      <sz val="12"/>
      <name val="Times New Roman"/>
      <family val="1"/>
    </font>
    <font>
      <sz val="12"/>
      <color rgb="FFFF0000"/>
      <name val="Times New Roman"/>
      <family val="1"/>
    </font>
    <font>
      <b/>
      <i/>
      <sz val="8"/>
      <name val="Times New Roman"/>
      <family val="1"/>
    </font>
    <font>
      <b/>
      <i/>
      <vertAlign val="subscript"/>
      <sz val="13"/>
      <name val="Times New Roman"/>
      <family val="1"/>
    </font>
    <font>
      <i/>
      <sz val="8"/>
      <name val="Times New Roman"/>
      <family val="1"/>
    </font>
    <font>
      <sz val="9"/>
      <name val="Times New Roman"/>
      <family val="1"/>
    </font>
    <font>
      <b/>
      <i/>
      <sz val="13"/>
      <color theme="0"/>
      <name val="Times New Roman"/>
      <family val="1"/>
    </font>
    <font>
      <sz val="13"/>
      <color theme="0"/>
      <name val="Times New Roman"/>
      <family val="1"/>
    </font>
    <font>
      <b/>
      <sz val="13"/>
      <color theme="0"/>
      <name val="Times New Roman"/>
      <family val="1"/>
    </font>
    <font>
      <b/>
      <i/>
      <u/>
      <sz val="13"/>
      <color theme="0"/>
      <name val="Times New Roman"/>
      <family val="1"/>
    </font>
    <font>
      <b/>
      <sz val="12"/>
      <color rgb="FFC00000"/>
      <name val="Arial Narrow"/>
      <family val="2"/>
    </font>
    <font>
      <b/>
      <sz val="12"/>
      <color rgb="FFC00000"/>
      <name val="Times New Roman"/>
      <family val="1"/>
    </font>
    <font>
      <sz val="12"/>
      <color rgb="FFC00000"/>
      <name val="Times New Roman"/>
      <family val="1"/>
    </font>
    <font>
      <b/>
      <sz val="11"/>
      <color theme="1"/>
      <name val="Times New Roman"/>
      <family val="1"/>
    </font>
    <font>
      <sz val="11"/>
      <color theme="1"/>
      <name val="Arial"/>
      <family val="2"/>
    </font>
    <font>
      <sz val="11"/>
      <color theme="1"/>
      <name val="Times New Roman"/>
      <family val="1"/>
    </font>
    <font>
      <b/>
      <i/>
      <sz val="10"/>
      <name val="Arial"/>
      <family val="2"/>
    </font>
    <font>
      <b/>
      <sz val="10"/>
      <color theme="1"/>
      <name val="Times New Roman"/>
      <family val="1"/>
    </font>
    <font>
      <sz val="10"/>
      <color theme="1"/>
      <name val="Times New Roman"/>
      <family val="1"/>
    </font>
    <font>
      <b/>
      <i/>
      <sz val="12"/>
      <color theme="1"/>
      <name val="Times New Roman"/>
      <family val="1"/>
    </font>
    <font>
      <b/>
      <sz val="10"/>
      <name val="Arial"/>
      <family val="2"/>
    </font>
    <font>
      <b/>
      <sz val="12"/>
      <color theme="1"/>
      <name val="Times New Roman"/>
      <family val="1"/>
    </font>
    <font>
      <b/>
      <sz val="18"/>
      <name val="Wingdings"/>
      <charset val="2"/>
    </font>
    <font>
      <b/>
      <sz val="12"/>
      <name val="Arial"/>
      <family val="2"/>
    </font>
    <font>
      <b/>
      <sz val="14"/>
      <name val="Arial Narrow"/>
      <family val="2"/>
    </font>
    <font>
      <b/>
      <sz val="14"/>
      <color theme="1"/>
      <name val="Arial Narrow"/>
      <family val="2"/>
    </font>
    <font>
      <b/>
      <sz val="20"/>
      <name val="Times New Roman"/>
      <family val="1"/>
    </font>
    <font>
      <b/>
      <sz val="12"/>
      <color rgb="FF351BA5"/>
      <name val="Times New Roman"/>
      <family val="1"/>
    </font>
    <font>
      <b/>
      <i/>
      <sz val="12.8"/>
      <name val="Times New Roman"/>
      <family val="1"/>
    </font>
    <font>
      <b/>
      <i/>
      <vertAlign val="subscript"/>
      <sz val="12.8"/>
      <name val="Times New Roman"/>
      <family val="1"/>
    </font>
    <font>
      <b/>
      <sz val="12"/>
      <name val="Wingdings"/>
      <charset val="2"/>
    </font>
    <font>
      <b/>
      <u/>
      <sz val="12"/>
      <color theme="1"/>
      <name val="Times New Roman"/>
      <family val="1"/>
    </font>
    <font>
      <sz val="12"/>
      <color theme="1"/>
      <name val="Times New Roman"/>
      <family val="1"/>
    </font>
    <font>
      <sz val="11.5"/>
      <name val="Times New Roman"/>
      <family val="1"/>
    </font>
    <font>
      <b/>
      <sz val="14"/>
      <color theme="0"/>
      <name val="Arial Narrow"/>
      <family val="2"/>
    </font>
    <font>
      <b/>
      <sz val="13"/>
      <color theme="1"/>
      <name val="Times New Roman"/>
      <family val="1"/>
    </font>
    <font>
      <b/>
      <sz val="16"/>
      <color theme="0"/>
      <name val="Arial Narrow"/>
      <family val="2"/>
    </font>
    <font>
      <b/>
      <sz val="12"/>
      <name val="Calibri"/>
      <family val="2"/>
      <scheme val="minor"/>
    </font>
    <font>
      <sz val="8"/>
      <color rgb="FF050505"/>
      <name val="Segoe UI Historic"/>
      <family val="2"/>
    </font>
    <font>
      <b/>
      <i/>
      <sz val="12"/>
      <color rgb="FFFF0000"/>
      <name val="Times New Roman"/>
      <family val="1"/>
    </font>
    <font>
      <sz val="12"/>
      <color theme="1"/>
      <name val="Calibri"/>
      <family val="2"/>
      <scheme val="minor"/>
    </font>
    <font>
      <sz val="16"/>
      <color theme="0"/>
      <name val="Wingdings"/>
      <charset val="2"/>
    </font>
    <font>
      <sz val="11"/>
      <color theme="0"/>
      <name val="Times New Roman"/>
      <family val="1"/>
    </font>
    <font>
      <sz val="11"/>
      <color theme="0"/>
      <name val="Wingdings"/>
      <charset val="2"/>
    </font>
    <font>
      <sz val="14"/>
      <color theme="0"/>
      <name val="Wingdings"/>
      <charset val="2"/>
    </font>
    <font>
      <sz val="20"/>
      <color theme="0"/>
      <name val="Wingdings"/>
      <charset val="2"/>
    </font>
    <font>
      <sz val="12"/>
      <name val="Times New Roman"/>
      <family val="1"/>
    </font>
    <font>
      <b/>
      <sz val="16"/>
      <color theme="0"/>
      <name val="Wingdings"/>
      <charset val="2"/>
    </font>
    <font>
      <sz val="16"/>
      <color theme="0"/>
      <name val="Times New Roman"/>
      <family val="1"/>
    </font>
    <font>
      <b/>
      <sz val="16"/>
      <color theme="0"/>
      <name val="Times New Roman"/>
      <family val="1"/>
    </font>
    <font>
      <sz val="18"/>
      <color theme="0"/>
      <name val="Times New Roman"/>
      <family val="1"/>
    </font>
    <font>
      <b/>
      <i/>
      <sz val="11"/>
      <color rgb="FFFF0000"/>
      <name val="Times New Roman"/>
      <family val="1"/>
    </font>
    <font>
      <b/>
      <i/>
      <sz val="10"/>
      <color rgb="FFFF0000"/>
      <name val="Times New Roman"/>
      <family val="1"/>
    </font>
    <font>
      <sz val="10"/>
      <color theme="0"/>
      <name val="Times New Roman"/>
      <family val="1"/>
    </font>
    <font>
      <u/>
      <sz val="12"/>
      <color theme="10"/>
      <name val="Times New Roman"/>
      <family val="1"/>
    </font>
    <font>
      <b/>
      <sz val="18"/>
      <color theme="0"/>
      <name val="Arial Narrow"/>
      <family val="2"/>
    </font>
    <font>
      <b/>
      <sz val="12"/>
      <color rgb="FFFF0000"/>
      <name val="Calibri"/>
      <family val="2"/>
      <scheme val="minor"/>
    </font>
    <font>
      <sz val="12"/>
      <color rgb="FFFF0000"/>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rgb="FF0000FF"/>
        <bgColor indexed="64"/>
      </patternFill>
    </fill>
    <fill>
      <patternFill patternType="solid">
        <fgColor rgb="FFC00000"/>
        <bgColor indexed="64"/>
      </patternFill>
    </fill>
    <fill>
      <patternFill patternType="solid">
        <fgColor theme="1" tint="0.14999847407452621"/>
        <bgColor indexed="64"/>
      </patternFill>
    </fill>
    <fill>
      <patternFill patternType="solid">
        <fgColor rgb="FF00CC65"/>
        <bgColor indexed="64"/>
      </patternFill>
    </fill>
    <fill>
      <patternFill patternType="solid">
        <fgColor rgb="FF00FF99"/>
        <bgColor indexed="64"/>
      </patternFill>
    </fill>
    <fill>
      <patternFill patternType="solid">
        <fgColor rgb="FF00FF99"/>
        <bgColor theme="0"/>
      </patternFill>
    </fill>
  </fills>
  <borders count="364">
    <border>
      <left/>
      <right/>
      <top/>
      <bottom/>
      <diagonal/>
    </border>
    <border>
      <left style="thin">
        <color indexed="64"/>
      </left>
      <right style="thin">
        <color indexed="64"/>
      </right>
      <top style="thin">
        <color indexed="64"/>
      </top>
      <bottom style="thin">
        <color indexed="64"/>
      </bottom>
      <diagonal/>
    </border>
    <border>
      <left style="medium">
        <color indexed="64"/>
      </left>
      <right/>
      <top style="hair">
        <color indexed="64"/>
      </top>
      <bottom style="hair">
        <color indexed="64"/>
      </bottom>
      <diagonal/>
    </border>
    <border>
      <left style="medium">
        <color indexed="64"/>
      </left>
      <right/>
      <top style="thin">
        <color indexed="64"/>
      </top>
      <bottom style="hair">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dashed">
        <color indexed="64"/>
      </right>
      <top/>
      <bottom style="medium">
        <color indexed="64"/>
      </bottom>
      <diagonal/>
    </border>
    <border>
      <left style="thin">
        <color indexed="64"/>
      </left>
      <right/>
      <top/>
      <bottom style="medium">
        <color indexed="64"/>
      </bottom>
      <diagonal/>
    </border>
    <border>
      <left/>
      <right style="double">
        <color indexed="64"/>
      </right>
      <top/>
      <bottom style="medium">
        <color indexed="64"/>
      </bottom>
      <diagonal/>
    </border>
    <border>
      <left style="double">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style="thin">
        <color indexed="64"/>
      </top>
      <bottom/>
      <diagonal/>
    </border>
    <border>
      <left/>
      <right/>
      <top/>
      <bottom style="thin">
        <color indexed="64"/>
      </bottom>
      <diagonal/>
    </border>
    <border>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double">
        <color indexed="64"/>
      </right>
      <top/>
      <bottom style="thin">
        <color indexed="64"/>
      </bottom>
      <diagonal/>
    </border>
    <border>
      <left style="double">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style="thin">
        <color indexed="64"/>
      </left>
      <right/>
      <top style="double">
        <color indexed="64"/>
      </top>
      <bottom style="medium">
        <color indexed="64"/>
      </bottom>
      <diagonal/>
    </border>
    <border>
      <left/>
      <right style="thin">
        <color indexed="64"/>
      </right>
      <top style="double">
        <color indexed="64"/>
      </top>
      <bottom style="medium">
        <color indexed="64"/>
      </bottom>
      <diagonal/>
    </border>
    <border>
      <left/>
      <right style="double">
        <color indexed="64"/>
      </right>
      <top style="double">
        <color indexed="64"/>
      </top>
      <bottom style="medium">
        <color indexed="64"/>
      </bottom>
      <diagonal/>
    </border>
    <border>
      <left style="double">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hair">
        <color indexed="64"/>
      </top>
      <bottom style="double">
        <color indexed="64"/>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top style="medium">
        <color indexed="64"/>
      </top>
      <bottom style="hair">
        <color indexed="64"/>
      </bottom>
      <diagonal/>
    </border>
    <border>
      <left/>
      <right/>
      <top style="hair">
        <color indexed="64"/>
      </top>
      <bottom style="hair">
        <color indexed="64"/>
      </bottom>
      <diagonal/>
    </border>
    <border>
      <left style="thin">
        <color indexed="64"/>
      </left>
      <right/>
      <top style="thin">
        <color indexed="64"/>
      </top>
      <bottom style="medium">
        <color indexed="64"/>
      </bottom>
      <diagonal/>
    </border>
    <border>
      <left style="medium">
        <color indexed="64"/>
      </left>
      <right style="thin">
        <color indexed="64"/>
      </right>
      <top style="hair">
        <color indexed="64"/>
      </top>
      <bottom style="hair">
        <color indexed="64"/>
      </bottom>
      <diagonal/>
    </border>
    <border>
      <left style="medium">
        <color indexed="64"/>
      </left>
      <right/>
      <top style="hair">
        <color indexed="64"/>
      </top>
      <bottom style="double">
        <color indexed="64"/>
      </bottom>
      <diagonal/>
    </border>
    <border>
      <left style="thin">
        <color indexed="64"/>
      </left>
      <right/>
      <top style="medium">
        <color indexed="64"/>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dashed">
        <color indexed="64"/>
      </left>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double">
        <color indexed="64"/>
      </right>
      <top style="medium">
        <color indexed="64"/>
      </top>
      <bottom/>
      <diagonal/>
    </border>
    <border>
      <left/>
      <right style="double">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double">
        <color indexed="64"/>
      </left>
      <right/>
      <top style="thin">
        <color indexed="64"/>
      </top>
      <bottom/>
      <diagonal/>
    </border>
    <border>
      <left style="medium">
        <color indexed="64"/>
      </left>
      <right/>
      <top style="medium">
        <color indexed="64"/>
      </top>
      <bottom style="hair">
        <color indexed="64"/>
      </bottom>
      <diagonal/>
    </border>
    <border>
      <left/>
      <right/>
      <top style="thin">
        <color indexed="64"/>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double">
        <color indexed="64"/>
      </right>
      <top/>
      <bottom style="hair">
        <color indexed="64"/>
      </bottom>
      <diagonal/>
    </border>
    <border>
      <left/>
      <right style="thin">
        <color indexed="64"/>
      </right>
      <top style="medium">
        <color indexed="64"/>
      </top>
      <bottom style="hair">
        <color indexed="64"/>
      </bottom>
      <diagonal/>
    </border>
    <border>
      <left/>
      <right style="double">
        <color indexed="64"/>
      </right>
      <top style="medium">
        <color indexed="64"/>
      </top>
      <bottom style="hair">
        <color indexed="64"/>
      </bottom>
      <diagonal/>
    </border>
    <border>
      <left style="double">
        <color indexed="64"/>
      </left>
      <right/>
      <top style="medium">
        <color indexed="64"/>
      </top>
      <bottom style="hair">
        <color indexed="64"/>
      </bottom>
      <diagonal/>
    </border>
    <border>
      <left/>
      <right style="double">
        <color indexed="64"/>
      </right>
      <top style="hair">
        <color indexed="64"/>
      </top>
      <bottom style="hair">
        <color indexed="64"/>
      </bottom>
      <diagonal/>
    </border>
    <border>
      <left style="double">
        <color indexed="64"/>
      </left>
      <right/>
      <top style="hair">
        <color indexed="64"/>
      </top>
      <bottom style="hair">
        <color indexed="64"/>
      </bottom>
      <diagonal/>
    </border>
    <border>
      <left/>
      <right/>
      <top style="thin">
        <color indexed="64"/>
      </top>
      <bottom style="medium">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right style="medium">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double">
        <color indexed="64"/>
      </right>
      <top style="thin">
        <color indexed="64"/>
      </top>
      <bottom style="hair">
        <color indexed="64"/>
      </bottom>
      <diagonal/>
    </border>
    <border>
      <left style="double">
        <color indexed="64"/>
      </left>
      <right/>
      <top style="thin">
        <color indexed="64"/>
      </top>
      <bottom style="hair">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double">
        <color indexed="64"/>
      </right>
      <top style="hair">
        <color indexed="64"/>
      </top>
      <bottom style="thin">
        <color indexed="64"/>
      </bottom>
      <diagonal/>
    </border>
    <border>
      <left style="double">
        <color indexed="64"/>
      </left>
      <right/>
      <top style="hair">
        <color indexed="64"/>
      </top>
      <bottom style="thin">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double">
        <color indexed="64"/>
      </bottom>
      <diagonal/>
    </border>
    <border>
      <left/>
      <right style="thin">
        <color indexed="64"/>
      </right>
      <top style="thin">
        <color indexed="64"/>
      </top>
      <bottom style="medium">
        <color indexed="64"/>
      </bottom>
      <diagonal/>
    </border>
    <border>
      <left style="double">
        <color indexed="64"/>
      </left>
      <right/>
      <top style="thin">
        <color indexed="64"/>
      </top>
      <bottom style="medium">
        <color indexed="64"/>
      </bottom>
      <diagonal/>
    </border>
    <border>
      <left style="double">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top style="double">
        <color indexed="64"/>
      </top>
      <bottom/>
      <diagonal/>
    </border>
    <border>
      <left/>
      <right style="double">
        <color indexed="64"/>
      </right>
      <top style="double">
        <color indexed="64"/>
      </top>
      <bottom/>
      <diagonal/>
    </border>
    <border>
      <left/>
      <right style="double">
        <color indexed="64"/>
      </right>
      <top/>
      <bottom style="double">
        <color indexed="64"/>
      </bottom>
      <diagonal/>
    </border>
    <border>
      <left style="dashed">
        <color indexed="64"/>
      </left>
      <right/>
      <top style="hair">
        <color indexed="64"/>
      </top>
      <bottom style="hair">
        <color indexed="64"/>
      </bottom>
      <diagonal/>
    </border>
    <border>
      <left style="dashed">
        <color indexed="64"/>
      </left>
      <right/>
      <top style="hair">
        <color indexed="64"/>
      </top>
      <bottom style="thin">
        <color indexed="64"/>
      </bottom>
      <diagonal/>
    </border>
    <border>
      <left style="dashed">
        <color indexed="64"/>
      </left>
      <right/>
      <top style="thin">
        <color indexed="64"/>
      </top>
      <bottom style="hair">
        <color indexed="64"/>
      </bottom>
      <diagonal/>
    </border>
    <border>
      <left style="dashed">
        <color indexed="64"/>
      </left>
      <right/>
      <top style="double">
        <color indexed="64"/>
      </top>
      <bottom style="medium">
        <color indexed="64"/>
      </bottom>
      <diagonal/>
    </border>
    <border>
      <left style="dashed">
        <color indexed="64"/>
      </left>
      <right/>
      <top style="thin">
        <color indexed="64"/>
      </top>
      <bottom style="medium">
        <color indexed="64"/>
      </bottom>
      <diagonal/>
    </border>
    <border>
      <left/>
      <right style="dashed">
        <color indexed="64"/>
      </right>
      <top style="thin">
        <color indexed="64"/>
      </top>
      <bottom style="medium">
        <color indexed="64"/>
      </bottom>
      <diagonal/>
    </border>
    <border>
      <left style="dashed">
        <color indexed="64"/>
      </left>
      <right/>
      <top/>
      <bottom style="medium">
        <color indexed="64"/>
      </bottom>
      <diagonal/>
    </border>
    <border>
      <left/>
      <right style="dashed">
        <color indexed="64"/>
      </right>
      <top style="medium">
        <color indexed="64"/>
      </top>
      <bottom/>
      <diagonal/>
    </border>
    <border>
      <left/>
      <right style="dashed">
        <color indexed="64"/>
      </right>
      <top/>
      <bottom/>
      <diagonal/>
    </border>
    <border>
      <left style="dashed">
        <color indexed="64"/>
      </left>
      <right/>
      <top style="medium">
        <color indexed="64"/>
      </top>
      <bottom/>
      <diagonal/>
    </border>
    <border>
      <left/>
      <right style="double">
        <color indexed="64"/>
      </right>
      <top style="thin">
        <color indexed="64"/>
      </top>
      <bottom style="medium">
        <color indexed="64"/>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style="dashed">
        <color indexed="64"/>
      </right>
      <top style="medium">
        <color indexed="64"/>
      </top>
      <bottom style="hair">
        <color indexed="64"/>
      </bottom>
      <diagonal/>
    </border>
    <border>
      <left style="dashed">
        <color indexed="64"/>
      </left>
      <right/>
      <top style="medium">
        <color indexed="64"/>
      </top>
      <bottom style="hair">
        <color indexed="64"/>
      </bottom>
      <diagonal/>
    </border>
    <border>
      <left/>
      <right style="dashed">
        <color indexed="64"/>
      </right>
      <top style="hair">
        <color indexed="64"/>
      </top>
      <bottom style="hair">
        <color indexed="64"/>
      </bottom>
      <diagonal/>
    </border>
    <border>
      <left/>
      <right style="dashed">
        <color indexed="64"/>
      </right>
      <top style="hair">
        <color indexed="64"/>
      </top>
      <bottom style="thin">
        <color indexed="64"/>
      </bottom>
      <diagonal/>
    </border>
    <border>
      <left/>
      <right style="dashed">
        <color indexed="64"/>
      </right>
      <top style="thin">
        <color indexed="64"/>
      </top>
      <bottom style="hair">
        <color indexed="64"/>
      </bottom>
      <diagonal/>
    </border>
    <border>
      <left/>
      <right style="dashed">
        <color indexed="64"/>
      </right>
      <top style="double">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hair">
        <color indexed="64"/>
      </top>
      <bottom style="medium">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medium">
        <color indexed="64"/>
      </left>
      <right/>
      <top style="medium">
        <color indexed="64"/>
      </top>
      <bottom style="double">
        <color indexed="64"/>
      </bottom>
      <diagonal/>
    </border>
    <border>
      <left/>
      <right style="double">
        <color indexed="64"/>
      </right>
      <top style="hair">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medium">
        <color indexed="64"/>
      </bottom>
      <diagonal/>
    </border>
    <border>
      <left style="double">
        <color indexed="64"/>
      </left>
      <right/>
      <top style="hair">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medium">
        <color indexed="64"/>
      </left>
      <right style="thin">
        <color indexed="64"/>
      </right>
      <top style="hair">
        <color indexed="64"/>
      </top>
      <bottom/>
      <diagonal/>
    </border>
    <border>
      <left/>
      <right style="medium">
        <color indexed="64"/>
      </right>
      <top style="hair">
        <color indexed="64"/>
      </top>
      <bottom style="double">
        <color indexed="64"/>
      </bottom>
      <diagonal/>
    </border>
    <border>
      <left/>
      <right/>
      <top style="hair">
        <color indexed="64"/>
      </top>
      <bottom style="double">
        <color indexed="64"/>
      </bottom>
      <diagonal/>
    </border>
    <border>
      <left style="thin">
        <color indexed="64"/>
      </left>
      <right style="medium">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medium">
        <color indexed="64"/>
      </left>
      <right/>
      <top style="double">
        <color indexed="64"/>
      </top>
      <bottom/>
      <diagonal/>
    </border>
    <border>
      <left/>
      <right style="medium">
        <color indexed="64"/>
      </right>
      <top style="double">
        <color indexed="64"/>
      </top>
      <bottom/>
      <diagonal/>
    </border>
    <border>
      <left style="double">
        <color indexed="64"/>
      </left>
      <right style="thin">
        <color indexed="64"/>
      </right>
      <top/>
      <bottom style="medium">
        <color indexed="64"/>
      </bottom>
      <diagonal/>
    </border>
    <border>
      <left style="double">
        <color indexed="64"/>
      </left>
      <right/>
      <top/>
      <bottom style="hair">
        <color indexed="64"/>
      </bottom>
      <diagonal/>
    </border>
    <border>
      <left style="double">
        <color indexed="64"/>
      </left>
      <right/>
      <top style="medium">
        <color indexed="64"/>
      </top>
      <bottom style="medium">
        <color indexed="64"/>
      </bottom>
      <diagonal/>
    </border>
    <border>
      <left style="medium">
        <color indexed="64"/>
      </left>
      <right/>
      <top style="double">
        <color indexed="64"/>
      </top>
      <bottom style="double">
        <color indexed="64"/>
      </bottom>
      <diagonal/>
    </border>
    <border>
      <left style="medium">
        <color indexed="64"/>
      </left>
      <right style="medium">
        <color indexed="64"/>
      </right>
      <top style="double">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style="medium">
        <color indexed="64"/>
      </right>
      <top style="medium">
        <color indexed="64"/>
      </top>
      <bottom style="double">
        <color indexed="64"/>
      </bottom>
      <diagonal/>
    </border>
    <border>
      <left style="medium">
        <color indexed="64"/>
      </left>
      <right style="double">
        <color indexed="64"/>
      </right>
      <top style="thin">
        <color indexed="64"/>
      </top>
      <bottom style="medium">
        <color indexed="64"/>
      </bottom>
      <diagonal/>
    </border>
    <border>
      <left style="medium">
        <color indexed="64"/>
      </left>
      <right style="double">
        <color indexed="64"/>
      </right>
      <top/>
      <bottom style="thin">
        <color indexed="64"/>
      </bottom>
      <diagonal/>
    </border>
    <border>
      <left style="medium">
        <color indexed="64"/>
      </left>
      <right style="double">
        <color indexed="64"/>
      </right>
      <top style="thin">
        <color indexed="64"/>
      </top>
      <bottom/>
      <diagonal/>
    </border>
    <border>
      <left style="medium">
        <color indexed="64"/>
      </left>
      <right style="double">
        <color indexed="64"/>
      </right>
      <top style="double">
        <color indexed="64"/>
      </top>
      <bottom style="medium">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right style="thin">
        <color indexed="64"/>
      </right>
      <top style="hair">
        <color indexed="64"/>
      </top>
      <bottom style="double">
        <color indexed="64"/>
      </bottom>
      <diagonal/>
    </border>
    <border>
      <left style="double">
        <color indexed="64"/>
      </left>
      <right/>
      <top style="hair">
        <color indexed="64"/>
      </top>
      <bottom style="double">
        <color indexed="64"/>
      </bottom>
      <diagonal/>
    </border>
    <border>
      <left style="dashed">
        <color indexed="64"/>
      </left>
      <right/>
      <top style="medium">
        <color indexed="64"/>
      </top>
      <bottom style="thin">
        <color indexed="64"/>
      </bottom>
      <diagonal/>
    </border>
    <border>
      <left/>
      <right style="double">
        <color indexed="64"/>
      </right>
      <top style="hair">
        <color indexed="64"/>
      </top>
      <bottom style="double">
        <color indexed="64"/>
      </bottom>
      <diagonal/>
    </border>
    <border>
      <left/>
      <right style="dashed">
        <color indexed="64"/>
      </right>
      <top style="hair">
        <color indexed="64"/>
      </top>
      <bottom style="double">
        <color indexed="64"/>
      </bottom>
      <diagonal/>
    </border>
    <border>
      <left style="dashed">
        <color indexed="64"/>
      </left>
      <right/>
      <top style="hair">
        <color indexed="64"/>
      </top>
      <bottom style="double">
        <color indexed="64"/>
      </bottom>
      <diagonal/>
    </border>
    <border>
      <left style="thin">
        <color indexed="64"/>
      </left>
      <right style="double">
        <color indexed="64"/>
      </right>
      <top style="medium">
        <color indexed="64"/>
      </top>
      <bottom/>
      <diagonal/>
    </border>
    <border>
      <left style="thin">
        <color indexed="64"/>
      </left>
      <right style="double">
        <color indexed="64"/>
      </right>
      <top/>
      <bottom style="medium">
        <color indexed="64"/>
      </bottom>
      <diagonal/>
    </border>
    <border>
      <left style="double">
        <color indexed="64"/>
      </left>
      <right style="thin">
        <color indexed="64"/>
      </right>
      <top style="medium">
        <color indexed="64"/>
      </top>
      <bottom/>
      <diagonal/>
    </border>
    <border>
      <left/>
      <right style="double">
        <color indexed="64"/>
      </right>
      <top style="hair">
        <color indexed="64"/>
      </top>
      <bottom style="medium">
        <color indexed="64"/>
      </bottom>
      <diagonal/>
    </border>
    <border>
      <left style="double">
        <color indexed="64"/>
      </left>
      <right/>
      <top style="hair">
        <color indexed="64"/>
      </top>
      <bottom style="medium">
        <color indexed="64"/>
      </bottom>
      <diagonal/>
    </border>
    <border>
      <left/>
      <right/>
      <top style="medium">
        <color indexed="64"/>
      </top>
      <bottom style="double">
        <color indexed="64"/>
      </bottom>
      <diagonal/>
    </border>
    <border>
      <left style="thin">
        <color indexed="64"/>
      </left>
      <right style="double">
        <color indexed="64"/>
      </right>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double">
        <color indexed="64"/>
      </top>
      <bottom style="medium">
        <color indexed="64"/>
      </bottom>
      <diagonal/>
    </border>
    <border>
      <left/>
      <right style="medium">
        <color indexed="64"/>
      </right>
      <top style="double">
        <color indexed="64"/>
      </top>
      <bottom style="hair">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style="medium">
        <color indexed="64"/>
      </left>
      <right/>
      <top style="dotted">
        <color indexed="64"/>
      </top>
      <bottom style="hair">
        <color indexed="64"/>
      </bottom>
      <diagonal/>
    </border>
    <border>
      <left/>
      <right/>
      <top style="dotted">
        <color indexed="64"/>
      </top>
      <bottom style="hair">
        <color indexed="64"/>
      </bottom>
      <diagonal/>
    </border>
    <border>
      <left/>
      <right style="medium">
        <color indexed="64"/>
      </right>
      <top style="dotted">
        <color indexed="64"/>
      </top>
      <bottom style="hair">
        <color indexed="64"/>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medium">
        <color indexed="64"/>
      </left>
      <right/>
      <top style="medium">
        <color rgb="FF000000"/>
      </top>
      <bottom/>
      <diagonal/>
    </border>
    <border>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n">
        <color indexed="64"/>
      </top>
      <bottom/>
      <diagonal/>
    </border>
    <border>
      <left style="thick">
        <color indexed="64"/>
      </left>
      <right/>
      <top/>
      <bottom style="thin">
        <color indexed="64"/>
      </bottom>
      <diagonal/>
    </border>
    <border>
      <left style="thick">
        <color indexed="64"/>
      </left>
      <right/>
      <top/>
      <bottom style="hair">
        <color indexed="64"/>
      </bottom>
      <diagonal/>
    </border>
    <border>
      <left/>
      <right style="thick">
        <color indexed="64"/>
      </right>
      <top/>
      <bottom style="hair">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style="thin">
        <color indexed="64"/>
      </left>
      <right/>
      <top/>
      <bottom style="thick">
        <color indexed="64"/>
      </bottom>
      <diagonal/>
    </border>
    <border>
      <left/>
      <right style="thin">
        <color indexed="64"/>
      </right>
      <top/>
      <bottom style="thick">
        <color indexed="64"/>
      </bottom>
      <diagonal/>
    </border>
    <border>
      <left/>
      <right style="thick">
        <color indexed="64"/>
      </right>
      <top/>
      <bottom style="thick">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style="thick">
        <color indexed="64"/>
      </left>
      <right/>
      <top style="thick">
        <color indexed="64"/>
      </top>
      <bottom style="medium">
        <color indexed="64"/>
      </bottom>
      <diagonal/>
    </border>
    <border>
      <left style="medium">
        <color indexed="64"/>
      </left>
      <right/>
      <top style="thick">
        <color indexed="64"/>
      </top>
      <bottom/>
      <diagonal/>
    </border>
    <border>
      <left/>
      <right style="thick">
        <color indexed="64"/>
      </right>
      <top style="thick">
        <color indexed="64"/>
      </top>
      <bottom/>
      <diagonal/>
    </border>
    <border>
      <left style="medium">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style="medium">
        <color indexed="64"/>
      </top>
      <bottom style="thick">
        <color indexed="64"/>
      </bottom>
      <diagonal/>
    </border>
    <border>
      <left/>
      <right style="medium">
        <color indexed="64"/>
      </right>
      <top style="thin">
        <color indexed="64"/>
      </top>
      <bottom style="thick">
        <color indexed="64"/>
      </bottom>
      <diagonal/>
    </border>
    <border>
      <left/>
      <right style="medium">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top style="thick">
        <color indexed="64"/>
      </top>
      <bottom style="thin">
        <color indexed="64"/>
      </bottom>
      <diagonal/>
    </border>
    <border>
      <left style="thick">
        <color indexed="64"/>
      </left>
      <right/>
      <top style="thin">
        <color indexed="64"/>
      </top>
      <bottom style="thick">
        <color indexed="64"/>
      </bottom>
      <diagonal/>
    </border>
    <border>
      <left style="thick">
        <color indexed="64"/>
      </left>
      <right/>
      <top style="hair">
        <color indexed="64"/>
      </top>
      <bottom style="hair">
        <color indexed="64"/>
      </bottom>
      <diagonal/>
    </border>
    <border>
      <left/>
      <right style="thick">
        <color indexed="64"/>
      </right>
      <top style="hair">
        <color indexed="64"/>
      </top>
      <bottom style="hair">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style="thin">
        <color indexed="64"/>
      </right>
      <top style="thick">
        <color indexed="64"/>
      </top>
      <bottom/>
      <diagonal/>
    </border>
    <border>
      <left style="thin">
        <color indexed="64"/>
      </left>
      <right/>
      <top style="thick">
        <color indexed="64"/>
      </top>
      <bottom/>
      <diagonal/>
    </border>
    <border>
      <left style="medium">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medium">
        <color indexed="64"/>
      </right>
      <top style="thick">
        <color indexed="64"/>
      </top>
      <bottom/>
      <diagonal/>
    </border>
    <border>
      <left style="medium">
        <color indexed="64"/>
      </left>
      <right style="thin">
        <color indexed="64"/>
      </right>
      <top/>
      <bottom style="hair">
        <color indexed="64"/>
      </bottom>
      <diagonal/>
    </border>
    <border>
      <left style="medium">
        <color indexed="64"/>
      </left>
      <right/>
      <top style="thick">
        <color indexed="64"/>
      </top>
      <bottom style="thick">
        <color indexed="64"/>
      </bottom>
      <diagonal/>
    </border>
    <border>
      <left style="medium">
        <color indexed="64"/>
      </left>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top style="double">
        <color indexed="64"/>
      </top>
      <bottom style="hair">
        <color indexed="64"/>
      </bottom>
      <diagonal/>
    </border>
    <border>
      <left/>
      <right style="double">
        <color indexed="64"/>
      </right>
      <top style="double">
        <color indexed="64"/>
      </top>
      <bottom style="hair">
        <color indexed="64"/>
      </bottom>
      <diagonal/>
    </border>
    <border>
      <left style="double">
        <color indexed="64"/>
      </left>
      <right/>
      <top style="double">
        <color indexed="64"/>
      </top>
      <bottom style="hair">
        <color indexed="64"/>
      </bottom>
      <diagonal/>
    </border>
    <border>
      <left/>
      <right/>
      <top style="double">
        <color indexed="64"/>
      </top>
      <bottom style="hair">
        <color indexed="64"/>
      </bottom>
      <diagonal/>
    </border>
    <border>
      <left style="dashed">
        <color indexed="64"/>
      </left>
      <right/>
      <top/>
      <bottom style="hair">
        <color indexed="64"/>
      </bottom>
      <diagonal/>
    </border>
    <border>
      <left/>
      <right style="dashed">
        <color indexed="64"/>
      </right>
      <top/>
      <bottom style="hair">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s>
  <cellStyleXfs count="176">
    <xf numFmtId="0" fontId="0" fillId="0" borderId="0"/>
    <xf numFmtId="43" fontId="39" fillId="0" borderId="0" applyFont="0" applyFill="0" applyBorder="0" applyAlignment="0" applyProtection="0"/>
    <xf numFmtId="38" fontId="50" fillId="2" borderId="0" applyNumberFormat="0" applyBorder="0" applyAlignment="0" applyProtection="0"/>
    <xf numFmtId="10" fontId="50" fillId="3" borderId="1" applyNumberFormat="0" applyBorder="0" applyAlignment="0" applyProtection="0"/>
    <xf numFmtId="171" fontId="51" fillId="0" borderId="0"/>
    <xf numFmtId="0" fontId="46" fillId="0" borderId="0"/>
    <xf numFmtId="0" fontId="40" fillId="0" borderId="0"/>
    <xf numFmtId="0" fontId="46" fillId="0" borderId="0"/>
    <xf numFmtId="0" fontId="46" fillId="0" borderId="0"/>
    <xf numFmtId="0" fontId="46" fillId="0" borderId="0"/>
    <xf numFmtId="0" fontId="44" fillId="0" borderId="0"/>
    <xf numFmtId="0" fontId="44" fillId="0" borderId="0"/>
    <xf numFmtId="0" fontId="44" fillId="0" borderId="0"/>
    <xf numFmtId="0" fontId="40" fillId="0" borderId="0"/>
    <xf numFmtId="0" fontId="40" fillId="0" borderId="0"/>
    <xf numFmtId="0" fontId="40" fillId="0" borderId="0"/>
    <xf numFmtId="10" fontId="40" fillId="0" borderId="0" applyFont="0" applyFill="0" applyBorder="0" applyAlignment="0" applyProtection="0"/>
    <xf numFmtId="164" fontId="40"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69" fontId="40"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167" fontId="39" fillId="0" borderId="0" applyFont="0" applyFill="0" applyBorder="0" applyAlignment="0" applyProtection="0"/>
    <xf numFmtId="0" fontId="39" fillId="0" borderId="0"/>
    <xf numFmtId="0" fontId="38" fillId="0" borderId="0"/>
    <xf numFmtId="0" fontId="37" fillId="0" borderId="0"/>
    <xf numFmtId="0" fontId="66" fillId="0" borderId="0"/>
    <xf numFmtId="0" fontId="67" fillId="0" borderId="0"/>
    <xf numFmtId="44" fontId="40" fillId="0" borderId="0" applyFont="0" applyFill="0" applyBorder="0" applyAlignment="0" applyProtection="0"/>
    <xf numFmtId="0" fontId="36" fillId="0" borderId="0"/>
    <xf numFmtId="0" fontId="39" fillId="0" borderId="0"/>
    <xf numFmtId="0" fontId="35" fillId="0" borderId="0"/>
    <xf numFmtId="0" fontId="39" fillId="0" borderId="0"/>
    <xf numFmtId="0" fontId="39" fillId="0" borderId="0"/>
    <xf numFmtId="0" fontId="34" fillId="0" borderId="0"/>
    <xf numFmtId="0" fontId="34" fillId="0" borderId="0"/>
    <xf numFmtId="9" fontId="39" fillId="0" borderId="0" applyFont="0" applyFill="0" applyBorder="0" applyAlignment="0" applyProtection="0"/>
    <xf numFmtId="0" fontId="39" fillId="0" borderId="0"/>
    <xf numFmtId="0" fontId="33" fillId="0" borderId="0"/>
    <xf numFmtId="0" fontId="33" fillId="0" borderId="0"/>
    <xf numFmtId="0" fontId="33" fillId="0" borderId="0"/>
    <xf numFmtId="0" fontId="32" fillId="0" borderId="0"/>
    <xf numFmtId="0" fontId="32" fillId="0" borderId="0"/>
    <xf numFmtId="0" fontId="32" fillId="0" borderId="0"/>
    <xf numFmtId="0" fontId="39" fillId="0" borderId="0"/>
    <xf numFmtId="0" fontId="32" fillId="0" borderId="0"/>
    <xf numFmtId="0" fontId="32" fillId="0" borderId="0"/>
    <xf numFmtId="0" fontId="32" fillId="0" borderId="0"/>
    <xf numFmtId="0" fontId="31" fillId="0" borderId="0"/>
    <xf numFmtId="0" fontId="39" fillId="0" borderId="0"/>
    <xf numFmtId="0" fontId="30" fillId="0" borderId="0"/>
    <xf numFmtId="0" fontId="29" fillId="0" borderId="0"/>
    <xf numFmtId="0" fontId="28" fillId="0" borderId="0"/>
    <xf numFmtId="0" fontId="27" fillId="0" borderId="0"/>
    <xf numFmtId="0" fontId="26" fillId="0" borderId="0"/>
    <xf numFmtId="0" fontId="25" fillId="0" borderId="0"/>
    <xf numFmtId="0" fontId="25" fillId="0" borderId="0"/>
    <xf numFmtId="0" fontId="24" fillId="0" borderId="0"/>
    <xf numFmtId="0" fontId="24" fillId="0" borderId="0"/>
    <xf numFmtId="0" fontId="23"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39" fillId="0" borderId="0"/>
    <xf numFmtId="0" fontId="20" fillId="0" borderId="0"/>
    <xf numFmtId="0" fontId="20" fillId="0" borderId="0"/>
    <xf numFmtId="0" fontId="19" fillId="0" borderId="0"/>
    <xf numFmtId="0" fontId="19" fillId="0" borderId="0"/>
    <xf numFmtId="0" fontId="19" fillId="0" borderId="0"/>
    <xf numFmtId="0" fontId="19" fillId="0" borderId="0"/>
    <xf numFmtId="0" fontId="18"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9" fillId="0" borderId="0"/>
    <xf numFmtId="165" fontId="108" fillId="0" borderId="0" applyFont="0" applyFill="0" applyBorder="0" applyAlignment="0" applyProtection="0"/>
    <xf numFmtId="0" fontId="8" fillId="0" borderId="0"/>
    <xf numFmtId="0" fontId="122"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3" fillId="0" borderId="0"/>
    <xf numFmtId="0" fontId="39" fillId="0" borderId="0"/>
    <xf numFmtId="0" fontId="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9" fillId="0" borderId="0"/>
    <xf numFmtId="0" fontId="39" fillId="0" borderId="0"/>
    <xf numFmtId="0" fontId="39" fillId="0" borderId="0"/>
    <xf numFmtId="0" fontId="39" fillId="0" borderId="0"/>
    <xf numFmtId="0" fontId="39" fillId="0" borderId="0"/>
    <xf numFmtId="0" fontId="39" fillId="0" borderId="0"/>
    <xf numFmtId="0" fontId="2" fillId="0" borderId="0"/>
    <xf numFmtId="0" fontId="39"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9" fontId="154" fillId="0" borderId="0" applyFont="0" applyFill="0" applyBorder="0" applyAlignment="0" applyProtection="0"/>
    <xf numFmtId="0" fontId="162" fillId="0" borderId="0" applyNumberFormat="0" applyFill="0" applyBorder="0" applyAlignment="0" applyProtection="0"/>
  </cellStyleXfs>
  <cellXfs count="4464">
    <xf numFmtId="0" fontId="0" fillId="0" borderId="0" xfId="0"/>
    <xf numFmtId="0" fontId="39" fillId="0" borderId="0" xfId="42"/>
    <xf numFmtId="0" fontId="100" fillId="0" borderId="0" xfId="42" applyFont="1" applyAlignment="1">
      <alignment horizontal="center"/>
    </xf>
    <xf numFmtId="0" fontId="86" fillId="0" borderId="176" xfId="42" applyFont="1" applyBorder="1" applyAlignment="1">
      <alignment horizontal="center" vertical="center" wrapText="1"/>
    </xf>
    <xf numFmtId="0" fontId="97" fillId="5" borderId="67" xfId="58" applyFont="1" applyFill="1" applyBorder="1" applyAlignment="1">
      <alignment horizontal="center" vertical="center"/>
    </xf>
    <xf numFmtId="0" fontId="97" fillId="5" borderId="0" xfId="58" applyFont="1" applyFill="1" applyAlignment="1">
      <alignment horizontal="center" vertical="center"/>
    </xf>
    <xf numFmtId="0" fontId="97" fillId="5" borderId="38" xfId="58" applyFont="1" applyFill="1" applyBorder="1" applyAlignment="1">
      <alignment horizontal="center" vertical="center"/>
    </xf>
    <xf numFmtId="0" fontId="103" fillId="5" borderId="83" xfId="58" applyFont="1" applyFill="1" applyBorder="1" applyAlignment="1">
      <alignment vertical="center"/>
    </xf>
    <xf numFmtId="0" fontId="103" fillId="5" borderId="57" xfId="58" applyFont="1" applyFill="1" applyBorder="1" applyAlignment="1">
      <alignment vertical="center"/>
    </xf>
    <xf numFmtId="0" fontId="103" fillId="5" borderId="56" xfId="58" applyFont="1" applyFill="1" applyBorder="1" applyAlignment="1">
      <alignment vertical="center"/>
    </xf>
    <xf numFmtId="0" fontId="116" fillId="5" borderId="71" xfId="13" quotePrefix="1" applyFont="1" applyFill="1" applyBorder="1" applyAlignment="1">
      <alignment horizontal="right" vertical="center"/>
    </xf>
    <xf numFmtId="0" fontId="103" fillId="5" borderId="6" xfId="13" applyFont="1" applyFill="1" applyBorder="1" applyAlignment="1">
      <alignment vertical="center"/>
    </xf>
    <xf numFmtId="0" fontId="116" fillId="5" borderId="27" xfId="13" quotePrefix="1" applyFont="1" applyFill="1" applyBorder="1" applyAlignment="1">
      <alignment horizontal="right" vertical="center"/>
    </xf>
    <xf numFmtId="0" fontId="116" fillId="5" borderId="95" xfId="13" quotePrefix="1" applyFont="1" applyFill="1" applyBorder="1" applyAlignment="1">
      <alignment horizontal="right" vertical="center"/>
    </xf>
    <xf numFmtId="0" fontId="116" fillId="5" borderId="99" xfId="13" quotePrefix="1" applyFont="1" applyFill="1" applyBorder="1" applyAlignment="1">
      <alignment horizontal="right" vertical="center"/>
    </xf>
    <xf numFmtId="0" fontId="116" fillId="5" borderId="87" xfId="13" quotePrefix="1" applyFont="1" applyFill="1" applyBorder="1" applyAlignment="1">
      <alignment horizontal="right" vertical="center"/>
    </xf>
    <xf numFmtId="0" fontId="116" fillId="5" borderId="85" xfId="13" quotePrefix="1" applyFont="1" applyFill="1" applyBorder="1" applyAlignment="1">
      <alignment vertical="center"/>
    </xf>
    <xf numFmtId="0" fontId="103" fillId="5" borderId="85" xfId="13" applyFont="1" applyFill="1" applyBorder="1" applyAlignment="1">
      <alignment vertical="center"/>
    </xf>
    <xf numFmtId="0" fontId="117" fillId="5" borderId="85" xfId="13" applyFont="1" applyFill="1" applyBorder="1" applyAlignment="1">
      <alignment vertical="center"/>
    </xf>
    <xf numFmtId="0" fontId="116" fillId="5" borderId="85" xfId="13" applyFont="1" applyFill="1" applyBorder="1" applyAlignment="1">
      <alignment vertical="center"/>
    </xf>
    <xf numFmtId="0" fontId="116" fillId="5" borderId="2" xfId="13" quotePrefix="1" applyFont="1" applyFill="1" applyBorder="1" applyAlignment="1">
      <alignment horizontal="right" vertical="center"/>
    </xf>
    <xf numFmtId="0" fontId="116" fillId="5" borderId="58" xfId="13" quotePrefix="1" applyFont="1" applyFill="1" applyBorder="1" applyAlignment="1">
      <alignment vertical="center"/>
    </xf>
    <xf numFmtId="0" fontId="117" fillId="5" borderId="58" xfId="13" applyFont="1" applyFill="1" applyBorder="1" applyAlignment="1">
      <alignment vertical="center"/>
    </xf>
    <xf numFmtId="0" fontId="116" fillId="5" borderId="58" xfId="13" applyFont="1" applyFill="1" applyBorder="1" applyAlignment="1">
      <alignment vertical="center"/>
    </xf>
    <xf numFmtId="0" fontId="103" fillId="5" borderId="87" xfId="13" applyFont="1" applyFill="1" applyBorder="1" applyAlignment="1">
      <alignment vertical="center"/>
    </xf>
    <xf numFmtId="0" fontId="86" fillId="0" borderId="175" xfId="42" applyFont="1" applyBorder="1" applyAlignment="1">
      <alignment horizontal="center" vertical="center"/>
    </xf>
    <xf numFmtId="0" fontId="116" fillId="5" borderId="85" xfId="13" quotePrefix="1" applyFont="1" applyFill="1" applyBorder="1" applyAlignment="1">
      <alignment horizontal="right" vertical="center"/>
    </xf>
    <xf numFmtId="0" fontId="87" fillId="0" borderId="0" xfId="42" applyFont="1"/>
    <xf numFmtId="0" fontId="87" fillId="0" borderId="0" xfId="42" applyFont="1" applyAlignment="1">
      <alignment vertical="center"/>
    </xf>
    <xf numFmtId="0" fontId="87" fillId="0" borderId="0" xfId="22" applyFont="1" applyAlignment="1">
      <alignment vertical="center"/>
    </xf>
    <xf numFmtId="0" fontId="86" fillId="0" borderId="202" xfId="42" applyFont="1" applyBorder="1" applyAlignment="1">
      <alignment horizontal="center" vertical="center"/>
    </xf>
    <xf numFmtId="0" fontId="86" fillId="0" borderId="175" xfId="42" applyFont="1" applyBorder="1" applyAlignment="1">
      <alignment horizontal="center" vertical="center" wrapText="1"/>
    </xf>
    <xf numFmtId="0" fontId="41" fillId="0" borderId="0" xfId="42" applyFont="1"/>
    <xf numFmtId="0" fontId="86" fillId="0" borderId="55" xfId="89" applyFont="1" applyBorder="1" applyAlignment="1">
      <alignment vertical="center"/>
    </xf>
    <xf numFmtId="0" fontId="86" fillId="0" borderId="55" xfId="22" applyFont="1" applyBorder="1" applyAlignment="1">
      <alignment vertical="center"/>
    </xf>
    <xf numFmtId="0" fontId="86" fillId="0" borderId="55" xfId="42" applyFont="1" applyBorder="1" applyAlignment="1">
      <alignment vertical="center" wrapText="1"/>
    </xf>
    <xf numFmtId="0" fontId="86" fillId="0" borderId="55" xfId="42" applyFont="1" applyBorder="1" applyAlignment="1">
      <alignment vertical="center"/>
    </xf>
    <xf numFmtId="0" fontId="86" fillId="0" borderId="55" xfId="22" applyFont="1" applyBorder="1" applyAlignment="1">
      <alignment vertical="center" wrapText="1"/>
    </xf>
    <xf numFmtId="0" fontId="86" fillId="0" borderId="55" xfId="22" applyFont="1" applyBorder="1" applyAlignment="1">
      <alignment horizontal="left" vertical="center" wrapText="1"/>
    </xf>
    <xf numFmtId="0" fontId="86" fillId="0" borderId="55" xfId="22" applyFont="1" applyBorder="1" applyAlignment="1">
      <alignment horizontal="left" vertical="center"/>
    </xf>
    <xf numFmtId="0" fontId="86" fillId="0" borderId="55" xfId="26" applyFont="1" applyBorder="1" applyAlignment="1">
      <alignment vertical="center"/>
    </xf>
    <xf numFmtId="0" fontId="86" fillId="0" borderId="55" xfId="35" applyFont="1" applyBorder="1" applyAlignment="1">
      <alignment vertical="center"/>
    </xf>
    <xf numFmtId="0" fontId="86" fillId="0" borderId="55" xfId="11" applyFont="1" applyBorder="1" applyAlignment="1">
      <alignment vertical="center"/>
    </xf>
    <xf numFmtId="0" fontId="119" fillId="0" borderId="0" xfId="42" applyFont="1"/>
    <xf numFmtId="0" fontId="86" fillId="0" borderId="162" xfId="42" applyFont="1" applyBorder="1" applyAlignment="1">
      <alignment horizontal="center" vertical="center"/>
    </xf>
    <xf numFmtId="0" fontId="131" fillId="0" borderId="0" xfId="42" applyFont="1" applyAlignment="1">
      <alignment horizontal="center"/>
    </xf>
    <xf numFmtId="0" fontId="41" fillId="0" borderId="0" xfId="42" applyFont="1" applyAlignment="1">
      <alignment horizontal="center"/>
    </xf>
    <xf numFmtId="0" fontId="86" fillId="0" borderId="60" xfId="42" applyFont="1" applyBorder="1" applyAlignment="1">
      <alignment horizontal="center" vertical="center"/>
    </xf>
    <xf numFmtId="0" fontId="86" fillId="0" borderId="0" xfId="26" applyFont="1" applyAlignment="1">
      <alignment vertical="center"/>
    </xf>
    <xf numFmtId="0" fontId="86" fillId="0" borderId="0" xfId="42" applyFont="1" applyAlignment="1">
      <alignment horizontal="center" vertical="center"/>
    </xf>
    <xf numFmtId="0" fontId="132" fillId="0" borderId="72" xfId="42" applyFont="1" applyBorder="1" applyAlignment="1">
      <alignment horizontal="center" vertical="center"/>
    </xf>
    <xf numFmtId="0" fontId="132" fillId="0" borderId="0" xfId="42" applyFont="1" applyAlignment="1">
      <alignment horizontal="center" vertical="center"/>
    </xf>
    <xf numFmtId="0" fontId="86" fillId="0" borderId="72" xfId="42" applyFont="1" applyBorder="1" applyAlignment="1">
      <alignment horizontal="center" vertical="center"/>
    </xf>
    <xf numFmtId="0" fontId="86" fillId="0" borderId="72" xfId="26" applyFont="1" applyBorder="1" applyAlignment="1">
      <alignment vertical="center"/>
    </xf>
    <xf numFmtId="0" fontId="114" fillId="5" borderId="58" xfId="13" applyFont="1" applyFill="1" applyBorder="1" applyAlignment="1">
      <alignment vertical="center"/>
    </xf>
    <xf numFmtId="0" fontId="115" fillId="5" borderId="58" xfId="13" applyFont="1" applyFill="1" applyBorder="1" applyAlignment="1">
      <alignment vertical="center"/>
    </xf>
    <xf numFmtId="0" fontId="115" fillId="5" borderId="55" xfId="13" applyFont="1" applyFill="1" applyBorder="1" applyAlignment="1">
      <alignment vertical="center"/>
    </xf>
    <xf numFmtId="0" fontId="114" fillId="5" borderId="324" xfId="13" applyFont="1" applyFill="1" applyBorder="1" applyAlignment="1">
      <alignment vertical="center"/>
    </xf>
    <xf numFmtId="0" fontId="114" fillId="5" borderId="287" xfId="13" applyFont="1" applyFill="1" applyBorder="1" applyAlignment="1">
      <alignment vertical="center"/>
    </xf>
    <xf numFmtId="0" fontId="114" fillId="5" borderId="85" xfId="13" applyFont="1" applyFill="1" applyBorder="1" applyAlignment="1">
      <alignment vertical="center"/>
    </xf>
    <xf numFmtId="0" fontId="115" fillId="5" borderId="85" xfId="13" applyFont="1" applyFill="1" applyBorder="1" applyAlignment="1">
      <alignment vertical="center"/>
    </xf>
    <xf numFmtId="0" fontId="115" fillId="5" borderId="86" xfId="13" applyFont="1" applyFill="1" applyBorder="1" applyAlignment="1">
      <alignment vertical="center"/>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142" fillId="7" borderId="1" xfId="42" applyFont="1" applyFill="1" applyBorder="1" applyAlignment="1">
      <alignment horizontal="center" vertical="center"/>
    </xf>
    <xf numFmtId="0" fontId="142" fillId="8" borderId="1" xfId="42" applyFont="1" applyFill="1" applyBorder="1" applyAlignment="1">
      <alignment horizontal="center" vertical="center"/>
    </xf>
    <xf numFmtId="0" fontId="144" fillId="8" borderId="1" xfId="42" applyFont="1" applyFill="1" applyBorder="1" applyAlignment="1">
      <alignment horizontal="center" vertical="center"/>
    </xf>
    <xf numFmtId="0" fontId="144" fillId="7" borderId="1" xfId="42" applyFont="1" applyFill="1" applyBorder="1" applyAlignment="1">
      <alignment horizontal="center" vertical="center"/>
    </xf>
    <xf numFmtId="0" fontId="145" fillId="0" borderId="1" xfId="42" applyFont="1" applyBorder="1" applyAlignment="1">
      <alignment horizontal="center"/>
    </xf>
    <xf numFmtId="0" fontId="64" fillId="0" borderId="0" xfId="42" applyFont="1"/>
    <xf numFmtId="0" fontId="64" fillId="0" borderId="1" xfId="42" applyFont="1" applyBorder="1"/>
    <xf numFmtId="0" fontId="63" fillId="0" borderId="0" xfId="0" applyFont="1"/>
    <xf numFmtId="0" fontId="146" fillId="0" borderId="0" xfId="0" applyFont="1"/>
    <xf numFmtId="0" fontId="39" fillId="0" borderId="27" xfId="15" applyFont="1" applyBorder="1" applyAlignment="1" applyProtection="1">
      <alignment horizontal="center"/>
      <protection locked="0"/>
    </xf>
    <xf numFmtId="0" fontId="150" fillId="0" borderId="0" xfId="13" applyFont="1" applyAlignment="1" applyProtection="1">
      <alignment vertical="center"/>
      <protection locked="0"/>
    </xf>
    <xf numFmtId="0" fontId="149" fillId="0" borderId="0" xfId="13" applyFont="1" applyAlignment="1" applyProtection="1">
      <alignment horizontal="right" vertical="center"/>
      <protection locked="0"/>
    </xf>
    <xf numFmtId="0" fontId="41" fillId="10" borderId="0" xfId="168" applyFont="1" applyFill="1" applyAlignment="1">
      <alignment vertical="center" wrapText="1"/>
    </xf>
    <xf numFmtId="0" fontId="39" fillId="6" borderId="6" xfId="157" applyFill="1" applyBorder="1" applyAlignment="1" applyProtection="1">
      <alignment horizontal="center" vertical="center"/>
      <protection locked="0"/>
    </xf>
    <xf numFmtId="0" fontId="39" fillId="6" borderId="4" xfId="157" applyFill="1" applyBorder="1" applyAlignment="1" applyProtection="1">
      <alignment horizontal="center" vertical="center"/>
      <protection locked="0"/>
    </xf>
    <xf numFmtId="0" fontId="39" fillId="6" borderId="96" xfId="157" applyFill="1" applyBorder="1" applyAlignment="1" applyProtection="1">
      <alignment horizontal="center" vertical="center"/>
      <protection locked="0"/>
    </xf>
    <xf numFmtId="0" fontId="41" fillId="0" borderId="0" xfId="0" applyFont="1" applyAlignment="1">
      <alignment horizontal="center"/>
    </xf>
    <xf numFmtId="0" fontId="41" fillId="0" borderId="0" xfId="0" applyFont="1" applyAlignment="1">
      <alignment horizontal="left"/>
    </xf>
    <xf numFmtId="0" fontId="39" fillId="0" borderId="0" xfId="0" applyFont="1"/>
    <xf numFmtId="0" fontId="39" fillId="0" borderId="0" xfId="0" applyFont="1" applyAlignment="1">
      <alignment horizontal="left"/>
    </xf>
    <xf numFmtId="0" fontId="39" fillId="0" borderId="8" xfId="0" applyFont="1" applyBorder="1"/>
    <xf numFmtId="0" fontId="39" fillId="0" borderId="8" xfId="0" applyFont="1" applyBorder="1" applyAlignment="1">
      <alignment horizontal="left"/>
    </xf>
    <xf numFmtId="0" fontId="161" fillId="0" borderId="0" xfId="13" applyFont="1" applyAlignment="1" applyProtection="1">
      <alignment horizontal="center" vertical="center"/>
      <protection locked="0"/>
    </xf>
    <xf numFmtId="0" fontId="103" fillId="0" borderId="0" xfId="13" applyFont="1" applyAlignment="1" applyProtection="1">
      <alignment horizontal="center" vertical="center"/>
      <protection locked="0"/>
    </xf>
    <xf numFmtId="0" fontId="103" fillId="6" borderId="263" xfId="13" applyFont="1" applyFill="1" applyBorder="1" applyAlignment="1" applyProtection="1">
      <alignment horizontal="center" vertical="center"/>
      <protection locked="0"/>
    </xf>
    <xf numFmtId="0" fontId="103" fillId="6" borderId="11" xfId="13" applyFont="1" applyFill="1" applyBorder="1" applyAlignment="1" applyProtection="1">
      <alignment horizontal="center" vertical="center"/>
      <protection locked="0"/>
    </xf>
    <xf numFmtId="0" fontId="103" fillId="6" borderId="264" xfId="13" applyFont="1" applyFill="1" applyBorder="1" applyAlignment="1" applyProtection="1">
      <alignment horizontal="center" vertical="center"/>
      <protection locked="0"/>
    </xf>
    <xf numFmtId="0" fontId="103" fillId="6" borderId="265" xfId="13" applyFont="1" applyFill="1" applyBorder="1" applyAlignment="1" applyProtection="1">
      <alignment horizontal="center" vertical="center"/>
      <protection locked="0"/>
    </xf>
    <xf numFmtId="0" fontId="103" fillId="6" borderId="173" xfId="13" applyFont="1" applyFill="1" applyBorder="1" applyAlignment="1" applyProtection="1">
      <alignment horizontal="center" vertical="center"/>
      <protection locked="0"/>
    </xf>
    <xf numFmtId="0" fontId="103" fillId="6" borderId="34" xfId="13" applyFont="1" applyFill="1" applyBorder="1" applyAlignment="1" applyProtection="1">
      <alignment horizontal="center" vertical="center"/>
      <protection locked="0"/>
    </xf>
    <xf numFmtId="0" fontId="103" fillId="6" borderId="1" xfId="13" applyFont="1" applyFill="1" applyBorder="1" applyAlignment="1" applyProtection="1">
      <alignment horizontal="center" vertical="center"/>
      <protection locked="0"/>
    </xf>
    <xf numFmtId="0" fontId="103" fillId="6" borderId="153" xfId="13" applyFont="1" applyFill="1" applyBorder="1" applyAlignment="1" applyProtection="1">
      <alignment horizontal="center" vertical="center"/>
      <protection locked="0"/>
    </xf>
    <xf numFmtId="0" fontId="103" fillId="6" borderId="171" xfId="13" applyFont="1" applyFill="1" applyBorder="1" applyAlignment="1" applyProtection="1">
      <alignment horizontal="center" vertical="center"/>
      <protection locked="0"/>
    </xf>
    <xf numFmtId="0" fontId="103" fillId="6" borderId="118" xfId="13" applyFont="1" applyFill="1" applyBorder="1" applyAlignment="1" applyProtection="1">
      <alignment horizontal="center" vertical="center"/>
      <protection locked="0"/>
    </xf>
    <xf numFmtId="0" fontId="103" fillId="6" borderId="160" xfId="13" applyFont="1" applyFill="1" applyBorder="1" applyAlignment="1" applyProtection="1">
      <alignment horizontal="center" vertical="center"/>
      <protection locked="0"/>
    </xf>
    <xf numFmtId="0" fontId="103" fillId="6" borderId="187" xfId="13" applyFont="1" applyFill="1" applyBorder="1" applyAlignment="1" applyProtection="1">
      <alignment horizontal="center" vertical="center"/>
      <protection locked="0"/>
    </xf>
    <xf numFmtId="0" fontId="103" fillId="6" borderId="172" xfId="13" applyFont="1" applyFill="1" applyBorder="1" applyAlignment="1" applyProtection="1">
      <alignment horizontal="center" vertical="center"/>
      <protection locked="0"/>
    </xf>
    <xf numFmtId="0" fontId="103" fillId="6" borderId="174" xfId="13" applyFont="1" applyFill="1" applyBorder="1" applyAlignment="1" applyProtection="1">
      <alignment horizontal="center" vertical="center"/>
      <protection locked="0"/>
    </xf>
    <xf numFmtId="0" fontId="103" fillId="6" borderId="167" xfId="13" applyFont="1" applyFill="1" applyBorder="1" applyAlignment="1" applyProtection="1">
      <alignment horizontal="center" vertical="center"/>
      <protection locked="0"/>
    </xf>
    <xf numFmtId="0" fontId="103" fillId="6" borderId="53" xfId="13" applyFont="1" applyFill="1" applyBorder="1" applyAlignment="1" applyProtection="1">
      <alignment horizontal="center" vertical="center"/>
      <protection locked="0"/>
    </xf>
    <xf numFmtId="0" fontId="103" fillId="6" borderId="165" xfId="13" applyFont="1" applyFill="1" applyBorder="1" applyAlignment="1" applyProtection="1">
      <alignment horizontal="center" vertical="center"/>
      <protection locked="0"/>
    </xf>
    <xf numFmtId="3" fontId="39" fillId="6" borderId="263" xfId="96" applyNumberFormat="1" applyFont="1" applyFill="1" applyBorder="1" applyAlignment="1" applyProtection="1">
      <alignment horizontal="center" vertical="center"/>
      <protection locked="0"/>
    </xf>
    <xf numFmtId="3" fontId="39" fillId="6" borderId="152" xfId="96" applyNumberFormat="1" applyFont="1" applyFill="1" applyBorder="1" applyAlignment="1" applyProtection="1">
      <alignment horizontal="center" vertical="center"/>
      <protection locked="0"/>
    </xf>
    <xf numFmtId="3" fontId="39" fillId="6" borderId="171" xfId="96" applyNumberFormat="1" applyFont="1" applyFill="1" applyBorder="1" applyAlignment="1" applyProtection="1">
      <alignment horizontal="center" vertical="center"/>
      <protection locked="0"/>
    </xf>
    <xf numFmtId="0" fontId="64" fillId="0" borderId="0" xfId="0" applyFont="1"/>
    <xf numFmtId="0" fontId="140" fillId="0" borderId="0" xfId="0" applyFont="1"/>
    <xf numFmtId="0" fontId="148" fillId="0" borderId="0" xfId="0" applyFont="1"/>
    <xf numFmtId="0" fontId="64" fillId="0" borderId="8" xfId="0" applyFont="1" applyBorder="1"/>
    <xf numFmtId="0" fontId="140" fillId="0" borderId="0" xfId="73" applyFont="1"/>
    <xf numFmtId="0" fontId="140" fillId="0" borderId="8" xfId="73" applyFont="1" applyBorder="1"/>
    <xf numFmtId="173" fontId="39" fillId="0" borderId="0" xfId="0" applyNumberFormat="1" applyFont="1" applyAlignment="1">
      <alignment horizontal="left"/>
    </xf>
    <xf numFmtId="174" fontId="39" fillId="0" borderId="0" xfId="0" applyNumberFormat="1" applyFont="1" applyAlignment="1">
      <alignment horizontal="left"/>
    </xf>
    <xf numFmtId="2" fontId="39" fillId="0" borderId="0" xfId="0" applyNumberFormat="1" applyFont="1" applyAlignment="1">
      <alignment horizontal="left"/>
    </xf>
    <xf numFmtId="0" fontId="39" fillId="0" borderId="72" xfId="0" applyFont="1" applyBorder="1"/>
    <xf numFmtId="0" fontId="64" fillId="0" borderId="72" xfId="0" applyFont="1" applyBorder="1"/>
    <xf numFmtId="3" fontId="39" fillId="0" borderId="0" xfId="0" applyNumberFormat="1" applyFont="1" applyAlignment="1">
      <alignment horizontal="left"/>
    </xf>
    <xf numFmtId="0" fontId="140" fillId="0" borderId="8" xfId="0" applyFont="1" applyBorder="1"/>
    <xf numFmtId="0" fontId="39" fillId="0" borderId="0" xfId="0" applyFont="1" applyAlignment="1">
      <alignment wrapText="1"/>
    </xf>
    <xf numFmtId="0" fontId="64" fillId="0" borderId="0" xfId="0" applyFont="1" applyAlignment="1">
      <alignment horizontal="left"/>
    </xf>
    <xf numFmtId="2" fontId="39" fillId="0" borderId="8" xfId="0" applyNumberFormat="1" applyFont="1" applyBorder="1" applyAlignment="1">
      <alignment horizontal="left"/>
    </xf>
    <xf numFmtId="0" fontId="39" fillId="11" borderId="0" xfId="21" applyFill="1"/>
    <xf numFmtId="0" fontId="42" fillId="11" borderId="0" xfId="21" applyFont="1" applyFill="1"/>
    <xf numFmtId="0" fontId="0" fillId="11" borderId="0" xfId="0" applyFill="1"/>
    <xf numFmtId="0" fontId="39" fillId="11" borderId="0" xfId="0" applyFont="1" applyFill="1"/>
    <xf numFmtId="0" fontId="42" fillId="11" borderId="0" xfId="0" applyFont="1" applyFill="1" applyAlignment="1">
      <alignment horizontal="centerContinuous"/>
    </xf>
    <xf numFmtId="0" fontId="90" fillId="11" borderId="0" xfId="21" applyFont="1" applyFill="1"/>
    <xf numFmtId="0" fontId="0" fillId="11" borderId="0" xfId="0" applyFill="1" applyAlignment="1">
      <alignment horizontal="centerContinuous"/>
    </xf>
    <xf numFmtId="0" fontId="54" fillId="11" borderId="0" xfId="0" applyFont="1" applyFill="1" applyAlignment="1">
      <alignment horizontal="centerContinuous"/>
    </xf>
    <xf numFmtId="0" fontId="39" fillId="11" borderId="0" xfId="21" applyFill="1" applyAlignment="1">
      <alignment vertical="center"/>
    </xf>
    <xf numFmtId="0" fontId="42" fillId="11" borderId="0" xfId="21" applyFont="1" applyFill="1" applyAlignment="1">
      <alignment vertical="center"/>
    </xf>
    <xf numFmtId="0" fontId="41" fillId="11" borderId="0" xfId="21" applyFont="1" applyFill="1" applyAlignment="1">
      <alignment vertical="center"/>
    </xf>
    <xf numFmtId="0" fontId="43" fillId="11" borderId="0" xfId="21" applyFont="1" applyFill="1"/>
    <xf numFmtId="0" fontId="53" fillId="11" borderId="0" xfId="21" applyFont="1" applyFill="1" applyAlignment="1">
      <alignment vertical="center"/>
    </xf>
    <xf numFmtId="0" fontId="41" fillId="11" borderId="0" xfId="21" applyFont="1" applyFill="1"/>
    <xf numFmtId="0" fontId="41" fillId="11" borderId="0" xfId="21" applyFont="1" applyFill="1" applyAlignment="1">
      <alignment horizontal="centerContinuous"/>
    </xf>
    <xf numFmtId="0" fontId="92" fillId="11" borderId="0" xfId="21" applyFont="1" applyFill="1"/>
    <xf numFmtId="0" fontId="54" fillId="11" borderId="23" xfId="21" applyFont="1" applyFill="1" applyBorder="1" applyAlignment="1">
      <alignment vertical="center"/>
    </xf>
    <xf numFmtId="0" fontId="54" fillId="11" borderId="0" xfId="21" applyFont="1" applyFill="1" applyAlignment="1">
      <alignment vertical="center"/>
    </xf>
    <xf numFmtId="0" fontId="54" fillId="11" borderId="24" xfId="21" applyFont="1" applyFill="1" applyBorder="1" applyAlignment="1">
      <alignment vertical="center"/>
    </xf>
    <xf numFmtId="0" fontId="39" fillId="11" borderId="76" xfId="21" applyFill="1" applyBorder="1" applyAlignment="1">
      <alignment vertical="center" wrapText="1" shrinkToFit="1"/>
    </xf>
    <xf numFmtId="0" fontId="54" fillId="11" borderId="25" xfId="21" applyFont="1" applyFill="1" applyBorder="1" applyAlignment="1">
      <alignment vertical="center"/>
    </xf>
    <xf numFmtId="0" fontId="45" fillId="11" borderId="129" xfId="21" applyFont="1" applyFill="1" applyBorder="1" applyAlignment="1">
      <alignment vertical="center" wrapText="1" shrinkToFit="1"/>
    </xf>
    <xf numFmtId="0" fontId="45" fillId="11" borderId="0" xfId="15" applyFont="1" applyFill="1"/>
    <xf numFmtId="0" fontId="45" fillId="11" borderId="0" xfId="15" applyFont="1" applyFill="1" applyAlignment="1">
      <alignment horizontal="right"/>
    </xf>
    <xf numFmtId="0" fontId="54" fillId="11" borderId="0" xfId="15" applyFont="1" applyFill="1"/>
    <xf numFmtId="0" fontId="41" fillId="11" borderId="0" xfId="0" applyFont="1" applyFill="1"/>
    <xf numFmtId="0" fontId="47" fillId="11" borderId="0" xfId="15" applyFont="1" applyFill="1" applyAlignment="1">
      <alignment horizontal="center" vertical="top"/>
    </xf>
    <xf numFmtId="0" fontId="47" fillId="11" borderId="0" xfId="15" applyFont="1" applyFill="1" applyAlignment="1">
      <alignment horizontal="center"/>
    </xf>
    <xf numFmtId="0" fontId="47" fillId="11" borderId="0" xfId="15" applyFont="1" applyFill="1" applyAlignment="1">
      <alignment vertical="top"/>
    </xf>
    <xf numFmtId="0" fontId="45" fillId="11" borderId="0" xfId="38" applyFont="1" applyFill="1"/>
    <xf numFmtId="0" fontId="0" fillId="11" borderId="0" xfId="38" applyFont="1" applyFill="1"/>
    <xf numFmtId="0" fontId="47" fillId="11" borderId="0" xfId="0" applyFont="1" applyFill="1"/>
    <xf numFmtId="0" fontId="107" fillId="11" borderId="0" xfId="15" applyFont="1" applyFill="1" applyAlignment="1">
      <alignment horizontal="centerContinuous"/>
    </xf>
    <xf numFmtId="0" fontId="39" fillId="11" borderId="0" xfId="38" applyFill="1"/>
    <xf numFmtId="0" fontId="54" fillId="11" borderId="0" xfId="15" applyFont="1" applyFill="1" applyAlignment="1">
      <alignment horizontal="center"/>
    </xf>
    <xf numFmtId="0" fontId="39" fillId="11" borderId="0" xfId="38" applyFill="1" applyAlignment="1">
      <alignment vertical="center"/>
    </xf>
    <xf numFmtId="0" fontId="41" fillId="11" borderId="0" xfId="38" applyFont="1" applyFill="1" applyAlignment="1">
      <alignment vertical="center"/>
    </xf>
    <xf numFmtId="0" fontId="39" fillId="11" borderId="0" xfId="0" applyFont="1" applyFill="1" applyAlignment="1">
      <alignment vertical="center"/>
    </xf>
    <xf numFmtId="0" fontId="45" fillId="11" borderId="0" xfId="15" applyFont="1" applyFill="1" applyAlignment="1">
      <alignment vertical="center"/>
    </xf>
    <xf numFmtId="0" fontId="0" fillId="11" borderId="0" xfId="38" applyFont="1" applyFill="1" applyAlignment="1">
      <alignment vertical="center"/>
    </xf>
    <xf numFmtId="0" fontId="0" fillId="11" borderId="0" xfId="0" applyFill="1" applyAlignment="1">
      <alignment vertical="center"/>
    </xf>
    <xf numFmtId="0" fontId="45" fillId="11" borderId="0" xfId="38" applyFont="1" applyFill="1" applyAlignment="1">
      <alignment vertical="center"/>
    </xf>
    <xf numFmtId="0" fontId="147" fillId="11" borderId="0" xfId="0" applyFont="1" applyFill="1" applyAlignment="1">
      <alignment vertical="top"/>
    </xf>
    <xf numFmtId="0" fontId="52" fillId="11" borderId="0" xfId="0" applyFont="1" applyFill="1"/>
    <xf numFmtId="0" fontId="53" fillId="11" borderId="0" xfId="15" applyFont="1" applyFill="1"/>
    <xf numFmtId="0" fontId="53" fillId="11" borderId="0" xfId="10" applyFont="1" applyFill="1"/>
    <xf numFmtId="0" fontId="53" fillId="11" borderId="0" xfId="15" applyFont="1" applyFill="1" applyAlignment="1">
      <alignment horizontal="center"/>
    </xf>
    <xf numFmtId="0" fontId="52" fillId="11" borderId="0" xfId="0" applyFont="1" applyFill="1" applyAlignment="1">
      <alignment horizontal="center"/>
    </xf>
    <xf numFmtId="0" fontId="42" fillId="11" borderId="0" xfId="15" applyFont="1" applyFill="1"/>
    <xf numFmtId="0" fontId="42" fillId="11" borderId="0" xfId="0" applyFont="1" applyFill="1"/>
    <xf numFmtId="0" fontId="42" fillId="11" borderId="0" xfId="15" applyFont="1" applyFill="1" applyAlignment="1">
      <alignment horizontal="center"/>
    </xf>
    <xf numFmtId="0" fontId="42" fillId="11" borderId="0" xfId="15" applyFont="1" applyFill="1" applyAlignment="1">
      <alignment horizontal="right"/>
    </xf>
    <xf numFmtId="0" fontId="39" fillId="11" borderId="0" xfId="21" applyFill="1" applyAlignment="1">
      <alignment horizontal="center"/>
    </xf>
    <xf numFmtId="0" fontId="41" fillId="11" borderId="0" xfId="10" applyFont="1" applyFill="1"/>
    <xf numFmtId="0" fontId="103" fillId="0" borderId="0" xfId="38" applyFont="1" applyAlignment="1" applyProtection="1">
      <alignment vertical="center"/>
      <protection locked="0"/>
    </xf>
    <xf numFmtId="0" fontId="39" fillId="11" borderId="0" xfId="22" applyFill="1"/>
    <xf numFmtId="0" fontId="39" fillId="11" borderId="0" xfId="57" applyFont="1" applyFill="1"/>
    <xf numFmtId="0" fontId="0" fillId="11" borderId="0" xfId="0" applyFill="1" applyAlignment="1">
      <alignment horizontal="center"/>
    </xf>
    <xf numFmtId="0" fontId="53" fillId="11" borderId="0" xfId="0" applyFont="1" applyFill="1"/>
    <xf numFmtId="0" fontId="42" fillId="11" borderId="0" xfId="15" applyFont="1" applyFill="1" applyAlignment="1">
      <alignment horizontal="center" vertical="top"/>
    </xf>
    <xf numFmtId="0" fontId="45" fillId="11" borderId="0" xfId="15" applyFont="1" applyFill="1" applyAlignment="1">
      <alignment horizontal="center"/>
    </xf>
    <xf numFmtId="0" fontId="0" fillId="11" borderId="0" xfId="73" applyFont="1" applyFill="1" applyAlignment="1">
      <alignment vertical="center"/>
    </xf>
    <xf numFmtId="0" fontId="45" fillId="11" borderId="0" xfId="11" applyFont="1" applyFill="1" applyAlignment="1">
      <alignment vertical="center"/>
    </xf>
    <xf numFmtId="0" fontId="41" fillId="11" borderId="0" xfId="22" applyFont="1" applyFill="1" applyAlignment="1">
      <alignment vertical="center"/>
    </xf>
    <xf numFmtId="0" fontId="39" fillId="11" borderId="0" xfId="22" applyFill="1" applyAlignment="1">
      <alignment horizontal="left" vertical="center"/>
    </xf>
    <xf numFmtId="0" fontId="160" fillId="11" borderId="0" xfId="22" applyFont="1" applyFill="1" applyAlignment="1">
      <alignment horizontal="left" vertical="center"/>
    </xf>
    <xf numFmtId="0" fontId="39" fillId="11" borderId="0" xfId="22" applyFill="1" applyAlignment="1">
      <alignment vertical="center"/>
    </xf>
    <xf numFmtId="0" fontId="45" fillId="11" borderId="0" xfId="22" applyFont="1" applyFill="1" applyAlignment="1">
      <alignment horizontal="left"/>
    </xf>
    <xf numFmtId="0" fontId="45" fillId="11" borderId="0" xfId="22" quotePrefix="1" applyFont="1" applyFill="1" applyAlignment="1">
      <alignment horizontal="left" vertical="center"/>
    </xf>
    <xf numFmtId="0" fontId="39" fillId="11" borderId="67" xfId="73" quotePrefix="1" applyFont="1" applyFill="1" applyBorder="1" applyAlignment="1">
      <alignment horizontal="right" vertical="center"/>
    </xf>
    <xf numFmtId="0" fontId="39" fillId="11" borderId="2" xfId="73" applyFont="1" applyFill="1" applyBorder="1" applyAlignment="1">
      <alignment horizontal="right" vertical="center"/>
    </xf>
    <xf numFmtId="0" fontId="39" fillId="11" borderId="2" xfId="73" applyFont="1" applyFill="1" applyBorder="1" applyAlignment="1">
      <alignment horizontal="right" vertical="top" wrapText="1"/>
    </xf>
    <xf numFmtId="0" fontId="39" fillId="11" borderId="2" xfId="73" applyFont="1" applyFill="1" applyBorder="1" applyAlignment="1">
      <alignment horizontal="right" vertical="center" wrapText="1"/>
    </xf>
    <xf numFmtId="0" fontId="39" fillId="11" borderId="117" xfId="73" applyFont="1" applyFill="1" applyBorder="1" applyAlignment="1">
      <alignment horizontal="right" vertical="center"/>
    </xf>
    <xf numFmtId="0" fontId="41" fillId="11" borderId="0" xfId="73" applyFont="1" applyFill="1"/>
    <xf numFmtId="0" fontId="0" fillId="11" borderId="67" xfId="73" quotePrefix="1" applyFont="1" applyFill="1" applyBorder="1" applyAlignment="1">
      <alignment horizontal="right" vertical="center"/>
    </xf>
    <xf numFmtId="0" fontId="0" fillId="11" borderId="2" xfId="73" quotePrefix="1" applyFont="1" applyFill="1" applyBorder="1" applyAlignment="1">
      <alignment horizontal="right" vertical="center"/>
    </xf>
    <xf numFmtId="0" fontId="39" fillId="11" borderId="2" xfId="73" quotePrefix="1" applyFont="1" applyFill="1" applyBorder="1" applyAlignment="1">
      <alignment horizontal="right" vertical="center"/>
    </xf>
    <xf numFmtId="0" fontId="0" fillId="11" borderId="7" xfId="73" quotePrefix="1" applyFont="1" applyFill="1" applyBorder="1" applyAlignment="1">
      <alignment horizontal="right" vertical="center"/>
    </xf>
    <xf numFmtId="0" fontId="45" fillId="11" borderId="0" xfId="11" applyFont="1" applyFill="1"/>
    <xf numFmtId="0" fontId="54" fillId="11" borderId="0" xfId="11" applyFont="1" applyFill="1"/>
    <xf numFmtId="0" fontId="80" fillId="11" borderId="0" xfId="22" applyFont="1" applyFill="1"/>
    <xf numFmtId="0" fontId="41" fillId="11" borderId="0" xfId="11" applyFont="1" applyFill="1"/>
    <xf numFmtId="0" fontId="41" fillId="11" borderId="0" xfId="11" applyFont="1" applyFill="1" applyAlignment="1">
      <alignment vertical="center"/>
    </xf>
    <xf numFmtId="0" fontId="57" fillId="11" borderId="0" xfId="11" applyFont="1" applyFill="1" applyAlignment="1">
      <alignment vertical="center"/>
    </xf>
    <xf numFmtId="0" fontId="53" fillId="11" borderId="0" xfId="11" applyFont="1" applyFill="1" applyAlignment="1">
      <alignment vertical="center"/>
    </xf>
    <xf numFmtId="0" fontId="52" fillId="11" borderId="0" xfId="11" applyFont="1" applyFill="1"/>
    <xf numFmtId="1" fontId="45" fillId="11" borderId="0" xfId="12" quotePrefix="1" applyNumberFormat="1" applyFont="1" applyFill="1" applyAlignment="1">
      <alignment horizontal="left" vertical="top"/>
    </xf>
    <xf numFmtId="0" fontId="45" fillId="11" borderId="0" xfId="11" applyFont="1" applyFill="1" applyAlignment="1">
      <alignment horizontal="left" vertical="top"/>
    </xf>
    <xf numFmtId="0" fontId="45" fillId="11" borderId="0" xfId="11" applyFont="1" applyFill="1" applyAlignment="1">
      <alignment horizontal="justify" vertical="center"/>
    </xf>
    <xf numFmtId="0" fontId="39" fillId="11" borderId="0" xfId="11" applyFont="1" applyFill="1"/>
    <xf numFmtId="0" fontId="45" fillId="11" borderId="0" xfId="11" applyFont="1" applyFill="1" applyAlignment="1">
      <alignment vertical="top"/>
    </xf>
    <xf numFmtId="0" fontId="68" fillId="11" borderId="0" xfId="57" applyFont="1" applyFill="1" applyAlignment="1">
      <alignment vertical="center"/>
    </xf>
    <xf numFmtId="0" fontId="0" fillId="11" borderId="0" xfId="73" applyFont="1" applyFill="1"/>
    <xf numFmtId="0" fontId="68" fillId="11" borderId="0" xfId="22" applyFont="1" applyFill="1" applyAlignment="1">
      <alignment vertical="center"/>
    </xf>
    <xf numFmtId="0" fontId="61" fillId="11" borderId="0" xfId="22" applyFont="1" applyFill="1"/>
    <xf numFmtId="0" fontId="41" fillId="11" borderId="0" xfId="22" applyFont="1" applyFill="1"/>
    <xf numFmtId="0" fontId="45" fillId="11" borderId="0" xfId="22" applyFont="1" applyFill="1" applyAlignment="1">
      <alignment vertical="center"/>
    </xf>
    <xf numFmtId="0" fontId="52" fillId="11" borderId="0" xfId="22" applyFont="1" applyFill="1" applyAlignment="1">
      <alignment vertical="top"/>
    </xf>
    <xf numFmtId="0" fontId="52" fillId="11" borderId="0" xfId="22" applyFont="1" applyFill="1" applyAlignment="1">
      <alignment vertical="top" wrapText="1"/>
    </xf>
    <xf numFmtId="0" fontId="52" fillId="11" borderId="0" xfId="22" applyFont="1" applyFill="1"/>
    <xf numFmtId="0" fontId="45" fillId="11" borderId="0" xfId="22" quotePrefix="1" applyFont="1" applyFill="1" applyAlignment="1">
      <alignment horizontal="right" vertical="top"/>
    </xf>
    <xf numFmtId="0" fontId="41" fillId="11" borderId="0" xfId="22" applyFont="1" applyFill="1" applyAlignment="1">
      <alignment horizontal="left" vertical="center"/>
    </xf>
    <xf numFmtId="0" fontId="41" fillId="11" borderId="0" xfId="22" applyFont="1" applyFill="1" applyAlignment="1">
      <alignment horizontal="left" vertical="center" wrapText="1"/>
    </xf>
    <xf numFmtId="0" fontId="41" fillId="11" borderId="0" xfId="22" applyFont="1" applyFill="1" applyAlignment="1">
      <alignment vertical="center" wrapText="1"/>
    </xf>
    <xf numFmtId="0" fontId="48" fillId="11" borderId="0" xfId="22" applyFont="1" applyFill="1" applyAlignment="1">
      <alignment vertical="center" wrapText="1"/>
    </xf>
    <xf numFmtId="0" fontId="45" fillId="11" borderId="0" xfId="73" quotePrefix="1" applyFont="1" applyFill="1" applyAlignment="1">
      <alignment horizontal="right" vertical="top"/>
    </xf>
    <xf numFmtId="0" fontId="41" fillId="11" borderId="0" xfId="73" applyFont="1" applyFill="1" applyAlignment="1">
      <alignment vertical="center" wrapText="1"/>
    </xf>
    <xf numFmtId="0" fontId="0" fillId="11" borderId="0" xfId="73" applyFont="1" applyFill="1" applyAlignment="1">
      <alignment vertical="top"/>
    </xf>
    <xf numFmtId="0" fontId="45" fillId="11" borderId="0" xfId="11" applyFont="1" applyFill="1" applyAlignment="1">
      <alignment vertical="top" wrapText="1"/>
    </xf>
    <xf numFmtId="0" fontId="52" fillId="11" borderId="0" xfId="22" applyFont="1" applyFill="1" applyAlignment="1">
      <alignment horizontal="left" vertical="center"/>
    </xf>
    <xf numFmtId="0" fontId="39" fillId="11" borderId="0" xfId="22" applyFill="1" applyAlignment="1">
      <alignment vertical="top"/>
    </xf>
    <xf numFmtId="0" fontId="52" fillId="11" borderId="0" xfId="22" applyFont="1" applyFill="1" applyAlignment="1">
      <alignment vertical="center"/>
    </xf>
    <xf numFmtId="0" fontId="63" fillId="11" borderId="0" xfId="58" applyFont="1" applyFill="1" applyAlignment="1">
      <alignment vertical="center"/>
    </xf>
    <xf numFmtId="0" fontId="39" fillId="11" borderId="0" xfId="58" applyFont="1" applyFill="1" applyAlignment="1">
      <alignment horizontal="center" vertical="center"/>
    </xf>
    <xf numFmtId="0" fontId="39" fillId="11" borderId="0" xfId="58" applyFont="1" applyFill="1" applyAlignment="1">
      <alignment vertical="center"/>
    </xf>
    <xf numFmtId="0" fontId="53" fillId="11" borderId="0" xfId="15" applyFont="1" applyFill="1" applyAlignment="1">
      <alignment vertical="center"/>
    </xf>
    <xf numFmtId="0" fontId="52" fillId="11" borderId="0" xfId="0" applyFont="1" applyFill="1" applyAlignment="1">
      <alignment vertical="center"/>
    </xf>
    <xf numFmtId="0" fontId="53" fillId="11" borderId="0" xfId="0" applyFont="1" applyFill="1" applyAlignment="1">
      <alignment vertical="center"/>
    </xf>
    <xf numFmtId="0" fontId="110" fillId="11" borderId="26" xfId="15" applyFont="1" applyFill="1" applyBorder="1" applyAlignment="1">
      <alignment horizontal="center" vertical="top"/>
    </xf>
    <xf numFmtId="0" fontId="47" fillId="11" borderId="0" xfId="15" applyFont="1" applyFill="1" applyAlignment="1">
      <alignment vertical="center"/>
    </xf>
    <xf numFmtId="0" fontId="52" fillId="11" borderId="27" xfId="15" applyFont="1" applyFill="1" applyBorder="1" applyAlignment="1">
      <alignment horizontal="center"/>
    </xf>
    <xf numFmtId="0" fontId="52" fillId="11" borderId="0" xfId="58" applyFont="1" applyFill="1" applyAlignment="1">
      <alignment vertical="center"/>
    </xf>
    <xf numFmtId="0" fontId="97" fillId="11" borderId="0" xfId="58" applyFont="1" applyFill="1" applyAlignment="1">
      <alignment horizontal="center" vertical="center"/>
    </xf>
    <xf numFmtId="0" fontId="45" fillId="11" borderId="0" xfId="83" applyFont="1" applyFill="1" applyAlignment="1">
      <alignment horizontal="right" vertical="center"/>
    </xf>
    <xf numFmtId="0" fontId="72" fillId="11" borderId="0" xfId="83" applyFont="1" applyFill="1" applyAlignment="1">
      <alignment horizontal="left" vertical="center"/>
    </xf>
    <xf numFmtId="0" fontId="73" fillId="11" borderId="0" xfId="83" applyFont="1" applyFill="1" applyAlignment="1">
      <alignment vertical="center"/>
    </xf>
    <xf numFmtId="0" fontId="52" fillId="11" borderId="0" xfId="58" applyFont="1" applyFill="1" applyAlignment="1">
      <alignment horizontal="center" vertical="center"/>
    </xf>
    <xf numFmtId="0" fontId="45" fillId="11" borderId="0" xfId="83" applyFont="1" applyFill="1" applyAlignment="1">
      <alignment vertical="top" wrapText="1"/>
    </xf>
    <xf numFmtId="0" fontId="72" fillId="11" borderId="0" xfId="83" applyFont="1" applyFill="1" applyAlignment="1">
      <alignment vertical="center" wrapText="1"/>
    </xf>
    <xf numFmtId="0" fontId="41" fillId="11" borderId="0" xfId="58" applyFont="1" applyFill="1" applyAlignment="1">
      <alignment horizontal="center" vertical="center" wrapText="1"/>
    </xf>
    <xf numFmtId="0" fontId="53" fillId="11" borderId="0" xfId="58" applyFont="1" applyFill="1" applyAlignment="1">
      <alignment vertical="center"/>
    </xf>
    <xf numFmtId="0" fontId="63" fillId="11" borderId="0" xfId="57" applyFont="1" applyFill="1"/>
    <xf numFmtId="0" fontId="41" fillId="11" borderId="0" xfId="58" applyFont="1" applyFill="1" applyAlignment="1">
      <alignment horizontal="center" vertical="center"/>
    </xf>
    <xf numFmtId="0" fontId="52" fillId="11" borderId="0" xfId="58" applyFont="1" applyFill="1"/>
    <xf numFmtId="0" fontId="41" fillId="11" borderId="0" xfId="58" applyFont="1" applyFill="1" applyAlignment="1">
      <alignment wrapText="1"/>
    </xf>
    <xf numFmtId="0" fontId="39" fillId="11" borderId="0" xfId="58" applyFont="1" applyFill="1" applyAlignment="1">
      <alignment horizontal="center"/>
    </xf>
    <xf numFmtId="0" fontId="41" fillId="11" borderId="0" xfId="58" applyFont="1" applyFill="1" applyAlignment="1">
      <alignment horizontal="left" wrapText="1"/>
    </xf>
    <xf numFmtId="0" fontId="52" fillId="11" borderId="0" xfId="57" applyFont="1" applyFill="1" applyAlignment="1">
      <alignment horizontal="center"/>
    </xf>
    <xf numFmtId="0" fontId="52" fillId="11" borderId="0" xfId="57" applyFont="1" applyFill="1"/>
    <xf numFmtId="0" fontId="72" fillId="11" borderId="0" xfId="83" applyFont="1" applyFill="1" applyAlignment="1">
      <alignment vertical="center"/>
    </xf>
    <xf numFmtId="0" fontId="63" fillId="11" borderId="0" xfId="57" applyFont="1" applyFill="1" applyAlignment="1">
      <alignment vertical="center"/>
    </xf>
    <xf numFmtId="0" fontId="68" fillId="11" borderId="0" xfId="0" applyFont="1" applyFill="1"/>
    <xf numFmtId="0" fontId="68" fillId="11" borderId="0" xfId="0" applyFont="1" applyFill="1" applyAlignment="1">
      <alignment vertical="center"/>
    </xf>
    <xf numFmtId="0" fontId="68" fillId="11" borderId="8" xfId="0" applyFont="1" applyFill="1" applyBorder="1"/>
    <xf numFmtId="0" fontId="68" fillId="11" borderId="8" xfId="0" applyFont="1" applyFill="1" applyBorder="1" applyAlignment="1">
      <alignment vertical="center"/>
    </xf>
    <xf numFmtId="0" fontId="45" fillId="11" borderId="0" xfId="64" applyFont="1" applyFill="1"/>
    <xf numFmtId="0" fontId="53" fillId="11" borderId="0" xfId="64" applyFont="1" applyFill="1"/>
    <xf numFmtId="0" fontId="44" fillId="11" borderId="0" xfId="64" applyFont="1" applyFill="1"/>
    <xf numFmtId="0" fontId="88" fillId="11" borderId="0" xfId="64" applyFont="1" applyFill="1"/>
    <xf numFmtId="0" fontId="44" fillId="11" borderId="0" xfId="64" applyFont="1" applyFill="1" applyAlignment="1">
      <alignment vertical="center"/>
    </xf>
    <xf numFmtId="0" fontId="88" fillId="11" borderId="0" xfId="64" applyFont="1" applyFill="1" applyAlignment="1">
      <alignment vertical="center"/>
    </xf>
    <xf numFmtId="0" fontId="39" fillId="11" borderId="0" xfId="64" applyFont="1" applyFill="1" applyAlignment="1">
      <alignment horizontal="left" vertical="center"/>
    </xf>
    <xf numFmtId="0" fontId="44" fillId="11" borderId="0" xfId="64" applyFont="1" applyFill="1" applyAlignment="1">
      <alignment horizontal="left" vertical="center" wrapText="1"/>
    </xf>
    <xf numFmtId="0" fontId="44" fillId="11" borderId="0" xfId="64" applyFont="1" applyFill="1" applyAlignment="1">
      <alignment horizontal="left" vertical="center"/>
    </xf>
    <xf numFmtId="0" fontId="88" fillId="11" borderId="0" xfId="64" applyFont="1" applyFill="1" applyAlignment="1">
      <alignment horizontal="left" vertical="center"/>
    </xf>
    <xf numFmtId="0" fontId="39" fillId="11" borderId="0" xfId="64" applyFont="1" applyFill="1" applyAlignment="1">
      <alignment vertical="center"/>
    </xf>
    <xf numFmtId="0" fontId="39" fillId="11" borderId="0" xfId="64" applyFont="1" applyFill="1" applyAlignment="1">
      <alignment vertical="center" wrapText="1"/>
    </xf>
    <xf numFmtId="0" fontId="88" fillId="11" borderId="0" xfId="64" applyFont="1" applyFill="1" applyAlignment="1">
      <alignment horizontal="center" vertical="center"/>
    </xf>
    <xf numFmtId="0" fontId="49" fillId="11" borderId="0" xfId="64" applyFont="1" applyFill="1" applyAlignment="1">
      <alignment horizontal="center" vertical="center" wrapText="1"/>
    </xf>
    <xf numFmtId="0" fontId="41" fillId="11" borderId="0" xfId="0" applyFont="1" applyFill="1" applyAlignment="1">
      <alignment vertical="center"/>
    </xf>
    <xf numFmtId="0" fontId="41" fillId="11" borderId="0" xfId="64" applyFont="1" applyFill="1" applyAlignment="1">
      <alignment horizontal="left" vertical="center"/>
    </xf>
    <xf numFmtId="0" fontId="43" fillId="11" borderId="0" xfId="64" applyFont="1" applyFill="1" applyAlignment="1">
      <alignment horizontal="left" vertical="center"/>
    </xf>
    <xf numFmtId="0" fontId="45" fillId="11" borderId="0" xfId="64" applyFont="1" applyFill="1" applyAlignment="1">
      <alignment horizontal="left"/>
    </xf>
    <xf numFmtId="0" fontId="48" fillId="11" borderId="0" xfId="21" applyFont="1" applyFill="1" applyAlignment="1">
      <alignment vertical="center"/>
    </xf>
    <xf numFmtId="0" fontId="52" fillId="11" borderId="0" xfId="0" applyFont="1" applyFill="1" applyAlignment="1">
      <alignment horizontal="center" vertical="center"/>
    </xf>
    <xf numFmtId="0" fontId="110" fillId="11" borderId="0" xfId="15" applyFont="1" applyFill="1" applyAlignment="1">
      <alignment horizontal="center" vertical="center"/>
    </xf>
    <xf numFmtId="0" fontId="39" fillId="11" borderId="0" xfId="57" applyFont="1" applyFill="1" applyAlignment="1">
      <alignment horizontal="left"/>
    </xf>
    <xf numFmtId="0" fontId="64" fillId="11" borderId="0" xfId="57" applyFont="1" applyFill="1"/>
    <xf numFmtId="0" fontId="64" fillId="11" borderId="0" xfId="57" applyFont="1" applyFill="1" applyAlignment="1">
      <alignment vertical="center"/>
    </xf>
    <xf numFmtId="0" fontId="39" fillId="11" borderId="0" xfId="57" applyFont="1" applyFill="1" applyAlignment="1">
      <alignment horizontal="left" vertical="center"/>
    </xf>
    <xf numFmtId="0" fontId="39" fillId="11" borderId="0" xfId="57" applyFont="1" applyFill="1" applyAlignment="1">
      <alignment vertical="center"/>
    </xf>
    <xf numFmtId="0" fontId="39" fillId="11" borderId="0" xfId="21" applyFill="1" applyAlignment="1">
      <alignment horizontal="center" vertical="center"/>
    </xf>
    <xf numFmtId="0" fontId="90" fillId="11" borderId="0" xfId="21" applyFont="1" applyFill="1" applyAlignment="1">
      <alignment horizontal="left" vertical="center"/>
    </xf>
    <xf numFmtId="0" fontId="53" fillId="11" borderId="0" xfId="22" applyFont="1" applyFill="1" applyAlignment="1">
      <alignment vertical="center"/>
    </xf>
    <xf numFmtId="0" fontId="52" fillId="11" borderId="0" xfId="57" applyFont="1" applyFill="1" applyAlignment="1">
      <alignment vertical="center"/>
    </xf>
    <xf numFmtId="0" fontId="68" fillId="11" borderId="0" xfId="57" applyFont="1" applyFill="1"/>
    <xf numFmtId="0" fontId="68" fillId="11" borderId="0" xfId="57" applyFont="1" applyFill="1" applyAlignment="1">
      <alignment horizontal="left" vertical="center" wrapText="1"/>
    </xf>
    <xf numFmtId="0" fontId="99" fillId="11" borderId="8" xfId="57" applyFont="1" applyFill="1" applyBorder="1" applyAlignment="1">
      <alignment vertical="center"/>
    </xf>
    <xf numFmtId="0" fontId="102" fillId="11" borderId="8" xfId="57" applyFont="1" applyFill="1" applyBorder="1" applyAlignment="1">
      <alignment vertical="center"/>
    </xf>
    <xf numFmtId="0" fontId="94" fillId="11" borderId="0" xfId="0" applyFont="1" applyFill="1" applyAlignment="1">
      <alignment vertical="center"/>
    </xf>
    <xf numFmtId="0" fontId="45" fillId="11" borderId="0" xfId="11" applyFont="1" applyFill="1" applyAlignment="1">
      <alignment wrapText="1"/>
    </xf>
    <xf numFmtId="0" fontId="47" fillId="11" borderId="0" xfId="0" applyFont="1" applyFill="1" applyAlignment="1">
      <alignment vertical="center"/>
    </xf>
    <xf numFmtId="1" fontId="45" fillId="11" borderId="0" xfId="12" quotePrefix="1" applyNumberFormat="1" applyFont="1" applyFill="1" applyAlignment="1">
      <alignment horizontal="right" vertical="top"/>
    </xf>
    <xf numFmtId="0" fontId="53" fillId="11" borderId="0" xfId="11" applyFont="1" applyFill="1" applyAlignment="1">
      <alignment horizontal="left" vertical="top"/>
    </xf>
    <xf numFmtId="1" fontId="45" fillId="11" borderId="0" xfId="12" quotePrefix="1" applyNumberFormat="1" applyFont="1" applyFill="1" applyAlignment="1">
      <alignment vertical="top"/>
    </xf>
    <xf numFmtId="0" fontId="41" fillId="11" borderId="67" xfId="22" applyFont="1" applyFill="1" applyBorder="1" applyAlignment="1">
      <alignment vertical="center"/>
    </xf>
    <xf numFmtId="0" fontId="44" fillId="11" borderId="0" xfId="11" applyFill="1"/>
    <xf numFmtId="0" fontId="160" fillId="11" borderId="0" xfId="22" applyFont="1" applyFill="1" applyAlignment="1">
      <alignment vertical="top"/>
    </xf>
    <xf numFmtId="0" fontId="53" fillId="11" borderId="0" xfId="15" applyFont="1" applyFill="1" applyAlignment="1">
      <alignment horizontal="left"/>
    </xf>
    <xf numFmtId="0" fontId="83" fillId="11" borderId="0" xfId="22" applyFont="1" applyFill="1"/>
    <xf numFmtId="0" fontId="53" fillId="11" borderId="0" xfId="11" quotePrefix="1" applyFont="1" applyFill="1" applyAlignment="1">
      <alignment horizontal="right" vertical="top"/>
    </xf>
    <xf numFmtId="0" fontId="53" fillId="11" borderId="0" xfId="11" applyFont="1" applyFill="1" applyAlignment="1">
      <alignment vertical="top" wrapText="1"/>
    </xf>
    <xf numFmtId="0" fontId="53" fillId="11" borderId="0" xfId="11" applyFont="1" applyFill="1" applyAlignment="1">
      <alignment vertical="center" wrapText="1"/>
    </xf>
    <xf numFmtId="0" fontId="72" fillId="11" borderId="0" xfId="12" applyFont="1" applyFill="1" applyAlignment="1">
      <alignment vertical="center"/>
    </xf>
    <xf numFmtId="0" fontId="48" fillId="11" borderId="0" xfId="11" applyFont="1" applyFill="1" applyAlignment="1">
      <alignment horizontal="center" vertical="top"/>
    </xf>
    <xf numFmtId="0" fontId="43" fillId="11" borderId="0" xfId="11" applyFont="1" applyFill="1"/>
    <xf numFmtId="0" fontId="53" fillId="11" borderId="0" xfId="22" applyFont="1" applyFill="1" applyAlignment="1">
      <alignment horizontal="left" vertical="center"/>
    </xf>
    <xf numFmtId="0" fontId="48" fillId="11" borderId="0" xfId="22" applyFont="1" applyFill="1" applyAlignment="1">
      <alignment horizontal="left" vertical="center"/>
    </xf>
    <xf numFmtId="0" fontId="48" fillId="11" borderId="0" xfId="22" applyFont="1" applyFill="1" applyAlignment="1">
      <alignment vertical="center"/>
    </xf>
    <xf numFmtId="0" fontId="39" fillId="11" borderId="17" xfId="22" applyFill="1" applyBorder="1" applyAlignment="1">
      <alignment horizontal="left" vertical="center"/>
    </xf>
    <xf numFmtId="0" fontId="39" fillId="11" borderId="7" xfId="22" applyFill="1" applyBorder="1" applyAlignment="1">
      <alignment horizontal="left" vertical="center"/>
    </xf>
    <xf numFmtId="0" fontId="53" fillId="11" borderId="0" xfId="11" applyFont="1" applyFill="1" applyAlignment="1">
      <alignment vertical="top"/>
    </xf>
    <xf numFmtId="0" fontId="52" fillId="11" borderId="0" xfId="11" applyFont="1" applyFill="1" applyAlignment="1">
      <alignment vertical="center"/>
    </xf>
    <xf numFmtId="0" fontId="48" fillId="11" borderId="0" xfId="11" applyFont="1" applyFill="1" applyAlignment="1">
      <alignment horizontal="right" vertical="top"/>
    </xf>
    <xf numFmtId="0" fontId="53" fillId="11" borderId="0" xfId="11" applyFont="1" applyFill="1" applyAlignment="1">
      <alignment horizontal="right" vertical="center"/>
    </xf>
    <xf numFmtId="0" fontId="48" fillId="11" borderId="0" xfId="11" applyFont="1" applyFill="1" applyAlignment="1">
      <alignment horizontal="left"/>
    </xf>
    <xf numFmtId="0" fontId="53" fillId="11" borderId="0" xfId="22" applyFont="1" applyFill="1" applyAlignment="1">
      <alignment horizontal="left" shrinkToFit="1"/>
    </xf>
    <xf numFmtId="0" fontId="48" fillId="11" borderId="0" xfId="22" applyFont="1" applyFill="1"/>
    <xf numFmtId="0" fontId="53" fillId="11" borderId="0" xfId="22" applyFont="1" applyFill="1" applyAlignment="1">
      <alignment vertical="center" textRotation="180" wrapText="1"/>
    </xf>
    <xf numFmtId="0" fontId="53" fillId="11" borderId="0" xfId="21" applyFont="1" applyFill="1"/>
    <xf numFmtId="0" fontId="52" fillId="11" borderId="0" xfId="21" applyFont="1" applyFill="1"/>
    <xf numFmtId="0" fontId="160" fillId="11" borderId="0" xfId="22" applyFont="1" applyFill="1" applyAlignment="1">
      <alignment vertical="center"/>
    </xf>
    <xf numFmtId="0" fontId="39" fillId="11" borderId="96" xfId="22" applyFill="1" applyBorder="1" applyAlignment="1">
      <alignment horizontal="left" vertical="center"/>
    </xf>
    <xf numFmtId="0" fontId="68" fillId="11" borderId="0" xfId="22" applyFont="1" applyFill="1" applyAlignment="1">
      <alignment horizontal="left" vertical="center"/>
    </xf>
    <xf numFmtId="0" fontId="41" fillId="11" borderId="0" xfId="22" applyFont="1" applyFill="1" applyAlignment="1">
      <alignment horizontal="center" vertical="center" shrinkToFit="1"/>
    </xf>
    <xf numFmtId="170" fontId="41" fillId="11" borderId="0" xfId="1" applyNumberFormat="1" applyFont="1" applyFill="1" applyBorder="1" applyAlignment="1">
      <alignment horizontal="center" vertical="center"/>
    </xf>
    <xf numFmtId="0" fontId="44" fillId="11" borderId="0" xfId="11" applyFill="1" applyAlignment="1">
      <alignment vertical="center"/>
    </xf>
    <xf numFmtId="0" fontId="42" fillId="11" borderId="0" xfId="11" applyFont="1" applyFill="1" applyAlignment="1">
      <alignment vertical="center"/>
    </xf>
    <xf numFmtId="0" fontId="72" fillId="11" borderId="0" xfId="11" applyFont="1" applyFill="1" applyAlignment="1">
      <alignment vertical="center"/>
    </xf>
    <xf numFmtId="0" fontId="73" fillId="11" borderId="0" xfId="22" applyFont="1" applyFill="1"/>
    <xf numFmtId="0" fontId="44" fillId="11" borderId="0" xfId="0" applyFont="1" applyFill="1"/>
    <xf numFmtId="0" fontId="39" fillId="11" borderId="3" xfId="22" applyFill="1" applyBorder="1" applyAlignment="1">
      <alignment vertical="center"/>
    </xf>
    <xf numFmtId="0" fontId="73" fillId="11" borderId="84" xfId="22" applyFont="1" applyFill="1" applyBorder="1" applyAlignment="1">
      <alignment vertical="center"/>
    </xf>
    <xf numFmtId="0" fontId="73" fillId="11" borderId="103" xfId="22" applyFont="1" applyFill="1" applyBorder="1" applyAlignment="1">
      <alignment vertical="center"/>
    </xf>
    <xf numFmtId="0" fontId="39" fillId="11" borderId="2" xfId="22" applyFill="1" applyBorder="1" applyAlignment="1">
      <alignment vertical="center"/>
    </xf>
    <xf numFmtId="0" fontId="73" fillId="11" borderId="58" xfId="22" applyFont="1" applyFill="1" applyBorder="1" applyAlignment="1">
      <alignment vertical="center"/>
    </xf>
    <xf numFmtId="0" fontId="73" fillId="11" borderId="55" xfId="22" applyFont="1" applyFill="1" applyBorder="1" applyAlignment="1">
      <alignment vertical="center"/>
    </xf>
    <xf numFmtId="0" fontId="39" fillId="11" borderId="67" xfId="22" applyFill="1" applyBorder="1" applyAlignment="1">
      <alignment vertical="center"/>
    </xf>
    <xf numFmtId="0" fontId="73" fillId="11" borderId="0" xfId="22" applyFont="1" applyFill="1" applyAlignment="1">
      <alignment vertical="center"/>
    </xf>
    <xf numFmtId="0" fontId="73" fillId="11" borderId="38" xfId="22" applyFont="1" applyFill="1" applyBorder="1" applyAlignment="1">
      <alignment vertical="center"/>
    </xf>
    <xf numFmtId="0" fontId="39" fillId="11" borderId="87" xfId="22" applyFill="1" applyBorder="1" applyAlignment="1">
      <alignment vertical="center"/>
    </xf>
    <xf numFmtId="0" fontId="73" fillId="11" borderId="85" xfId="22" applyFont="1" applyFill="1" applyBorder="1" applyAlignment="1">
      <alignment vertical="center"/>
    </xf>
    <xf numFmtId="0" fontId="73" fillId="11" borderId="86" xfId="22" applyFont="1" applyFill="1" applyBorder="1" applyAlignment="1">
      <alignment vertical="center"/>
    </xf>
    <xf numFmtId="0" fontId="39" fillId="11" borderId="108" xfId="22" applyFill="1" applyBorder="1" applyAlignment="1">
      <alignment vertical="center"/>
    </xf>
    <xf numFmtId="0" fontId="73" fillId="11" borderId="109" xfId="22" applyFont="1" applyFill="1" applyBorder="1" applyAlignment="1">
      <alignment vertical="center"/>
    </xf>
    <xf numFmtId="0" fontId="73" fillId="11" borderId="110" xfId="22" applyFont="1" applyFill="1" applyBorder="1" applyAlignment="1">
      <alignment vertical="center"/>
    </xf>
    <xf numFmtId="0" fontId="39" fillId="11" borderId="77" xfId="22" applyFill="1" applyBorder="1" applyAlignment="1">
      <alignment vertical="center"/>
    </xf>
    <xf numFmtId="0" fontId="73" fillId="11" borderId="26" xfId="22" applyFont="1" applyFill="1" applyBorder="1" applyAlignment="1">
      <alignment vertical="center"/>
    </xf>
    <xf numFmtId="0" fontId="73" fillId="11" borderId="78" xfId="22" applyFont="1" applyFill="1" applyBorder="1" applyAlignment="1">
      <alignment vertical="center"/>
    </xf>
    <xf numFmtId="0" fontId="39" fillId="11" borderId="6" xfId="22" applyFill="1" applyBorder="1" applyAlignment="1">
      <alignment vertical="center"/>
    </xf>
    <xf numFmtId="0" fontId="73" fillId="11" borderId="27" xfId="22" applyFont="1" applyFill="1" applyBorder="1" applyAlignment="1">
      <alignment vertical="center"/>
    </xf>
    <xf numFmtId="0" fontId="73" fillId="11" borderId="33" xfId="22" applyFont="1" applyFill="1" applyBorder="1" applyAlignment="1">
      <alignment vertical="center"/>
    </xf>
    <xf numFmtId="0" fontId="81" fillId="11" borderId="6" xfId="22" quotePrefix="1" applyFont="1" applyFill="1" applyBorder="1" applyAlignment="1">
      <alignment vertical="center"/>
    </xf>
    <xf numFmtId="0" fontId="81" fillId="11" borderId="4" xfId="22" quotePrefix="1" applyFont="1" applyFill="1" applyBorder="1" applyAlignment="1">
      <alignment vertical="center"/>
    </xf>
    <xf numFmtId="0" fontId="73" fillId="11" borderId="5" xfId="22" applyFont="1" applyFill="1" applyBorder="1" applyAlignment="1">
      <alignment vertical="center"/>
    </xf>
    <xf numFmtId="0" fontId="73" fillId="11" borderId="28" xfId="22" applyFont="1" applyFill="1" applyBorder="1" applyAlignment="1">
      <alignment vertical="center"/>
    </xf>
    <xf numFmtId="0" fontId="81" fillId="11" borderId="39" xfId="22" quotePrefix="1" applyFont="1" applyFill="1" applyBorder="1" applyAlignment="1">
      <alignment vertical="center"/>
    </xf>
    <xf numFmtId="0" fontId="73" fillId="11" borderId="40" xfId="22" applyFont="1" applyFill="1" applyBorder="1" applyAlignment="1">
      <alignment vertical="center"/>
    </xf>
    <xf numFmtId="0" fontId="73" fillId="11" borderId="45" xfId="22" applyFont="1" applyFill="1" applyBorder="1" applyAlignment="1">
      <alignment vertical="center"/>
    </xf>
    <xf numFmtId="0" fontId="61" fillId="11" borderId="0" xfId="22" applyFont="1" applyFill="1" applyAlignment="1">
      <alignment vertical="center"/>
    </xf>
    <xf numFmtId="0" fontId="75" fillId="11" borderId="0" xfId="22" applyFont="1" applyFill="1"/>
    <xf numFmtId="0" fontId="41" fillId="11" borderId="0" xfId="0" applyFont="1" applyFill="1" applyAlignment="1">
      <alignment horizontal="center" vertical="center"/>
    </xf>
    <xf numFmtId="170" fontId="41" fillId="11" borderId="0" xfId="1" applyNumberFormat="1" applyFont="1" applyFill="1" applyBorder="1" applyAlignment="1">
      <alignment vertical="center"/>
    </xf>
    <xf numFmtId="170" fontId="160" fillId="11" borderId="0" xfId="1" applyNumberFormat="1" applyFont="1" applyFill="1" applyBorder="1" applyAlignment="1">
      <alignment horizontal="left" vertical="top"/>
    </xf>
    <xf numFmtId="0" fontId="45" fillId="11" borderId="0" xfId="11" quotePrefix="1" applyFont="1" applyFill="1" applyAlignment="1">
      <alignment horizontal="right" vertical="top"/>
    </xf>
    <xf numFmtId="0" fontId="45" fillId="11" borderId="0" xfId="0" applyFont="1" applyFill="1" applyAlignment="1">
      <alignment vertical="center" textRotation="180" wrapText="1"/>
    </xf>
    <xf numFmtId="0" fontId="72" fillId="11" borderId="0" xfId="11" applyFont="1" applyFill="1"/>
    <xf numFmtId="0" fontId="73" fillId="11" borderId="0" xfId="11" applyFont="1" applyFill="1"/>
    <xf numFmtId="0" fontId="72" fillId="11" borderId="0" xfId="11" quotePrefix="1" applyFont="1" applyFill="1" applyAlignment="1">
      <alignment horizontal="right"/>
    </xf>
    <xf numFmtId="0" fontId="72" fillId="11" borderId="0" xfId="0" applyFont="1" applyFill="1" applyAlignment="1">
      <alignment horizontal="left" shrinkToFit="1"/>
    </xf>
    <xf numFmtId="0" fontId="73" fillId="11" borderId="0" xfId="0" applyFont="1" applyFill="1"/>
    <xf numFmtId="0" fontId="68" fillId="11" borderId="0" xfId="11" quotePrefix="1" applyFont="1" applyFill="1" applyAlignment="1">
      <alignment horizontal="center" vertical="center"/>
    </xf>
    <xf numFmtId="0" fontId="73" fillId="11" borderId="0" xfId="0" applyFont="1" applyFill="1" applyAlignment="1">
      <alignment vertical="center"/>
    </xf>
    <xf numFmtId="0" fontId="72" fillId="11" borderId="0" xfId="11" quotePrefix="1" applyFont="1" applyFill="1" applyAlignment="1">
      <alignment horizontal="right" vertical="center"/>
    </xf>
    <xf numFmtId="0" fontId="72" fillId="11" borderId="0" xfId="0" applyFont="1" applyFill="1" applyAlignment="1">
      <alignment horizontal="left" vertical="center" shrinkToFit="1"/>
    </xf>
    <xf numFmtId="0" fontId="72" fillId="11" borderId="0" xfId="0" applyFont="1" applyFill="1" applyAlignment="1">
      <alignment vertical="center" textRotation="180" wrapText="1"/>
    </xf>
    <xf numFmtId="0" fontId="68" fillId="11" borderId="0" xfId="12" applyFont="1" applyFill="1" applyAlignment="1">
      <alignment horizontal="center" vertical="center"/>
    </xf>
    <xf numFmtId="0" fontId="72" fillId="11" borderId="0" xfId="0" quotePrefix="1" applyFont="1" applyFill="1" applyAlignment="1">
      <alignment horizontal="right" vertical="center"/>
    </xf>
    <xf numFmtId="0" fontId="68" fillId="11" borderId="0" xfId="12" applyFont="1" applyFill="1" applyAlignment="1">
      <alignment horizontal="center" vertical="top"/>
    </xf>
    <xf numFmtId="0" fontId="72" fillId="11" borderId="0" xfId="22" quotePrefix="1" applyFont="1" applyFill="1" applyAlignment="1">
      <alignment horizontal="right" vertical="center"/>
    </xf>
    <xf numFmtId="0" fontId="136" fillId="11" borderId="0" xfId="22" applyFont="1" applyFill="1"/>
    <xf numFmtId="0" fontId="54" fillId="11" borderId="0" xfId="0" applyFont="1" applyFill="1" applyAlignment="1">
      <alignment vertical="center"/>
    </xf>
    <xf numFmtId="0" fontId="73" fillId="11" borderId="4" xfId="0" applyFont="1" applyFill="1" applyBorder="1" applyAlignment="1">
      <alignment vertical="center"/>
    </xf>
    <xf numFmtId="0" fontId="73" fillId="11" borderId="5" xfId="0" applyFont="1" applyFill="1" applyBorder="1" applyAlignment="1">
      <alignment vertical="center"/>
    </xf>
    <xf numFmtId="0" fontId="72" fillId="11" borderId="5" xfId="0" applyFont="1" applyFill="1" applyBorder="1" applyAlignment="1">
      <alignment vertical="center"/>
    </xf>
    <xf numFmtId="0" fontId="84" fillId="11" borderId="5" xfId="0" applyFont="1" applyFill="1" applyBorder="1" applyAlignment="1">
      <alignment vertical="center"/>
    </xf>
    <xf numFmtId="0" fontId="73" fillId="11" borderId="28" xfId="0" applyFont="1" applyFill="1" applyBorder="1" applyAlignment="1">
      <alignment vertical="center"/>
    </xf>
    <xf numFmtId="0" fontId="68" fillId="11" borderId="28" xfId="0" quotePrefix="1" applyFont="1" applyFill="1" applyBorder="1" applyAlignment="1">
      <alignment horizontal="right" vertical="center"/>
    </xf>
    <xf numFmtId="0" fontId="39" fillId="11" borderId="4" xfId="0" applyFont="1" applyFill="1" applyBorder="1" applyAlignment="1">
      <alignment vertical="center"/>
    </xf>
    <xf numFmtId="0" fontId="39" fillId="11" borderId="38" xfId="0" applyFont="1" applyFill="1" applyBorder="1" applyAlignment="1">
      <alignment vertical="center"/>
    </xf>
    <xf numFmtId="0" fontId="73" fillId="11" borderId="77" xfId="0" applyFont="1" applyFill="1" applyBorder="1" applyAlignment="1">
      <alignment vertical="center"/>
    </xf>
    <xf numFmtId="0" fontId="73" fillId="11" borderId="26" xfId="0" applyFont="1" applyFill="1" applyBorder="1" applyAlignment="1">
      <alignment vertical="center"/>
    </xf>
    <xf numFmtId="0" fontId="73" fillId="11" borderId="78" xfId="0" quotePrefix="1" applyFont="1" applyFill="1" applyBorder="1" applyAlignment="1">
      <alignment horizontal="right" vertical="center"/>
    </xf>
    <xf numFmtId="0" fontId="39" fillId="11" borderId="77" xfId="0" applyFont="1" applyFill="1" applyBorder="1" applyAlignment="1">
      <alignment vertical="center"/>
    </xf>
    <xf numFmtId="0" fontId="72" fillId="11" borderId="17" xfId="0" applyFont="1" applyFill="1" applyBorder="1" applyAlignment="1">
      <alignment vertical="center"/>
    </xf>
    <xf numFmtId="0" fontId="68" fillId="11" borderId="10" xfId="0" applyFont="1" applyFill="1" applyBorder="1" applyAlignment="1">
      <alignment horizontal="center" vertical="center"/>
    </xf>
    <xf numFmtId="170" fontId="41" fillId="11" borderId="27" xfId="1" applyNumberFormat="1" applyFont="1" applyFill="1" applyBorder="1" applyAlignment="1">
      <alignment horizontal="center" vertical="center"/>
    </xf>
    <xf numFmtId="170" fontId="41" fillId="11" borderId="33" xfId="1" applyNumberFormat="1" applyFont="1" applyFill="1" applyBorder="1" applyAlignment="1">
      <alignment horizontal="center" vertical="center"/>
    </xf>
    <xf numFmtId="0" fontId="160" fillId="11" borderId="0" xfId="0" applyFont="1" applyFill="1" applyAlignment="1">
      <alignment vertical="center"/>
    </xf>
    <xf numFmtId="0" fontId="73" fillId="11" borderId="38" xfId="0" applyFont="1" applyFill="1" applyBorder="1" applyAlignment="1">
      <alignment vertical="center"/>
    </xf>
    <xf numFmtId="0" fontId="73" fillId="11" borderId="2" xfId="0" applyFont="1" applyFill="1" applyBorder="1" applyAlignment="1">
      <alignment vertical="center"/>
    </xf>
    <xf numFmtId="0" fontId="73" fillId="11" borderId="58" xfId="0" applyFont="1" applyFill="1" applyBorder="1" applyAlignment="1">
      <alignment vertical="center"/>
    </xf>
    <xf numFmtId="0" fontId="73" fillId="11" borderId="55" xfId="0" applyFont="1" applyFill="1" applyBorder="1" applyAlignment="1">
      <alignment vertical="center"/>
    </xf>
    <xf numFmtId="0" fontId="73" fillId="11" borderId="108" xfId="0" applyFont="1" applyFill="1" applyBorder="1" applyAlignment="1">
      <alignment vertical="center"/>
    </xf>
    <xf numFmtId="0" fontId="73" fillId="11" borderId="109" xfId="0" applyFont="1" applyFill="1" applyBorder="1" applyAlignment="1">
      <alignment vertical="center"/>
    </xf>
    <xf numFmtId="0" fontId="73" fillId="11" borderId="110" xfId="0" applyFont="1" applyFill="1" applyBorder="1" applyAlignment="1">
      <alignment vertical="center"/>
    </xf>
    <xf numFmtId="0" fontId="73" fillId="11" borderId="87" xfId="0" applyFont="1" applyFill="1" applyBorder="1" applyAlignment="1">
      <alignment vertical="center"/>
    </xf>
    <xf numFmtId="0" fontId="73" fillId="11" borderId="85" xfId="0" applyFont="1" applyFill="1" applyBorder="1" applyAlignment="1">
      <alignment vertical="center"/>
    </xf>
    <xf numFmtId="0" fontId="73" fillId="11" borderId="86" xfId="0" applyFont="1" applyFill="1" applyBorder="1" applyAlignment="1">
      <alignment vertical="center"/>
    </xf>
    <xf numFmtId="0" fontId="73" fillId="11" borderId="6" xfId="0" applyFont="1" applyFill="1" applyBorder="1" applyAlignment="1">
      <alignment vertical="center"/>
    </xf>
    <xf numFmtId="0" fontId="73" fillId="11" borderId="27" xfId="0" applyFont="1" applyFill="1" applyBorder="1" applyAlignment="1">
      <alignment vertical="center"/>
    </xf>
    <xf numFmtId="0" fontId="73" fillId="11" borderId="33" xfId="0" applyFont="1" applyFill="1" applyBorder="1" applyAlignment="1">
      <alignment vertical="center"/>
    </xf>
    <xf numFmtId="0" fontId="73" fillId="11" borderId="3" xfId="0" applyFont="1" applyFill="1" applyBorder="1" applyAlignment="1">
      <alignment vertical="center"/>
    </xf>
    <xf numFmtId="0" fontId="68" fillId="11" borderId="84" xfId="0" applyFont="1" applyFill="1" applyBorder="1" applyAlignment="1">
      <alignment vertical="center"/>
    </xf>
    <xf numFmtId="0" fontId="73" fillId="11" borderId="84" xfId="0" applyFont="1" applyFill="1" applyBorder="1" applyAlignment="1">
      <alignment vertical="center"/>
    </xf>
    <xf numFmtId="0" fontId="68" fillId="11" borderId="103" xfId="0" quotePrefix="1" applyFont="1" applyFill="1" applyBorder="1" applyAlignment="1">
      <alignment horizontal="right" vertical="center"/>
    </xf>
    <xf numFmtId="0" fontId="68" fillId="11" borderId="58" xfId="0" applyFont="1" applyFill="1" applyBorder="1" applyAlignment="1">
      <alignment vertical="center"/>
    </xf>
    <xf numFmtId="0" fontId="68" fillId="11" borderId="55" xfId="0" quotePrefix="1" applyFont="1" applyFill="1" applyBorder="1" applyAlignment="1">
      <alignment horizontal="right" vertical="center"/>
    </xf>
    <xf numFmtId="0" fontId="73" fillId="11" borderId="117" xfId="0" applyFont="1" applyFill="1" applyBorder="1" applyAlignment="1">
      <alignment vertical="center"/>
    </xf>
    <xf numFmtId="0" fontId="68" fillId="11" borderId="27" xfId="0" applyFont="1" applyFill="1" applyBorder="1" applyAlignment="1">
      <alignment vertical="center"/>
    </xf>
    <xf numFmtId="0" fontId="68" fillId="11" borderId="33" xfId="0" quotePrefix="1" applyFont="1" applyFill="1" applyBorder="1" applyAlignment="1">
      <alignment horizontal="right" vertical="center"/>
    </xf>
    <xf numFmtId="0" fontId="45" fillId="11" borderId="0" xfId="0" applyFont="1" applyFill="1"/>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45" fillId="11" borderId="10" xfId="0" applyFont="1" applyFill="1" applyBorder="1" applyAlignment="1">
      <alignment vertical="center"/>
    </xf>
    <xf numFmtId="0" fontId="54" fillId="11" borderId="10" xfId="0" applyFont="1" applyFill="1" applyBorder="1" applyAlignment="1">
      <alignment vertical="center"/>
    </xf>
    <xf numFmtId="0" fontId="39" fillId="11" borderId="10" xfId="0" applyFont="1" applyFill="1" applyBorder="1" applyAlignment="1">
      <alignment vertical="center"/>
    </xf>
    <xf numFmtId="0" fontId="41" fillId="11" borderId="10" xfId="0" applyFont="1" applyFill="1" applyBorder="1" applyAlignment="1">
      <alignment vertical="center"/>
    </xf>
    <xf numFmtId="0" fontId="39" fillId="11" borderId="22" xfId="0" applyFont="1" applyFill="1" applyBorder="1" applyAlignment="1">
      <alignment vertical="center"/>
    </xf>
    <xf numFmtId="0" fontId="43" fillId="11" borderId="0" xfId="11" applyFont="1" applyFill="1" applyAlignment="1">
      <alignment horizontal="center" vertical="top"/>
    </xf>
    <xf numFmtId="0" fontId="48" fillId="11" borderId="0" xfId="21" applyFont="1" applyFill="1"/>
    <xf numFmtId="0" fontId="90" fillId="11" borderId="0" xfId="21" applyFont="1" applyFill="1" applyAlignment="1">
      <alignment horizontal="center"/>
    </xf>
    <xf numFmtId="0" fontId="39" fillId="11" borderId="83" xfId="22" applyFill="1" applyBorder="1" applyAlignment="1">
      <alignment vertical="center"/>
    </xf>
    <xf numFmtId="0" fontId="39" fillId="11" borderId="57" xfId="22" applyFill="1" applyBorder="1" applyAlignment="1">
      <alignment vertical="center"/>
    </xf>
    <xf numFmtId="170" fontId="39" fillId="11" borderId="56" xfId="1" applyNumberFormat="1" applyFont="1" applyFill="1" applyBorder="1" applyAlignment="1">
      <alignment vertical="center"/>
    </xf>
    <xf numFmtId="0" fontId="39" fillId="11" borderId="58" xfId="22" applyFill="1" applyBorder="1" applyAlignment="1">
      <alignment vertical="center"/>
    </xf>
    <xf numFmtId="170" fontId="39" fillId="11" borderId="55" xfId="1" applyNumberFormat="1" applyFont="1" applyFill="1" applyBorder="1" applyAlignment="1">
      <alignment vertical="center"/>
    </xf>
    <xf numFmtId="0" fontId="39" fillId="11" borderId="109" xfId="22" applyFill="1" applyBorder="1" applyAlignment="1">
      <alignment vertical="center"/>
    </xf>
    <xf numFmtId="170" fontId="39" fillId="11" borderId="110" xfId="1" applyNumberFormat="1" applyFont="1" applyFill="1" applyBorder="1" applyAlignment="1">
      <alignment vertical="center"/>
    </xf>
    <xf numFmtId="0" fontId="39" fillId="11" borderId="85" xfId="22" applyFill="1" applyBorder="1" applyAlignment="1">
      <alignment vertical="center"/>
    </xf>
    <xf numFmtId="170" fontId="39" fillId="11" borderId="86" xfId="1" applyNumberFormat="1" applyFont="1" applyFill="1" applyBorder="1" applyAlignment="1">
      <alignment vertical="center"/>
    </xf>
    <xf numFmtId="0" fontId="39" fillId="11" borderId="95" xfId="22" applyFill="1" applyBorder="1" applyAlignment="1">
      <alignment vertical="center"/>
    </xf>
    <xf numFmtId="0" fontId="39" fillId="11" borderId="99" xfId="22" applyFill="1" applyBorder="1" applyAlignment="1">
      <alignment vertical="center"/>
    </xf>
    <xf numFmtId="170" fontId="39" fillId="11" borderId="100" xfId="1" applyNumberFormat="1" applyFont="1" applyFill="1" applyBorder="1" applyAlignment="1">
      <alignment vertical="center"/>
    </xf>
    <xf numFmtId="0" fontId="78" fillId="11" borderId="0" xfId="0" applyFont="1" applyFill="1" applyAlignment="1">
      <alignment vertical="center" textRotation="180" wrapText="1"/>
    </xf>
    <xf numFmtId="170" fontId="39" fillId="11" borderId="0" xfId="1" applyNumberFormat="1" applyFont="1" applyFill="1" applyBorder="1" applyAlignment="1">
      <alignment vertical="center"/>
    </xf>
    <xf numFmtId="0" fontId="54" fillId="11" borderId="0" xfId="22" applyFont="1" applyFill="1" applyAlignment="1">
      <alignment vertical="center" textRotation="180" wrapText="1"/>
    </xf>
    <xf numFmtId="0" fontId="48" fillId="11" borderId="0" xfId="22" applyFont="1" applyFill="1" applyAlignment="1">
      <alignment horizontal="center" vertical="center" shrinkToFit="1"/>
    </xf>
    <xf numFmtId="170" fontId="48" fillId="11" borderId="0" xfId="1" applyNumberFormat="1" applyFont="1" applyFill="1" applyBorder="1" applyAlignment="1">
      <alignment vertical="center"/>
    </xf>
    <xf numFmtId="170" fontId="52" fillId="11" borderId="0" xfId="1" applyNumberFormat="1" applyFont="1" applyFill="1" applyBorder="1" applyAlignment="1">
      <alignment vertical="center"/>
    </xf>
    <xf numFmtId="0" fontId="57" fillId="11" borderId="0" xfId="22" applyFont="1" applyFill="1" applyAlignment="1">
      <alignment vertical="center" textRotation="180" wrapText="1"/>
    </xf>
    <xf numFmtId="0" fontId="53" fillId="11" borderId="0" xfId="11" applyFont="1" applyFill="1" applyAlignment="1">
      <alignment horizontal="left" vertical="center"/>
    </xf>
    <xf numFmtId="0" fontId="72" fillId="11" borderId="0" xfId="22" applyFont="1" applyFill="1" applyAlignment="1">
      <alignment horizontal="left" shrinkToFit="1"/>
    </xf>
    <xf numFmtId="0" fontId="68" fillId="11" borderId="0" xfId="22" applyFont="1" applyFill="1"/>
    <xf numFmtId="0" fontId="72" fillId="11" borderId="0" xfId="22" applyFont="1" applyFill="1" applyAlignment="1">
      <alignment vertical="center" textRotation="180" wrapText="1"/>
    </xf>
    <xf numFmtId="0" fontId="81" fillId="11" borderId="0" xfId="11" applyFont="1" applyFill="1"/>
    <xf numFmtId="0" fontId="61" fillId="11" borderId="0" xfId="11" applyFont="1" applyFill="1"/>
    <xf numFmtId="0" fontId="160" fillId="11" borderId="0" xfId="0" applyFont="1" applyFill="1" applyAlignment="1">
      <alignment vertical="top"/>
    </xf>
    <xf numFmtId="0" fontId="52" fillId="11" borderId="87" xfId="0" applyFont="1" applyFill="1" applyBorder="1" applyAlignment="1">
      <alignment vertical="center"/>
    </xf>
    <xf numFmtId="0" fontId="52" fillId="11" borderId="85" xfId="0" applyFont="1" applyFill="1" applyBorder="1" applyAlignment="1">
      <alignment vertical="center"/>
    </xf>
    <xf numFmtId="170" fontId="52" fillId="11" borderId="103" xfId="1" applyNumberFormat="1" applyFont="1" applyFill="1" applyBorder="1" applyAlignment="1">
      <alignment vertical="center"/>
    </xf>
    <xf numFmtId="0" fontId="52" fillId="11" borderId="2" xfId="0" applyFont="1" applyFill="1" applyBorder="1" applyAlignment="1">
      <alignment vertical="center"/>
    </xf>
    <xf numFmtId="0" fontId="52" fillId="11" borderId="58" xfId="0" applyFont="1" applyFill="1" applyBorder="1" applyAlignment="1">
      <alignment vertical="center"/>
    </xf>
    <xf numFmtId="170" fontId="52" fillId="11" borderId="55" xfId="1" applyNumberFormat="1" applyFont="1" applyFill="1" applyBorder="1" applyAlignment="1">
      <alignment vertical="center"/>
    </xf>
    <xf numFmtId="0" fontId="52" fillId="11" borderId="6" xfId="0" applyFont="1" applyFill="1" applyBorder="1" applyAlignment="1">
      <alignment vertical="center"/>
    </xf>
    <xf numFmtId="0" fontId="52" fillId="11" borderId="27" xfId="0" applyFont="1" applyFill="1" applyBorder="1" applyAlignment="1">
      <alignment vertical="center"/>
    </xf>
    <xf numFmtId="170" fontId="52" fillId="11" borderId="110" xfId="1" applyNumberFormat="1" applyFont="1" applyFill="1" applyBorder="1" applyAlignment="1">
      <alignment vertical="center"/>
    </xf>
    <xf numFmtId="0" fontId="52" fillId="11" borderId="3" xfId="0" applyFont="1" applyFill="1" applyBorder="1" applyAlignment="1">
      <alignment vertical="center"/>
    </xf>
    <xf numFmtId="0" fontId="52" fillId="11" borderId="84" xfId="0" applyFont="1" applyFill="1" applyBorder="1" applyAlignment="1">
      <alignment vertical="center"/>
    </xf>
    <xf numFmtId="170" fontId="52" fillId="11" borderId="116" xfId="1" applyNumberFormat="1" applyFont="1" applyFill="1" applyBorder="1" applyAlignment="1">
      <alignment vertical="center"/>
    </xf>
    <xf numFmtId="0" fontId="68" fillId="11" borderId="8" xfId="22" applyFont="1" applyFill="1" applyBorder="1" applyAlignment="1">
      <alignment horizontal="left" vertical="center"/>
    </xf>
    <xf numFmtId="0" fontId="48" fillId="11" borderId="8" xfId="22" applyFont="1" applyFill="1" applyBorder="1" applyAlignment="1">
      <alignment horizontal="left"/>
    </xf>
    <xf numFmtId="0" fontId="41" fillId="11" borderId="8" xfId="22" applyFont="1" applyFill="1" applyBorder="1" applyAlignment="1">
      <alignment horizontal="left"/>
    </xf>
    <xf numFmtId="0" fontId="41" fillId="11" borderId="8" xfId="22" applyFont="1" applyFill="1" applyBorder="1"/>
    <xf numFmtId="0" fontId="68" fillId="11" borderId="0" xfId="22" applyFont="1" applyFill="1" applyAlignment="1">
      <alignment horizontal="center"/>
    </xf>
    <xf numFmtId="0" fontId="68" fillId="11" borderId="0" xfId="22" applyFont="1" applyFill="1" applyAlignment="1">
      <alignment horizontal="centerContinuous"/>
    </xf>
    <xf numFmtId="0" fontId="48" fillId="11" borderId="0" xfId="0" applyFont="1" applyFill="1" applyAlignment="1">
      <alignment vertical="center" wrapText="1"/>
    </xf>
    <xf numFmtId="0" fontId="75" fillId="11" borderId="0" xfId="0" applyFont="1" applyFill="1"/>
    <xf numFmtId="0" fontId="112" fillId="11" borderId="0" xfId="0" applyFont="1" applyFill="1" applyAlignment="1">
      <alignment vertical="center" textRotation="180" wrapText="1"/>
    </xf>
    <xf numFmtId="0" fontId="39" fillId="11" borderId="0" xfId="22" applyFill="1" applyAlignment="1">
      <alignment horizontal="center" vertical="center" wrapText="1"/>
    </xf>
    <xf numFmtId="0" fontId="39" fillId="11" borderId="72" xfId="22" applyFill="1" applyBorder="1" applyAlignment="1">
      <alignment vertical="center"/>
    </xf>
    <xf numFmtId="0" fontId="39" fillId="11" borderId="72" xfId="22" applyFill="1" applyBorder="1" applyAlignment="1">
      <alignment vertical="center" wrapText="1"/>
    </xf>
    <xf numFmtId="0" fontId="53" fillId="11" borderId="0" xfId="12" applyFont="1" applyFill="1" applyAlignment="1">
      <alignment vertical="center"/>
    </xf>
    <xf numFmtId="0" fontId="45" fillId="11" borderId="0" xfId="11" quotePrefix="1" applyFont="1" applyFill="1" applyAlignment="1">
      <alignment horizontal="right"/>
    </xf>
    <xf numFmtId="0" fontId="45" fillId="11" borderId="0" xfId="12" applyFont="1" applyFill="1" applyAlignment="1">
      <alignment vertical="center"/>
    </xf>
    <xf numFmtId="0" fontId="39" fillId="11" borderId="0" xfId="11" applyFont="1" applyFill="1" applyAlignment="1">
      <alignment vertical="top" wrapText="1"/>
    </xf>
    <xf numFmtId="0" fontId="45" fillId="11" borderId="0" xfId="22" applyFont="1" applyFill="1"/>
    <xf numFmtId="0" fontId="39" fillId="11" borderId="0" xfId="11" applyFont="1" applyFill="1" applyAlignment="1">
      <alignment horizontal="left" vertical="top" wrapText="1"/>
    </xf>
    <xf numFmtId="0" fontId="45" fillId="11" borderId="0" xfId="11" applyFont="1" applyFill="1" applyAlignment="1">
      <alignment horizontal="justify"/>
    </xf>
    <xf numFmtId="0" fontId="55" fillId="11" borderId="0" xfId="11" applyFont="1" applyFill="1" applyAlignment="1">
      <alignment horizontal="left"/>
    </xf>
    <xf numFmtId="0" fontId="52" fillId="11" borderId="0" xfId="11" applyFont="1" applyFill="1" applyAlignment="1">
      <alignment horizontal="left" vertical="top" wrapText="1"/>
    </xf>
    <xf numFmtId="0" fontId="53" fillId="11" borderId="0" xfId="22" applyFont="1" applyFill="1"/>
    <xf numFmtId="0" fontId="39" fillId="11" borderId="0" xfId="22" applyFill="1" applyAlignment="1">
      <alignment vertical="center" wrapText="1"/>
    </xf>
    <xf numFmtId="0" fontId="43" fillId="11" borderId="0" xfId="22" applyFont="1" applyFill="1" applyAlignment="1">
      <alignment vertical="center"/>
    </xf>
    <xf numFmtId="0" fontId="44" fillId="11" borderId="0" xfId="22" applyFont="1" applyFill="1" applyAlignment="1">
      <alignment vertical="center"/>
    </xf>
    <xf numFmtId="0" fontId="48" fillId="11" borderId="0" xfId="11" applyFont="1" applyFill="1" applyAlignment="1">
      <alignment horizontal="center" vertical="center"/>
    </xf>
    <xf numFmtId="0" fontId="39" fillId="11" borderId="71" xfId="22" applyFill="1" applyBorder="1" applyAlignment="1">
      <alignment horizontal="center" vertical="center"/>
    </xf>
    <xf numFmtId="0" fontId="39" fillId="11" borderId="72" xfId="22" applyFill="1" applyBorder="1" applyAlignment="1">
      <alignment horizontal="left" vertical="center"/>
    </xf>
    <xf numFmtId="0" fontId="39" fillId="11" borderId="72" xfId="22" applyFill="1" applyBorder="1" applyAlignment="1">
      <alignment horizontal="center" vertical="center"/>
    </xf>
    <xf numFmtId="0" fontId="39" fillId="11" borderId="74" xfId="22" applyFill="1" applyBorder="1" applyAlignment="1">
      <alignment horizontal="center" vertical="center"/>
    </xf>
    <xf numFmtId="0" fontId="39" fillId="11" borderId="58" xfId="22" applyFill="1" applyBorder="1" applyAlignment="1">
      <alignment horizontal="left" vertical="center"/>
    </xf>
    <xf numFmtId="0" fontId="39" fillId="11" borderId="55" xfId="22" applyFill="1" applyBorder="1" applyAlignment="1">
      <alignment vertical="center"/>
    </xf>
    <xf numFmtId="0" fontId="39" fillId="11" borderId="0" xfId="11" applyFont="1" applyFill="1" applyAlignment="1">
      <alignment wrapText="1"/>
    </xf>
    <xf numFmtId="0" fontId="45" fillId="11" borderId="0" xfId="11" applyFont="1" applyFill="1" applyAlignment="1">
      <alignment horizontal="justify" vertical="top"/>
    </xf>
    <xf numFmtId="0" fontId="55" fillId="11" borderId="0" xfId="11" applyFont="1" applyFill="1"/>
    <xf numFmtId="0" fontId="52" fillId="11" borderId="0" xfId="12" applyFont="1" applyFill="1"/>
    <xf numFmtId="0" fontId="48" fillId="11" borderId="0" xfId="22" applyFont="1" applyFill="1" applyAlignment="1">
      <alignment horizontal="left" vertical="center" wrapText="1"/>
    </xf>
    <xf numFmtId="0" fontId="48" fillId="11" borderId="0" xfId="11" applyFont="1" applyFill="1"/>
    <xf numFmtId="0" fontId="41" fillId="11" borderId="0" xfId="22" applyFont="1" applyFill="1" applyAlignment="1">
      <alignment vertical="center" wrapText="1" shrinkToFit="1"/>
    </xf>
    <xf numFmtId="0" fontId="39" fillId="11" borderId="0" xfId="12" applyFont="1" applyFill="1"/>
    <xf numFmtId="0" fontId="41" fillId="11" borderId="0" xfId="22" applyFont="1" applyFill="1" applyAlignment="1">
      <alignment horizontal="center" vertical="center" wrapText="1" shrinkToFit="1"/>
    </xf>
    <xf numFmtId="0" fontId="39" fillId="11" borderId="86" xfId="22" applyFill="1" applyBorder="1" applyAlignment="1">
      <alignment vertical="center"/>
    </xf>
    <xf numFmtId="0" fontId="68" fillId="11" borderId="0" xfId="22" applyFont="1" applyFill="1" applyAlignment="1">
      <alignment horizontal="left" vertical="center" wrapText="1"/>
    </xf>
    <xf numFmtId="0" fontId="49" fillId="11" borderId="0" xfId="11" applyFont="1" applyFill="1"/>
    <xf numFmtId="0" fontId="41" fillId="11" borderId="0" xfId="22" applyFont="1" applyFill="1" applyAlignment="1">
      <alignment horizontal="center" vertical="center"/>
    </xf>
    <xf numFmtId="0" fontId="72" fillId="11" borderId="0" xfId="12" applyFont="1" applyFill="1"/>
    <xf numFmtId="0" fontId="45" fillId="11" borderId="0" xfId="12" quotePrefix="1" applyFont="1" applyFill="1" applyAlignment="1">
      <alignment horizontal="right" vertical="top"/>
    </xf>
    <xf numFmtId="0" fontId="45" fillId="11" borderId="0" xfId="12" applyFont="1" applyFill="1" applyAlignment="1">
      <alignment wrapText="1"/>
    </xf>
    <xf numFmtId="0" fontId="74" fillId="11" borderId="0" xfId="12" applyFont="1" applyFill="1" applyAlignment="1">
      <alignment wrapText="1"/>
    </xf>
    <xf numFmtId="0" fontId="74" fillId="11" borderId="0" xfId="12" applyFont="1" applyFill="1" applyAlignment="1">
      <alignment horizontal="left" wrapText="1"/>
    </xf>
    <xf numFmtId="0" fontId="45" fillId="11" borderId="0" xfId="12" applyFont="1" applyFill="1" applyAlignment="1">
      <alignment horizontal="left" wrapText="1"/>
    </xf>
    <xf numFmtId="0" fontId="55" fillId="11" borderId="0" xfId="12" applyFont="1" applyFill="1" applyAlignment="1">
      <alignment vertical="center"/>
    </xf>
    <xf numFmtId="0" fontId="72" fillId="11" borderId="0" xfId="12" quotePrefix="1" applyFont="1" applyFill="1" applyAlignment="1">
      <alignment horizontal="right" vertical="center"/>
    </xf>
    <xf numFmtId="0" fontId="55" fillId="11" borderId="0" xfId="12" applyFont="1" applyFill="1" applyAlignment="1">
      <alignment vertical="top"/>
    </xf>
    <xf numFmtId="0" fontId="72" fillId="11" borderId="0" xfId="12" quotePrefix="1" applyFont="1" applyFill="1" applyAlignment="1">
      <alignment horizontal="right" vertical="top" wrapText="1"/>
    </xf>
    <xf numFmtId="0" fontId="45" fillId="11" borderId="0" xfId="12" applyFont="1" applyFill="1" applyAlignment="1">
      <alignment horizontal="justify" vertical="center" wrapText="1"/>
    </xf>
    <xf numFmtId="0" fontId="72" fillId="11" borderId="0" xfId="12" applyFont="1" applyFill="1" applyAlignment="1">
      <alignment horizontal="left" vertical="top" wrapText="1"/>
    </xf>
    <xf numFmtId="0" fontId="45" fillId="11" borderId="0" xfId="12" applyFont="1" applyFill="1" applyAlignment="1">
      <alignment horizontal="right" vertical="center"/>
    </xf>
    <xf numFmtId="0" fontId="72" fillId="11" borderId="0" xfId="12" quotePrefix="1" applyFont="1" applyFill="1" applyAlignment="1">
      <alignment horizontal="right"/>
    </xf>
    <xf numFmtId="0" fontId="72" fillId="11" borderId="0" xfId="22" applyFont="1" applyFill="1"/>
    <xf numFmtId="0" fontId="72" fillId="11" borderId="0" xfId="22" applyFont="1" applyFill="1" applyAlignment="1">
      <alignment vertical="top"/>
    </xf>
    <xf numFmtId="0" fontId="53" fillId="11" borderId="0" xfId="12" applyFont="1" applyFill="1"/>
    <xf numFmtId="0" fontId="55" fillId="11" borderId="0" xfId="12" applyFont="1" applyFill="1"/>
    <xf numFmtId="0" fontId="45" fillId="11" borderId="0" xfId="22" quotePrefix="1" applyFont="1" applyFill="1" applyAlignment="1">
      <alignment horizontal="right"/>
    </xf>
    <xf numFmtId="0" fontId="72" fillId="11" borderId="0" xfId="12" quotePrefix="1" applyFont="1" applyFill="1" applyAlignment="1">
      <alignment horizontal="right" vertical="top"/>
    </xf>
    <xf numFmtId="0" fontId="73" fillId="11" borderId="0" xfId="12" applyFont="1" applyFill="1"/>
    <xf numFmtId="0" fontId="41" fillId="11" borderId="0" xfId="22" applyFont="1" applyFill="1" applyAlignment="1">
      <alignment vertical="top"/>
    </xf>
    <xf numFmtId="0" fontId="72" fillId="11" borderId="0" xfId="12" applyFont="1" applyFill="1" applyAlignment="1">
      <alignment vertical="center" wrapText="1"/>
    </xf>
    <xf numFmtId="0" fontId="135" fillId="11" borderId="0" xfId="22" applyFont="1" applyFill="1" applyAlignment="1">
      <alignment vertical="top"/>
    </xf>
    <xf numFmtId="0" fontId="44" fillId="11" borderId="0" xfId="21" applyFont="1" applyFill="1"/>
    <xf numFmtId="0" fontId="55" fillId="11" borderId="0" xfId="22" applyFont="1" applyFill="1" applyAlignment="1">
      <alignment vertical="center" textRotation="180" wrapText="1"/>
    </xf>
    <xf numFmtId="0" fontId="43" fillId="11" borderId="0" xfId="22" applyFont="1" applyFill="1"/>
    <xf numFmtId="0" fontId="39" fillId="11" borderId="0" xfId="22" applyFill="1" applyAlignment="1">
      <alignment horizontal="center" vertical="center" wrapText="1" shrinkToFit="1"/>
    </xf>
    <xf numFmtId="0" fontId="39" fillId="11" borderId="2" xfId="22" applyFill="1" applyBorder="1" applyAlignment="1">
      <alignment horizontal="left" vertical="center"/>
    </xf>
    <xf numFmtId="0" fontId="39" fillId="11" borderId="7" xfId="13" applyFont="1" applyFill="1" applyBorder="1" applyAlignment="1">
      <alignment vertical="center"/>
    </xf>
    <xf numFmtId="0" fontId="39" fillId="11" borderId="8" xfId="13" applyFont="1" applyFill="1" applyBorder="1" applyAlignment="1">
      <alignment vertical="center"/>
    </xf>
    <xf numFmtId="0" fontId="41" fillId="11" borderId="8" xfId="13" applyFont="1" applyFill="1" applyBorder="1" applyAlignment="1">
      <alignment vertical="center"/>
    </xf>
    <xf numFmtId="0" fontId="41" fillId="11" borderId="16" xfId="13" applyFont="1" applyFill="1" applyBorder="1" applyAlignment="1">
      <alignment vertical="center"/>
    </xf>
    <xf numFmtId="0" fontId="41" fillId="11" borderId="0" xfId="13" applyFont="1" applyFill="1" applyAlignment="1">
      <alignment vertical="center"/>
    </xf>
    <xf numFmtId="0" fontId="48" fillId="11" borderId="0" xfId="13" applyFont="1" applyFill="1" applyAlignment="1">
      <alignment vertical="center"/>
    </xf>
    <xf numFmtId="0" fontId="52" fillId="11" borderId="0" xfId="13" applyFont="1" applyFill="1" applyAlignment="1">
      <alignment vertical="center"/>
    </xf>
    <xf numFmtId="0" fontId="39" fillId="11" borderId="0" xfId="13" applyFont="1" applyFill="1" applyAlignment="1">
      <alignment vertical="center"/>
    </xf>
    <xf numFmtId="0" fontId="63" fillId="11" borderId="0" xfId="92" applyFont="1" applyFill="1"/>
    <xf numFmtId="0" fontId="63" fillId="11" borderId="0" xfId="92" applyFont="1" applyFill="1" applyAlignment="1">
      <alignment vertical="center"/>
    </xf>
    <xf numFmtId="0" fontId="52" fillId="11" borderId="0" xfId="92" applyFont="1" applyFill="1"/>
    <xf numFmtId="0" fontId="54" fillId="11" borderId="0" xfId="22" applyFont="1" applyFill="1"/>
    <xf numFmtId="0" fontId="57" fillId="11" borderId="0" xfId="22" applyFont="1" applyFill="1"/>
    <xf numFmtId="0" fontId="39" fillId="11" borderId="38" xfId="13" applyFont="1" applyFill="1" applyBorder="1" applyAlignment="1">
      <alignment vertical="center"/>
    </xf>
    <xf numFmtId="0" fontId="52" fillId="11" borderId="0" xfId="21" applyFont="1" applyFill="1" applyAlignment="1">
      <alignment horizontal="left"/>
    </xf>
    <xf numFmtId="0" fontId="39" fillId="11" borderId="67" xfId="13" applyFont="1" applyFill="1" applyBorder="1" applyAlignment="1">
      <alignment vertical="center"/>
    </xf>
    <xf numFmtId="0" fontId="63" fillId="11" borderId="67" xfId="92" applyFont="1" applyFill="1" applyBorder="1"/>
    <xf numFmtId="0" fontId="52" fillId="11" borderId="0" xfId="93" applyFont="1" applyFill="1" applyAlignment="1">
      <alignment vertical="center"/>
    </xf>
    <xf numFmtId="0" fontId="68" fillId="11" borderId="0" xfId="26" applyFont="1" applyFill="1" applyAlignment="1">
      <alignment vertical="center"/>
    </xf>
    <xf numFmtId="0" fontId="41" fillId="11" borderId="0" xfId="26" applyFont="1" applyFill="1" applyAlignment="1">
      <alignment vertical="center"/>
    </xf>
    <xf numFmtId="0" fontId="48" fillId="11" borderId="0" xfId="26" applyFont="1" applyFill="1" applyAlignment="1">
      <alignment vertical="center"/>
    </xf>
    <xf numFmtId="0" fontId="45" fillId="11" borderId="0" xfId="13" applyFont="1" applyFill="1" applyAlignment="1">
      <alignment vertical="center"/>
    </xf>
    <xf numFmtId="0" fontId="41" fillId="11" borderId="71" xfId="13" applyFont="1" applyFill="1" applyBorder="1" applyAlignment="1">
      <alignment vertical="center"/>
    </xf>
    <xf numFmtId="0" fontId="41" fillId="11" borderId="72" xfId="13" applyFont="1" applyFill="1" applyBorder="1" applyAlignment="1">
      <alignment vertical="center"/>
    </xf>
    <xf numFmtId="0" fontId="41" fillId="11" borderId="74" xfId="13" applyFont="1" applyFill="1" applyBorder="1" applyAlignment="1">
      <alignment vertical="center"/>
    </xf>
    <xf numFmtId="0" fontId="39" fillId="11" borderId="0" xfId="13" quotePrefix="1" applyFont="1" applyFill="1" applyAlignment="1">
      <alignment horizontal="right" vertical="center"/>
    </xf>
    <xf numFmtId="0" fontId="58" fillId="11" borderId="0" xfId="13" applyFont="1" applyFill="1" applyAlignment="1">
      <alignment horizontal="center" vertical="center"/>
    </xf>
    <xf numFmtId="0" fontId="39" fillId="11" borderId="0" xfId="13" applyFont="1" applyFill="1"/>
    <xf numFmtId="0" fontId="41" fillId="11" borderId="0" xfId="92" applyFont="1" applyFill="1" applyAlignment="1">
      <alignment horizontal="center"/>
    </xf>
    <xf numFmtId="0" fontId="53" fillId="11" borderId="0" xfId="92" applyFont="1" applyFill="1" applyAlignment="1">
      <alignment vertical="center" wrapText="1"/>
    </xf>
    <xf numFmtId="0" fontId="53" fillId="11" borderId="0" xfId="92" applyFont="1" applyFill="1" applyAlignment="1">
      <alignment wrapText="1"/>
    </xf>
    <xf numFmtId="0" fontId="45" fillId="11" borderId="0" xfId="92" applyFont="1" applyFill="1" applyAlignment="1">
      <alignment wrapText="1"/>
    </xf>
    <xf numFmtId="0" fontId="45" fillId="11" borderId="0" xfId="92" applyFont="1" applyFill="1" applyAlignment="1">
      <alignment horizontal="left"/>
    </xf>
    <xf numFmtId="0" fontId="39" fillId="11" borderId="0" xfId="92" applyFont="1" applyFill="1" applyAlignment="1">
      <alignment horizontal="center" vertical="center"/>
    </xf>
    <xf numFmtId="0" fontId="39" fillId="11" borderId="0" xfId="92" applyFont="1" applyFill="1"/>
    <xf numFmtId="0" fontId="39" fillId="11" borderId="0" xfId="92" applyFont="1" applyFill="1" applyAlignment="1">
      <alignment horizontal="center"/>
    </xf>
    <xf numFmtId="0" fontId="68" fillId="11" borderId="0" xfId="92" applyFont="1" applyFill="1" applyAlignment="1">
      <alignment horizontal="left" vertical="top" wrapText="1"/>
    </xf>
    <xf numFmtId="0" fontId="68" fillId="11" borderId="8" xfId="92" applyFont="1" applyFill="1" applyBorder="1" applyAlignment="1">
      <alignment vertical="top"/>
    </xf>
    <xf numFmtId="0" fontId="41" fillId="11" borderId="8" xfId="92" applyFont="1" applyFill="1" applyBorder="1" applyAlignment="1">
      <alignment vertical="top"/>
    </xf>
    <xf numFmtId="0" fontId="41" fillId="11" borderId="0" xfId="92" applyFont="1" applyFill="1" applyAlignment="1">
      <alignment vertical="top"/>
    </xf>
    <xf numFmtId="0" fontId="149" fillId="0" borderId="0" xfId="13" applyFont="1" applyAlignment="1" applyProtection="1">
      <alignment horizontal="center" vertical="center"/>
      <protection locked="0"/>
    </xf>
    <xf numFmtId="0" fontId="39" fillId="11" borderId="0" xfId="35" applyFill="1"/>
    <xf numFmtId="0" fontId="110" fillId="11" borderId="0" xfId="15" applyFont="1" applyFill="1" applyAlignment="1">
      <alignment horizontal="center" vertical="top"/>
    </xf>
    <xf numFmtId="0" fontId="39" fillId="11" borderId="67" xfId="26" applyFill="1" applyBorder="1" applyAlignment="1">
      <alignment horizontal="left" vertical="center" indent="1"/>
    </xf>
    <xf numFmtId="0" fontId="39" fillId="11" borderId="0" xfId="35" quotePrefix="1" applyFill="1" applyAlignment="1">
      <alignment horizontal="right" vertical="center"/>
    </xf>
    <xf numFmtId="0" fontId="39" fillId="11" borderId="0" xfId="26" applyFill="1" applyAlignment="1">
      <alignment vertical="center"/>
    </xf>
    <xf numFmtId="0" fontId="39" fillId="11" borderId="0" xfId="26" applyFill="1" applyAlignment="1">
      <alignment vertical="center" wrapText="1"/>
    </xf>
    <xf numFmtId="0" fontId="65" fillId="11" borderId="0" xfId="13" applyFont="1" applyFill="1" applyAlignment="1">
      <alignment horizontal="right" vertical="center"/>
    </xf>
    <xf numFmtId="0" fontId="58" fillId="11" borderId="0" xfId="13" applyFont="1" applyFill="1" applyAlignment="1">
      <alignment horizontal="right" vertical="center"/>
    </xf>
    <xf numFmtId="0" fontId="39" fillId="11" borderId="0" xfId="35" applyFill="1" applyAlignment="1">
      <alignment vertical="center"/>
    </xf>
    <xf numFmtId="0" fontId="65" fillId="11" borderId="67" xfId="13" applyFont="1" applyFill="1" applyBorder="1" applyAlignment="1">
      <alignment horizontal="right" vertical="center"/>
    </xf>
    <xf numFmtId="0" fontId="39" fillId="11" borderId="7" xfId="35" applyFill="1" applyBorder="1"/>
    <xf numFmtId="0" fontId="39" fillId="11" borderId="8" xfId="35" applyFill="1" applyBorder="1"/>
    <xf numFmtId="0" fontId="39" fillId="11" borderId="67" xfId="35" applyFill="1" applyBorder="1"/>
    <xf numFmtId="0" fontId="41" fillId="11" borderId="72" xfId="35" applyFont="1" applyFill="1" applyBorder="1" applyAlignment="1">
      <alignment wrapText="1"/>
    </xf>
    <xf numFmtId="0" fontId="62" fillId="11" borderId="0" xfId="35" applyFont="1" applyFill="1"/>
    <xf numFmtId="0" fontId="39" fillId="11" borderId="67" xfId="26" applyFill="1" applyBorder="1" applyAlignment="1">
      <alignment horizontal="left" vertical="center"/>
    </xf>
    <xf numFmtId="0" fontId="39" fillId="11" borderId="0" xfId="35" quotePrefix="1" applyFill="1" applyAlignment="1">
      <alignment horizontal="right" vertical="top"/>
    </xf>
    <xf numFmtId="0" fontId="39" fillId="11" borderId="0" xfId="13" applyFont="1" applyFill="1" applyAlignment="1">
      <alignment horizontal="right" vertical="center"/>
    </xf>
    <xf numFmtId="0" fontId="39" fillId="11" borderId="67" xfId="13" applyFont="1" applyFill="1" applyBorder="1" applyAlignment="1">
      <alignment horizontal="right" vertical="center"/>
    </xf>
    <xf numFmtId="0" fontId="39" fillId="11" borderId="67" xfId="26" applyFill="1" applyBorder="1" applyAlignment="1">
      <alignment vertical="top" wrapText="1"/>
    </xf>
    <xf numFmtId="0" fontId="39" fillId="11" borderId="7" xfId="26" applyFill="1" applyBorder="1" applyAlignment="1">
      <alignment vertical="top" wrapText="1"/>
    </xf>
    <xf numFmtId="0" fontId="39" fillId="11" borderId="8" xfId="13" applyFont="1" applyFill="1" applyBorder="1" applyAlignment="1">
      <alignment horizontal="right" vertical="center"/>
    </xf>
    <xf numFmtId="0" fontId="39" fillId="11" borderId="0" xfId="13" applyFont="1" applyFill="1" applyAlignment="1">
      <alignment horizontal="left" vertical="center" indent="4"/>
    </xf>
    <xf numFmtId="0" fontId="39" fillId="11" borderId="0" xfId="13" applyFont="1" applyFill="1" applyAlignment="1">
      <alignment vertical="center" wrapText="1"/>
    </xf>
    <xf numFmtId="0" fontId="39" fillId="11" borderId="0" xfId="13" applyFont="1" applyFill="1" applyAlignment="1">
      <alignment horizontal="left" vertical="center" wrapText="1"/>
    </xf>
    <xf numFmtId="0" fontId="68" fillId="11" borderId="0" xfId="26" applyFont="1" applyFill="1"/>
    <xf numFmtId="0" fontId="41" fillId="11" borderId="0" xfId="26" applyFont="1" applyFill="1"/>
    <xf numFmtId="0" fontId="41" fillId="11" borderId="0" xfId="26" applyFont="1" applyFill="1" applyAlignment="1">
      <alignment wrapText="1"/>
    </xf>
    <xf numFmtId="0" fontId="45" fillId="11" borderId="0" xfId="13" applyFont="1" applyFill="1" applyAlignment="1">
      <alignment vertical="top"/>
    </xf>
    <xf numFmtId="0" fontId="41" fillId="11" borderId="71" xfId="26" applyFont="1" applyFill="1" applyBorder="1" applyAlignment="1">
      <alignment vertical="center"/>
    </xf>
    <xf numFmtId="0" fontId="41" fillId="11" borderId="72" xfId="26" applyFont="1" applyFill="1" applyBorder="1" applyAlignment="1">
      <alignment vertical="center" wrapText="1"/>
    </xf>
    <xf numFmtId="0" fontId="39" fillId="11" borderId="72" xfId="13" applyFont="1" applyFill="1" applyBorder="1" applyAlignment="1">
      <alignment horizontal="right" vertical="center"/>
    </xf>
    <xf numFmtId="0" fontId="39" fillId="11" borderId="72" xfId="13" applyFont="1" applyFill="1" applyBorder="1" applyAlignment="1">
      <alignment vertical="center"/>
    </xf>
    <xf numFmtId="0" fontId="41" fillId="11" borderId="72" xfId="13" applyFont="1" applyFill="1" applyBorder="1" applyAlignment="1">
      <alignment horizontal="left" vertical="center" wrapText="1"/>
    </xf>
    <xf numFmtId="0" fontId="39" fillId="11" borderId="67" xfId="35" applyFill="1" applyBorder="1" applyAlignment="1">
      <alignment vertical="center"/>
    </xf>
    <xf numFmtId="0" fontId="39" fillId="11" borderId="0" xfId="26" applyFill="1" applyAlignment="1">
      <alignment horizontal="left" vertical="center"/>
    </xf>
    <xf numFmtId="0" fontId="39" fillId="11" borderId="71" xfId="35" applyFill="1" applyBorder="1"/>
    <xf numFmtId="0" fontId="64" fillId="11" borderId="72" xfId="35" applyFont="1" applyFill="1" applyBorder="1"/>
    <xf numFmtId="0" fontId="39" fillId="11" borderId="72" xfId="35" applyFill="1" applyBorder="1"/>
    <xf numFmtId="0" fontId="106" fillId="11" borderId="67" xfId="26" applyFont="1" applyFill="1" applyBorder="1" applyAlignment="1">
      <alignment horizontal="left" vertical="top" indent="1"/>
    </xf>
    <xf numFmtId="0" fontId="42" fillId="11" borderId="0" xfId="26" applyFont="1" applyFill="1" applyAlignment="1">
      <alignment vertical="top"/>
    </xf>
    <xf numFmtId="0" fontId="39" fillId="11" borderId="67" xfId="26" applyFill="1" applyBorder="1" applyAlignment="1">
      <alignment vertical="center" wrapText="1"/>
    </xf>
    <xf numFmtId="0" fontId="39" fillId="11" borderId="0" xfId="35" applyFill="1" applyAlignment="1">
      <alignment horizontal="right" vertical="center"/>
    </xf>
    <xf numFmtId="0" fontId="62" fillId="11" borderId="0" xfId="13" applyFont="1" applyFill="1" applyAlignment="1">
      <alignment horizontal="right" vertical="center"/>
    </xf>
    <xf numFmtId="0" fontId="160" fillId="11" borderId="0" xfId="13" applyFont="1" applyFill="1" applyAlignment="1">
      <alignment vertical="top"/>
    </xf>
    <xf numFmtId="0" fontId="39" fillId="11" borderId="0" xfId="13" applyFont="1" applyFill="1" applyAlignment="1">
      <alignment horizontal="center" vertical="center"/>
    </xf>
    <xf numFmtId="0" fontId="39" fillId="11" borderId="0" xfId="14" applyFont="1" applyFill="1" applyAlignment="1">
      <alignment horizontal="left" vertical="center"/>
    </xf>
    <xf numFmtId="0" fontId="39" fillId="11" borderId="0" xfId="26" applyFill="1" applyAlignment="1">
      <alignment horizontal="left" vertical="center" wrapText="1"/>
    </xf>
    <xf numFmtId="0" fontId="39" fillId="11" borderId="0" xfId="35" quotePrefix="1" applyFill="1" applyAlignment="1">
      <alignment vertical="center"/>
    </xf>
    <xf numFmtId="0" fontId="39" fillId="11" borderId="0" xfId="35" applyFill="1" applyAlignment="1">
      <alignment horizontal="left" vertical="center"/>
    </xf>
    <xf numFmtId="0" fontId="45" fillId="11" borderId="0" xfId="26" applyFont="1" applyFill="1"/>
    <xf numFmtId="0" fontId="113" fillId="11" borderId="0" xfId="22" applyFont="1" applyFill="1"/>
    <xf numFmtId="0" fontId="47" fillId="11" borderId="0" xfId="22" applyFont="1" applyFill="1"/>
    <xf numFmtId="0" fontId="47" fillId="11" borderId="0" xfId="15" applyFont="1" applyFill="1"/>
    <xf numFmtId="0" fontId="41" fillId="11" borderId="46" xfId="13" applyFont="1" applyFill="1" applyBorder="1" applyAlignment="1">
      <alignment vertical="center"/>
    </xf>
    <xf numFmtId="0" fontId="41" fillId="11" borderId="47" xfId="13" applyFont="1" applyFill="1" applyBorder="1" applyAlignment="1">
      <alignment vertical="center"/>
    </xf>
    <xf numFmtId="0" fontId="41" fillId="11" borderId="52" xfId="13" applyFont="1" applyFill="1" applyBorder="1" applyAlignment="1">
      <alignment vertical="center"/>
    </xf>
    <xf numFmtId="0" fontId="44" fillId="11" borderId="0" xfId="12" applyFill="1" applyAlignment="1">
      <alignment vertical="center"/>
    </xf>
    <xf numFmtId="0" fontId="41" fillId="11" borderId="0" xfId="22" applyFont="1" applyFill="1" applyAlignment="1">
      <alignment horizontal="center" vertical="center" wrapText="1"/>
    </xf>
    <xf numFmtId="0" fontId="44" fillId="11" borderId="0" xfId="12" applyFill="1"/>
    <xf numFmtId="0" fontId="39" fillId="11" borderId="87" xfId="13" applyFont="1" applyFill="1" applyBorder="1" applyAlignment="1">
      <alignment horizontal="left" vertical="center" indent="3"/>
    </xf>
    <xf numFmtId="0" fontId="39" fillId="11" borderId="85" xfId="13" applyFont="1" applyFill="1" applyBorder="1" applyAlignment="1">
      <alignment horizontal="left" vertical="center" indent="3"/>
    </xf>
    <xf numFmtId="0" fontId="39" fillId="11" borderId="86" xfId="13" applyFont="1" applyFill="1" applyBorder="1" applyAlignment="1">
      <alignment horizontal="left" vertical="center"/>
    </xf>
    <xf numFmtId="0" fontId="39" fillId="11" borderId="2" xfId="13" applyFont="1" applyFill="1" applyBorder="1" applyAlignment="1">
      <alignment horizontal="left" vertical="center" indent="3"/>
    </xf>
    <xf numFmtId="0" fontId="39" fillId="11" borderId="58" xfId="13" applyFont="1" applyFill="1" applyBorder="1" applyAlignment="1">
      <alignment horizontal="left" vertical="center" indent="3"/>
    </xf>
    <xf numFmtId="0" fontId="39" fillId="11" borderId="55" xfId="13" applyFont="1" applyFill="1" applyBorder="1" applyAlignment="1">
      <alignment horizontal="left" vertical="center"/>
    </xf>
    <xf numFmtId="0" fontId="39" fillId="11" borderId="95" xfId="13" applyFont="1" applyFill="1" applyBorder="1" applyAlignment="1">
      <alignment horizontal="left" vertical="center" indent="3"/>
    </xf>
    <xf numFmtId="0" fontId="39" fillId="11" borderId="99" xfId="13" applyFont="1" applyFill="1" applyBorder="1" applyAlignment="1">
      <alignment horizontal="left" vertical="center" indent="3"/>
    </xf>
    <xf numFmtId="0" fontId="39" fillId="11" borderId="100" xfId="13" applyFont="1" applyFill="1" applyBorder="1" applyAlignment="1">
      <alignment horizontal="left" vertical="center"/>
    </xf>
    <xf numFmtId="0" fontId="39" fillId="11" borderId="185" xfId="13" applyFont="1" applyFill="1" applyBorder="1" applyAlignment="1">
      <alignment horizontal="left" vertical="center"/>
    </xf>
    <xf numFmtId="0" fontId="45" fillId="11" borderId="2" xfId="13" applyFont="1" applyFill="1" applyBorder="1" applyAlignment="1">
      <alignment horizontal="left" vertical="center" indent="1"/>
    </xf>
    <xf numFmtId="0" fontId="45" fillId="11" borderId="58" xfId="13" applyFont="1" applyFill="1" applyBorder="1" applyAlignment="1">
      <alignment horizontal="left" vertical="center" indent="1"/>
    </xf>
    <xf numFmtId="0" fontId="39" fillId="11" borderId="67" xfId="13" applyFont="1" applyFill="1" applyBorder="1" applyAlignment="1">
      <alignment horizontal="left" vertical="center" indent="3"/>
    </xf>
    <xf numFmtId="0" fontId="39" fillId="11" borderId="0" xfId="13" applyFont="1" applyFill="1" applyAlignment="1">
      <alignment horizontal="left" vertical="center" indent="3"/>
    </xf>
    <xf numFmtId="0" fontId="39" fillId="11" borderId="38" xfId="13" applyFont="1" applyFill="1" applyBorder="1" applyAlignment="1">
      <alignment horizontal="left" vertical="center"/>
    </xf>
    <xf numFmtId="0" fontId="45" fillId="11" borderId="83" xfId="13" applyFont="1" applyFill="1" applyBorder="1" applyAlignment="1">
      <alignment horizontal="left" vertical="center" indent="1"/>
    </xf>
    <xf numFmtId="0" fontId="45" fillId="11" borderId="57" xfId="13" applyFont="1" applyFill="1" applyBorder="1" applyAlignment="1">
      <alignment horizontal="left" vertical="center" indent="1"/>
    </xf>
    <xf numFmtId="0" fontId="39" fillId="11" borderId="56" xfId="13" applyFont="1" applyFill="1" applyBorder="1" applyAlignment="1">
      <alignment horizontal="left" vertical="center"/>
    </xf>
    <xf numFmtId="0" fontId="39" fillId="11" borderId="0" xfId="22" applyFill="1" applyAlignment="1">
      <alignment wrapText="1"/>
    </xf>
    <xf numFmtId="0" fontId="52" fillId="11" borderId="0" xfId="13" applyFont="1" applyFill="1"/>
    <xf numFmtId="0" fontId="52" fillId="11" borderId="0" xfId="12" quotePrefix="1" applyFont="1" applyFill="1"/>
    <xf numFmtId="0" fontId="53" fillId="11" borderId="0" xfId="12" quotePrefix="1" applyFont="1" applyFill="1" applyAlignment="1">
      <alignment horizontal="right" wrapText="1"/>
    </xf>
    <xf numFmtId="0" fontId="48" fillId="11" borderId="0" xfId="12" applyFont="1" applyFill="1" applyAlignment="1">
      <alignment wrapText="1"/>
    </xf>
    <xf numFmtId="0" fontId="53" fillId="11" borderId="0" xfId="12" applyFont="1" applyFill="1" applyAlignment="1">
      <alignment wrapText="1"/>
    </xf>
    <xf numFmtId="0" fontId="52" fillId="11" borderId="0" xfId="12" applyFont="1" applyFill="1" applyAlignment="1">
      <alignment wrapText="1"/>
    </xf>
    <xf numFmtId="0" fontId="39" fillId="11" borderId="87" xfId="13" applyFont="1" applyFill="1" applyBorder="1" applyAlignment="1">
      <alignment horizontal="left" vertical="center" indent="4"/>
    </xf>
    <xf numFmtId="0" fontId="39" fillId="11" borderId="85" xfId="13" applyFont="1" applyFill="1" applyBorder="1" applyAlignment="1">
      <alignment horizontal="left" vertical="center" indent="6"/>
    </xf>
    <xf numFmtId="0" fontId="39" fillId="11" borderId="2" xfId="13" applyFont="1" applyFill="1" applyBorder="1" applyAlignment="1">
      <alignment horizontal="left" vertical="center" indent="4"/>
    </xf>
    <xf numFmtId="0" fontId="39" fillId="11" borderId="58" xfId="13" applyFont="1" applyFill="1" applyBorder="1" applyAlignment="1">
      <alignment horizontal="left" vertical="center" indent="6"/>
    </xf>
    <xf numFmtId="0" fontId="39" fillId="11" borderId="95" xfId="13" applyFont="1" applyFill="1" applyBorder="1" applyAlignment="1">
      <alignment horizontal="left" vertical="center" indent="4"/>
    </xf>
    <xf numFmtId="0" fontId="39" fillId="11" borderId="99" xfId="13" applyFont="1" applyFill="1" applyBorder="1" applyAlignment="1">
      <alignment horizontal="left" vertical="center" indent="6"/>
    </xf>
    <xf numFmtId="0" fontId="39" fillId="11" borderId="225" xfId="13" applyFont="1" applyFill="1" applyBorder="1" applyAlignment="1">
      <alignment horizontal="left" vertical="center" indent="4"/>
    </xf>
    <xf numFmtId="0" fontId="39" fillId="11" borderId="226" xfId="13" applyFont="1" applyFill="1" applyBorder="1" applyAlignment="1">
      <alignment horizontal="left" vertical="center" indent="3"/>
    </xf>
    <xf numFmtId="0" fontId="39" fillId="11" borderId="227" xfId="13" applyFont="1" applyFill="1" applyBorder="1" applyAlignment="1">
      <alignment horizontal="left" vertical="center"/>
    </xf>
    <xf numFmtId="0" fontId="39" fillId="11" borderId="228" xfId="13" applyFont="1" applyFill="1" applyBorder="1" applyAlignment="1">
      <alignment horizontal="left" vertical="center" indent="4"/>
    </xf>
    <xf numFmtId="0" fontId="39" fillId="11" borderId="229" xfId="13" applyFont="1" applyFill="1" applyBorder="1" applyAlignment="1">
      <alignment horizontal="left" vertical="center" indent="3"/>
    </xf>
    <xf numFmtId="0" fontId="39" fillId="11" borderId="230" xfId="13" applyFont="1" applyFill="1" applyBorder="1" applyAlignment="1">
      <alignment horizontal="left" vertical="center"/>
    </xf>
    <xf numFmtId="0" fontId="160" fillId="11" borderId="0" xfId="21" applyFont="1" applyFill="1" applyAlignment="1">
      <alignment vertical="top"/>
    </xf>
    <xf numFmtId="0" fontId="52" fillId="11" borderId="0" xfId="14" applyFont="1" applyFill="1" applyAlignment="1">
      <alignment vertical="center"/>
    </xf>
    <xf numFmtId="0" fontId="52" fillId="11" borderId="0" xfId="13" applyFont="1" applyFill="1" applyAlignment="1">
      <alignment horizontal="center"/>
    </xf>
    <xf numFmtId="0" fontId="52" fillId="11" borderId="0" xfId="13" applyFont="1" applyFill="1" applyAlignment="1">
      <alignment horizontal="right" wrapText="1"/>
    </xf>
    <xf numFmtId="0" fontId="48" fillId="11" borderId="0" xfId="12" applyFont="1" applyFill="1" applyAlignment="1">
      <alignment horizontal="left" wrapText="1" indent="3"/>
    </xf>
    <xf numFmtId="0" fontId="45" fillId="11" borderId="0" xfId="11" quotePrefix="1" applyFont="1" applyFill="1" applyAlignment="1">
      <alignment horizontal="left"/>
    </xf>
    <xf numFmtId="0" fontId="52" fillId="11" borderId="7" xfId="13" applyFont="1" applyFill="1" applyBorder="1"/>
    <xf numFmtId="0" fontId="52" fillId="11" borderId="8" xfId="13" applyFont="1" applyFill="1" applyBorder="1"/>
    <xf numFmtId="0" fontId="52" fillId="11" borderId="16" xfId="13" applyFont="1" applyFill="1" applyBorder="1"/>
    <xf numFmtId="0" fontId="41" fillId="11" borderId="0" xfId="0" applyFont="1" applyFill="1" applyAlignment="1">
      <alignment horizontal="left" vertical="center"/>
    </xf>
    <xf numFmtId="0" fontId="41" fillId="11" borderId="0" xfId="0" applyFont="1" applyFill="1" applyAlignment="1">
      <alignment wrapText="1"/>
    </xf>
    <xf numFmtId="0" fontId="52" fillId="11" borderId="0" xfId="14" applyFont="1" applyFill="1" applyAlignment="1">
      <alignment horizontal="left"/>
    </xf>
    <xf numFmtId="0" fontId="52" fillId="11" borderId="38" xfId="13" applyFont="1" applyFill="1" applyBorder="1"/>
    <xf numFmtId="0" fontId="52" fillId="11" borderId="0" xfId="14" applyFont="1" applyFill="1" applyAlignment="1">
      <alignment horizontal="right"/>
    </xf>
    <xf numFmtId="0" fontId="39" fillId="11" borderId="67" xfId="0" applyFont="1" applyFill="1" applyBorder="1" applyAlignment="1">
      <alignment horizontal="left"/>
    </xf>
    <xf numFmtId="0" fontId="39" fillId="11" borderId="0" xfId="0" applyFont="1" applyFill="1" applyAlignment="1">
      <alignment horizontal="left"/>
    </xf>
    <xf numFmtId="0" fontId="52" fillId="11" borderId="67" xfId="14" applyFont="1" applyFill="1" applyBorder="1"/>
    <xf numFmtId="0" fontId="52" fillId="11" borderId="0" xfId="14" applyFont="1" applyFill="1"/>
    <xf numFmtId="0" fontId="104" fillId="11" borderId="0" xfId="14" applyFont="1" applyFill="1"/>
    <xf numFmtId="0" fontId="104" fillId="11" borderId="0" xfId="14" applyFont="1" applyFill="1" applyAlignment="1">
      <alignment horizontal="left"/>
    </xf>
    <xf numFmtId="0" fontId="104" fillId="11" borderId="0" xfId="14" applyFont="1" applyFill="1" applyAlignment="1">
      <alignment vertical="top"/>
    </xf>
    <xf numFmtId="0" fontId="104" fillId="11" borderId="0" xfId="14" applyFont="1" applyFill="1" applyAlignment="1">
      <alignment vertical="center"/>
    </xf>
    <xf numFmtId="0" fontId="39" fillId="11" borderId="0" xfId="0" quotePrefix="1" applyFont="1" applyFill="1" applyAlignment="1">
      <alignment horizontal="right"/>
    </xf>
    <xf numFmtId="0" fontId="39" fillId="11" borderId="0" xfId="14" applyFont="1" applyFill="1" applyAlignment="1">
      <alignment horizontal="right"/>
    </xf>
    <xf numFmtId="0" fontId="104" fillId="11" borderId="0" xfId="14" applyFont="1" applyFill="1" applyAlignment="1">
      <alignment horizontal="right"/>
    </xf>
    <xf numFmtId="0" fontId="39" fillId="11" borderId="0" xfId="13" applyFont="1" applyFill="1" applyAlignment="1">
      <alignment horizontal="left" vertical="center"/>
    </xf>
    <xf numFmtId="0" fontId="39" fillId="11" borderId="0" xfId="14" applyFont="1" applyFill="1" applyAlignment="1">
      <alignment horizontal="left"/>
    </xf>
    <xf numFmtId="0" fontId="39" fillId="11" borderId="0" xfId="14" applyFont="1" applyFill="1"/>
    <xf numFmtId="0" fontId="39" fillId="11" borderId="71" xfId="0" applyFont="1" applyFill="1" applyBorder="1"/>
    <xf numFmtId="0" fontId="39" fillId="11" borderId="72" xfId="0" applyFont="1" applyFill="1" applyBorder="1"/>
    <xf numFmtId="0" fontId="52" fillId="11" borderId="72" xfId="13" applyFont="1" applyFill="1" applyBorder="1" applyAlignment="1">
      <alignment vertical="center"/>
    </xf>
    <xf numFmtId="0" fontId="41" fillId="11" borderId="72" xfId="0" applyFont="1" applyFill="1" applyBorder="1" applyAlignment="1">
      <alignment wrapText="1"/>
    </xf>
    <xf numFmtId="0" fontId="52" fillId="11" borderId="72" xfId="13" applyFont="1" applyFill="1" applyBorder="1"/>
    <xf numFmtId="0" fontId="52" fillId="11" borderId="74" xfId="13" applyFont="1" applyFill="1" applyBorder="1"/>
    <xf numFmtId="0" fontId="39" fillId="11" borderId="67" xfId="0" applyFont="1" applyFill="1" applyBorder="1" applyAlignment="1">
      <alignment horizontal="left" vertical="center"/>
    </xf>
    <xf numFmtId="0" fontId="39" fillId="11" borderId="0" xfId="0" applyFont="1" applyFill="1" applyAlignment="1">
      <alignment horizontal="left" vertical="center"/>
    </xf>
    <xf numFmtId="0" fontId="39" fillId="11" borderId="0" xfId="14" applyFont="1" applyFill="1" applyAlignment="1">
      <alignment vertical="center"/>
    </xf>
    <xf numFmtId="0" fontId="150" fillId="0" borderId="0" xfId="13" applyFont="1" applyProtection="1">
      <protection locked="0"/>
    </xf>
    <xf numFmtId="0" fontId="103" fillId="0" borderId="0" xfId="14" applyFont="1" applyAlignment="1" applyProtection="1">
      <alignment horizontal="left"/>
      <protection locked="0"/>
    </xf>
    <xf numFmtId="0" fontId="151" fillId="0" borderId="0" xfId="14" applyFont="1" applyAlignment="1" applyProtection="1">
      <alignment horizontal="left"/>
      <protection locked="0"/>
    </xf>
    <xf numFmtId="0" fontId="151" fillId="0" borderId="0" xfId="14" applyFont="1" applyProtection="1">
      <protection locked="0"/>
    </xf>
    <xf numFmtId="0" fontId="151" fillId="0" borderId="0" xfId="14" applyFont="1" applyAlignment="1" applyProtection="1">
      <alignment vertical="center"/>
      <protection locked="0"/>
    </xf>
    <xf numFmtId="0" fontId="152" fillId="0" borderId="0" xfId="14" applyFont="1" applyProtection="1">
      <protection locked="0"/>
    </xf>
    <xf numFmtId="0" fontId="151" fillId="0" borderId="0" xfId="14" applyFont="1" applyAlignment="1" applyProtection="1">
      <alignment horizontal="right"/>
      <protection locked="0"/>
    </xf>
    <xf numFmtId="0" fontId="48" fillId="11" borderId="0" xfId="12" applyFont="1" applyFill="1"/>
    <xf numFmtId="0" fontId="48" fillId="11" borderId="0" xfId="12" quotePrefix="1" applyFont="1" applyFill="1" applyAlignment="1">
      <alignment horizontal="justify" wrapText="1"/>
    </xf>
    <xf numFmtId="0" fontId="52" fillId="11" borderId="0" xfId="42" applyFont="1" applyFill="1"/>
    <xf numFmtId="0" fontId="47" fillId="11" borderId="0" xfId="42" applyFont="1" applyFill="1"/>
    <xf numFmtId="0" fontId="52" fillId="11" borderId="73" xfId="13" applyFont="1" applyFill="1" applyBorder="1" applyAlignment="1">
      <alignment vertical="center"/>
    </xf>
    <xf numFmtId="0" fontId="52" fillId="11" borderId="69" xfId="13" applyFont="1" applyFill="1" applyBorder="1" applyAlignment="1">
      <alignment vertical="center"/>
    </xf>
    <xf numFmtId="0" fontId="52" fillId="11" borderId="99" xfId="13" applyFont="1" applyFill="1" applyBorder="1" applyAlignment="1">
      <alignment vertical="center"/>
    </xf>
    <xf numFmtId="0" fontId="52" fillId="11" borderId="101" xfId="13" applyFont="1" applyFill="1" applyBorder="1" applyAlignment="1">
      <alignment vertical="center"/>
    </xf>
    <xf numFmtId="0" fontId="52" fillId="11" borderId="85" xfId="13" applyFont="1" applyFill="1" applyBorder="1" applyAlignment="1">
      <alignment vertical="center"/>
    </xf>
    <xf numFmtId="0" fontId="52" fillId="11" borderId="65" xfId="13" applyFont="1" applyFill="1" applyBorder="1" applyAlignment="1">
      <alignment vertical="center"/>
    </xf>
    <xf numFmtId="0" fontId="52" fillId="11" borderId="8" xfId="13" applyFont="1" applyFill="1" applyBorder="1" applyAlignment="1">
      <alignment vertical="center"/>
    </xf>
    <xf numFmtId="0" fontId="52" fillId="11" borderId="9" xfId="13" applyFont="1" applyFill="1" applyBorder="1" applyAlignment="1">
      <alignment vertical="center"/>
    </xf>
    <xf numFmtId="0" fontId="39" fillId="11" borderId="0" xfId="42" applyFill="1"/>
    <xf numFmtId="0" fontId="68" fillId="11" borderId="0" xfId="42" applyFont="1" applyFill="1" applyAlignment="1">
      <alignment vertical="center"/>
    </xf>
    <xf numFmtId="0" fontId="41" fillId="11" borderId="0" xfId="42" applyFont="1" applyFill="1" applyAlignment="1">
      <alignment horizontal="left" vertical="center"/>
    </xf>
    <xf numFmtId="0" fontId="48" fillId="11" borderId="0" xfId="13" applyFont="1" applyFill="1"/>
    <xf numFmtId="0" fontId="43" fillId="11" borderId="13" xfId="13" applyFont="1" applyFill="1" applyBorder="1" applyAlignment="1">
      <alignment vertical="top" wrapText="1"/>
    </xf>
    <xf numFmtId="0" fontId="43" fillId="11" borderId="8" xfId="13" applyFont="1" applyFill="1" applyBorder="1" applyAlignment="1">
      <alignment vertical="top" wrapText="1"/>
    </xf>
    <xf numFmtId="0" fontId="43" fillId="11" borderId="9" xfId="13" applyFont="1" applyFill="1" applyBorder="1" applyAlignment="1">
      <alignment vertical="top" wrapText="1"/>
    </xf>
    <xf numFmtId="0" fontId="152" fillId="0" borderId="98" xfId="14" applyFont="1" applyBorder="1" applyAlignment="1" applyProtection="1">
      <alignment vertical="center"/>
      <protection locked="0"/>
    </xf>
    <xf numFmtId="0" fontId="152" fillId="0" borderId="68" xfId="14" applyFont="1" applyBorder="1" applyAlignment="1" applyProtection="1">
      <alignment vertical="center"/>
      <protection locked="0"/>
    </xf>
    <xf numFmtId="0" fontId="152" fillId="0" borderId="102" xfId="14" applyFont="1" applyBorder="1" applyAlignment="1" applyProtection="1">
      <alignment vertical="center"/>
      <protection locked="0"/>
    </xf>
    <xf numFmtId="0" fontId="152" fillId="0" borderId="63" xfId="14" applyFont="1" applyBorder="1" applyAlignment="1" applyProtection="1">
      <alignment vertical="center"/>
      <protection locked="0"/>
    </xf>
    <xf numFmtId="0" fontId="152" fillId="0" borderId="13" xfId="14" applyFont="1" applyBorder="1" applyAlignment="1" applyProtection="1">
      <alignment vertical="center"/>
      <protection locked="0"/>
    </xf>
    <xf numFmtId="0" fontId="152" fillId="0" borderId="72" xfId="14" applyFont="1" applyBorder="1" applyAlignment="1" applyProtection="1">
      <alignment vertical="center"/>
      <protection locked="0"/>
    </xf>
    <xf numFmtId="0" fontId="152" fillId="0" borderId="0" xfId="14" applyFont="1" applyAlignment="1" applyProtection="1">
      <alignment vertical="center"/>
      <protection locked="0"/>
    </xf>
    <xf numFmtId="0" fontId="152" fillId="0" borderId="99" xfId="14" applyFont="1" applyBorder="1" applyAlignment="1" applyProtection="1">
      <alignment vertical="center"/>
      <protection locked="0"/>
    </xf>
    <xf numFmtId="0" fontId="52" fillId="12" borderId="0" xfId="22" applyFont="1" applyFill="1"/>
    <xf numFmtId="0" fontId="53" fillId="12" borderId="0" xfId="22" quotePrefix="1" applyFont="1" applyFill="1" applyAlignment="1">
      <alignment horizontal="right" wrapText="1"/>
    </xf>
    <xf numFmtId="0" fontId="52" fillId="11" borderId="0" xfId="22" applyFont="1" applyFill="1" applyAlignment="1">
      <alignment horizontal="right" vertical="center"/>
    </xf>
    <xf numFmtId="0" fontId="53" fillId="12" borderId="0" xfId="22" applyFont="1" applyFill="1" applyAlignment="1">
      <alignment horizontal="right" vertical="center" wrapText="1"/>
    </xf>
    <xf numFmtId="0" fontId="52" fillId="12" borderId="0" xfId="22" applyFont="1" applyFill="1" applyAlignment="1">
      <alignment vertical="center"/>
    </xf>
    <xf numFmtId="0" fontId="53" fillId="12" borderId="0" xfId="22" quotePrefix="1" applyFont="1" applyFill="1" applyAlignment="1">
      <alignment horizontal="right" vertical="center" wrapText="1"/>
    </xf>
    <xf numFmtId="0" fontId="52" fillId="11" borderId="0" xfId="42" applyFont="1" applyFill="1" applyAlignment="1">
      <alignment horizontal="center"/>
    </xf>
    <xf numFmtId="0" fontId="52" fillId="12" borderId="0" xfId="22" applyFont="1" applyFill="1" applyAlignment="1">
      <alignment horizontal="right"/>
    </xf>
    <xf numFmtId="0" fontId="53" fillId="11" borderId="0" xfId="22" quotePrefix="1" applyFont="1" applyFill="1" applyAlignment="1">
      <alignment horizontal="right"/>
    </xf>
    <xf numFmtId="0" fontId="52" fillId="11" borderId="0" xfId="22" applyFont="1" applyFill="1" applyAlignment="1">
      <alignment horizontal="right"/>
    </xf>
    <xf numFmtId="0" fontId="53" fillId="11" borderId="0" xfId="22" applyFont="1" applyFill="1" applyAlignment="1">
      <alignment horizontal="right"/>
    </xf>
    <xf numFmtId="0" fontId="48" fillId="11" borderId="0" xfId="22" applyFont="1" applyFill="1" applyAlignment="1">
      <alignment horizontal="left" wrapText="1"/>
    </xf>
    <xf numFmtId="0" fontId="76" fillId="11" borderId="0" xfId="22" applyFont="1" applyFill="1"/>
    <xf numFmtId="0" fontId="53" fillId="11" borderId="0" xfId="22" quotePrefix="1" applyFont="1" applyFill="1" applyAlignment="1">
      <alignment vertical="center"/>
    </xf>
    <xf numFmtId="0" fontId="44" fillId="11" borderId="0" xfId="22" applyFont="1" applyFill="1"/>
    <xf numFmtId="0" fontId="72" fillId="11" borderId="0" xfId="22" applyFont="1" applyFill="1" applyAlignment="1">
      <alignment vertical="center"/>
    </xf>
    <xf numFmtId="0" fontId="39" fillId="11" borderId="0" xfId="22" applyFill="1" applyAlignment="1">
      <alignment vertical="top" wrapText="1"/>
    </xf>
    <xf numFmtId="0" fontId="42" fillId="11" borderId="0" xfId="22" applyFont="1" applyFill="1" applyAlignment="1">
      <alignment wrapText="1"/>
    </xf>
    <xf numFmtId="0" fontId="43" fillId="11" borderId="13" xfId="22" applyFont="1" applyFill="1" applyBorder="1" applyAlignment="1">
      <alignment vertical="center" wrapText="1"/>
    </xf>
    <xf numFmtId="0" fontId="43" fillId="11" borderId="8" xfId="22" applyFont="1" applyFill="1" applyBorder="1" applyAlignment="1">
      <alignment vertical="center" wrapText="1"/>
    </xf>
    <xf numFmtId="0" fontId="43" fillId="11" borderId="9" xfId="22" applyFont="1" applyFill="1" applyBorder="1" applyAlignment="1">
      <alignment vertical="center" wrapText="1"/>
    </xf>
    <xf numFmtId="0" fontId="53" fillId="11" borderId="0" xfId="22" quotePrefix="1" applyFont="1" applyFill="1" applyAlignment="1">
      <alignment horizontal="right" wrapText="1"/>
    </xf>
    <xf numFmtId="0" fontId="82" fillId="11" borderId="0" xfId="22" applyFont="1" applyFill="1"/>
    <xf numFmtId="0" fontId="53" fillId="11" borderId="0" xfId="22" applyFont="1" applyFill="1" applyAlignment="1">
      <alignment horizontal="right" wrapText="1"/>
    </xf>
    <xf numFmtId="0" fontId="53" fillId="11" borderId="0" xfId="22" applyFont="1" applyFill="1" applyAlignment="1">
      <alignment horizontal="right" vertical="top"/>
    </xf>
    <xf numFmtId="0" fontId="53" fillId="11" borderId="0" xfId="22" quotePrefix="1" applyFont="1" applyFill="1" applyAlignment="1">
      <alignment horizontal="right" vertical="top"/>
    </xf>
    <xf numFmtId="0" fontId="82" fillId="11" borderId="0" xfId="22" applyFont="1" applyFill="1" applyAlignment="1">
      <alignment vertical="top"/>
    </xf>
    <xf numFmtId="0" fontId="53" fillId="12" borderId="0" xfId="22" applyFont="1" applyFill="1"/>
    <xf numFmtId="0" fontId="53" fillId="11" borderId="0" xfId="22" quotePrefix="1" applyFont="1" applyFill="1" applyAlignment="1">
      <alignment horizontal="left" vertical="top"/>
    </xf>
    <xf numFmtId="0" fontId="113" fillId="11" borderId="0" xfId="42" applyFont="1" applyFill="1"/>
    <xf numFmtId="0" fontId="53" fillId="11" borderId="67" xfId="12" quotePrefix="1" applyFont="1" applyFill="1" applyBorder="1" applyAlignment="1">
      <alignment horizontal="right" vertical="top"/>
    </xf>
    <xf numFmtId="0" fontId="53" fillId="11" borderId="0" xfId="12" quotePrefix="1" applyFont="1" applyFill="1" applyAlignment="1">
      <alignment horizontal="right" vertical="top"/>
    </xf>
    <xf numFmtId="0" fontId="53" fillId="11" borderId="0" xfId="12" applyFont="1" applyFill="1" applyAlignment="1">
      <alignment vertical="top"/>
    </xf>
    <xf numFmtId="0" fontId="85" fillId="11" borderId="67" xfId="13" applyFont="1" applyFill="1" applyBorder="1" applyAlignment="1">
      <alignment vertical="center"/>
    </xf>
    <xf numFmtId="0" fontId="85" fillId="11" borderId="7" xfId="13" applyFont="1" applyFill="1" applyBorder="1" applyAlignment="1">
      <alignment vertical="center"/>
    </xf>
    <xf numFmtId="0" fontId="53" fillId="11" borderId="0" xfId="13" applyFont="1" applyFill="1"/>
    <xf numFmtId="0" fontId="39" fillId="11" borderId="16" xfId="13" applyFont="1" applyFill="1" applyBorder="1" applyAlignment="1">
      <alignment vertical="center"/>
    </xf>
    <xf numFmtId="0" fontId="85" fillId="11" borderId="0" xfId="13" applyFont="1" applyFill="1" applyAlignment="1">
      <alignment horizontal="right" vertical="center"/>
    </xf>
    <xf numFmtId="0" fontId="85" fillId="11" borderId="71" xfId="13" applyFont="1" applyFill="1" applyBorder="1" applyAlignment="1">
      <alignment vertical="center"/>
    </xf>
    <xf numFmtId="0" fontId="39" fillId="11" borderId="72" xfId="13" applyFont="1" applyFill="1" applyBorder="1"/>
    <xf numFmtId="0" fontId="39" fillId="11" borderId="74" xfId="13" applyFont="1" applyFill="1" applyBorder="1" applyAlignment="1">
      <alignment vertical="center"/>
    </xf>
    <xf numFmtId="0" fontId="53" fillId="11" borderId="38" xfId="12" applyFont="1" applyFill="1" applyBorder="1" applyAlignment="1">
      <alignment vertical="top"/>
    </xf>
    <xf numFmtId="0" fontId="39" fillId="11" borderId="38" xfId="13" applyFont="1" applyFill="1" applyBorder="1"/>
    <xf numFmtId="0" fontId="39" fillId="11" borderId="67" xfId="13" applyFont="1" applyFill="1" applyBorder="1"/>
    <xf numFmtId="0" fontId="41" fillId="11" borderId="2" xfId="13" applyFont="1" applyFill="1" applyBorder="1" applyAlignment="1">
      <alignment vertical="center"/>
    </xf>
    <xf numFmtId="0" fontId="41" fillId="11" borderId="58" xfId="13" applyFont="1" applyFill="1" applyBorder="1" applyAlignment="1">
      <alignment vertical="center"/>
    </xf>
    <xf numFmtId="0" fontId="41" fillId="11" borderId="55" xfId="13" applyFont="1" applyFill="1" applyBorder="1" applyAlignment="1">
      <alignment vertical="center"/>
    </xf>
    <xf numFmtId="0" fontId="41" fillId="11" borderId="7" xfId="13" applyFont="1" applyFill="1" applyBorder="1" applyAlignment="1">
      <alignment vertical="center"/>
    </xf>
    <xf numFmtId="0" fontId="41" fillId="11" borderId="0" xfId="42" applyFont="1" applyFill="1"/>
    <xf numFmtId="0" fontId="41" fillId="11" borderId="46" xfId="42" applyFont="1" applyFill="1" applyBorder="1" applyAlignment="1">
      <alignment vertical="center"/>
    </xf>
    <xf numFmtId="0" fontId="41" fillId="11" borderId="47" xfId="42" applyFont="1" applyFill="1" applyBorder="1" applyAlignment="1">
      <alignment vertical="center"/>
    </xf>
    <xf numFmtId="0" fontId="41" fillId="11" borderId="52" xfId="42" applyFont="1" applyFill="1" applyBorder="1" applyAlignment="1">
      <alignment vertical="center"/>
    </xf>
    <xf numFmtId="0" fontId="41" fillId="11" borderId="67" xfId="42" applyFont="1" applyFill="1" applyBorder="1"/>
    <xf numFmtId="0" fontId="45" fillId="11" borderId="0" xfId="12" applyFont="1" applyFill="1" applyAlignment="1">
      <alignment vertical="top"/>
    </xf>
    <xf numFmtId="0" fontId="41" fillId="11" borderId="0" xfId="42" applyFont="1" applyFill="1" applyAlignment="1">
      <alignment vertical="center"/>
    </xf>
    <xf numFmtId="0" fontId="41" fillId="11" borderId="0" xfId="42" applyFont="1" applyFill="1" applyAlignment="1">
      <alignment horizontal="center" vertical="center"/>
    </xf>
    <xf numFmtId="0" fontId="52" fillId="11" borderId="0" xfId="13" applyFont="1" applyFill="1" applyAlignment="1">
      <alignment horizontal="right"/>
    </xf>
    <xf numFmtId="0" fontId="52" fillId="11" borderId="0" xfId="12" applyFont="1" applyFill="1" applyAlignment="1">
      <alignment horizontal="left" vertical="top"/>
    </xf>
    <xf numFmtId="0" fontId="53" fillId="11" borderId="0" xfId="12" applyFont="1" applyFill="1" applyAlignment="1">
      <alignment horizontal="left" vertical="top" wrapText="1"/>
    </xf>
    <xf numFmtId="0" fontId="39" fillId="11" borderId="71" xfId="13" applyFont="1" applyFill="1" applyBorder="1" applyAlignment="1">
      <alignment vertical="center"/>
    </xf>
    <xf numFmtId="0" fontId="58" fillId="11" borderId="72" xfId="13" applyFont="1" applyFill="1" applyBorder="1" applyAlignment="1">
      <alignment horizontal="right" vertical="center"/>
    </xf>
    <xf numFmtId="0" fontId="39" fillId="11" borderId="71" xfId="13" applyFont="1" applyFill="1" applyBorder="1"/>
    <xf numFmtId="0" fontId="48" fillId="11" borderId="72" xfId="13" applyFont="1" applyFill="1" applyBorder="1" applyAlignment="1">
      <alignment vertical="center" wrapText="1"/>
    </xf>
    <xf numFmtId="0" fontId="39" fillId="11" borderId="74" xfId="13" applyFont="1" applyFill="1" applyBorder="1"/>
    <xf numFmtId="0" fontId="39" fillId="11" borderId="7" xfId="13" applyFont="1" applyFill="1" applyBorder="1"/>
    <xf numFmtId="0" fontId="48" fillId="11" borderId="8" xfId="13" applyFont="1" applyFill="1" applyBorder="1" applyAlignment="1">
      <alignment vertical="center" wrapText="1"/>
    </xf>
    <xf numFmtId="0" fontId="39" fillId="11" borderId="8" xfId="13" applyFont="1" applyFill="1" applyBorder="1"/>
    <xf numFmtId="0" fontId="39" fillId="11" borderId="16" xfId="13" applyFont="1" applyFill="1" applyBorder="1"/>
    <xf numFmtId="0" fontId="45" fillId="11" borderId="0" xfId="12" applyFont="1" applyFill="1" applyAlignment="1">
      <alignment vertical="top" wrapText="1"/>
    </xf>
    <xf numFmtId="0" fontId="39" fillId="11" borderId="83" xfId="42" applyFill="1" applyBorder="1" applyAlignment="1">
      <alignment vertical="center"/>
    </xf>
    <xf numFmtId="0" fontId="39" fillId="11" borderId="57" xfId="42" applyFill="1" applyBorder="1" applyAlignment="1">
      <alignment vertical="center"/>
    </xf>
    <xf numFmtId="0" fontId="39" fillId="11" borderId="56" xfId="42" applyFill="1" applyBorder="1" applyAlignment="1">
      <alignment vertical="center"/>
    </xf>
    <xf numFmtId="0" fontId="39" fillId="11" borderId="87" xfId="42" applyFill="1" applyBorder="1" applyAlignment="1">
      <alignment vertical="center"/>
    </xf>
    <xf numFmtId="0" fontId="39" fillId="11" borderId="85" xfId="42" applyFill="1" applyBorder="1" applyAlignment="1">
      <alignment vertical="center"/>
    </xf>
    <xf numFmtId="0" fontId="39" fillId="11" borderId="86" xfId="42" applyFill="1" applyBorder="1" applyAlignment="1">
      <alignment vertical="center"/>
    </xf>
    <xf numFmtId="0" fontId="39" fillId="11" borderId="2" xfId="42" applyFill="1" applyBorder="1" applyAlignment="1">
      <alignment vertical="center"/>
    </xf>
    <xf numFmtId="0" fontId="39" fillId="11" borderId="58" xfId="42" applyFill="1" applyBorder="1" applyAlignment="1">
      <alignment vertical="center"/>
    </xf>
    <xf numFmtId="0" fontId="39" fillId="11" borderId="55" xfId="42" applyFill="1" applyBorder="1" applyAlignment="1">
      <alignment vertical="center"/>
    </xf>
    <xf numFmtId="0" fontId="39" fillId="11" borderId="61" xfId="42" applyFill="1" applyBorder="1" applyAlignment="1">
      <alignment vertical="center"/>
    </xf>
    <xf numFmtId="0" fontId="39" fillId="11" borderId="186" xfId="42" applyFill="1" applyBorder="1" applyAlignment="1">
      <alignment vertical="center"/>
    </xf>
    <xf numFmtId="0" fontId="39" fillId="11" borderId="185" xfId="42" applyFill="1" applyBorder="1" applyAlignment="1">
      <alignment vertical="center"/>
    </xf>
    <xf numFmtId="0" fontId="68" fillId="11" borderId="0" xfId="42" applyFont="1" applyFill="1"/>
    <xf numFmtId="0" fontId="152" fillId="0" borderId="72" xfId="13" applyFont="1" applyBorder="1" applyAlignment="1" applyProtection="1">
      <alignment horizontal="right" vertical="center"/>
      <protection locked="0"/>
    </xf>
    <xf numFmtId="0" fontId="152" fillId="0" borderId="8" xfId="13" applyFont="1" applyBorder="1" applyAlignment="1" applyProtection="1">
      <alignment horizontal="right" vertical="center"/>
      <protection locked="0"/>
    </xf>
    <xf numFmtId="0" fontId="152" fillId="0" borderId="72" xfId="13" applyFont="1" applyBorder="1" applyAlignment="1" applyProtection="1">
      <alignment vertical="center"/>
      <protection locked="0"/>
    </xf>
    <xf numFmtId="0" fontId="152" fillId="0" borderId="0" xfId="13" applyFont="1" applyAlignment="1" applyProtection="1">
      <alignment vertical="center"/>
      <protection locked="0"/>
    </xf>
    <xf numFmtId="0" fontId="152" fillId="0" borderId="0" xfId="13" applyFont="1" applyAlignment="1" applyProtection="1">
      <alignment horizontal="right" vertical="center"/>
      <protection locked="0"/>
    </xf>
    <xf numFmtId="0" fontId="149" fillId="0" borderId="0" xfId="13" applyFont="1" applyAlignment="1" applyProtection="1">
      <alignment horizontal="right"/>
      <protection locked="0"/>
    </xf>
    <xf numFmtId="0" fontId="53" fillId="11" borderId="0" xfId="11" applyFont="1" applyFill="1" applyAlignment="1">
      <alignment horizontal="justify" vertical="center"/>
    </xf>
    <xf numFmtId="0" fontId="47" fillId="11" borderId="0" xfId="0" applyFont="1" applyFill="1" applyAlignment="1">
      <alignment vertical="top"/>
    </xf>
    <xf numFmtId="0" fontId="39" fillId="11" borderId="0" xfId="0" applyFont="1" applyFill="1" applyAlignment="1">
      <alignment vertical="top"/>
    </xf>
    <xf numFmtId="0" fontId="113" fillId="11" borderId="0" xfId="0" applyFont="1" applyFill="1" applyAlignment="1">
      <alignment vertical="top"/>
    </xf>
    <xf numFmtId="0" fontId="39" fillId="11" borderId="0" xfId="0" applyFont="1" applyFill="1" applyAlignment="1">
      <alignment horizontal="center"/>
    </xf>
    <xf numFmtId="0" fontId="39" fillId="11" borderId="7" xfId="0" applyFont="1" applyFill="1" applyBorder="1"/>
    <xf numFmtId="0" fontId="39" fillId="11" borderId="8" xfId="0" applyFont="1" applyFill="1" applyBorder="1"/>
    <xf numFmtId="0" fontId="41" fillId="11" borderId="8" xfId="0" applyFont="1" applyFill="1" applyBorder="1" applyAlignment="1">
      <alignment vertical="top" wrapText="1"/>
    </xf>
    <xf numFmtId="0" fontId="58" fillId="11" borderId="8" xfId="13" applyFont="1" applyFill="1" applyBorder="1" applyAlignment="1">
      <alignment horizontal="right" vertical="center"/>
    </xf>
    <xf numFmtId="0" fontId="53" fillId="11" borderId="0" xfId="11" quotePrefix="1" applyFont="1" applyFill="1" applyAlignment="1">
      <alignment horizontal="right" vertical="center" wrapText="1"/>
    </xf>
    <xf numFmtId="0" fontId="53" fillId="11" borderId="0" xfId="11" quotePrefix="1" applyFont="1" applyFill="1" applyAlignment="1">
      <alignment vertical="top"/>
    </xf>
    <xf numFmtId="0" fontId="53" fillId="11" borderId="0" xfId="11" applyFont="1" applyFill="1" applyAlignment="1">
      <alignment horizontal="left" vertical="top" wrapText="1"/>
    </xf>
    <xf numFmtId="0" fontId="53" fillId="11" borderId="0" xfId="11" quotePrefix="1" applyFont="1" applyFill="1" applyAlignment="1">
      <alignment horizontal="right" vertical="center"/>
    </xf>
    <xf numFmtId="0" fontId="53" fillId="11" borderId="0" xfId="11" applyFont="1" applyFill="1" applyAlignment="1">
      <alignment horizontal="justify" vertical="top" wrapText="1"/>
    </xf>
    <xf numFmtId="0" fontId="41" fillId="11" borderId="0" xfId="0" applyFont="1" applyFill="1" applyAlignment="1">
      <alignment vertical="top" wrapText="1"/>
    </xf>
    <xf numFmtId="0" fontId="53" fillId="11" borderId="0" xfId="11" applyFont="1" applyFill="1" applyAlignment="1">
      <alignment horizontal="justify"/>
    </xf>
    <xf numFmtId="0" fontId="58" fillId="11" borderId="0" xfId="13" applyFont="1" applyFill="1" applyAlignment="1">
      <alignment horizontal="right"/>
    </xf>
    <xf numFmtId="0" fontId="39" fillId="11" borderId="67" xfId="0" applyFont="1" applyFill="1" applyBorder="1"/>
    <xf numFmtId="0" fontId="159" fillId="11" borderId="0" xfId="13" applyFont="1" applyFill="1" applyAlignment="1">
      <alignment horizontal="left"/>
    </xf>
    <xf numFmtId="0" fontId="39" fillId="11" borderId="0" xfId="0" applyFont="1" applyFill="1" applyAlignment="1">
      <alignment horizontal="right"/>
    </xf>
    <xf numFmtId="0" fontId="159" fillId="11" borderId="0" xfId="13" applyFont="1" applyFill="1" applyAlignment="1">
      <alignment horizontal="left" vertical="center"/>
    </xf>
    <xf numFmtId="0" fontId="160" fillId="11" borderId="0" xfId="13" applyFont="1" applyFill="1" applyAlignment="1">
      <alignment horizontal="left" vertical="center"/>
    </xf>
    <xf numFmtId="0" fontId="53" fillId="11" borderId="72" xfId="21" applyFont="1" applyFill="1" applyBorder="1"/>
    <xf numFmtId="0" fontId="39" fillId="11" borderId="72" xfId="0" applyFont="1" applyFill="1" applyBorder="1" applyAlignment="1">
      <alignment horizontal="center" vertical="center"/>
    </xf>
    <xf numFmtId="0" fontId="39" fillId="11" borderId="38" xfId="0" applyFont="1" applyFill="1" applyBorder="1"/>
    <xf numFmtId="0" fontId="68" fillId="11" borderId="0" xfId="22" applyFont="1" applyFill="1" applyAlignment="1">
      <alignment horizontal="left"/>
    </xf>
    <xf numFmtId="0" fontId="41" fillId="11" borderId="0" xfId="22" applyFont="1" applyFill="1" applyAlignment="1">
      <alignment wrapText="1"/>
    </xf>
    <xf numFmtId="0" fontId="41" fillId="11" borderId="0" xfId="22" applyFont="1" applyFill="1" applyAlignment="1">
      <alignment horizontal="justify" vertical="center"/>
    </xf>
    <xf numFmtId="0" fontId="41" fillId="11" borderId="71" xfId="0" applyFont="1" applyFill="1" applyBorder="1"/>
    <xf numFmtId="0" fontId="41" fillId="11" borderId="72" xfId="0" applyFont="1" applyFill="1" applyBorder="1" applyAlignment="1">
      <alignment vertical="center"/>
    </xf>
    <xf numFmtId="0" fontId="41" fillId="11" borderId="74" xfId="0" applyFont="1" applyFill="1" applyBorder="1"/>
    <xf numFmtId="0" fontId="41" fillId="11" borderId="67" xfId="0" applyFont="1" applyFill="1" applyBorder="1"/>
    <xf numFmtId="0" fontId="39" fillId="11" borderId="0" xfId="0" quotePrefix="1" applyFont="1" applyFill="1" applyAlignment="1">
      <alignment horizontal="right" vertical="center"/>
    </xf>
    <xf numFmtId="0" fontId="41" fillId="11" borderId="38" xfId="0" applyFont="1" applyFill="1" applyBorder="1"/>
    <xf numFmtId="0" fontId="48" fillId="11" borderId="7" xfId="22" applyFont="1" applyFill="1" applyBorder="1" applyAlignment="1">
      <alignment vertical="center"/>
    </xf>
    <xf numFmtId="0" fontId="48" fillId="11" borderId="8" xfId="22" applyFont="1" applyFill="1" applyBorder="1" applyAlignment="1">
      <alignment vertical="center"/>
    </xf>
    <xf numFmtId="0" fontId="39" fillId="11" borderId="8" xfId="22" applyFill="1" applyBorder="1" applyAlignment="1">
      <alignment vertical="center" wrapText="1"/>
    </xf>
    <xf numFmtId="0" fontId="44" fillId="11" borderId="0" xfId="12" applyFill="1" applyAlignment="1">
      <alignment horizontal="justify"/>
    </xf>
    <xf numFmtId="0" fontId="44" fillId="11" borderId="0" xfId="12" applyFill="1" applyAlignment="1">
      <alignment vertical="center" wrapText="1"/>
    </xf>
    <xf numFmtId="0" fontId="53" fillId="11" borderId="0" xfId="12" quotePrefix="1" applyFont="1" applyFill="1" applyAlignment="1">
      <alignment vertical="top"/>
    </xf>
    <xf numFmtId="0" fontId="48" fillId="11" borderId="0" xfId="12" applyFont="1" applyFill="1" applyAlignment="1">
      <alignment vertical="top"/>
    </xf>
    <xf numFmtId="0" fontId="53" fillId="11" borderId="0" xfId="12" applyFont="1" applyFill="1" applyAlignment="1">
      <alignment horizontal="right" vertical="top"/>
    </xf>
    <xf numFmtId="0" fontId="57" fillId="11" borderId="0" xfId="12" applyFont="1" applyFill="1" applyAlignment="1">
      <alignment vertical="top"/>
    </xf>
    <xf numFmtId="0" fontId="53" fillId="11" borderId="0" xfId="12" applyFont="1" applyFill="1" applyAlignment="1">
      <alignment horizontal="justify" vertical="top" wrapText="1"/>
    </xf>
    <xf numFmtId="0" fontId="53" fillId="11" borderId="0" xfId="12" applyFont="1" applyFill="1" applyAlignment="1">
      <alignment horizontal="left" vertical="top"/>
    </xf>
    <xf numFmtId="0" fontId="53" fillId="11" borderId="0" xfId="12" quotePrefix="1" applyFont="1" applyFill="1"/>
    <xf numFmtId="0" fontId="57" fillId="11" borderId="0" xfId="12" applyFont="1" applyFill="1" applyAlignment="1">
      <alignment horizontal="justify" vertical="center"/>
    </xf>
    <xf numFmtId="0" fontId="45" fillId="11" borderId="0" xfId="12" applyFont="1" applyFill="1" applyAlignment="1">
      <alignment vertical="center" wrapText="1"/>
    </xf>
    <xf numFmtId="0" fontId="53" fillId="11" borderId="0" xfId="12" applyFont="1" applyFill="1" applyAlignment="1">
      <alignment horizontal="justify" vertical="top"/>
    </xf>
    <xf numFmtId="0" fontId="160" fillId="11" borderId="0" xfId="13" applyFont="1" applyFill="1"/>
    <xf numFmtId="0" fontId="52" fillId="11" borderId="0" xfId="13" applyFont="1" applyFill="1" applyAlignment="1">
      <alignment horizontal="center" vertical="center"/>
    </xf>
    <xf numFmtId="0" fontId="52" fillId="11" borderId="0" xfId="22" applyFont="1" applyFill="1" applyAlignment="1">
      <alignment vertical="center" wrapText="1"/>
    </xf>
    <xf numFmtId="0" fontId="52" fillId="11" borderId="38" xfId="13" applyFont="1" applyFill="1" applyBorder="1" applyAlignment="1">
      <alignment vertical="center"/>
    </xf>
    <xf numFmtId="0" fontId="52" fillId="11" borderId="67" xfId="13" applyFont="1" applyFill="1" applyBorder="1" applyAlignment="1">
      <alignment vertical="center"/>
    </xf>
    <xf numFmtId="0" fontId="48" fillId="11" borderId="0" xfId="13" applyFont="1" applyFill="1" applyAlignment="1">
      <alignment vertical="center" wrapText="1"/>
    </xf>
    <xf numFmtId="0" fontId="85" fillId="11" borderId="7" xfId="13" applyFont="1" applyFill="1" applyBorder="1" applyAlignment="1">
      <alignment horizontal="right" vertical="center"/>
    </xf>
    <xf numFmtId="0" fontId="39" fillId="11" borderId="8" xfId="13" applyFont="1" applyFill="1" applyBorder="1" applyAlignment="1">
      <alignment horizontal="center" vertical="center"/>
    </xf>
    <xf numFmtId="0" fontId="39" fillId="11" borderId="16" xfId="13" applyFont="1" applyFill="1" applyBorder="1" applyAlignment="1">
      <alignment vertical="center" wrapText="1"/>
    </xf>
    <xf numFmtId="0" fontId="39" fillId="11" borderId="8" xfId="22" applyFill="1" applyBorder="1" applyAlignment="1">
      <alignment vertical="center"/>
    </xf>
    <xf numFmtId="0" fontId="39" fillId="11" borderId="16" xfId="22" applyFill="1" applyBorder="1" applyAlignment="1">
      <alignment vertical="center" wrapText="1"/>
    </xf>
    <xf numFmtId="0" fontId="85" fillId="11" borderId="0" xfId="13" applyFont="1" applyFill="1" applyAlignment="1">
      <alignment vertical="center"/>
    </xf>
    <xf numFmtId="0" fontId="159" fillId="11" borderId="0" xfId="13" applyFont="1" applyFill="1" applyAlignment="1">
      <alignment horizontal="left" vertical="top"/>
    </xf>
    <xf numFmtId="0" fontId="52" fillId="11" borderId="0" xfId="13" applyFont="1" applyFill="1" applyAlignment="1">
      <alignment vertical="top"/>
    </xf>
    <xf numFmtId="0" fontId="52" fillId="11" borderId="0" xfId="13" applyFont="1" applyFill="1" applyAlignment="1">
      <alignment vertical="center" wrapText="1"/>
    </xf>
    <xf numFmtId="0" fontId="39" fillId="11" borderId="38" xfId="13" applyFont="1" applyFill="1" applyBorder="1" applyAlignment="1">
      <alignment vertical="center" wrapText="1"/>
    </xf>
    <xf numFmtId="0" fontId="85" fillId="11" borderId="67" xfId="13" applyFont="1" applyFill="1" applyBorder="1" applyAlignment="1">
      <alignment horizontal="right" vertical="center"/>
    </xf>
    <xf numFmtId="0" fontId="52" fillId="11" borderId="0" xfId="13" applyFont="1" applyFill="1" applyAlignment="1">
      <alignment horizontal="left" vertical="center"/>
    </xf>
    <xf numFmtId="0" fontId="39" fillId="11" borderId="27" xfId="13" applyFont="1" applyFill="1" applyBorder="1" applyAlignment="1">
      <alignment vertical="center"/>
    </xf>
    <xf numFmtId="0" fontId="39" fillId="11" borderId="27" xfId="22" applyFill="1" applyBorder="1" applyAlignment="1">
      <alignment vertical="center"/>
    </xf>
    <xf numFmtId="0" fontId="52" fillId="11" borderId="27" xfId="13" applyFont="1" applyFill="1" applyBorder="1" applyAlignment="1">
      <alignment vertical="center"/>
    </xf>
    <xf numFmtId="0" fontId="39" fillId="11" borderId="33" xfId="22" applyFill="1" applyBorder="1" applyAlignment="1">
      <alignment vertical="center"/>
    </xf>
    <xf numFmtId="0" fontId="52" fillId="11" borderId="0" xfId="13" applyFont="1" applyFill="1" applyAlignment="1">
      <alignment horizontal="left" vertical="center" indent="1"/>
    </xf>
    <xf numFmtId="0" fontId="39" fillId="11" borderId="5" xfId="13" applyFont="1" applyFill="1" applyBorder="1" applyAlignment="1">
      <alignment vertical="center"/>
    </xf>
    <xf numFmtId="0" fontId="41" fillId="11" borderId="5" xfId="22" applyFont="1" applyFill="1" applyBorder="1" applyAlignment="1">
      <alignment horizontal="left" vertical="center"/>
    </xf>
    <xf numFmtId="0" fontId="39" fillId="11" borderId="5" xfId="22" applyFill="1" applyBorder="1" applyAlignment="1">
      <alignment vertical="center"/>
    </xf>
    <xf numFmtId="0" fontId="39" fillId="11" borderId="28" xfId="22" applyFill="1" applyBorder="1" applyAlignment="1">
      <alignment vertical="center"/>
    </xf>
    <xf numFmtId="0" fontId="48" fillId="11" borderId="5" xfId="22" applyFont="1" applyFill="1" applyBorder="1" applyAlignment="1">
      <alignment vertical="center"/>
    </xf>
    <xf numFmtId="0" fontId="48" fillId="11" borderId="28" xfId="22" applyFont="1" applyFill="1" applyBorder="1" applyAlignment="1">
      <alignment vertical="center"/>
    </xf>
    <xf numFmtId="0" fontId="52" fillId="11" borderId="5" xfId="13" applyFont="1" applyFill="1" applyBorder="1" applyAlignment="1">
      <alignment vertical="center"/>
    </xf>
    <xf numFmtId="0" fontId="39" fillId="11" borderId="26" xfId="13" applyFont="1" applyFill="1" applyBorder="1" applyAlignment="1">
      <alignment vertical="center"/>
    </xf>
    <xf numFmtId="0" fontId="39" fillId="11" borderId="26" xfId="13" applyFont="1" applyFill="1" applyBorder="1" applyAlignment="1">
      <alignment vertical="center" wrapText="1"/>
    </xf>
    <xf numFmtId="0" fontId="39" fillId="11" borderId="78" xfId="13" applyFont="1" applyFill="1" applyBorder="1" applyAlignment="1">
      <alignment vertical="center" wrapText="1"/>
    </xf>
    <xf numFmtId="0" fontId="48" fillId="11" borderId="0" xfId="13" applyFont="1" applyFill="1" applyAlignment="1">
      <alignment vertical="top"/>
    </xf>
    <xf numFmtId="0" fontId="48" fillId="11" borderId="0" xfId="13" applyFont="1" applyFill="1" applyAlignment="1">
      <alignment vertical="top" wrapText="1"/>
    </xf>
    <xf numFmtId="0" fontId="85" fillId="11" borderId="0" xfId="13" applyFont="1" applyFill="1" applyAlignment="1">
      <alignment horizontal="right" vertical="top"/>
    </xf>
    <xf numFmtId="0" fontId="41" fillId="11" borderId="72" xfId="22" applyFont="1" applyFill="1" applyBorder="1"/>
    <xf numFmtId="0" fontId="41" fillId="11" borderId="72" xfId="22" applyFont="1" applyFill="1" applyBorder="1" applyAlignment="1">
      <alignment wrapText="1"/>
    </xf>
    <xf numFmtId="0" fontId="152" fillId="0" borderId="0" xfId="13" applyFont="1" applyAlignment="1" applyProtection="1">
      <alignment horizontal="right" vertical="top"/>
      <protection locked="0"/>
    </xf>
    <xf numFmtId="0" fontId="152" fillId="0" borderId="0" xfId="13" applyFont="1" applyAlignment="1" applyProtection="1">
      <alignment horizontal="center" vertical="center"/>
      <protection locked="0"/>
    </xf>
    <xf numFmtId="0" fontId="152" fillId="0" borderId="0" xfId="13" applyFont="1" applyAlignment="1" applyProtection="1">
      <alignment horizontal="right"/>
      <protection locked="0"/>
    </xf>
    <xf numFmtId="0" fontId="152" fillId="0" borderId="6" xfId="13" applyFont="1" applyBorder="1" applyAlignment="1" applyProtection="1">
      <alignment horizontal="right" vertical="center"/>
      <protection locked="0"/>
    </xf>
    <xf numFmtId="0" fontId="152" fillId="0" borderId="4" xfId="13" applyFont="1" applyBorder="1" applyAlignment="1" applyProtection="1">
      <alignment horizontal="right" vertical="center"/>
      <protection locked="0"/>
    </xf>
    <xf numFmtId="0" fontId="152" fillId="0" borderId="77" xfId="13" applyFont="1" applyBorder="1" applyAlignment="1" applyProtection="1">
      <alignment horizontal="right" vertical="center"/>
      <protection locked="0"/>
    </xf>
    <xf numFmtId="0" fontId="39" fillId="11" borderId="67" xfId="44" applyFont="1" applyFill="1" applyBorder="1"/>
    <xf numFmtId="0" fontId="41" fillId="11" borderId="0" xfId="22" applyFont="1" applyFill="1" applyAlignment="1">
      <alignment horizontal="left" vertical="center" indent="1"/>
    </xf>
    <xf numFmtId="0" fontId="39" fillId="11" borderId="0" xfId="44" applyFont="1" applyFill="1"/>
    <xf numFmtId="0" fontId="41" fillId="11" borderId="0" xfId="44" applyFont="1" applyFill="1" applyAlignment="1">
      <alignment horizontal="right"/>
    </xf>
    <xf numFmtId="0" fontId="45" fillId="11" borderId="0" xfId="22" quotePrefix="1" applyFont="1" applyFill="1" applyAlignment="1">
      <alignment horizontal="left" vertical="center" indent="1"/>
    </xf>
    <xf numFmtId="0" fontId="39" fillId="11" borderId="72" xfId="44" applyFont="1" applyFill="1" applyBorder="1"/>
    <xf numFmtId="0" fontId="41" fillId="11" borderId="72" xfId="22" applyFont="1" applyFill="1" applyBorder="1" applyAlignment="1">
      <alignment horizontal="left" vertical="center" indent="1"/>
    </xf>
    <xf numFmtId="0" fontId="39" fillId="11" borderId="72" xfId="14" applyFont="1" applyFill="1" applyBorder="1" applyAlignment="1">
      <alignment horizontal="left" vertical="center"/>
    </xf>
    <xf numFmtId="0" fontId="45" fillId="11" borderId="0" xfId="0" quotePrefix="1" applyFont="1" applyFill="1" applyAlignment="1">
      <alignment horizontal="right"/>
    </xf>
    <xf numFmtId="0" fontId="113" fillId="11" borderId="0" xfId="0" applyFont="1" applyFill="1"/>
    <xf numFmtId="0" fontId="57" fillId="11" borderId="0" xfId="11" applyFont="1" applyFill="1" applyAlignment="1">
      <alignment horizontal="justify" vertical="center"/>
    </xf>
    <xf numFmtId="0" fontId="57" fillId="11" borderId="0" xfId="11" applyFont="1" applyFill="1" applyAlignment="1">
      <alignment horizontal="justify" vertical="top"/>
    </xf>
    <xf numFmtId="0" fontId="48" fillId="11" borderId="0" xfId="11" applyFont="1" applyFill="1" applyAlignment="1">
      <alignment vertical="top"/>
    </xf>
    <xf numFmtId="0" fontId="53" fillId="11" borderId="0" xfId="11" applyFont="1" applyFill="1" applyAlignment="1">
      <alignment horizontal="right" vertical="top"/>
    </xf>
    <xf numFmtId="0" fontId="53" fillId="11" borderId="0" xfId="11" applyFont="1" applyFill="1" applyAlignment="1">
      <alignment horizontal="justify" vertical="top"/>
    </xf>
    <xf numFmtId="0" fontId="48" fillId="11" borderId="0" xfId="11" applyFont="1" applyFill="1" applyAlignment="1">
      <alignment horizontal="justify"/>
    </xf>
    <xf numFmtId="0" fontId="52" fillId="11" borderId="0" xfId="11" applyFont="1" applyFill="1" applyAlignment="1">
      <alignment horizontal="justify"/>
    </xf>
    <xf numFmtId="0" fontId="52" fillId="11" borderId="0" xfId="11" applyFont="1" applyFill="1" applyAlignment="1">
      <alignment horizontal="justify" vertical="center"/>
    </xf>
    <xf numFmtId="0" fontId="39" fillId="11" borderId="0" xfId="26" applyFill="1"/>
    <xf numFmtId="0" fontId="39" fillId="11" borderId="0" xfId="88" applyFont="1" applyFill="1"/>
    <xf numFmtId="0" fontId="41" fillId="11" borderId="71" xfId="22" applyFont="1" applyFill="1" applyBorder="1"/>
    <xf numFmtId="0" fontId="41" fillId="11" borderId="0" xfId="22" applyFont="1" applyFill="1" applyAlignment="1">
      <alignment horizontal="left"/>
    </xf>
    <xf numFmtId="0" fontId="45" fillId="11" borderId="0" xfId="13" applyFont="1" applyFill="1" applyAlignment="1">
      <alignment horizontal="right"/>
    </xf>
    <xf numFmtId="0" fontId="41" fillId="11" borderId="0" xfId="22" applyFont="1" applyFill="1" applyAlignment="1">
      <alignment horizontal="right"/>
    </xf>
    <xf numFmtId="0" fontId="41" fillId="11" borderId="0" xfId="13" applyFont="1" applyFill="1"/>
    <xf numFmtId="0" fontId="41" fillId="11" borderId="0" xfId="13" applyFont="1" applyFill="1" applyAlignment="1">
      <alignment horizontal="left" vertical="center" wrapText="1"/>
    </xf>
    <xf numFmtId="0" fontId="70" fillId="11" borderId="0" xfId="13" applyFont="1" applyFill="1" applyAlignment="1">
      <alignment horizontal="center" vertical="center"/>
    </xf>
    <xf numFmtId="0" fontId="48" fillId="11" borderId="0" xfId="11" quotePrefix="1" applyFont="1" applyFill="1"/>
    <xf numFmtId="0" fontId="52" fillId="11" borderId="0" xfId="11" quotePrefix="1" applyFont="1" applyFill="1"/>
    <xf numFmtId="0" fontId="53" fillId="11" borderId="0" xfId="11" quotePrefix="1" applyFont="1" applyFill="1" applyAlignment="1">
      <alignment horizontal="right"/>
    </xf>
    <xf numFmtId="0" fontId="39" fillId="11" borderId="6" xfId="13" applyFont="1" applyFill="1" applyBorder="1" applyAlignment="1">
      <alignment horizontal="left" vertical="center" indent="3"/>
    </xf>
    <xf numFmtId="0" fontId="39" fillId="11" borderId="27" xfId="13" applyFont="1" applyFill="1" applyBorder="1" applyAlignment="1">
      <alignment vertical="center" wrapText="1"/>
    </xf>
    <xf numFmtId="0" fontId="39" fillId="11" borderId="33" xfId="13" applyFont="1" applyFill="1" applyBorder="1" applyAlignment="1">
      <alignment vertical="center" wrapText="1"/>
    </xf>
    <xf numFmtId="0" fontId="39" fillId="11" borderId="4" xfId="13" applyFont="1" applyFill="1" applyBorder="1" applyAlignment="1">
      <alignment horizontal="left" vertical="center" indent="3"/>
    </xf>
    <xf numFmtId="0" fontId="39" fillId="11" borderId="28" xfId="13" applyFont="1" applyFill="1" applyBorder="1" applyAlignment="1">
      <alignment vertical="center" wrapText="1"/>
    </xf>
    <xf numFmtId="0" fontId="39" fillId="11" borderId="40" xfId="13" applyFont="1" applyFill="1" applyBorder="1" applyAlignment="1">
      <alignment vertical="center"/>
    </xf>
    <xf numFmtId="0" fontId="39" fillId="11" borderId="40" xfId="13" applyFont="1" applyFill="1" applyBorder="1" applyAlignment="1">
      <alignment vertical="center" wrapText="1"/>
    </xf>
    <xf numFmtId="0" fontId="39" fillId="11" borderId="45" xfId="13" applyFont="1" applyFill="1" applyBorder="1" applyAlignment="1">
      <alignment vertical="center" wrapText="1"/>
    </xf>
    <xf numFmtId="0" fontId="55" fillId="11" borderId="17" xfId="13" applyFont="1" applyFill="1" applyBorder="1" applyAlignment="1">
      <alignment horizontal="left" vertical="center" indent="1"/>
    </xf>
    <xf numFmtId="0" fontId="41" fillId="11" borderId="10" xfId="13" applyFont="1" applyFill="1" applyBorder="1" applyAlignment="1">
      <alignment vertical="center"/>
    </xf>
    <xf numFmtId="0" fontId="41" fillId="11" borderId="22" xfId="13" applyFont="1" applyFill="1" applyBorder="1" applyAlignment="1">
      <alignment vertical="center"/>
    </xf>
    <xf numFmtId="0" fontId="41" fillId="11" borderId="0" xfId="13" applyFont="1" applyFill="1" applyAlignment="1">
      <alignment horizontal="left" vertical="center" indent="2"/>
    </xf>
    <xf numFmtId="0" fontId="39" fillId="11" borderId="8" xfId="13" applyFont="1" applyFill="1" applyBorder="1" applyAlignment="1">
      <alignment vertical="center" wrapText="1"/>
    </xf>
    <xf numFmtId="0" fontId="39" fillId="11" borderId="17" xfId="13" applyFont="1" applyFill="1" applyBorder="1" applyAlignment="1">
      <alignment horizontal="left" vertical="center" indent="3"/>
    </xf>
    <xf numFmtId="0" fontId="39" fillId="11" borderId="10" xfId="13" applyFont="1" applyFill="1" applyBorder="1" applyAlignment="1">
      <alignment horizontal="left" vertical="center"/>
    </xf>
    <xf numFmtId="0" fontId="39" fillId="11" borderId="10" xfId="13" applyFont="1" applyFill="1" applyBorder="1" applyAlignment="1">
      <alignment vertical="center" wrapText="1"/>
    </xf>
    <xf numFmtId="0" fontId="39" fillId="11" borderId="10" xfId="13" applyFont="1" applyFill="1" applyBorder="1" applyAlignment="1">
      <alignment horizontal="left" vertical="center" indent="3"/>
    </xf>
    <xf numFmtId="0" fontId="39" fillId="11" borderId="22" xfId="13" applyFont="1" applyFill="1" applyBorder="1" applyAlignment="1">
      <alignment horizontal="left" vertical="center" indent="3"/>
    </xf>
    <xf numFmtId="0" fontId="39" fillId="11" borderId="27" xfId="13" applyFont="1" applyFill="1" applyBorder="1" applyAlignment="1">
      <alignment horizontal="left" vertical="center"/>
    </xf>
    <xf numFmtId="0" fontId="39" fillId="11" borderId="27" xfId="13" applyFont="1" applyFill="1" applyBorder="1" applyAlignment="1">
      <alignment horizontal="left" vertical="center" indent="3"/>
    </xf>
    <xf numFmtId="0" fontId="39" fillId="11" borderId="33" xfId="13" applyFont="1" applyFill="1" applyBorder="1" applyAlignment="1">
      <alignment horizontal="left" vertical="center" indent="3"/>
    </xf>
    <xf numFmtId="0" fontId="39" fillId="11" borderId="7" xfId="13" applyFont="1" applyFill="1" applyBorder="1" applyAlignment="1">
      <alignment horizontal="left" vertical="center" indent="1"/>
    </xf>
    <xf numFmtId="0" fontId="39" fillId="11" borderId="8" xfId="13" applyFont="1" applyFill="1" applyBorder="1" applyAlignment="1">
      <alignment horizontal="left" vertical="center"/>
    </xf>
    <xf numFmtId="0" fontId="39" fillId="11" borderId="17" xfId="13" applyFont="1" applyFill="1" applyBorder="1" applyAlignment="1">
      <alignment horizontal="left" vertical="center" indent="1"/>
    </xf>
    <xf numFmtId="0" fontId="39" fillId="11" borderId="4" xfId="13" applyFont="1" applyFill="1" applyBorder="1" applyAlignment="1">
      <alignment horizontal="left" vertical="center" indent="1"/>
    </xf>
    <xf numFmtId="0" fontId="39" fillId="11" borderId="5" xfId="13" applyFont="1" applyFill="1" applyBorder="1" applyAlignment="1">
      <alignment horizontal="left" vertical="center"/>
    </xf>
    <xf numFmtId="0" fontId="39" fillId="11" borderId="5" xfId="13" applyFont="1" applyFill="1" applyBorder="1" applyAlignment="1">
      <alignment vertical="center" wrapText="1"/>
    </xf>
    <xf numFmtId="0" fontId="39" fillId="11" borderId="28" xfId="13" applyFont="1" applyFill="1" applyBorder="1" applyAlignment="1">
      <alignment vertical="center"/>
    </xf>
    <xf numFmtId="0" fontId="61" fillId="11" borderId="0" xfId="13" applyFont="1" applyFill="1"/>
    <xf numFmtId="0" fontId="39" fillId="11" borderId="8" xfId="26" applyFill="1" applyBorder="1" applyAlignment="1">
      <alignment vertical="top" wrapText="1"/>
    </xf>
    <xf numFmtId="0" fontId="58" fillId="11" borderId="8" xfId="13" applyFont="1" applyFill="1" applyBorder="1" applyAlignment="1">
      <alignment vertical="center"/>
    </xf>
    <xf numFmtId="0" fontId="39" fillId="11" borderId="0" xfId="26" applyFill="1" applyAlignment="1">
      <alignment horizontal="left"/>
    </xf>
    <xf numFmtId="0" fontId="39" fillId="11" borderId="0" xfId="26" applyFill="1" applyAlignment="1">
      <alignment horizontal="left" wrapText="1"/>
    </xf>
    <xf numFmtId="0" fontId="62" fillId="11" borderId="0" xfId="13" applyFont="1" applyFill="1" applyAlignment="1">
      <alignment horizontal="left" wrapText="1"/>
    </xf>
    <xf numFmtId="0" fontId="39" fillId="11" borderId="0" xfId="26" applyFill="1" applyAlignment="1">
      <alignment vertical="top" wrapText="1"/>
    </xf>
    <xf numFmtId="0" fontId="159" fillId="11" borderId="0" xfId="13" applyFont="1" applyFill="1" applyAlignment="1">
      <alignment vertical="top"/>
    </xf>
    <xf numFmtId="0" fontId="52" fillId="11" borderId="0" xfId="14" applyFont="1" applyFill="1" applyAlignment="1">
      <alignment horizontal="center"/>
    </xf>
    <xf numFmtId="0" fontId="39" fillId="11" borderId="38" xfId="35" applyFill="1" applyBorder="1"/>
    <xf numFmtId="0" fontId="39" fillId="11" borderId="7" xfId="26" applyFill="1" applyBorder="1" applyAlignment="1">
      <alignment horizontal="left" indent="1"/>
    </xf>
    <xf numFmtId="0" fontId="39" fillId="11" borderId="8" xfId="26" applyFill="1" applyBorder="1" applyAlignment="1">
      <alignment vertical="center"/>
    </xf>
    <xf numFmtId="0" fontId="39" fillId="11" borderId="8" xfId="35" applyFill="1" applyBorder="1" applyAlignment="1">
      <alignment vertical="center"/>
    </xf>
    <xf numFmtId="0" fontId="39" fillId="11" borderId="16" xfId="35" applyFill="1" applyBorder="1" applyAlignment="1">
      <alignment vertical="center"/>
    </xf>
    <xf numFmtId="0" fontId="58" fillId="11" borderId="38" xfId="13" applyFont="1" applyFill="1" applyBorder="1" applyAlignment="1">
      <alignment horizontal="right"/>
    </xf>
    <xf numFmtId="0" fontId="39" fillId="11" borderId="0" xfId="26" applyFill="1" applyAlignment="1">
      <alignment wrapText="1"/>
    </xf>
    <xf numFmtId="0" fontId="62" fillId="11" borderId="0" xfId="13" applyFont="1" applyFill="1" applyAlignment="1">
      <alignment horizontal="left" vertical="center" wrapText="1"/>
    </xf>
    <xf numFmtId="0" fontId="160" fillId="11" borderId="0" xfId="35" applyFont="1" applyFill="1" applyAlignment="1">
      <alignment vertical="center"/>
    </xf>
    <xf numFmtId="0" fontId="45" fillId="11" borderId="72" xfId="11" applyFont="1" applyFill="1" applyBorder="1" applyAlignment="1">
      <alignment vertical="center"/>
    </xf>
    <xf numFmtId="17" fontId="41" fillId="11" borderId="0" xfId="26" applyNumberFormat="1" applyFont="1" applyFill="1" applyAlignment="1">
      <alignment horizontal="center" wrapText="1"/>
    </xf>
    <xf numFmtId="0" fontId="41" fillId="11" borderId="72" xfId="26" applyFont="1" applyFill="1" applyBorder="1" applyAlignment="1">
      <alignment vertical="center"/>
    </xf>
    <xf numFmtId="0" fontId="59" fillId="11" borderId="72" xfId="13" applyFont="1" applyFill="1" applyBorder="1" applyAlignment="1">
      <alignment horizontal="left" vertical="center" wrapText="1"/>
    </xf>
    <xf numFmtId="0" fontId="58" fillId="11" borderId="74" xfId="13" applyFont="1" applyFill="1" applyBorder="1" applyAlignment="1">
      <alignment horizontal="right" vertical="center"/>
    </xf>
    <xf numFmtId="0" fontId="45" fillId="11" borderId="0" xfId="26" quotePrefix="1" applyFont="1" applyFill="1"/>
    <xf numFmtId="0" fontId="68" fillId="11" borderId="0" xfId="13" applyFont="1" applyFill="1"/>
    <xf numFmtId="0" fontId="71" fillId="11" borderId="0" xfId="13" applyFont="1" applyFill="1" applyAlignment="1">
      <alignment horizontal="right" vertical="center"/>
    </xf>
    <xf numFmtId="0" fontId="71" fillId="11" borderId="0" xfId="13" applyFont="1" applyFill="1" applyAlignment="1">
      <alignment horizontal="left" vertical="center"/>
    </xf>
    <xf numFmtId="0" fontId="52" fillId="11" borderId="0" xfId="35" applyFont="1" applyFill="1"/>
    <xf numFmtId="0" fontId="63" fillId="11" borderId="0" xfId="35" applyFont="1" applyFill="1"/>
    <xf numFmtId="20" fontId="52" fillId="11" borderId="0" xfId="35" applyNumberFormat="1" applyFont="1" applyFill="1"/>
    <xf numFmtId="16" fontId="39" fillId="11" borderId="0" xfId="35" quotePrefix="1" applyNumberFormat="1" applyFill="1"/>
    <xf numFmtId="0" fontId="42" fillId="11" borderId="0" xfId="15" applyFont="1" applyFill="1" applyAlignment="1">
      <alignment vertical="top"/>
    </xf>
    <xf numFmtId="0" fontId="39" fillId="11" borderId="8" xfId="35" applyFill="1" applyBorder="1" applyAlignment="1">
      <alignment horizontal="left" vertical="center"/>
    </xf>
    <xf numFmtId="0" fontId="39" fillId="11" borderId="8" xfId="35" applyFill="1" applyBorder="1" applyAlignment="1">
      <alignment horizontal="left" vertical="center" wrapText="1"/>
    </xf>
    <xf numFmtId="0" fontId="65" fillId="11" borderId="8" xfId="13" applyFont="1" applyFill="1" applyBorder="1" applyAlignment="1">
      <alignment horizontal="center" vertical="center"/>
    </xf>
    <xf numFmtId="0" fontId="65" fillId="11" borderId="8" xfId="13" applyFont="1" applyFill="1" applyBorder="1" applyAlignment="1">
      <alignment horizontal="right" vertical="center"/>
    </xf>
    <xf numFmtId="0" fontId="64" fillId="11" borderId="0" xfId="35" applyFont="1" applyFill="1"/>
    <xf numFmtId="0" fontId="39" fillId="11" borderId="67" xfId="35" applyFill="1" applyBorder="1" applyAlignment="1">
      <alignment horizontal="left" vertical="center"/>
    </xf>
    <xf numFmtId="0" fontId="39" fillId="11" borderId="0" xfId="35" applyFill="1" applyAlignment="1">
      <alignment horizontal="left" vertical="center" wrapText="1"/>
    </xf>
    <xf numFmtId="0" fontId="39" fillId="11" borderId="67" xfId="35" applyFill="1" applyBorder="1" applyAlignment="1">
      <alignment horizontal="left" vertical="center" indent="2"/>
    </xf>
    <xf numFmtId="0" fontId="39" fillId="11" borderId="0" xfId="35" applyFill="1" applyAlignment="1">
      <alignment horizontal="left" vertical="center" indent="2"/>
    </xf>
    <xf numFmtId="0" fontId="65" fillId="11" borderId="0" xfId="13" applyFont="1" applyFill="1" applyAlignment="1">
      <alignment horizontal="center" vertical="center"/>
    </xf>
    <xf numFmtId="0" fontId="160" fillId="11" borderId="0" xfId="35" applyFont="1" applyFill="1" applyAlignment="1">
      <alignment vertical="top"/>
    </xf>
    <xf numFmtId="0" fontId="159" fillId="11" borderId="0" xfId="35" applyFont="1" applyFill="1"/>
    <xf numFmtId="0" fontId="68" fillId="11" borderId="0" xfId="35" applyFont="1" applyFill="1"/>
    <xf numFmtId="0" fontId="41" fillId="11" borderId="71" xfId="35" applyFont="1" applyFill="1" applyBorder="1"/>
    <xf numFmtId="0" fontId="41" fillId="11" borderId="72" xfId="35" applyFont="1" applyFill="1" applyBorder="1"/>
    <xf numFmtId="0" fontId="39" fillId="11" borderId="74" xfId="35" applyFill="1" applyBorder="1"/>
    <xf numFmtId="0" fontId="39" fillId="11" borderId="0" xfId="35" applyFill="1" applyAlignment="1">
      <alignment vertical="center" wrapText="1"/>
    </xf>
    <xf numFmtId="0" fontId="61" fillId="11" borderId="0" xfId="26" applyFont="1" applyFill="1"/>
    <xf numFmtId="0" fontId="61" fillId="11" borderId="0" xfId="26" applyFont="1" applyFill="1" applyAlignment="1">
      <alignment wrapText="1"/>
    </xf>
    <xf numFmtId="0" fontId="76" fillId="11" borderId="0" xfId="35" applyFont="1" applyFill="1"/>
    <xf numFmtId="0" fontId="45" fillId="11" borderId="0" xfId="26" applyFont="1" applyFill="1" applyAlignment="1">
      <alignment horizontal="left"/>
    </xf>
    <xf numFmtId="1" fontId="53" fillId="11" borderId="0" xfId="12" quotePrefix="1" applyNumberFormat="1" applyFont="1" applyFill="1" applyAlignment="1">
      <alignment horizontal="right" vertical="top"/>
    </xf>
    <xf numFmtId="0" fontId="45" fillId="11" borderId="0" xfId="13" applyFont="1" applyFill="1" applyAlignment="1">
      <alignment horizontal="left" vertical="center"/>
    </xf>
    <xf numFmtId="0" fontId="41" fillId="11" borderId="46" xfId="26" applyFont="1" applyFill="1" applyBorder="1" applyAlignment="1">
      <alignment vertical="center"/>
    </xf>
    <xf numFmtId="0" fontId="41" fillId="11" borderId="47" xfId="26" applyFont="1" applyFill="1" applyBorder="1" applyAlignment="1">
      <alignment vertical="center"/>
    </xf>
    <xf numFmtId="0" fontId="41" fillId="11" borderId="52" xfId="26" applyFont="1" applyFill="1" applyBorder="1" applyAlignment="1">
      <alignment vertical="center"/>
    </xf>
    <xf numFmtId="0" fontId="39" fillId="11" borderId="67" xfId="26" applyFill="1" applyBorder="1" applyAlignment="1">
      <alignment vertical="center"/>
    </xf>
    <xf numFmtId="0" fontId="62" fillId="11" borderId="38" xfId="13" applyFont="1" applyFill="1" applyBorder="1" applyAlignment="1">
      <alignment horizontal="right"/>
    </xf>
    <xf numFmtId="0" fontId="39" fillId="11" borderId="16" xfId="35" applyFill="1" applyBorder="1"/>
    <xf numFmtId="0" fontId="52" fillId="11" borderId="27" xfId="0" applyFont="1" applyFill="1" applyBorder="1"/>
    <xf numFmtId="0" fontId="39" fillId="11" borderId="17" xfId="26" applyFill="1" applyBorder="1" applyAlignment="1">
      <alignment vertical="center"/>
    </xf>
    <xf numFmtId="0" fontId="39" fillId="11" borderId="10" xfId="26" applyFill="1" applyBorder="1" applyAlignment="1">
      <alignment vertical="center"/>
    </xf>
    <xf numFmtId="0" fontId="39" fillId="11" borderId="22" xfId="26" applyFill="1" applyBorder="1" applyAlignment="1">
      <alignment vertical="center"/>
    </xf>
    <xf numFmtId="0" fontId="39" fillId="11" borderId="4" xfId="26" applyFill="1" applyBorder="1" applyAlignment="1">
      <alignment vertical="center"/>
    </xf>
    <xf numFmtId="0" fontId="39" fillId="11" borderId="5" xfId="26" applyFill="1" applyBorder="1" applyAlignment="1">
      <alignment vertical="center"/>
    </xf>
    <xf numFmtId="0" fontId="39" fillId="11" borderId="28"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0" fontId="39" fillId="11" borderId="78" xfId="26" applyFill="1" applyBorder="1" applyAlignment="1">
      <alignment vertical="center"/>
    </xf>
    <xf numFmtId="0" fontId="41" fillId="11" borderId="0" xfId="26" applyFont="1" applyFill="1" applyAlignment="1">
      <alignment horizontal="left"/>
    </xf>
    <xf numFmtId="0" fontId="39" fillId="11" borderId="0" xfId="35" quotePrefix="1" applyFill="1" applyAlignment="1">
      <alignment horizontal="right"/>
    </xf>
    <xf numFmtId="0" fontId="41" fillId="11" borderId="67" xfId="26" applyFont="1" applyFill="1" applyBorder="1" applyAlignment="1">
      <alignment vertical="center" wrapText="1"/>
    </xf>
    <xf numFmtId="0" fontId="39" fillId="11" borderId="17" xfId="26" applyFill="1" applyBorder="1" applyAlignment="1">
      <alignment horizontal="left" vertical="center" indent="1"/>
    </xf>
    <xf numFmtId="0" fontId="39" fillId="11" borderId="10" xfId="26" applyFill="1" applyBorder="1" applyAlignment="1">
      <alignment horizontal="left" vertical="center" indent="1"/>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0" xfId="26" applyFill="1" applyBorder="1" applyAlignment="1">
      <alignment vertical="center"/>
    </xf>
    <xf numFmtId="0" fontId="39" fillId="11" borderId="45" xfId="26" applyFill="1" applyBorder="1" applyAlignment="1">
      <alignment vertical="center"/>
    </xf>
    <xf numFmtId="0" fontId="41" fillId="11" borderId="67" xfId="26" applyFont="1" applyFill="1" applyBorder="1" applyAlignment="1">
      <alignment vertical="center"/>
    </xf>
    <xf numFmtId="0" fontId="39" fillId="11" borderId="0" xfId="26" applyFill="1" applyAlignment="1">
      <alignment horizontal="center" vertical="center"/>
    </xf>
    <xf numFmtId="0" fontId="39" fillId="11" borderId="38" xfId="26" applyFill="1" applyBorder="1" applyAlignment="1">
      <alignment vertical="center"/>
    </xf>
    <xf numFmtId="0" fontId="62" fillId="11" borderId="0" xfId="13" applyFont="1" applyFill="1" applyAlignment="1">
      <alignment horizontal="right"/>
    </xf>
    <xf numFmtId="1" fontId="53" fillId="11" borderId="0" xfId="12" quotePrefix="1" applyNumberFormat="1" applyFont="1" applyFill="1" applyAlignment="1">
      <alignment horizontal="right"/>
    </xf>
    <xf numFmtId="0" fontId="48" fillId="11" borderId="0" xfId="35" applyFont="1" applyFill="1" applyAlignment="1">
      <alignment vertical="center" wrapText="1"/>
    </xf>
    <xf numFmtId="1" fontId="53" fillId="11" borderId="0" xfId="12" quotePrefix="1" applyNumberFormat="1" applyFont="1" applyFill="1" applyAlignment="1">
      <alignment horizontal="right" vertical="center"/>
    </xf>
    <xf numFmtId="0" fontId="52" fillId="11" borderId="0" xfId="35" applyFont="1" applyFill="1" applyAlignment="1">
      <alignment vertical="top"/>
    </xf>
    <xf numFmtId="0" fontId="48" fillId="11" borderId="0" xfId="35" applyFont="1" applyFill="1" applyAlignment="1">
      <alignment vertical="top" wrapText="1"/>
    </xf>
    <xf numFmtId="0" fontId="39" fillId="11" borderId="0" xfId="26" applyFill="1" applyAlignment="1">
      <alignment horizontal="center" vertical="center" wrapText="1"/>
    </xf>
    <xf numFmtId="0" fontId="39" fillId="11" borderId="38" xfId="26" applyFill="1" applyBorder="1" applyAlignment="1">
      <alignment vertical="center" wrapText="1"/>
    </xf>
    <xf numFmtId="0" fontId="39" fillId="11" borderId="0" xfId="26" applyFill="1" applyAlignment="1">
      <alignment horizontal="left" vertical="center" indent="1"/>
    </xf>
    <xf numFmtId="0" fontId="41" fillId="11" borderId="0" xfId="26" applyFont="1" applyFill="1" applyAlignment="1">
      <alignment horizontal="center" vertical="center" wrapText="1"/>
    </xf>
    <xf numFmtId="0" fontId="41" fillId="11" borderId="38" xfId="26" applyFont="1" applyFill="1" applyBorder="1" applyAlignment="1">
      <alignment vertical="center" wrapText="1"/>
    </xf>
    <xf numFmtId="0" fontId="41" fillId="11" borderId="0" xfId="26" applyFont="1" applyFill="1" applyAlignment="1">
      <alignment vertical="center" wrapText="1"/>
    </xf>
    <xf numFmtId="0" fontId="45" fillId="11" borderId="0" xfId="35" applyFont="1" applyFill="1" applyAlignment="1">
      <alignment vertical="center"/>
    </xf>
    <xf numFmtId="0" fontId="41" fillId="11" borderId="0" xfId="35" applyFont="1" applyFill="1" applyAlignment="1">
      <alignment vertical="center" wrapText="1"/>
    </xf>
    <xf numFmtId="0" fontId="39" fillId="11" borderId="10" xfId="26" applyFill="1" applyBorder="1" applyAlignment="1">
      <alignment vertical="center" wrapText="1"/>
    </xf>
    <xf numFmtId="0" fontId="39" fillId="11" borderId="22" xfId="26" applyFill="1" applyBorder="1" applyAlignment="1">
      <alignment vertical="center" wrapText="1"/>
    </xf>
    <xf numFmtId="0" fontId="39" fillId="11" borderId="39" xfId="26" applyFill="1" applyBorder="1" applyAlignment="1">
      <alignment vertical="center"/>
    </xf>
    <xf numFmtId="0" fontId="61" fillId="11" borderId="38" xfId="13" applyFont="1" applyFill="1" applyBorder="1"/>
    <xf numFmtId="0" fontId="58" fillId="11" borderId="38" xfId="13" applyFont="1" applyFill="1" applyBorder="1" applyAlignment="1">
      <alignment horizontal="right" vertical="center"/>
    </xf>
    <xf numFmtId="0" fontId="61" fillId="11" borderId="0" xfId="35" applyFont="1" applyFill="1" applyAlignment="1">
      <alignment horizontal="left" vertical="center" wrapText="1"/>
    </xf>
    <xf numFmtId="0" fontId="41" fillId="11" borderId="0" xfId="35" applyFont="1" applyFill="1"/>
    <xf numFmtId="0" fontId="69" fillId="11" borderId="0" xfId="13" applyFont="1" applyFill="1" applyAlignment="1">
      <alignment horizontal="right"/>
    </xf>
    <xf numFmtId="0" fontId="44" fillId="11" borderId="0" xfId="35" applyFont="1" applyFill="1"/>
    <xf numFmtId="0" fontId="59" fillId="11" borderId="0" xfId="35" applyFont="1" applyFill="1" applyAlignment="1">
      <alignment horizontal="left" wrapText="1"/>
    </xf>
    <xf numFmtId="0" fontId="44" fillId="11" borderId="67" xfId="35" applyFont="1" applyFill="1" applyBorder="1"/>
    <xf numFmtId="0" fontId="58" fillId="11" borderId="0" xfId="13" applyFont="1" applyFill="1" applyAlignment="1">
      <alignment vertical="center"/>
    </xf>
    <xf numFmtId="0" fontId="41" fillId="11" borderId="0" xfId="35" applyFont="1" applyFill="1" applyAlignment="1">
      <alignment vertical="center"/>
    </xf>
    <xf numFmtId="0" fontId="69" fillId="11" borderId="0" xfId="13" applyFont="1" applyFill="1" applyAlignment="1">
      <alignment horizontal="right" vertical="center"/>
    </xf>
    <xf numFmtId="0" fontId="149" fillId="0" borderId="0" xfId="13" applyFont="1" applyAlignment="1" applyProtection="1">
      <alignment vertical="center"/>
      <protection locked="0"/>
    </xf>
    <xf numFmtId="0" fontId="39" fillId="11" borderId="7" xfId="26" applyFill="1" applyBorder="1" applyAlignment="1">
      <alignment vertical="center"/>
    </xf>
    <xf numFmtId="0" fontId="160" fillId="11" borderId="8" xfId="13" applyFont="1" applyFill="1" applyBorder="1" applyAlignment="1">
      <alignment horizontal="left" vertical="top"/>
    </xf>
    <xf numFmtId="0" fontId="39" fillId="11" borderId="8" xfId="26" applyFill="1" applyBorder="1" applyAlignment="1">
      <alignment wrapText="1"/>
    </xf>
    <xf numFmtId="0" fontId="39" fillId="11" borderId="8" xfId="26" applyFill="1" applyBorder="1" applyAlignment="1">
      <alignment vertical="center" wrapText="1"/>
    </xf>
    <xf numFmtId="0" fontId="39" fillId="11" borderId="8" xfId="13" applyFont="1" applyFill="1" applyBorder="1" applyAlignment="1">
      <alignment vertical="top"/>
    </xf>
    <xf numFmtId="0" fontId="39" fillId="11" borderId="8" xfId="35" applyFill="1" applyBorder="1" applyAlignment="1">
      <alignment vertical="top"/>
    </xf>
    <xf numFmtId="0" fontId="58" fillId="11" borderId="16" xfId="13" applyFont="1" applyFill="1" applyBorder="1" applyAlignment="1">
      <alignment horizontal="right"/>
    </xf>
    <xf numFmtId="0" fontId="52" fillId="11" borderId="8" xfId="35" applyFont="1" applyFill="1" applyBorder="1"/>
    <xf numFmtId="0" fontId="39" fillId="11" borderId="0" xfId="13" applyFont="1" applyFill="1" applyAlignment="1">
      <alignment vertical="top"/>
    </xf>
    <xf numFmtId="0" fontId="39" fillId="11" borderId="0" xfId="35" applyFill="1" applyAlignment="1">
      <alignment vertical="top"/>
    </xf>
    <xf numFmtId="0" fontId="39" fillId="11" borderId="6" xfId="26" applyFill="1" applyBorder="1" applyAlignment="1">
      <alignment vertical="center" wrapText="1"/>
    </xf>
    <xf numFmtId="0" fontId="58" fillId="11" borderId="27" xfId="13" applyFont="1" applyFill="1" applyBorder="1" applyAlignment="1">
      <alignment horizontal="right" vertical="center"/>
    </xf>
    <xf numFmtId="0" fontId="39" fillId="11" borderId="27" xfId="35" applyFill="1" applyBorder="1"/>
    <xf numFmtId="0" fontId="39" fillId="11" borderId="27" xfId="26" applyFill="1" applyBorder="1" applyAlignment="1">
      <alignment vertical="center" wrapText="1"/>
    </xf>
    <xf numFmtId="0" fontId="39" fillId="11" borderId="33" xfId="26" applyFill="1" applyBorder="1" applyAlignment="1">
      <alignment vertical="center" wrapText="1"/>
    </xf>
    <xf numFmtId="0" fontId="39" fillId="11" borderId="27" xfId="26" applyFill="1" applyBorder="1" applyAlignment="1">
      <alignment wrapText="1"/>
    </xf>
    <xf numFmtId="0" fontId="39" fillId="11" borderId="27" xfId="13" applyFont="1" applyFill="1" applyBorder="1"/>
    <xf numFmtId="0" fontId="39" fillId="11" borderId="27" xfId="13" applyFont="1" applyFill="1" applyBorder="1" applyAlignment="1">
      <alignment vertical="top"/>
    </xf>
    <xf numFmtId="0" fontId="39" fillId="11" borderId="27" xfId="35" applyFill="1" applyBorder="1" applyAlignment="1">
      <alignment vertical="top"/>
    </xf>
    <xf numFmtId="0" fontId="58" fillId="11" borderId="33" xfId="13" applyFont="1" applyFill="1" applyBorder="1" applyAlignment="1">
      <alignment horizontal="right"/>
    </xf>
    <xf numFmtId="0" fontId="39" fillId="11" borderId="67" xfId="26" applyFill="1" applyBorder="1"/>
    <xf numFmtId="0" fontId="39" fillId="11" borderId="74" xfId="26" applyFill="1" applyBorder="1" applyAlignment="1">
      <alignment vertical="center" wrapText="1"/>
    </xf>
    <xf numFmtId="0" fontId="39" fillId="11" borderId="72" xfId="26" applyFill="1" applyBorder="1" applyAlignment="1">
      <alignment vertical="center" wrapText="1"/>
    </xf>
    <xf numFmtId="0" fontId="39" fillId="11" borderId="72" xfId="13" applyFont="1" applyFill="1" applyBorder="1" applyAlignment="1">
      <alignment vertical="top"/>
    </xf>
    <xf numFmtId="0" fontId="39" fillId="11" borderId="72" xfId="35" applyFill="1" applyBorder="1" applyAlignment="1">
      <alignment vertical="top"/>
    </xf>
    <xf numFmtId="0" fontId="58" fillId="11" borderId="74" xfId="13" applyFont="1" applyFill="1" applyBorder="1" applyAlignment="1">
      <alignment horizontal="right"/>
    </xf>
    <xf numFmtId="0" fontId="39" fillId="11" borderId="71" xfId="26" applyFill="1" applyBorder="1" applyAlignment="1">
      <alignment vertical="center" wrapText="1"/>
    </xf>
    <xf numFmtId="0" fontId="39" fillId="11" borderId="72" xfId="26" applyFill="1" applyBorder="1" applyAlignment="1">
      <alignment wrapText="1"/>
    </xf>
    <xf numFmtId="0" fontId="52" fillId="11" borderId="67" xfId="13" applyFont="1" applyFill="1" applyBorder="1"/>
    <xf numFmtId="0" fontId="160" fillId="11" borderId="0" xfId="13" applyFont="1" applyFill="1" applyAlignment="1">
      <alignment horizontal="left" vertical="top"/>
    </xf>
    <xf numFmtId="0" fontId="63" fillId="11" borderId="71" xfId="35" applyFont="1" applyFill="1" applyBorder="1"/>
    <xf numFmtId="0" fontId="63" fillId="11" borderId="72" xfId="35" applyFont="1" applyFill="1" applyBorder="1"/>
    <xf numFmtId="0" fontId="52" fillId="11" borderId="72" xfId="35" applyFont="1" applyFill="1" applyBorder="1"/>
    <xf numFmtId="0" fontId="62" fillId="11" borderId="72" xfId="13" applyFont="1" applyFill="1" applyBorder="1" applyAlignment="1">
      <alignment horizontal="right" vertical="center"/>
    </xf>
    <xf numFmtId="0" fontId="39" fillId="11" borderId="67" xfId="35" quotePrefix="1" applyFill="1" applyBorder="1" applyAlignment="1">
      <alignment horizontal="right" vertical="center"/>
    </xf>
    <xf numFmtId="0" fontId="52" fillId="11" borderId="0" xfId="35" applyFont="1" applyFill="1" applyAlignment="1">
      <alignment vertical="center"/>
    </xf>
    <xf numFmtId="0" fontId="39" fillId="11" borderId="38" xfId="35" applyFill="1" applyBorder="1" applyAlignment="1">
      <alignment vertical="center"/>
    </xf>
    <xf numFmtId="0" fontId="63" fillId="11" borderId="67" xfId="35" applyFont="1" applyFill="1" applyBorder="1"/>
    <xf numFmtId="0" fontId="39" fillId="11" borderId="0" xfId="35" applyFill="1" applyAlignment="1">
      <alignment horizontal="left"/>
    </xf>
    <xf numFmtId="0" fontId="39" fillId="11" borderId="0" xfId="13" applyFont="1" applyFill="1" applyAlignment="1">
      <alignment wrapText="1"/>
    </xf>
    <xf numFmtId="0" fontId="39" fillId="11" borderId="0" xfId="26" applyFill="1" applyAlignment="1">
      <alignment horizontal="left" vertical="center" indent="2"/>
    </xf>
    <xf numFmtId="0" fontId="39" fillId="11" borderId="0" xfId="35" quotePrefix="1" applyFill="1"/>
    <xf numFmtId="0" fontId="39" fillId="11" borderId="0" xfId="26" quotePrefix="1" applyFill="1" applyAlignment="1">
      <alignment horizontal="right"/>
    </xf>
    <xf numFmtId="0" fontId="160" fillId="11" borderId="0" xfId="35" applyFont="1" applyFill="1" applyAlignment="1">
      <alignment horizontal="left"/>
    </xf>
    <xf numFmtId="0" fontId="103" fillId="0" borderId="0" xfId="13" applyFont="1" applyAlignment="1" applyProtection="1">
      <alignment vertical="center"/>
      <protection locked="0"/>
    </xf>
    <xf numFmtId="0" fontId="149" fillId="0" borderId="72" xfId="13" applyFont="1" applyBorder="1" applyAlignment="1" applyProtection="1">
      <alignment horizontal="right" vertical="center"/>
      <protection locked="0"/>
    </xf>
    <xf numFmtId="0" fontId="63" fillId="11" borderId="7" xfId="35" applyFont="1" applyFill="1" applyBorder="1"/>
    <xf numFmtId="0" fontId="147" fillId="11" borderId="8" xfId="35" applyFont="1" applyFill="1" applyBorder="1" applyAlignment="1">
      <alignment horizontal="left" vertical="top"/>
    </xf>
    <xf numFmtId="0" fontId="68" fillId="11" borderId="0" xfId="11" applyFont="1" applyFill="1"/>
    <xf numFmtId="0" fontId="39" fillId="11" borderId="67" xfId="35" applyFill="1" applyBorder="1" applyAlignment="1">
      <alignment vertical="center" wrapText="1"/>
    </xf>
    <xf numFmtId="0" fontId="39" fillId="11" borderId="67" xfId="35" applyFill="1" applyBorder="1" applyAlignment="1">
      <alignment horizontal="left"/>
    </xf>
    <xf numFmtId="0" fontId="68" fillId="11" borderId="0" xfId="26" applyFont="1" applyFill="1" applyAlignment="1">
      <alignment vertical="top"/>
    </xf>
    <xf numFmtId="16" fontId="41" fillId="11" borderId="0" xfId="26" applyNumberFormat="1" applyFont="1" applyFill="1"/>
    <xf numFmtId="0" fontId="39" fillId="11" borderId="67" xfId="26" applyFill="1" applyBorder="1" applyAlignment="1">
      <alignment horizontal="left"/>
    </xf>
    <xf numFmtId="0" fontId="61" fillId="11" borderId="0" xfId="11" applyFont="1" applyFill="1" applyAlignment="1">
      <alignment horizontal="left" vertical="top"/>
    </xf>
    <xf numFmtId="0" fontId="41" fillId="11" borderId="71" xfId="11" applyFont="1" applyFill="1" applyBorder="1"/>
    <xf numFmtId="0" fontId="39" fillId="11" borderId="72" xfId="13" applyFont="1" applyFill="1" applyBorder="1" applyAlignment="1">
      <alignment horizontal="center" vertical="center"/>
    </xf>
    <xf numFmtId="0" fontId="45" fillId="11" borderId="72" xfId="11" applyFont="1" applyFill="1" applyBorder="1" applyAlignment="1">
      <alignment horizontal="left"/>
    </xf>
    <xf numFmtId="0" fontId="39" fillId="11" borderId="72" xfId="11" applyFont="1" applyFill="1" applyBorder="1"/>
    <xf numFmtId="0" fontId="39" fillId="11" borderId="67" xfId="11" applyFont="1" applyFill="1" applyBorder="1"/>
    <xf numFmtId="0" fontId="54" fillId="11" borderId="0" xfId="11" applyFont="1" applyFill="1" applyAlignment="1">
      <alignment horizontal="left"/>
    </xf>
    <xf numFmtId="0" fontId="39" fillId="11" borderId="0" xfId="11" applyFont="1" applyFill="1" applyAlignment="1">
      <alignment horizontal="left"/>
    </xf>
    <xf numFmtId="0" fontId="53" fillId="11" borderId="0" xfId="35" quotePrefix="1" applyFont="1" applyFill="1" applyAlignment="1">
      <alignment horizontal="right"/>
    </xf>
    <xf numFmtId="0" fontId="53" fillId="11" borderId="0" xfId="35" applyFont="1" applyFill="1"/>
    <xf numFmtId="0" fontId="53" fillId="11" borderId="0" xfId="35" applyFont="1" applyFill="1" applyAlignment="1">
      <alignment vertical="center"/>
    </xf>
    <xf numFmtId="0" fontId="39" fillId="11" borderId="17" xfId="26" applyFill="1" applyBorder="1" applyAlignment="1">
      <alignment vertical="center" wrapText="1"/>
    </xf>
    <xf numFmtId="0" fontId="147" fillId="11" borderId="0" xfId="35" applyFont="1" applyFill="1" applyAlignment="1">
      <alignment horizontal="left" vertical="center"/>
    </xf>
    <xf numFmtId="0" fontId="41" fillId="11" borderId="0" xfId="26" applyFont="1" applyFill="1" applyAlignment="1">
      <alignment horizontal="center" vertical="center"/>
    </xf>
    <xf numFmtId="0" fontId="53" fillId="11" borderId="0" xfId="35" quotePrefix="1" applyFont="1" applyFill="1" applyAlignment="1">
      <alignment horizontal="right" vertical="top"/>
    </xf>
    <xf numFmtId="0" fontId="53" fillId="11" borderId="0" xfId="35" applyFont="1" applyFill="1" applyAlignment="1">
      <alignment vertical="top"/>
    </xf>
    <xf numFmtId="0" fontId="101" fillId="11" borderId="0" xfId="0" applyFont="1" applyFill="1"/>
    <xf numFmtId="0" fontId="48" fillId="11" borderId="67" xfId="26" applyFont="1" applyFill="1" applyBorder="1" applyAlignment="1">
      <alignment vertical="center" wrapText="1"/>
    </xf>
    <xf numFmtId="0" fontId="48" fillId="11" borderId="0" xfId="26" applyFont="1" applyFill="1" applyAlignment="1">
      <alignment vertical="center" wrapText="1"/>
    </xf>
    <xf numFmtId="0" fontId="39" fillId="11" borderId="0" xfId="63" applyFont="1" applyFill="1" applyAlignment="1">
      <alignment vertical="center"/>
    </xf>
    <xf numFmtId="0" fontId="45" fillId="11" borderId="0" xfId="22" applyFont="1" applyFill="1" applyAlignment="1">
      <alignment horizontal="justify" vertical="center" wrapText="1"/>
    </xf>
    <xf numFmtId="0" fontId="39" fillId="11" borderId="0" xfId="22" applyFill="1" applyAlignment="1">
      <alignment horizontal="justify" vertical="center" wrapText="1"/>
    </xf>
    <xf numFmtId="0" fontId="45" fillId="11" borderId="0" xfId="22" quotePrefix="1" applyFont="1" applyFill="1" applyAlignment="1">
      <alignment horizontal="right" vertical="center"/>
    </xf>
    <xf numFmtId="0" fontId="41" fillId="11" borderId="0" xfId="35" applyFont="1" applyFill="1" applyAlignment="1">
      <alignment wrapText="1"/>
    </xf>
    <xf numFmtId="0" fontId="39" fillId="11" borderId="0" xfId="22" applyFill="1" applyAlignment="1">
      <alignment horizontal="justify" wrapText="1"/>
    </xf>
    <xf numFmtId="0" fontId="39" fillId="11" borderId="0" xfId="63" applyFont="1" applyFill="1"/>
    <xf numFmtId="0" fontId="60" fillId="11" borderId="0" xfId="13" applyFont="1" applyFill="1" applyAlignment="1">
      <alignment vertical="center"/>
    </xf>
    <xf numFmtId="0" fontId="52" fillId="11" borderId="2" xfId="13" quotePrefix="1" applyFont="1" applyFill="1" applyBorder="1" applyAlignment="1">
      <alignment horizontal="right" vertical="center"/>
    </xf>
    <xf numFmtId="0" fontId="52" fillId="11" borderId="58" xfId="13" applyFont="1" applyFill="1" applyBorder="1" applyAlignment="1">
      <alignment vertical="center"/>
    </xf>
    <xf numFmtId="0" fontId="39" fillId="11" borderId="92" xfId="37" applyFill="1" applyBorder="1" applyAlignment="1">
      <alignment vertical="center"/>
    </xf>
    <xf numFmtId="0" fontId="39" fillId="11" borderId="159" xfId="37" applyFill="1" applyBorder="1" applyAlignment="1">
      <alignment vertical="center"/>
    </xf>
    <xf numFmtId="0" fontId="52" fillId="11" borderId="141" xfId="13" quotePrefix="1" applyFont="1" applyFill="1" applyBorder="1" applyAlignment="1">
      <alignment horizontal="right" vertical="center"/>
    </xf>
    <xf numFmtId="0" fontId="52" fillId="11" borderId="150" xfId="13" applyFont="1" applyFill="1" applyBorder="1" applyAlignment="1">
      <alignment vertical="center"/>
    </xf>
    <xf numFmtId="0" fontId="39" fillId="11" borderId="218" xfId="37" applyFill="1" applyBorder="1" applyAlignment="1">
      <alignment vertical="center"/>
    </xf>
    <xf numFmtId="0" fontId="52" fillId="11" borderId="92" xfId="13" applyFont="1" applyFill="1" applyBorder="1" applyAlignment="1">
      <alignment vertical="center"/>
    </xf>
    <xf numFmtId="0" fontId="45" fillId="11" borderId="0" xfId="63" applyFont="1" applyFill="1"/>
    <xf numFmtId="0" fontId="41" fillId="11" borderId="0" xfId="63" applyFont="1" applyFill="1"/>
    <xf numFmtId="0" fontId="45" fillId="11" borderId="0" xfId="26" applyFont="1" applyFill="1" applyAlignment="1">
      <alignment vertical="center"/>
    </xf>
    <xf numFmtId="0" fontId="52" fillId="11" borderId="0" xfId="63" applyFont="1" applyFill="1" applyAlignment="1">
      <alignment vertical="center" wrapText="1"/>
    </xf>
    <xf numFmtId="0" fontId="41" fillId="11" borderId="0" xfId="13" applyFont="1" applyFill="1" applyAlignment="1">
      <alignment horizontal="center" vertical="center" wrapText="1"/>
    </xf>
    <xf numFmtId="0" fontId="45" fillId="11" borderId="0" xfId="22" quotePrefix="1" applyFont="1" applyFill="1" applyAlignment="1">
      <alignment horizontal="right" wrapText="1"/>
    </xf>
    <xf numFmtId="0" fontId="45" fillId="11" borderId="0" xfId="22" applyFont="1" applyFill="1" applyAlignment="1">
      <alignment horizontal="left" wrapText="1"/>
    </xf>
    <xf numFmtId="0" fontId="72" fillId="11" borderId="0" xfId="26" applyFont="1" applyFill="1" applyAlignment="1">
      <alignment vertical="center"/>
    </xf>
    <xf numFmtId="0" fontId="73" fillId="11" borderId="87" xfId="13" quotePrefix="1" applyFont="1" applyFill="1" applyBorder="1" applyAlignment="1">
      <alignment horizontal="right" vertical="center"/>
    </xf>
    <xf numFmtId="0" fontId="73" fillId="11" borderId="85" xfId="13" applyFont="1" applyFill="1" applyBorder="1" applyAlignment="1">
      <alignment vertical="center"/>
    </xf>
    <xf numFmtId="0" fontId="73" fillId="11" borderId="88" xfId="13" applyFont="1" applyFill="1" applyBorder="1" applyAlignment="1">
      <alignment vertical="center"/>
    </xf>
    <xf numFmtId="0" fontId="73" fillId="11" borderId="2" xfId="13" quotePrefix="1" applyFont="1" applyFill="1" applyBorder="1" applyAlignment="1">
      <alignment horizontal="right" vertical="center"/>
    </xf>
    <xf numFmtId="0" fontId="73" fillId="11" borderId="58" xfId="13" applyFont="1" applyFill="1" applyBorder="1" applyAlignment="1">
      <alignment vertical="center"/>
    </xf>
    <xf numFmtId="0" fontId="73" fillId="11" borderId="92" xfId="13" applyFont="1" applyFill="1" applyBorder="1" applyAlignment="1">
      <alignment vertical="center"/>
    </xf>
    <xf numFmtId="0" fontId="73" fillId="11" borderId="92" xfId="37" applyFont="1" applyFill="1" applyBorder="1" applyAlignment="1">
      <alignment vertical="center"/>
    </xf>
    <xf numFmtId="0" fontId="73" fillId="11" borderId="99" xfId="13" applyFont="1" applyFill="1" applyBorder="1" applyAlignment="1">
      <alignment vertical="center"/>
    </xf>
    <xf numFmtId="0" fontId="73" fillId="11" borderId="159" xfId="37" applyFont="1" applyFill="1" applyBorder="1" applyAlignment="1">
      <alignment vertical="center"/>
    </xf>
    <xf numFmtId="0" fontId="73" fillId="11" borderId="95" xfId="13" quotePrefix="1" applyFont="1" applyFill="1" applyBorder="1" applyAlignment="1">
      <alignment horizontal="right" vertical="center"/>
    </xf>
    <xf numFmtId="0" fontId="73" fillId="11" borderId="141" xfId="13" quotePrefix="1" applyFont="1" applyFill="1" applyBorder="1" applyAlignment="1">
      <alignment horizontal="right" vertical="center"/>
    </xf>
    <xf numFmtId="0" fontId="73" fillId="11" borderId="150" xfId="13" applyFont="1" applyFill="1" applyBorder="1" applyAlignment="1">
      <alignment vertical="center"/>
    </xf>
    <xf numFmtId="0" fontId="73" fillId="11" borderId="218" xfId="37" applyFont="1" applyFill="1" applyBorder="1" applyAlignment="1">
      <alignment vertical="center"/>
    </xf>
    <xf numFmtId="0" fontId="39" fillId="11" borderId="8" xfId="63" applyFont="1" applyFill="1" applyBorder="1" applyAlignment="1">
      <alignment vertical="center" wrapText="1"/>
    </xf>
    <xf numFmtId="0" fontId="73" fillId="11" borderId="0" xfId="13" applyFont="1" applyFill="1" applyAlignment="1">
      <alignment vertical="center" wrapText="1"/>
    </xf>
    <xf numFmtId="0" fontId="52" fillId="11" borderId="0" xfId="164" applyFont="1" applyFill="1"/>
    <xf numFmtId="0" fontId="39" fillId="11" borderId="0" xfId="164" applyFill="1"/>
    <xf numFmtId="0" fontId="47" fillId="11" borderId="0" xfId="164" applyFont="1" applyFill="1"/>
    <xf numFmtId="0" fontId="73" fillId="11" borderId="291" xfId="13" applyFont="1" applyFill="1" applyBorder="1"/>
    <xf numFmtId="0" fontId="73" fillId="11" borderId="293" xfId="164" applyFont="1" applyFill="1" applyBorder="1" applyAlignment="1">
      <alignment wrapText="1"/>
    </xf>
    <xf numFmtId="0" fontId="73" fillId="11" borderId="0" xfId="13" applyFont="1" applyFill="1"/>
    <xf numFmtId="0" fontId="73" fillId="11" borderId="0" xfId="13" applyFont="1" applyFill="1" applyAlignment="1">
      <alignment horizontal="justify" vertical="center" wrapText="1"/>
    </xf>
    <xf numFmtId="0" fontId="73" fillId="11" borderId="0" xfId="164" applyFont="1" applyFill="1" applyAlignment="1">
      <alignment wrapText="1"/>
    </xf>
    <xf numFmtId="0" fontId="73" fillId="11" borderId="0" xfId="13" applyFont="1" applyFill="1" applyAlignment="1">
      <alignment horizontal="center" vertical="center"/>
    </xf>
    <xf numFmtId="0" fontId="72" fillId="11" borderId="0" xfId="13" applyFont="1" applyFill="1"/>
    <xf numFmtId="0" fontId="73" fillId="11" borderId="38" xfId="164" applyFont="1" applyFill="1" applyBorder="1" applyAlignment="1">
      <alignment wrapText="1"/>
    </xf>
    <xf numFmtId="0" fontId="73" fillId="11" borderId="279" xfId="13" applyFont="1" applyFill="1" applyBorder="1"/>
    <xf numFmtId="0" fontId="73" fillId="11" borderId="324" xfId="13" applyFont="1" applyFill="1" applyBorder="1" applyAlignment="1">
      <alignment vertical="center"/>
    </xf>
    <xf numFmtId="0" fontId="73" fillId="11" borderId="55" xfId="13" applyFont="1" applyFill="1" applyBorder="1" applyAlignment="1">
      <alignment vertical="center" wrapText="1"/>
    </xf>
    <xf numFmtId="0" fontId="73" fillId="11" borderId="55" xfId="164" applyFont="1" applyFill="1" applyBorder="1" applyAlignment="1">
      <alignment vertical="center" wrapText="1"/>
    </xf>
    <xf numFmtId="0" fontId="73" fillId="11" borderId="324" xfId="11" applyFont="1" applyFill="1" applyBorder="1" applyAlignment="1">
      <alignment vertical="center"/>
    </xf>
    <xf numFmtId="0" fontId="73" fillId="11" borderId="55" xfId="164" applyFont="1" applyFill="1" applyBorder="1" applyAlignment="1">
      <alignment vertical="center"/>
    </xf>
    <xf numFmtId="0" fontId="39" fillId="11" borderId="0" xfId="65" applyFont="1" applyFill="1" applyAlignment="1">
      <alignment vertical="center"/>
    </xf>
    <xf numFmtId="0" fontId="95" fillId="11" borderId="0" xfId="65" applyFont="1" applyFill="1" applyAlignment="1">
      <alignment vertical="center"/>
    </xf>
    <xf numFmtId="0" fontId="45" fillId="11" borderId="0" xfId="11" quotePrefix="1" applyFont="1" applyFill="1" applyAlignment="1">
      <alignment vertical="top"/>
    </xf>
    <xf numFmtId="0" fontId="54" fillId="11" borderId="0" xfId="11" applyFont="1" applyFill="1" applyAlignment="1">
      <alignment horizontal="justify" vertical="center"/>
    </xf>
    <xf numFmtId="0" fontId="45" fillId="11" borderId="0" xfId="22" applyFont="1" applyFill="1" applyAlignment="1">
      <alignment vertical="center" textRotation="180" wrapText="1"/>
    </xf>
    <xf numFmtId="0" fontId="39" fillId="11" borderId="0" xfId="11" applyFont="1" applyFill="1" applyAlignment="1">
      <alignment vertical="center"/>
    </xf>
    <xf numFmtId="0" fontId="48" fillId="11" borderId="0" xfId="11" applyFont="1" applyFill="1" applyAlignment="1">
      <alignment vertical="center"/>
    </xf>
    <xf numFmtId="0" fontId="45" fillId="11" borderId="0" xfId="13" quotePrefix="1" applyFont="1" applyFill="1" applyAlignment="1">
      <alignment horizontal="right" vertical="top" wrapText="1"/>
    </xf>
    <xf numFmtId="0" fontId="119" fillId="11" borderId="0" xfId="13" applyFont="1" applyFill="1" applyAlignment="1">
      <alignment vertical="center"/>
    </xf>
    <xf numFmtId="0" fontId="45" fillId="11" borderId="0" xfId="13" quotePrefix="1" applyFont="1" applyFill="1" applyAlignment="1">
      <alignment horizontal="center" vertical="top"/>
    </xf>
    <xf numFmtId="0" fontId="73" fillId="11" borderId="0" xfId="13" applyFont="1" applyFill="1" applyAlignment="1">
      <alignment vertical="center"/>
    </xf>
    <xf numFmtId="0" fontId="73" fillId="11" borderId="0" xfId="13" applyFont="1" applyFill="1" applyAlignment="1">
      <alignment horizontal="justify" vertical="center"/>
    </xf>
    <xf numFmtId="0" fontId="73" fillId="11" borderId="87" xfId="13" applyFont="1" applyFill="1" applyBorder="1" applyAlignment="1">
      <alignment vertical="center"/>
    </xf>
    <xf numFmtId="0" fontId="73" fillId="11" borderId="86" xfId="13" applyFont="1" applyFill="1" applyBorder="1" applyAlignment="1">
      <alignment vertical="center"/>
    </xf>
    <xf numFmtId="0" fontId="73" fillId="11" borderId="2" xfId="13" applyFont="1" applyFill="1" applyBorder="1" applyAlignment="1">
      <alignment vertical="center"/>
    </xf>
    <xf numFmtId="0" fontId="73" fillId="11" borderId="55" xfId="13" applyFont="1" applyFill="1" applyBorder="1" applyAlignment="1">
      <alignment vertical="center"/>
    </xf>
    <xf numFmtId="0" fontId="73" fillId="11" borderId="141" xfId="13" applyFont="1" applyFill="1" applyBorder="1" applyAlignment="1">
      <alignment vertical="center"/>
    </xf>
    <xf numFmtId="0" fontId="73" fillId="11" borderId="142" xfId="13" applyFont="1" applyFill="1" applyBorder="1" applyAlignment="1">
      <alignment vertical="center"/>
    </xf>
    <xf numFmtId="0" fontId="73" fillId="11" borderId="67" xfId="13" applyFont="1" applyFill="1" applyBorder="1" applyAlignment="1">
      <alignment vertical="center"/>
    </xf>
    <xf numFmtId="0" fontId="73" fillId="11" borderId="38" xfId="13" applyFont="1" applyFill="1" applyBorder="1" applyAlignment="1">
      <alignment vertical="center"/>
    </xf>
    <xf numFmtId="0" fontId="73" fillId="11" borderId="95" xfId="13" applyFont="1" applyFill="1" applyBorder="1" applyAlignment="1">
      <alignment vertical="center"/>
    </xf>
    <xf numFmtId="0" fontId="73" fillId="11" borderId="100" xfId="13" applyFont="1" applyFill="1" applyBorder="1" applyAlignment="1">
      <alignment vertical="center"/>
    </xf>
    <xf numFmtId="0" fontId="73" fillId="11" borderId="3" xfId="13" applyFont="1" applyFill="1" applyBorder="1" applyAlignment="1">
      <alignment vertical="center"/>
    </xf>
    <xf numFmtId="0" fontId="73" fillId="11" borderId="26" xfId="13" applyFont="1" applyFill="1" applyBorder="1" applyAlignment="1">
      <alignment vertical="center"/>
    </xf>
    <xf numFmtId="0" fontId="73" fillId="11" borderId="78" xfId="13" applyFont="1" applyFill="1" applyBorder="1" applyAlignment="1">
      <alignment vertical="center"/>
    </xf>
    <xf numFmtId="0" fontId="68" fillId="11" borderId="0" xfId="26" applyFont="1" applyFill="1" applyAlignment="1">
      <alignment wrapText="1"/>
    </xf>
    <xf numFmtId="0" fontId="45" fillId="11" borderId="0" xfId="13" applyFont="1" applyFill="1"/>
    <xf numFmtId="0" fontId="63" fillId="11" borderId="0" xfId="69" applyFont="1" applyFill="1"/>
    <xf numFmtId="0" fontId="45" fillId="11" borderId="0" xfId="69" quotePrefix="1" applyFont="1" applyFill="1" applyAlignment="1">
      <alignment horizontal="right" vertical="top"/>
    </xf>
    <xf numFmtId="0" fontId="41" fillId="11" borderId="291" xfId="168" applyFont="1" applyFill="1" applyBorder="1" applyAlignment="1">
      <alignment horizontal="center" vertical="center"/>
    </xf>
    <xf numFmtId="0" fontId="58" fillId="11" borderId="292" xfId="13" applyFont="1" applyFill="1" applyBorder="1" applyAlignment="1">
      <alignment horizontal="center" vertical="center"/>
    </xf>
    <xf numFmtId="0" fontId="39" fillId="11" borderId="292" xfId="168" applyFont="1" applyFill="1" applyBorder="1" applyAlignment="1">
      <alignment vertical="center"/>
    </xf>
    <xf numFmtId="0" fontId="39" fillId="11" borderId="292" xfId="168" applyFont="1" applyFill="1" applyBorder="1" applyAlignment="1">
      <alignment vertical="center" wrapText="1"/>
    </xf>
    <xf numFmtId="0" fontId="82" fillId="11" borderId="292" xfId="168" applyFont="1" applyFill="1" applyBorder="1" applyAlignment="1">
      <alignment vertical="center"/>
    </xf>
    <xf numFmtId="0" fontId="82" fillId="11" borderId="297" xfId="168" applyFont="1" applyFill="1" applyBorder="1" applyAlignment="1">
      <alignment vertical="center"/>
    </xf>
    <xf numFmtId="0" fontId="82" fillId="11" borderId="0" xfId="168" applyFont="1" applyFill="1" applyAlignment="1">
      <alignment vertical="center"/>
    </xf>
    <xf numFmtId="0" fontId="39" fillId="11" borderId="0" xfId="164" applyFill="1" applyAlignment="1">
      <alignment horizontal="left"/>
    </xf>
    <xf numFmtId="0" fontId="39" fillId="11" borderId="0" xfId="164" applyFill="1" applyAlignment="1">
      <alignment horizontal="center"/>
    </xf>
    <xf numFmtId="0" fontId="52" fillId="11" borderId="0" xfId="164" applyFont="1" applyFill="1" applyAlignment="1">
      <alignment horizontal="center"/>
    </xf>
    <xf numFmtId="0" fontId="39" fillId="11" borderId="0" xfId="168" applyFont="1" applyFill="1" applyAlignment="1">
      <alignment vertical="center"/>
    </xf>
    <xf numFmtId="0" fontId="39" fillId="11" borderId="280" xfId="168" applyFont="1" applyFill="1" applyBorder="1" applyAlignment="1">
      <alignment vertical="center"/>
    </xf>
    <xf numFmtId="0" fontId="41" fillId="11" borderId="279" xfId="168" applyFont="1" applyFill="1" applyBorder="1" applyAlignment="1">
      <alignment vertical="center"/>
    </xf>
    <xf numFmtId="0" fontId="41" fillId="11" borderId="0" xfId="168" applyFont="1" applyFill="1" applyAlignment="1">
      <alignment vertical="center"/>
    </xf>
    <xf numFmtId="0" fontId="140" fillId="11" borderId="0" xfId="22" applyFont="1" applyFill="1" applyAlignment="1">
      <alignment horizontal="center" wrapText="1"/>
    </xf>
    <xf numFmtId="0" fontId="140" fillId="11" borderId="274" xfId="22" applyFont="1" applyFill="1" applyBorder="1" applyAlignment="1">
      <alignment horizontal="center"/>
    </xf>
    <xf numFmtId="0" fontId="140" fillId="11" borderId="274" xfId="22" applyFont="1" applyFill="1" applyBorder="1" applyAlignment="1">
      <alignment horizontal="center" wrapText="1"/>
    </xf>
    <xf numFmtId="0" fontId="82" fillId="11" borderId="279" xfId="168" applyFont="1" applyFill="1" applyBorder="1" applyAlignment="1">
      <alignment vertical="center"/>
    </xf>
    <xf numFmtId="0" fontId="0" fillId="11" borderId="0" xfId="168" quotePrefix="1" applyFont="1" applyFill="1" applyAlignment="1">
      <alignment horizontal="right" vertical="top"/>
    </xf>
    <xf numFmtId="0" fontId="39" fillId="11" borderId="0" xfId="168" applyFont="1" applyFill="1" applyAlignment="1">
      <alignment vertical="center" wrapText="1"/>
    </xf>
    <xf numFmtId="0" fontId="39" fillId="11" borderId="280" xfId="168" applyFont="1" applyFill="1" applyBorder="1" applyAlignment="1">
      <alignment vertical="center" wrapText="1"/>
    </xf>
    <xf numFmtId="0" fontId="68" fillId="11" borderId="0" xfId="168" applyFont="1" applyFill="1" applyAlignment="1">
      <alignment vertical="center"/>
    </xf>
    <xf numFmtId="0" fontId="72" fillId="11" borderId="0" xfId="168" applyFont="1" applyFill="1" applyAlignment="1">
      <alignment vertical="center"/>
    </xf>
    <xf numFmtId="0" fontId="41" fillId="11" borderId="273" xfId="168" quotePrefix="1" applyFont="1" applyFill="1" applyBorder="1" applyAlignment="1">
      <alignment horizontal="right" vertical="center"/>
    </xf>
    <xf numFmtId="0" fontId="41" fillId="11" borderId="274" xfId="168" applyFont="1" applyFill="1" applyBorder="1" applyAlignment="1">
      <alignment vertical="center" wrapText="1"/>
    </xf>
    <xf numFmtId="0" fontId="41" fillId="11" borderId="302" xfId="168" applyFont="1" applyFill="1" applyBorder="1" applyAlignment="1">
      <alignment vertical="center" wrapText="1"/>
    </xf>
    <xf numFmtId="0" fontId="39" fillId="11" borderId="0" xfId="168" quotePrefix="1" applyFont="1" applyFill="1" applyAlignment="1">
      <alignment horizontal="right" vertical="center"/>
    </xf>
    <xf numFmtId="0" fontId="39" fillId="11" borderId="331" xfId="168" applyFont="1" applyFill="1" applyBorder="1" applyAlignment="1">
      <alignment vertical="center"/>
    </xf>
    <xf numFmtId="0" fontId="41" fillId="11" borderId="0" xfId="168" applyFont="1" applyFill="1" applyAlignment="1">
      <alignment horizontal="center" vertical="center" wrapText="1"/>
    </xf>
    <xf numFmtId="0" fontId="41" fillId="11" borderId="280" xfId="168" applyFont="1" applyFill="1" applyBorder="1" applyAlignment="1">
      <alignment vertical="center" wrapText="1"/>
    </xf>
    <xf numFmtId="0" fontId="45" fillId="11" borderId="279" xfId="168" applyFont="1" applyFill="1" applyBorder="1" applyAlignment="1">
      <alignment vertical="center"/>
    </xf>
    <xf numFmtId="0" fontId="45" fillId="11" borderId="0" xfId="168" applyFont="1" applyFill="1" applyAlignment="1">
      <alignment vertical="center"/>
    </xf>
    <xf numFmtId="0" fontId="45" fillId="11" borderId="280" xfId="168" applyFont="1" applyFill="1" applyBorder="1" applyAlignment="1">
      <alignment vertical="center"/>
    </xf>
    <xf numFmtId="0" fontId="39" fillId="11" borderId="10" xfId="168" applyFont="1" applyFill="1" applyBorder="1" applyAlignment="1">
      <alignment vertical="center"/>
    </xf>
    <xf numFmtId="0" fontId="39" fillId="11" borderId="22" xfId="168" applyFont="1" applyFill="1" applyBorder="1" applyAlignment="1">
      <alignment vertical="center"/>
    </xf>
    <xf numFmtId="0" fontId="39" fillId="11" borderId="299" xfId="168" applyFont="1" applyFill="1" applyBorder="1" applyAlignment="1">
      <alignment vertical="center"/>
    </xf>
    <xf numFmtId="0" fontId="39" fillId="11" borderId="5" xfId="168" applyFont="1" applyFill="1" applyBorder="1" applyAlignment="1">
      <alignment vertical="center"/>
    </xf>
    <xf numFmtId="0" fontId="39" fillId="11" borderId="28" xfId="168" applyFont="1" applyFill="1" applyBorder="1" applyAlignment="1">
      <alignment vertical="center"/>
    </xf>
    <xf numFmtId="0" fontId="39" fillId="11" borderId="290" xfId="168" applyFont="1" applyFill="1" applyBorder="1" applyAlignment="1">
      <alignment vertical="center"/>
    </xf>
    <xf numFmtId="0" fontId="0" fillId="11" borderId="5" xfId="168" applyFont="1" applyFill="1" applyBorder="1" applyAlignment="1">
      <alignment vertical="center"/>
    </xf>
    <xf numFmtId="0" fontId="0" fillId="11" borderId="306" xfId="168" applyFont="1" applyFill="1" applyBorder="1" applyAlignment="1">
      <alignment vertical="center"/>
    </xf>
    <xf numFmtId="0" fontId="39" fillId="11" borderId="306" xfId="168" applyFont="1" applyFill="1" applyBorder="1" applyAlignment="1">
      <alignment vertical="center"/>
    </xf>
    <xf numFmtId="0" fontId="39" fillId="11" borderId="318" xfId="168" applyFont="1" applyFill="1" applyBorder="1" applyAlignment="1">
      <alignment vertical="center"/>
    </xf>
    <xf numFmtId="0" fontId="39" fillId="11" borderId="307" xfId="168" applyFont="1" applyFill="1" applyBorder="1" applyAlignment="1">
      <alignment vertical="center"/>
    </xf>
    <xf numFmtId="0" fontId="82" fillId="11" borderId="280" xfId="168" applyFont="1" applyFill="1" applyBorder="1" applyAlignment="1">
      <alignment vertical="center"/>
    </xf>
    <xf numFmtId="0" fontId="39" fillId="11" borderId="11" xfId="168" applyFont="1" applyFill="1" applyBorder="1" applyAlignment="1">
      <alignment vertical="center"/>
    </xf>
    <xf numFmtId="0" fontId="39" fillId="11" borderId="34" xfId="168" applyFont="1" applyFill="1" applyBorder="1" applyAlignment="1">
      <alignment vertical="center"/>
    </xf>
    <xf numFmtId="0" fontId="0" fillId="11" borderId="292" xfId="168" applyFont="1" applyFill="1" applyBorder="1" applyAlignment="1">
      <alignment vertical="center"/>
    </xf>
    <xf numFmtId="0" fontId="39" fillId="11" borderId="296" xfId="168" applyFont="1" applyFill="1" applyBorder="1" applyAlignment="1">
      <alignment vertical="center"/>
    </xf>
    <xf numFmtId="0" fontId="39" fillId="11" borderId="297" xfId="168" applyFont="1" applyFill="1" applyBorder="1" applyAlignment="1">
      <alignment vertical="center"/>
    </xf>
    <xf numFmtId="0" fontId="41" fillId="11" borderId="279" xfId="168" quotePrefix="1" applyFont="1" applyFill="1" applyBorder="1" applyAlignment="1">
      <alignment horizontal="right" vertical="center"/>
    </xf>
    <xf numFmtId="0" fontId="41" fillId="11" borderId="0" xfId="168" applyFont="1" applyFill="1" applyAlignment="1">
      <alignment horizontal="justify" vertical="center" wrapText="1"/>
    </xf>
    <xf numFmtId="0" fontId="41" fillId="11" borderId="280" xfId="168" applyFont="1" applyFill="1" applyBorder="1" applyAlignment="1">
      <alignment horizontal="justify" vertical="center" wrapText="1"/>
    </xf>
    <xf numFmtId="0" fontId="155" fillId="0" borderId="298" xfId="13" applyFont="1" applyBorder="1" applyAlignment="1" applyProtection="1">
      <alignment horizontal="center" vertical="center"/>
      <protection locked="0"/>
    </xf>
    <xf numFmtId="0" fontId="149" fillId="0" borderId="289" xfId="13" applyFont="1" applyBorder="1" applyAlignment="1" applyProtection="1">
      <alignment horizontal="center" vertical="center"/>
      <protection locked="0"/>
    </xf>
    <xf numFmtId="0" fontId="149" fillId="0" borderId="323" xfId="13" applyFont="1" applyBorder="1" applyAlignment="1" applyProtection="1">
      <alignment horizontal="center" vertical="center"/>
      <protection locked="0"/>
    </xf>
    <xf numFmtId="0" fontId="149" fillId="0" borderId="291" xfId="13" applyFont="1" applyBorder="1" applyAlignment="1" applyProtection="1">
      <alignment horizontal="center" vertical="center"/>
      <protection locked="0"/>
    </xf>
    <xf numFmtId="0" fontId="41" fillId="11" borderId="0" xfId="168" applyFont="1" applyFill="1" applyAlignment="1">
      <alignment vertical="center" wrapText="1"/>
    </xf>
    <xf numFmtId="0" fontId="39" fillId="11" borderId="279" xfId="169" applyFont="1" applyFill="1" applyBorder="1" applyAlignment="1">
      <alignment horizontal="center" vertical="center"/>
    </xf>
    <xf numFmtId="0" fontId="39" fillId="11" borderId="0" xfId="170" applyFont="1" applyFill="1" applyAlignment="1">
      <alignment vertical="center"/>
    </xf>
    <xf numFmtId="0" fontId="39" fillId="11" borderId="280" xfId="170" applyFont="1" applyFill="1" applyBorder="1" applyAlignment="1">
      <alignment vertical="center"/>
    </xf>
    <xf numFmtId="0" fontId="39" fillId="11" borderId="0" xfId="169" applyFont="1" applyFill="1" applyAlignment="1">
      <alignment vertical="center"/>
    </xf>
    <xf numFmtId="0" fontId="58" fillId="11" borderId="0" xfId="13" applyFont="1" applyFill="1" applyAlignment="1">
      <alignment vertical="top"/>
    </xf>
    <xf numFmtId="0" fontId="41" fillId="11" borderId="0" xfId="168" applyFont="1" applyFill="1" applyAlignment="1">
      <alignment horizontal="center" vertical="center"/>
    </xf>
    <xf numFmtId="0" fontId="0" fillId="11" borderId="0" xfId="168" quotePrefix="1" applyFont="1" applyFill="1" applyAlignment="1">
      <alignment horizontal="right" vertical="center"/>
    </xf>
    <xf numFmtId="0" fontId="0" fillId="11" borderId="0" xfId="168" applyFont="1" applyFill="1" applyAlignment="1">
      <alignment vertical="center" wrapText="1"/>
    </xf>
    <xf numFmtId="0" fontId="0" fillId="11" borderId="0" xfId="168" applyFont="1" applyFill="1" applyAlignment="1">
      <alignment vertical="top" wrapText="1"/>
    </xf>
    <xf numFmtId="0" fontId="140" fillId="11" borderId="0" xfId="22" applyFont="1" applyFill="1" applyAlignment="1">
      <alignment wrapText="1"/>
    </xf>
    <xf numFmtId="0" fontId="140" fillId="11" borderId="0" xfId="22" applyFont="1" applyFill="1"/>
    <xf numFmtId="0" fontId="0" fillId="11" borderId="0" xfId="168" applyFont="1" applyFill="1" applyAlignment="1">
      <alignment horizontal="justify" vertical="top" wrapText="1"/>
    </xf>
    <xf numFmtId="0" fontId="129" fillId="11" borderId="0" xfId="22" applyFont="1" applyFill="1" applyAlignment="1">
      <alignment vertical="center" wrapText="1"/>
    </xf>
    <xf numFmtId="0" fontId="129" fillId="11" borderId="0" xfId="22" applyFont="1" applyFill="1" applyAlignment="1">
      <alignment vertical="center"/>
    </xf>
    <xf numFmtId="0" fontId="0" fillId="11" borderId="0" xfId="170" applyFont="1" applyFill="1" applyAlignment="1">
      <alignment horizontal="justify" vertical="center"/>
    </xf>
    <xf numFmtId="0" fontId="44" fillId="11" borderId="0" xfId="168" applyFont="1" applyFill="1" applyAlignment="1">
      <alignment vertical="center"/>
    </xf>
    <xf numFmtId="0" fontId="43" fillId="11" borderId="279" xfId="168" applyFont="1" applyFill="1" applyBorder="1" applyAlignment="1">
      <alignment vertical="center"/>
    </xf>
    <xf numFmtId="0" fontId="43" fillId="11" borderId="0" xfId="168" applyFont="1" applyFill="1" applyAlignment="1">
      <alignment vertical="center"/>
    </xf>
    <xf numFmtId="0" fontId="44" fillId="11" borderId="280" xfId="168" applyFont="1" applyFill="1" applyBorder="1" applyAlignment="1">
      <alignment vertical="center"/>
    </xf>
    <xf numFmtId="0" fontId="0" fillId="11" borderId="0" xfId="168" applyFont="1" applyFill="1" applyAlignment="1">
      <alignment vertical="center"/>
    </xf>
    <xf numFmtId="0" fontId="0" fillId="11" borderId="0" xfId="168" applyFont="1" applyFill="1" applyAlignment="1">
      <alignment vertical="top"/>
    </xf>
    <xf numFmtId="0" fontId="156" fillId="0" borderId="0" xfId="13" applyFont="1" applyAlignment="1" applyProtection="1">
      <alignment horizontal="center" vertical="center"/>
      <protection locked="0"/>
    </xf>
    <xf numFmtId="0" fontId="53" fillId="11" borderId="0" xfId="13" quotePrefix="1" applyFont="1" applyFill="1" applyAlignment="1">
      <alignment horizontal="right" vertical="top" wrapText="1"/>
    </xf>
    <xf numFmtId="0" fontId="57" fillId="11" borderId="0" xfId="168" applyFont="1" applyFill="1" applyAlignment="1">
      <alignment vertical="top" wrapText="1"/>
    </xf>
    <xf numFmtId="0" fontId="82" fillId="11" borderId="0" xfId="168" applyFont="1" applyFill="1"/>
    <xf numFmtId="0" fontId="53" fillId="11" borderId="0" xfId="168" applyFont="1" applyFill="1" applyAlignment="1">
      <alignment horizontal="justify" vertical="top" wrapText="1"/>
    </xf>
    <xf numFmtId="0" fontId="58" fillId="11" borderId="0" xfId="13" applyFont="1" applyFill="1" applyAlignment="1">
      <alignment horizontal="center" vertical="top"/>
    </xf>
    <xf numFmtId="0" fontId="41" fillId="11" borderId="0" xfId="168" applyFont="1" applyFill="1" applyAlignment="1">
      <alignment vertical="top" wrapText="1"/>
    </xf>
    <xf numFmtId="0" fontId="41" fillId="11" borderId="280" xfId="168" applyFont="1" applyFill="1" applyBorder="1" applyAlignment="1">
      <alignment vertical="top" wrapText="1"/>
    </xf>
    <xf numFmtId="0" fontId="95" fillId="11" borderId="0" xfId="168" applyFont="1" applyFill="1" applyAlignment="1">
      <alignment vertical="top"/>
    </xf>
    <xf numFmtId="0" fontId="41" fillId="11" borderId="279" xfId="168" quotePrefix="1" applyFont="1" applyFill="1" applyBorder="1" applyAlignment="1">
      <alignment horizontal="right" vertical="top"/>
    </xf>
    <xf numFmtId="0" fontId="95" fillId="11" borderId="0" xfId="168" applyFont="1" applyFill="1" applyAlignment="1">
      <alignment vertical="center"/>
    </xf>
    <xf numFmtId="0" fontId="160" fillId="11" borderId="0" xfId="168" applyFont="1" applyFill="1" applyAlignment="1">
      <alignment horizontal="left" vertical="top"/>
    </xf>
    <xf numFmtId="0" fontId="73" fillId="11" borderId="0" xfId="169" applyFont="1" applyFill="1" applyAlignment="1">
      <alignment vertical="center"/>
    </xf>
    <xf numFmtId="0" fontId="129" fillId="11" borderId="0" xfId="22" applyFont="1" applyFill="1" applyAlignment="1">
      <alignment horizontal="center" vertical="center" wrapText="1"/>
    </xf>
    <xf numFmtId="0" fontId="73" fillId="11" borderId="279" xfId="169" applyFont="1" applyFill="1" applyBorder="1" applyAlignment="1">
      <alignment vertical="center"/>
    </xf>
    <xf numFmtId="0" fontId="159" fillId="11" borderId="0" xfId="169" applyFont="1" applyFill="1" applyAlignment="1">
      <alignment horizontal="left" vertical="top"/>
    </xf>
    <xf numFmtId="0" fontId="73" fillId="11" borderId="0" xfId="169" applyFont="1" applyFill="1" applyAlignment="1">
      <alignment horizontal="center" vertical="center"/>
    </xf>
    <xf numFmtId="0" fontId="69" fillId="11" borderId="0" xfId="13" applyFont="1" applyFill="1" applyAlignment="1">
      <alignment horizontal="center" vertical="center"/>
    </xf>
    <xf numFmtId="0" fontId="73" fillId="11" borderId="280" xfId="169" applyFont="1" applyFill="1" applyBorder="1" applyAlignment="1">
      <alignment vertical="center"/>
    </xf>
    <xf numFmtId="0" fontId="41" fillId="11" borderId="0" xfId="169" applyFont="1" applyFill="1" applyAlignment="1">
      <alignment vertical="center"/>
    </xf>
    <xf numFmtId="0" fontId="68" fillId="11" borderId="0" xfId="169" applyFont="1" applyFill="1" applyAlignment="1">
      <alignment vertical="center" wrapText="1"/>
    </xf>
    <xf numFmtId="0" fontId="68" fillId="11" borderId="0" xfId="169" applyFont="1" applyFill="1" applyAlignment="1">
      <alignment vertical="center"/>
    </xf>
    <xf numFmtId="0" fontId="73" fillId="11" borderId="0" xfId="169" applyFont="1" applyFill="1" applyAlignment="1">
      <alignment vertical="center" wrapText="1"/>
    </xf>
    <xf numFmtId="0" fontId="39" fillId="11" borderId="280" xfId="169" applyFont="1" applyFill="1" applyBorder="1" applyAlignment="1">
      <alignment vertical="center"/>
    </xf>
    <xf numFmtId="0" fontId="69" fillId="11" borderId="0" xfId="13" applyFont="1" applyFill="1" applyAlignment="1">
      <alignment vertical="top"/>
    </xf>
    <xf numFmtId="0" fontId="0" fillId="11" borderId="0" xfId="169" applyFont="1" applyFill="1" applyAlignment="1">
      <alignment vertical="center"/>
    </xf>
    <xf numFmtId="0" fontId="39" fillId="11" borderId="280" xfId="13" applyFont="1" applyFill="1" applyBorder="1" applyAlignment="1">
      <alignment vertical="center"/>
    </xf>
    <xf numFmtId="0" fontId="157" fillId="0" borderId="0" xfId="13" applyFont="1" applyAlignment="1" applyProtection="1">
      <alignment horizontal="center" vertical="center"/>
      <protection locked="0"/>
    </xf>
    <xf numFmtId="0" fontId="73" fillId="11" borderId="0" xfId="169" applyFont="1" applyFill="1" applyAlignment="1">
      <alignment horizontal="right" vertical="center"/>
    </xf>
    <xf numFmtId="0" fontId="68" fillId="11" borderId="0" xfId="169" applyFont="1" applyFill="1" applyAlignment="1">
      <alignment horizontal="center" vertical="center"/>
    </xf>
    <xf numFmtId="0" fontId="73" fillId="11" borderId="0" xfId="169" applyFont="1" applyFill="1" applyAlignment="1">
      <alignment horizontal="center" vertical="center" wrapText="1"/>
    </xf>
    <xf numFmtId="0" fontId="73" fillId="11" borderId="280" xfId="169" applyFont="1" applyFill="1" applyBorder="1" applyAlignment="1">
      <alignment horizontal="center" vertical="center" wrapText="1"/>
    </xf>
    <xf numFmtId="0" fontId="73" fillId="11" borderId="0" xfId="169" applyFont="1" applyFill="1" applyAlignment="1">
      <alignment vertical="top"/>
    </xf>
    <xf numFmtId="0" fontId="73" fillId="11" borderId="279" xfId="169" applyFont="1" applyFill="1" applyBorder="1" applyAlignment="1">
      <alignment vertical="top"/>
    </xf>
    <xf numFmtId="0" fontId="73" fillId="11" borderId="0" xfId="169" quotePrefix="1" applyFont="1" applyFill="1" applyAlignment="1">
      <alignment horizontal="right" vertical="top"/>
    </xf>
    <xf numFmtId="0" fontId="73" fillId="11" borderId="0" xfId="169" applyFont="1" applyFill="1" applyAlignment="1">
      <alignment vertical="top" wrapText="1"/>
    </xf>
    <xf numFmtId="0" fontId="73" fillId="11" borderId="280" xfId="169" applyFont="1" applyFill="1" applyBorder="1" applyAlignment="1">
      <alignment vertical="top" wrapText="1"/>
    </xf>
    <xf numFmtId="0" fontId="68" fillId="11" borderId="0" xfId="13" applyFont="1" applyFill="1" applyAlignment="1">
      <alignment horizontal="center" vertical="center"/>
    </xf>
    <xf numFmtId="0" fontId="129" fillId="11" borderId="273" xfId="22" applyFont="1" applyFill="1" applyBorder="1" applyAlignment="1">
      <alignment vertical="center" wrapText="1"/>
    </xf>
    <xf numFmtId="0" fontId="39" fillId="11" borderId="279" xfId="164" applyFill="1" applyBorder="1"/>
    <xf numFmtId="0" fontId="39" fillId="11" borderId="0" xfId="164" quotePrefix="1" applyFill="1" applyAlignment="1">
      <alignment horizontal="right" vertical="center" wrapText="1"/>
    </xf>
    <xf numFmtId="0" fontId="39" fillId="11" borderId="0" xfId="164" quotePrefix="1" applyFill="1" applyAlignment="1">
      <alignment horizontal="right" vertical="top" wrapText="1"/>
    </xf>
    <xf numFmtId="0" fontId="39" fillId="11" borderId="0" xfId="164" quotePrefix="1" applyFill="1" applyAlignment="1">
      <alignment vertical="top" wrapText="1"/>
    </xf>
    <xf numFmtId="0" fontId="39" fillId="11" borderId="0" xfId="164" applyFill="1" applyAlignment="1">
      <alignment horizontal="center" vertical="center"/>
    </xf>
    <xf numFmtId="0" fontId="39" fillId="11" borderId="280" xfId="164" applyFill="1" applyBorder="1"/>
    <xf numFmtId="0" fontId="45" fillId="11" borderId="0" xfId="168" quotePrefix="1" applyFont="1" applyFill="1" applyAlignment="1">
      <alignment horizontal="right" vertical="top"/>
    </xf>
    <xf numFmtId="0" fontId="39" fillId="11" borderId="286" xfId="164" quotePrefix="1" applyFill="1" applyBorder="1" applyAlignment="1">
      <alignment horizontal="right" vertical="top" wrapText="1"/>
    </xf>
    <xf numFmtId="0" fontId="39" fillId="11" borderId="289" xfId="164" quotePrefix="1" applyFill="1" applyBorder="1" applyAlignment="1">
      <alignment horizontal="right" vertical="top" wrapText="1"/>
    </xf>
    <xf numFmtId="0" fontId="39" fillId="11" borderId="323" xfId="164" quotePrefix="1" applyFill="1" applyBorder="1" applyAlignment="1">
      <alignment horizontal="right" vertical="center" wrapText="1"/>
    </xf>
    <xf numFmtId="0" fontId="39" fillId="11" borderId="306" xfId="164" quotePrefix="1" applyFill="1" applyBorder="1" applyAlignment="1">
      <alignment horizontal="right" vertical="top" wrapText="1"/>
    </xf>
    <xf numFmtId="0" fontId="39" fillId="11" borderId="279" xfId="169" applyFont="1" applyFill="1" applyBorder="1" applyAlignment="1">
      <alignment vertical="center"/>
    </xf>
    <xf numFmtId="0" fontId="0" fillId="11" borderId="0" xfId="168" quotePrefix="1" applyFont="1" applyFill="1" applyAlignment="1">
      <alignment horizontal="right"/>
    </xf>
    <xf numFmtId="0" fontId="39" fillId="11" borderId="292" xfId="169" applyFont="1" applyFill="1" applyBorder="1" applyAlignment="1">
      <alignment horizontal="center" vertical="center"/>
    </xf>
    <xf numFmtId="0" fontId="0" fillId="11" borderId="292" xfId="168" quotePrefix="1" applyFont="1" applyFill="1" applyBorder="1" applyAlignment="1">
      <alignment horizontal="right" vertical="top"/>
    </xf>
    <xf numFmtId="0" fontId="0" fillId="11" borderId="292" xfId="168" applyFont="1" applyFill="1" applyBorder="1" applyAlignment="1">
      <alignment vertical="top" wrapText="1"/>
    </xf>
    <xf numFmtId="0" fontId="39" fillId="11" borderId="292" xfId="169" applyFont="1" applyFill="1" applyBorder="1" applyAlignment="1">
      <alignment vertical="center"/>
    </xf>
    <xf numFmtId="0" fontId="147" fillId="11" borderId="0" xfId="168" applyFont="1" applyFill="1" applyAlignment="1">
      <alignment horizontal="left" vertical="center"/>
    </xf>
    <xf numFmtId="0" fontId="147" fillId="11" borderId="0" xfId="168" applyFont="1" applyFill="1" applyAlignment="1">
      <alignment horizontal="left"/>
    </xf>
    <xf numFmtId="0" fontId="140" fillId="11" borderId="305" xfId="22" applyFont="1" applyFill="1" applyBorder="1" applyAlignment="1">
      <alignment vertical="center" wrapText="1"/>
    </xf>
    <xf numFmtId="0" fontId="140" fillId="11" borderId="290" xfId="22" applyFont="1" applyFill="1" applyBorder="1" applyAlignment="1">
      <alignment vertical="center" wrapText="1"/>
    </xf>
    <xf numFmtId="0" fontId="140" fillId="11" borderId="280" xfId="22" applyFont="1" applyFill="1" applyBorder="1" applyAlignment="1">
      <alignment vertical="center" wrapText="1"/>
    </xf>
    <xf numFmtId="0" fontId="58" fillId="11" borderId="291" xfId="13" applyFont="1" applyFill="1" applyBorder="1" applyAlignment="1">
      <alignment horizontal="center" vertical="center"/>
    </xf>
    <xf numFmtId="0" fontId="140" fillId="11" borderId="297" xfId="22" applyFont="1" applyFill="1" applyBorder="1" applyAlignment="1">
      <alignment vertical="center" wrapText="1"/>
    </xf>
    <xf numFmtId="0" fontId="0" fillId="11" borderId="0" xfId="170" applyFont="1" applyFill="1" applyAlignment="1">
      <alignment vertical="center" wrapText="1"/>
    </xf>
    <xf numFmtId="0" fontId="39" fillId="11" borderId="323" xfId="164" quotePrefix="1" applyFill="1" applyBorder="1" applyAlignment="1">
      <alignment horizontal="right" vertical="top" wrapText="1"/>
    </xf>
    <xf numFmtId="0" fontId="0" fillId="11" borderId="0" xfId="168" applyFont="1" applyFill="1" applyAlignment="1">
      <alignment wrapText="1"/>
    </xf>
    <xf numFmtId="0" fontId="0" fillId="11" borderId="0" xfId="168" applyFont="1" applyFill="1" applyAlignment="1">
      <alignment horizontal="center" vertical="center" wrapText="1"/>
    </xf>
    <xf numFmtId="0" fontId="41" fillId="11" borderId="0" xfId="168" applyFont="1" applyFill="1"/>
    <xf numFmtId="0" fontId="0" fillId="11" borderId="0" xfId="170" applyFont="1" applyFill="1" applyAlignment="1">
      <alignment vertical="center"/>
    </xf>
    <xf numFmtId="0" fontId="156" fillId="0" borderId="322" xfId="13" applyFont="1" applyBorder="1" applyAlignment="1" applyProtection="1">
      <alignment horizontal="center" vertical="center"/>
      <protection locked="0"/>
    </xf>
    <xf numFmtId="0" fontId="156" fillId="0" borderId="289" xfId="13" applyFont="1" applyBorder="1" applyAlignment="1" applyProtection="1">
      <alignment horizontal="center" vertical="center"/>
      <protection locked="0"/>
    </xf>
    <xf numFmtId="0" fontId="156" fillId="0" borderId="291" xfId="13" applyFont="1" applyBorder="1" applyAlignment="1" applyProtection="1">
      <alignment horizontal="center" vertical="center"/>
      <protection locked="0"/>
    </xf>
    <xf numFmtId="0" fontId="156" fillId="0" borderId="279" xfId="13" applyFont="1" applyBorder="1" applyAlignment="1" applyProtection="1">
      <alignment horizontal="center" vertical="center"/>
      <protection locked="0"/>
    </xf>
    <xf numFmtId="0" fontId="82" fillId="11" borderId="279" xfId="171" applyFont="1" applyFill="1" applyBorder="1" applyAlignment="1">
      <alignment vertical="center"/>
    </xf>
    <xf numFmtId="0" fontId="82" fillId="11" borderId="0" xfId="171" applyFont="1" applyFill="1" applyAlignment="1">
      <alignment vertical="center"/>
    </xf>
    <xf numFmtId="0" fontId="82" fillId="11" borderId="280" xfId="171" applyFont="1" applyFill="1" applyBorder="1" applyAlignment="1">
      <alignment vertical="center"/>
    </xf>
    <xf numFmtId="0" fontId="41" fillId="11" borderId="291" xfId="171" applyFont="1" applyFill="1" applyBorder="1" applyAlignment="1">
      <alignment horizontal="center" vertical="center"/>
    </xf>
    <xf numFmtId="0" fontId="39" fillId="11" borderId="292" xfId="164" applyFill="1" applyBorder="1"/>
    <xf numFmtId="0" fontId="39" fillId="11" borderId="292" xfId="164" quotePrefix="1" applyFill="1" applyBorder="1" applyAlignment="1">
      <alignment horizontal="right" vertical="top" wrapText="1"/>
    </xf>
    <xf numFmtId="0" fontId="39" fillId="11" borderId="292" xfId="164" quotePrefix="1" applyFill="1" applyBorder="1" applyAlignment="1">
      <alignment vertical="top" wrapText="1"/>
    </xf>
    <xf numFmtId="0" fontId="39" fillId="11" borderId="292" xfId="164" applyFill="1" applyBorder="1" applyAlignment="1">
      <alignment vertical="center"/>
    </xf>
    <xf numFmtId="0" fontId="82" fillId="11" borderId="292" xfId="171" applyFont="1" applyFill="1" applyBorder="1" applyAlignment="1">
      <alignment vertical="center"/>
    </xf>
    <xf numFmtId="0" fontId="82" fillId="11" borderId="297" xfId="171" applyFont="1" applyFill="1" applyBorder="1" applyAlignment="1">
      <alignment vertical="center"/>
    </xf>
    <xf numFmtId="0" fontId="41" fillId="11" borderId="0" xfId="171" applyFont="1" applyFill="1" applyAlignment="1">
      <alignment horizontal="center" vertical="center"/>
    </xf>
    <xf numFmtId="0" fontId="39" fillId="11" borderId="0" xfId="171" applyFont="1" applyFill="1" applyAlignment="1">
      <alignment vertical="center"/>
    </xf>
    <xf numFmtId="0" fontId="39" fillId="11" borderId="0" xfId="171" applyFont="1" applyFill="1" applyAlignment="1">
      <alignment vertical="center" wrapText="1"/>
    </xf>
    <xf numFmtId="0" fontId="45" fillId="11" borderId="0" xfId="173" quotePrefix="1" applyFont="1" applyFill="1" applyAlignment="1">
      <alignment horizontal="right" vertical="top"/>
    </xf>
    <xf numFmtId="0" fontId="39" fillId="11" borderId="0" xfId="173" applyFont="1" applyFill="1" applyAlignment="1">
      <alignment vertical="center"/>
    </xf>
    <xf numFmtId="0" fontId="45" fillId="11" borderId="0" xfId="173" applyFont="1" applyFill="1" applyAlignment="1">
      <alignment horizontal="justify" vertical="top" wrapText="1"/>
    </xf>
    <xf numFmtId="0" fontId="53" fillId="11" borderId="0" xfId="11" quotePrefix="1" applyFont="1" applyFill="1"/>
    <xf numFmtId="0" fontId="0" fillId="11" borderId="0" xfId="171" quotePrefix="1" applyFont="1" applyFill="1" applyAlignment="1">
      <alignment horizontal="right" vertical="top"/>
    </xf>
    <xf numFmtId="0" fontId="0" fillId="11" borderId="0" xfId="171" applyFont="1" applyFill="1" applyAlignment="1">
      <alignment vertical="center" wrapText="1"/>
    </xf>
    <xf numFmtId="0" fontId="0" fillId="11" borderId="0" xfId="171" applyFont="1" applyFill="1" applyAlignment="1">
      <alignment vertical="top" wrapText="1"/>
    </xf>
    <xf numFmtId="0" fontId="0" fillId="11" borderId="280" xfId="171" applyFont="1" applyFill="1" applyBorder="1" applyAlignment="1">
      <alignment vertical="top" wrapText="1"/>
    </xf>
    <xf numFmtId="0" fontId="0" fillId="11" borderId="0" xfId="172" applyFont="1" applyFill="1" applyAlignment="1">
      <alignment vertical="center" wrapText="1"/>
    </xf>
    <xf numFmtId="0" fontId="0" fillId="11" borderId="280" xfId="172" applyFont="1" applyFill="1" applyBorder="1" applyAlignment="1">
      <alignment vertical="center" wrapText="1"/>
    </xf>
    <xf numFmtId="0" fontId="0" fillId="11" borderId="0" xfId="171" quotePrefix="1" applyFont="1" applyFill="1" applyAlignment="1">
      <alignment vertical="top"/>
    </xf>
    <xf numFmtId="0" fontId="41" fillId="11" borderId="279" xfId="171" quotePrefix="1" applyFont="1" applyFill="1" applyBorder="1" applyAlignment="1">
      <alignment horizontal="right" vertical="center"/>
    </xf>
    <xf numFmtId="0" fontId="39" fillId="11" borderId="285" xfId="164" quotePrefix="1" applyFill="1" applyBorder="1" applyAlignment="1">
      <alignment horizontal="right" vertical="top" wrapText="1"/>
    </xf>
    <xf numFmtId="0" fontId="41" fillId="11" borderId="279" xfId="171" applyFont="1" applyFill="1" applyBorder="1" applyAlignment="1">
      <alignment vertical="center"/>
    </xf>
    <xf numFmtId="0" fontId="39" fillId="11" borderId="279" xfId="164" quotePrefix="1" applyFill="1" applyBorder="1" applyAlignment="1">
      <alignment vertical="top" wrapText="1"/>
    </xf>
    <xf numFmtId="0" fontId="39" fillId="11" borderId="26"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91" xfId="164" quotePrefix="1" applyFill="1" applyBorder="1" applyAlignment="1">
      <alignment horizontal="right" vertical="top" wrapText="1"/>
    </xf>
    <xf numFmtId="0" fontId="0" fillId="11" borderId="280" xfId="171" applyFont="1" applyFill="1" applyBorder="1" applyAlignment="1">
      <alignment vertical="center" wrapText="1"/>
    </xf>
    <xf numFmtId="0" fontId="0" fillId="11" borderId="0" xfId="171" applyFont="1" applyFill="1"/>
    <xf numFmtId="0" fontId="41" fillId="11" borderId="0" xfId="171" applyFont="1" applyFill="1" applyAlignment="1">
      <alignment vertical="center" wrapText="1"/>
    </xf>
    <xf numFmtId="0" fontId="68" fillId="11" borderId="0" xfId="171" applyFont="1" applyFill="1" applyAlignment="1">
      <alignment vertical="center"/>
    </xf>
    <xf numFmtId="0" fontId="41" fillId="11" borderId="273" xfId="171" quotePrefix="1" applyFont="1" applyFill="1" applyBorder="1" applyAlignment="1">
      <alignment horizontal="right" vertical="center"/>
    </xf>
    <xf numFmtId="0" fontId="82" fillId="11" borderId="274" xfId="171" applyFont="1" applyFill="1" applyBorder="1" applyAlignment="1">
      <alignment vertical="center"/>
    </xf>
    <xf numFmtId="0" fontId="41" fillId="11" borderId="274" xfId="171" applyFont="1" applyFill="1" applyBorder="1" applyAlignment="1">
      <alignment vertical="center" wrapText="1"/>
    </xf>
    <xf numFmtId="0" fontId="82" fillId="11" borderId="302" xfId="171" applyFont="1" applyFill="1" applyBorder="1" applyAlignment="1">
      <alignment vertical="center"/>
    </xf>
    <xf numFmtId="0" fontId="45" fillId="11" borderId="67" xfId="96" quotePrefix="1" applyFont="1" applyFill="1" applyBorder="1" applyAlignment="1">
      <alignment horizontal="left"/>
    </xf>
    <xf numFmtId="0" fontId="127" fillId="11" borderId="0" xfId="22" applyFont="1" applyFill="1" applyAlignment="1">
      <alignment vertical="top"/>
    </xf>
    <xf numFmtId="0" fontId="127" fillId="11" borderId="38" xfId="22" applyFont="1" applyFill="1" applyBorder="1" applyAlignment="1">
      <alignment vertical="top"/>
    </xf>
    <xf numFmtId="0" fontId="40" fillId="11" borderId="0" xfId="96" applyFont="1" applyFill="1" applyAlignment="1">
      <alignment vertical="center"/>
    </xf>
    <xf numFmtId="0" fontId="44" fillId="11" borderId="7" xfId="96" applyFont="1" applyFill="1" applyBorder="1"/>
    <xf numFmtId="0" fontId="44" fillId="11" borderId="8" xfId="96" applyFont="1" applyFill="1" applyBorder="1"/>
    <xf numFmtId="0" fontId="44" fillId="11" borderId="16" xfId="96" applyFont="1" applyFill="1" applyBorder="1"/>
    <xf numFmtId="0" fontId="40" fillId="11" borderId="0" xfId="96" applyFont="1" applyFill="1"/>
    <xf numFmtId="0" fontId="45" fillId="11" borderId="0" xfId="96" applyFont="1" applyFill="1" applyAlignment="1">
      <alignment vertical="center"/>
    </xf>
    <xf numFmtId="0" fontId="44" fillId="11" borderId="0" xfId="96" applyFont="1" applyFill="1"/>
    <xf numFmtId="0" fontId="126" fillId="11" borderId="0" xfId="96" applyFont="1" applyFill="1"/>
    <xf numFmtId="0" fontId="44" fillId="11" borderId="0" xfId="0" applyFont="1" applyFill="1" applyAlignment="1">
      <alignment horizontal="center"/>
    </xf>
    <xf numFmtId="0" fontId="39" fillId="11" borderId="0" xfId="96" applyFont="1" applyFill="1" applyAlignment="1">
      <alignment horizontal="left" vertical="center" wrapText="1"/>
    </xf>
    <xf numFmtId="0" fontId="44" fillId="11" borderId="38" xfId="96" applyFont="1" applyFill="1" applyBorder="1" applyAlignment="1">
      <alignment vertical="center" wrapText="1"/>
    </xf>
    <xf numFmtId="0" fontId="43" fillId="11" borderId="67" xfId="96" quotePrefix="1" applyFont="1" applyFill="1" applyBorder="1" applyAlignment="1">
      <alignment horizontal="right" vertical="center"/>
    </xf>
    <xf numFmtId="0" fontId="48" fillId="11" borderId="67" xfId="151" quotePrefix="1" applyFont="1" applyFill="1" applyBorder="1" applyAlignment="1">
      <alignment horizontal="right"/>
    </xf>
    <xf numFmtId="0" fontId="39" fillId="11" borderId="0" xfId="151" applyFont="1" applyFill="1"/>
    <xf numFmtId="0" fontId="39" fillId="11" borderId="0" xfId="151" applyFont="1" applyFill="1" applyAlignment="1">
      <alignment wrapText="1"/>
    </xf>
    <xf numFmtId="0" fontId="39" fillId="11" borderId="38" xfId="151" applyFont="1" applyFill="1" applyBorder="1" applyAlignment="1">
      <alignment wrapText="1"/>
    </xf>
    <xf numFmtId="0" fontId="43" fillId="11" borderId="171" xfId="96" applyFont="1" applyFill="1" applyBorder="1" applyAlignment="1">
      <alignment horizontal="center" vertical="center"/>
    </xf>
    <xf numFmtId="0" fontId="130" fillId="11" borderId="0" xfId="13" applyFont="1" applyFill="1" applyAlignment="1">
      <alignment horizontal="center" vertical="center"/>
    </xf>
    <xf numFmtId="0" fontId="39" fillId="11" borderId="0" xfId="96" applyFont="1" applyFill="1" applyAlignment="1">
      <alignment vertical="center" wrapText="1"/>
    </xf>
    <xf numFmtId="0" fontId="128" fillId="11" borderId="0" xfId="96" applyFont="1" applyFill="1"/>
    <xf numFmtId="0" fontId="39" fillId="11" borderId="0" xfId="157" applyFill="1" applyAlignment="1">
      <alignment horizontal="left" vertical="center"/>
    </xf>
    <xf numFmtId="0" fontId="39" fillId="11" borderId="0" xfId="157" applyFill="1" applyAlignment="1">
      <alignment vertical="center"/>
    </xf>
    <xf numFmtId="0" fontId="43" fillId="11" borderId="0" xfId="96" applyFont="1" applyFill="1" applyAlignment="1">
      <alignment horizontal="center" vertical="center"/>
    </xf>
    <xf numFmtId="0" fontId="44" fillId="11" borderId="0" xfId="96" applyFont="1" applyFill="1" applyAlignment="1">
      <alignment horizontal="center"/>
    </xf>
    <xf numFmtId="0" fontId="43" fillId="11" borderId="0" xfId="96" applyFont="1" applyFill="1" applyAlignment="1">
      <alignment vertical="center"/>
    </xf>
    <xf numFmtId="0" fontId="43" fillId="11" borderId="38" xfId="96" applyFont="1" applyFill="1" applyBorder="1" applyAlignment="1">
      <alignment vertical="center" wrapText="1"/>
    </xf>
    <xf numFmtId="0" fontId="43" fillId="11" borderId="67" xfId="96" quotePrefix="1" applyFont="1" applyFill="1" applyBorder="1" applyAlignment="1">
      <alignment horizontal="right" vertical="top"/>
    </xf>
    <xf numFmtId="0" fontId="39" fillId="11" borderId="0" xfId="155" applyFont="1" applyFill="1" applyAlignment="1">
      <alignment vertical="top"/>
    </xf>
    <xf numFmtId="0" fontId="44" fillId="11" borderId="38" xfId="96" applyFont="1" applyFill="1" applyBorder="1"/>
    <xf numFmtId="0" fontId="43" fillId="11" borderId="7" xfId="96" applyFont="1" applyFill="1" applyBorder="1" applyAlignment="1">
      <alignment vertical="top" wrapText="1"/>
    </xf>
    <xf numFmtId="0" fontId="44" fillId="11" borderId="8" xfId="96" applyFont="1" applyFill="1" applyBorder="1" applyAlignment="1">
      <alignment vertical="top"/>
    </xf>
    <xf numFmtId="0" fontId="44" fillId="11" borderId="8" xfId="96" applyFont="1" applyFill="1" applyBorder="1" applyAlignment="1">
      <alignment vertical="center"/>
    </xf>
    <xf numFmtId="0" fontId="43" fillId="11" borderId="8" xfId="96" applyFont="1" applyFill="1" applyBorder="1" applyAlignment="1">
      <alignment vertical="center"/>
    </xf>
    <xf numFmtId="0" fontId="143" fillId="11" borderId="0" xfId="96" applyFont="1" applyFill="1"/>
    <xf numFmtId="0" fontId="44" fillId="11" borderId="0" xfId="96" applyFont="1" applyFill="1" applyAlignment="1">
      <alignment vertical="top"/>
    </xf>
    <xf numFmtId="0" fontId="44" fillId="11" borderId="0" xfId="96" applyFont="1" applyFill="1" applyAlignment="1">
      <alignment vertical="center"/>
    </xf>
    <xf numFmtId="0" fontId="129" fillId="11" borderId="71" xfId="96" applyFont="1" applyFill="1" applyBorder="1" applyAlignment="1">
      <alignment vertical="center"/>
    </xf>
    <xf numFmtId="0" fontId="44" fillId="11" borderId="72" xfId="96" applyFont="1" applyFill="1" applyBorder="1" applyAlignment="1">
      <alignment vertical="top"/>
    </xf>
    <xf numFmtId="0" fontId="44" fillId="11" borderId="72" xfId="96" applyFont="1" applyFill="1" applyBorder="1" applyAlignment="1">
      <alignment vertical="center"/>
    </xf>
    <xf numFmtId="0" fontId="43" fillId="11" borderId="72" xfId="96" applyFont="1" applyFill="1" applyBorder="1" applyAlignment="1">
      <alignment vertical="center"/>
    </xf>
    <xf numFmtId="0" fontId="44" fillId="11" borderId="72" xfId="96" applyFont="1" applyFill="1" applyBorder="1"/>
    <xf numFmtId="0" fontId="44" fillId="11" borderId="74" xfId="96" applyFont="1" applyFill="1" applyBorder="1"/>
    <xf numFmtId="0" fontId="121" fillId="11" borderId="67" xfId="96" quotePrefix="1" applyFont="1" applyFill="1" applyBorder="1" applyAlignment="1">
      <alignment horizontal="right" vertical="center"/>
    </xf>
    <xf numFmtId="0" fontId="52" fillId="11" borderId="0" xfId="96" applyFont="1" applyFill="1" applyAlignment="1">
      <alignment horizontal="left" vertical="center"/>
    </xf>
    <xf numFmtId="0" fontId="123" fillId="11" borderId="0" xfId="96" applyFont="1" applyFill="1" applyAlignment="1">
      <alignment horizontal="left" vertical="center"/>
    </xf>
    <xf numFmtId="0" fontId="39" fillId="11" borderId="0" xfId="96" applyFont="1" applyFill="1" applyAlignment="1">
      <alignment vertical="center"/>
    </xf>
    <xf numFmtId="0" fontId="39" fillId="11" borderId="0" xfId="96" applyFont="1" applyFill="1" applyAlignment="1">
      <alignment horizontal="left" vertical="center"/>
    </xf>
    <xf numFmtId="0" fontId="126" fillId="11" borderId="0" xfId="96" applyFont="1" applyFill="1" applyAlignment="1">
      <alignment horizontal="left" vertical="center"/>
    </xf>
    <xf numFmtId="0" fontId="43" fillId="11" borderId="67" xfId="96" applyFont="1" applyFill="1" applyBorder="1" applyAlignment="1">
      <alignment vertical="top" wrapText="1"/>
    </xf>
    <xf numFmtId="0" fontId="43" fillId="11" borderId="0" xfId="96" applyFont="1" applyFill="1" applyAlignment="1">
      <alignment vertical="top"/>
    </xf>
    <xf numFmtId="0" fontId="43" fillId="11" borderId="67" xfId="96" applyFont="1" applyFill="1" applyBorder="1" applyAlignment="1">
      <alignment vertical="top"/>
    </xf>
    <xf numFmtId="0" fontId="81" fillId="11" borderId="0" xfId="96" applyFont="1" applyFill="1"/>
    <xf numFmtId="0" fontId="41" fillId="11" borderId="96" xfId="157" applyFont="1" applyFill="1" applyBorder="1" applyAlignment="1">
      <alignment horizontal="center" vertical="center" wrapText="1"/>
    </xf>
    <xf numFmtId="0" fontId="44" fillId="11" borderId="38" xfId="96" applyFont="1" applyFill="1" applyBorder="1" applyAlignment="1">
      <alignment horizontal="center" vertical="center"/>
    </xf>
    <xf numFmtId="0" fontId="40" fillId="11" borderId="0" xfId="96" applyFont="1" applyFill="1" applyAlignment="1">
      <alignment horizontal="center" vertical="center"/>
    </xf>
    <xf numFmtId="0" fontId="52" fillId="11" borderId="0" xfId="96" applyFont="1" applyFill="1"/>
    <xf numFmtId="0" fontId="48" fillId="11" borderId="67" xfId="96" quotePrefix="1" applyFont="1" applyFill="1" applyBorder="1" applyAlignment="1">
      <alignment horizontal="right"/>
    </xf>
    <xf numFmtId="0" fontId="52" fillId="11" borderId="38" xfId="96" applyFont="1" applyFill="1" applyBorder="1" applyAlignment="1">
      <alignment vertical="center" wrapText="1"/>
    </xf>
    <xf numFmtId="0" fontId="48" fillId="11" borderId="0" xfId="96" applyFont="1" applyFill="1" applyAlignment="1">
      <alignment horizontal="center"/>
    </xf>
    <xf numFmtId="0" fontId="48" fillId="11" borderId="167" xfId="96" applyFont="1" applyFill="1" applyBorder="1" applyAlignment="1">
      <alignment horizontal="center" vertical="center"/>
    </xf>
    <xf numFmtId="0" fontId="48" fillId="11" borderId="53" xfId="96" applyFont="1" applyFill="1" applyBorder="1" applyAlignment="1">
      <alignment horizontal="center" vertical="center"/>
    </xf>
    <xf numFmtId="0" fontId="48" fillId="11" borderId="165" xfId="96" applyFont="1" applyFill="1" applyBorder="1" applyAlignment="1">
      <alignment horizontal="center" vertical="center"/>
    </xf>
    <xf numFmtId="0" fontId="48" fillId="11" borderId="0" xfId="96" applyFont="1" applyFill="1" applyAlignment="1">
      <alignment horizontal="center" vertical="center"/>
    </xf>
    <xf numFmtId="0" fontId="43" fillId="11" borderId="38" xfId="96" applyFont="1" applyFill="1" applyBorder="1" applyAlignment="1">
      <alignment horizontal="center"/>
    </xf>
    <xf numFmtId="0" fontId="128" fillId="11" borderId="0" xfId="96" applyFont="1" applyFill="1" applyAlignment="1">
      <alignment horizontal="center"/>
    </xf>
    <xf numFmtId="0" fontId="68" fillId="11" borderId="0" xfId="96" applyFont="1" applyFill="1"/>
    <xf numFmtId="0" fontId="124" fillId="11" borderId="0" xfId="96" applyFont="1" applyFill="1"/>
    <xf numFmtId="0" fontId="45" fillId="11" borderId="0" xfId="96" applyFont="1" applyFill="1"/>
    <xf numFmtId="0" fontId="43" fillId="11" borderId="71" xfId="96" applyFont="1" applyFill="1" applyBorder="1"/>
    <xf numFmtId="0" fontId="43" fillId="11" borderId="67" xfId="96" quotePrefix="1" applyFont="1" applyFill="1" applyBorder="1" applyAlignment="1">
      <alignment horizontal="right"/>
    </xf>
    <xf numFmtId="0" fontId="39" fillId="11" borderId="0" xfId="110" applyFill="1"/>
    <xf numFmtId="0" fontId="48" fillId="11" borderId="9" xfId="96" applyFont="1" applyFill="1" applyBorder="1" applyAlignment="1">
      <alignment horizontal="center" vertical="center"/>
    </xf>
    <xf numFmtId="0" fontId="158" fillId="0" borderId="0" xfId="13" applyFont="1" applyAlignment="1" applyProtection="1">
      <alignment horizontal="center"/>
      <protection locked="0"/>
    </xf>
    <xf numFmtId="0" fontId="158" fillId="0" borderId="0" xfId="13" applyFont="1" applyAlignment="1" applyProtection="1">
      <alignment horizontal="center" vertical="center"/>
      <protection locked="0"/>
    </xf>
    <xf numFmtId="0" fontId="41" fillId="11" borderId="7" xfId="171" applyFont="1" applyFill="1" applyBorder="1" applyAlignment="1">
      <alignment horizontal="center" vertical="center"/>
    </xf>
    <xf numFmtId="0" fontId="58" fillId="11" borderId="8" xfId="13" applyFont="1" applyFill="1" applyBorder="1" applyAlignment="1">
      <alignment horizontal="center" vertical="center"/>
    </xf>
    <xf numFmtId="0" fontId="39" fillId="11" borderId="8" xfId="171" applyFont="1" applyFill="1" applyBorder="1" applyAlignment="1">
      <alignment vertical="center"/>
    </xf>
    <xf numFmtId="0" fontId="39" fillId="11" borderId="8" xfId="171" applyFont="1" applyFill="1" applyBorder="1" applyAlignment="1">
      <alignment vertical="center" wrapText="1"/>
    </xf>
    <xf numFmtId="0" fontId="82" fillId="11" borderId="8" xfId="171" applyFont="1" applyFill="1" applyBorder="1" applyAlignment="1">
      <alignment vertical="center"/>
    </xf>
    <xf numFmtId="0" fontId="82" fillId="11" borderId="16" xfId="171" applyFont="1" applyFill="1" applyBorder="1" applyAlignment="1">
      <alignment vertical="center"/>
    </xf>
    <xf numFmtId="0" fontId="39" fillId="11" borderId="38" xfId="164" applyFill="1" applyBorder="1"/>
    <xf numFmtId="0" fontId="39" fillId="11" borderId="67" xfId="164" applyFill="1" applyBorder="1"/>
    <xf numFmtId="0" fontId="39" fillId="11" borderId="291" xfId="164" applyFill="1" applyBorder="1" applyAlignment="1">
      <alignment horizontal="right"/>
    </xf>
    <xf numFmtId="0" fontId="39" fillId="11" borderId="297" xfId="164" applyFill="1" applyBorder="1" applyAlignment="1">
      <alignment vertical="center"/>
    </xf>
    <xf numFmtId="0" fontId="39" fillId="11" borderId="282" xfId="164" applyFill="1" applyBorder="1" applyAlignment="1">
      <alignment vertical="center"/>
    </xf>
    <xf numFmtId="0" fontId="39" fillId="11" borderId="285" xfId="164" quotePrefix="1" applyFill="1" applyBorder="1" applyAlignment="1">
      <alignment horizontal="right" vertical="center"/>
    </xf>
    <xf numFmtId="0" fontId="39" fillId="11" borderId="26" xfId="164" applyFill="1" applyBorder="1" applyAlignment="1">
      <alignment vertical="center"/>
    </xf>
    <xf numFmtId="0" fontId="39" fillId="11" borderId="286" xfId="164" quotePrefix="1" applyFill="1" applyBorder="1" applyAlignment="1">
      <alignment horizontal="right" vertical="center"/>
    </xf>
    <xf numFmtId="0" fontId="39" fillId="11" borderId="281" xfId="164" applyFill="1" applyBorder="1" applyAlignment="1">
      <alignment vertical="center"/>
    </xf>
    <xf numFmtId="0" fontId="39" fillId="11" borderId="289" xfId="164" quotePrefix="1" applyFill="1" applyBorder="1" applyAlignment="1">
      <alignment horizontal="right" vertical="center"/>
    </xf>
    <xf numFmtId="0" fontId="39" fillId="11" borderId="290" xfId="164" applyFill="1" applyBorder="1" applyAlignment="1">
      <alignment vertical="center"/>
    </xf>
    <xf numFmtId="0" fontId="39" fillId="11" borderId="289" xfId="164" quotePrefix="1" applyFill="1" applyBorder="1" applyAlignment="1">
      <alignment horizontal="right" vertical="top"/>
    </xf>
    <xf numFmtId="0" fontId="39" fillId="11" borderId="290" xfId="164" applyFill="1" applyBorder="1" applyAlignment="1">
      <alignment vertical="center" wrapText="1"/>
    </xf>
    <xf numFmtId="0" fontId="41" fillId="11" borderId="300" xfId="164" applyFont="1" applyFill="1" applyBorder="1" applyAlignment="1">
      <alignment vertical="center"/>
    </xf>
    <xf numFmtId="0" fontId="41" fillId="11" borderId="277" xfId="164" applyFont="1" applyFill="1" applyBorder="1" applyAlignment="1">
      <alignment vertical="center"/>
    </xf>
    <xf numFmtId="0" fontId="41" fillId="11" borderId="278" xfId="164" applyFont="1" applyFill="1" applyBorder="1" applyAlignment="1">
      <alignment vertical="center"/>
    </xf>
    <xf numFmtId="0" fontId="39" fillId="11" borderId="283" xfId="164" applyFill="1" applyBorder="1" applyAlignment="1">
      <alignment horizontal="right"/>
    </xf>
    <xf numFmtId="0" fontId="39" fillId="11" borderId="8" xfId="164" applyFill="1" applyBorder="1" applyAlignment="1">
      <alignment vertical="center"/>
    </xf>
    <xf numFmtId="0" fontId="39" fillId="11" borderId="284" xfId="164" applyFill="1" applyBorder="1" applyAlignment="1">
      <alignment vertical="center"/>
    </xf>
    <xf numFmtId="0" fontId="41" fillId="11" borderId="67" xfId="171" applyFont="1" applyFill="1" applyBorder="1" applyAlignment="1">
      <alignment vertical="center"/>
    </xf>
    <xf numFmtId="0" fontId="41" fillId="11" borderId="0" xfId="171" applyFont="1" applyFill="1" applyAlignment="1">
      <alignment vertical="center"/>
    </xf>
    <xf numFmtId="0" fontId="39" fillId="11" borderId="38" xfId="171" applyFont="1" applyFill="1" applyBorder="1" applyAlignment="1">
      <alignment vertical="center"/>
    </xf>
    <xf numFmtId="0" fontId="82" fillId="11" borderId="67" xfId="171" applyFont="1" applyFill="1" applyBorder="1" applyAlignment="1">
      <alignment vertical="center"/>
    </xf>
    <xf numFmtId="0" fontId="0" fillId="11" borderId="0" xfId="171" applyFont="1" applyFill="1" applyAlignment="1">
      <alignment vertical="top"/>
    </xf>
    <xf numFmtId="0" fontId="39" fillId="11" borderId="38" xfId="171" applyFont="1" applyFill="1" applyBorder="1" applyAlignment="1">
      <alignment vertical="center" wrapText="1"/>
    </xf>
    <xf numFmtId="0" fontId="41" fillId="11" borderId="67" xfId="171" quotePrefix="1" applyFont="1" applyFill="1" applyBorder="1" applyAlignment="1">
      <alignment horizontal="right" vertical="center"/>
    </xf>
    <xf numFmtId="0" fontId="41" fillId="11" borderId="38" xfId="171" applyFont="1" applyFill="1" applyBorder="1" applyAlignment="1">
      <alignment vertical="center" wrapText="1"/>
    </xf>
    <xf numFmtId="0" fontId="41" fillId="11" borderId="71" xfId="171" quotePrefix="1" applyFont="1" applyFill="1" applyBorder="1" applyAlignment="1">
      <alignment horizontal="right" vertical="center"/>
    </xf>
    <xf numFmtId="0" fontId="41" fillId="11" borderId="72" xfId="171" applyFont="1" applyFill="1" applyBorder="1" applyAlignment="1">
      <alignment vertical="center" wrapText="1"/>
    </xf>
    <xf numFmtId="0" fontId="41" fillId="11" borderId="74" xfId="171" applyFont="1" applyFill="1" applyBorder="1" applyAlignment="1">
      <alignment vertical="center" wrapText="1"/>
    </xf>
    <xf numFmtId="0" fontId="41" fillId="11" borderId="0" xfId="171" applyFont="1" applyFill="1" applyAlignment="1">
      <alignment horizontal="justify" vertical="center" wrapText="1"/>
    </xf>
    <xf numFmtId="0" fontId="41" fillId="11" borderId="38" xfId="171" applyFont="1" applyFill="1" applyBorder="1" applyAlignment="1">
      <alignment horizontal="justify" vertical="center" wrapText="1"/>
    </xf>
    <xf numFmtId="0" fontId="39" fillId="11" borderId="292" xfId="171" applyFont="1" applyFill="1" applyBorder="1" applyAlignment="1">
      <alignment vertical="center"/>
    </xf>
    <xf numFmtId="0" fontId="39" fillId="11" borderId="292" xfId="171" applyFont="1" applyFill="1" applyBorder="1" applyAlignment="1">
      <alignment vertical="center" wrapText="1"/>
    </xf>
    <xf numFmtId="0" fontId="138" fillId="11" borderId="0" xfId="164" applyFont="1" applyFill="1" applyAlignment="1">
      <alignment vertical="center"/>
    </xf>
    <xf numFmtId="0" fontId="69" fillId="11" borderId="0" xfId="164" applyFont="1" applyFill="1" applyAlignment="1">
      <alignment vertical="center"/>
    </xf>
    <xf numFmtId="0" fontId="39" fillId="11" borderId="0" xfId="164" applyFill="1" applyAlignment="1">
      <alignment vertical="center"/>
    </xf>
    <xf numFmtId="0" fontId="39" fillId="11" borderId="280" xfId="164" applyFill="1" applyBorder="1" applyAlignment="1">
      <alignment vertical="center"/>
    </xf>
    <xf numFmtId="0" fontId="39" fillId="11" borderId="279" xfId="164" applyFill="1" applyBorder="1" applyAlignment="1">
      <alignment vertical="center"/>
    </xf>
    <xf numFmtId="0" fontId="39" fillId="11" borderId="0" xfId="164" applyFill="1" applyAlignment="1">
      <alignment horizontal="right" vertical="center"/>
    </xf>
    <xf numFmtId="0" fontId="39" fillId="11" borderId="0" xfId="164" applyFill="1" applyAlignment="1">
      <alignment horizontal="right"/>
    </xf>
    <xf numFmtId="0" fontId="39" fillId="11" borderId="280" xfId="171" applyFont="1" applyFill="1" applyBorder="1" applyAlignment="1">
      <alignment vertical="center"/>
    </xf>
    <xf numFmtId="0" fontId="39" fillId="11" borderId="279" xfId="173" applyFont="1" applyFill="1" applyBorder="1" applyAlignment="1">
      <alignment horizontal="center" vertical="center"/>
    </xf>
    <xf numFmtId="0" fontId="0" fillId="11" borderId="0" xfId="173" quotePrefix="1" applyFont="1" applyFill="1" applyAlignment="1">
      <alignment horizontal="right" vertical="center"/>
    </xf>
    <xf numFmtId="0" fontId="0" fillId="11" borderId="0" xfId="172" applyFont="1" applyFill="1" applyAlignment="1">
      <alignment vertical="center"/>
    </xf>
    <xf numFmtId="0" fontId="39" fillId="11" borderId="0" xfId="172" applyFont="1" applyFill="1" applyAlignment="1">
      <alignment vertical="center"/>
    </xf>
    <xf numFmtId="0" fontId="39" fillId="11" borderId="280" xfId="173" applyFont="1" applyFill="1" applyBorder="1" applyAlignment="1">
      <alignment vertical="center"/>
    </xf>
    <xf numFmtId="0" fontId="41" fillId="11" borderId="279" xfId="164" applyFont="1" applyFill="1" applyBorder="1"/>
    <xf numFmtId="0" fontId="41" fillId="11" borderId="0" xfId="164" applyFont="1" applyFill="1" applyAlignment="1">
      <alignment vertical="center"/>
    </xf>
    <xf numFmtId="0" fontId="160" fillId="11" borderId="292" xfId="164" applyFont="1" applyFill="1" applyBorder="1" applyAlignment="1">
      <alignment vertical="top"/>
    </xf>
    <xf numFmtId="0" fontId="39" fillId="11" borderId="279" xfId="164" quotePrefix="1" applyFill="1" applyBorder="1" applyAlignment="1">
      <alignment horizontal="left" vertical="center" indent="1"/>
    </xf>
    <xf numFmtId="0" fontId="39" fillId="11" borderId="10" xfId="164" quotePrefix="1" applyFill="1" applyBorder="1" applyAlignment="1">
      <alignment vertical="center" wrapText="1"/>
    </xf>
    <xf numFmtId="0" fontId="39" fillId="11" borderId="5" xfId="164" quotePrefix="1" applyFill="1" applyBorder="1" applyAlignment="1">
      <alignment vertical="center" wrapText="1"/>
    </xf>
    <xf numFmtId="0" fontId="39" fillId="11" borderId="5" xfId="164" quotePrefix="1" applyFill="1" applyBorder="1" applyAlignment="1">
      <alignment vertical="top" wrapText="1"/>
    </xf>
    <xf numFmtId="0" fontId="160" fillId="11" borderId="8" xfId="164" applyFont="1" applyFill="1" applyBorder="1" applyAlignment="1">
      <alignment vertical="top"/>
    </xf>
    <xf numFmtId="0" fontId="39" fillId="11" borderId="27" xfId="164" quotePrefix="1" applyFill="1" applyBorder="1" applyAlignment="1">
      <alignment vertical="center" wrapText="1"/>
    </xf>
    <xf numFmtId="0" fontId="41" fillId="11" borderId="302" xfId="171" applyFont="1" applyFill="1" applyBorder="1" applyAlignment="1">
      <alignment vertical="center" wrapText="1"/>
    </xf>
    <xf numFmtId="0" fontId="39" fillId="11" borderId="280" xfId="171" applyFont="1" applyFill="1" applyBorder="1" applyAlignment="1">
      <alignment vertical="center" wrapText="1"/>
    </xf>
    <xf numFmtId="0" fontId="41" fillId="11" borderId="280" xfId="171" applyFont="1" applyFill="1" applyBorder="1" applyAlignment="1">
      <alignment vertical="center" wrapText="1"/>
    </xf>
    <xf numFmtId="0" fontId="41" fillId="11" borderId="292" xfId="171" applyFont="1" applyFill="1" applyBorder="1" applyAlignment="1">
      <alignment horizontal="center" vertical="center" wrapText="1"/>
    </xf>
    <xf numFmtId="0" fontId="41" fillId="11" borderId="279" xfId="171" applyFont="1" applyFill="1" applyBorder="1" applyAlignment="1">
      <alignment horizontal="center" vertical="center"/>
    </xf>
    <xf numFmtId="0" fontId="39" fillId="11" borderId="291" xfId="171" applyFont="1" applyFill="1" applyBorder="1" applyAlignment="1">
      <alignment vertical="center"/>
    </xf>
    <xf numFmtId="0" fontId="147" fillId="11" borderId="292" xfId="171" applyFont="1" applyFill="1" applyBorder="1"/>
    <xf numFmtId="0" fontId="39" fillId="11" borderId="279" xfId="164" quotePrefix="1" applyFill="1" applyBorder="1" applyAlignment="1">
      <alignment horizontal="right" vertical="center"/>
    </xf>
    <xf numFmtId="0" fontId="39" fillId="11" borderId="322" xfId="164" quotePrefix="1" applyFill="1" applyBorder="1" applyAlignment="1">
      <alignment horizontal="right" vertical="center"/>
    </xf>
    <xf numFmtId="0" fontId="39" fillId="11" borderId="305" xfId="164" applyFill="1" applyBorder="1" applyAlignment="1">
      <alignment vertical="center"/>
    </xf>
    <xf numFmtId="0" fontId="39" fillId="11" borderId="279" xfId="172" applyFont="1" applyFill="1" applyBorder="1" applyAlignment="1">
      <alignment vertical="center"/>
    </xf>
    <xf numFmtId="0" fontId="0" fillId="11" borderId="279" xfId="171" applyFont="1" applyFill="1" applyBorder="1" applyAlignment="1">
      <alignment vertical="top" wrapText="1"/>
    </xf>
    <xf numFmtId="0" fontId="41" fillId="11" borderId="279" xfId="171" applyFont="1" applyFill="1" applyBorder="1" applyAlignment="1">
      <alignment vertical="center" wrapText="1"/>
    </xf>
    <xf numFmtId="0" fontId="39" fillId="11" borderId="0" xfId="164" quotePrefix="1" applyFill="1" applyAlignment="1">
      <alignment vertical="center"/>
    </xf>
    <xf numFmtId="0" fontId="140" fillId="11" borderId="0" xfId="22" applyFont="1" applyFill="1" applyAlignment="1">
      <alignment horizontal="center"/>
    </xf>
    <xf numFmtId="0" fontId="39" fillId="11" borderId="279" xfId="173" applyFont="1" applyFill="1" applyBorder="1" applyAlignment="1">
      <alignment vertical="center"/>
    </xf>
    <xf numFmtId="0" fontId="0" fillId="11" borderId="0" xfId="172" applyFont="1" applyFill="1" applyAlignment="1">
      <alignment vertical="top" wrapText="1"/>
    </xf>
    <xf numFmtId="0" fontId="0" fillId="11" borderId="279" xfId="172" applyFont="1" applyFill="1" applyBorder="1" applyAlignment="1">
      <alignment vertical="top" wrapText="1"/>
    </xf>
    <xf numFmtId="0" fontId="41" fillId="11" borderId="0" xfId="164" applyFont="1" applyFill="1" applyAlignment="1">
      <alignment vertical="center" wrapText="1"/>
    </xf>
    <xf numFmtId="0" fontId="39" fillId="11" borderId="286" xfId="164" quotePrefix="1" applyFill="1" applyBorder="1" applyAlignment="1">
      <alignment horizontal="right" vertical="center" wrapText="1"/>
    </xf>
    <xf numFmtId="0" fontId="39" fillId="11" borderId="27" xfId="164" quotePrefix="1" applyFill="1" applyBorder="1" applyAlignment="1">
      <alignment vertical="center"/>
    </xf>
    <xf numFmtId="0" fontId="39" fillId="11" borderId="289" xfId="164" quotePrefix="1" applyFill="1" applyBorder="1" applyAlignment="1">
      <alignment horizontal="right" vertical="center" wrapText="1"/>
    </xf>
    <xf numFmtId="0" fontId="39" fillId="11" borderId="5" xfId="164" quotePrefix="1" applyFill="1" applyBorder="1" applyAlignment="1">
      <alignment vertical="center"/>
    </xf>
    <xf numFmtId="0" fontId="39" fillId="11" borderId="5" xfId="164" quotePrefix="1" applyFill="1" applyBorder="1" applyAlignment="1">
      <alignment vertical="top"/>
    </xf>
    <xf numFmtId="0" fontId="39" fillId="11" borderId="306" xfId="164" quotePrefix="1" applyFill="1" applyBorder="1" applyAlignment="1">
      <alignment vertical="center"/>
    </xf>
    <xf numFmtId="0" fontId="82" fillId="11" borderId="273" xfId="171" applyFont="1" applyFill="1" applyBorder="1" applyAlignment="1">
      <alignment vertical="center"/>
    </xf>
    <xf numFmtId="0" fontId="41" fillId="11" borderId="274" xfId="171" quotePrefix="1" applyFont="1" applyFill="1" applyBorder="1" applyAlignment="1">
      <alignment horizontal="right" vertical="center"/>
    </xf>
    <xf numFmtId="0" fontId="0" fillId="11" borderId="0" xfId="171" quotePrefix="1" applyFont="1" applyFill="1" applyAlignment="1">
      <alignment horizontal="right"/>
    </xf>
    <xf numFmtId="0" fontId="39" fillId="11" borderId="292" xfId="173" applyFont="1" applyFill="1" applyBorder="1" applyAlignment="1">
      <alignment horizontal="center" vertical="center"/>
    </xf>
    <xf numFmtId="0" fontId="0" fillId="11" borderId="292" xfId="171" quotePrefix="1" applyFont="1" applyFill="1" applyBorder="1" applyAlignment="1">
      <alignment horizontal="right" vertical="top"/>
    </xf>
    <xf numFmtId="0" fontId="0" fillId="11" borderId="292" xfId="171" applyFont="1" applyFill="1" applyBorder="1" applyAlignment="1">
      <alignment vertical="top" wrapText="1"/>
    </xf>
    <xf numFmtId="0" fontId="39" fillId="11" borderId="292" xfId="173" applyFont="1" applyFill="1" applyBorder="1" applyAlignment="1">
      <alignment vertical="center"/>
    </xf>
    <xf numFmtId="0" fontId="45" fillId="11" borderId="0" xfId="173" applyFont="1" applyFill="1" applyAlignment="1">
      <alignment vertical="top" wrapText="1"/>
    </xf>
    <xf numFmtId="0" fontId="39" fillId="11" borderId="279" xfId="173" applyFont="1" applyFill="1" applyBorder="1" applyAlignment="1">
      <alignment vertical="center" wrapText="1"/>
    </xf>
    <xf numFmtId="0" fontId="39" fillId="11" borderId="0" xfId="173" applyFont="1" applyFill="1" applyAlignment="1">
      <alignment vertical="center" wrapText="1"/>
    </xf>
    <xf numFmtId="0" fontId="138" fillId="11" borderId="280" xfId="164" applyFont="1" applyFill="1" applyBorder="1" applyAlignment="1">
      <alignment vertical="center"/>
    </xf>
    <xf numFmtId="0" fontId="129" fillId="11" borderId="0" xfId="22" applyFont="1" applyFill="1" applyAlignment="1">
      <alignment horizontal="center" vertical="center"/>
    </xf>
    <xf numFmtId="0" fontId="39" fillId="11" borderId="322" xfId="164" applyFill="1" applyBorder="1" applyAlignment="1">
      <alignment horizontal="left" vertical="center" indent="2"/>
    </xf>
    <xf numFmtId="0" fontId="39" fillId="11" borderId="304" xfId="164" applyFill="1" applyBorder="1" applyAlignment="1">
      <alignment vertical="center"/>
    </xf>
    <xf numFmtId="0" fontId="39" fillId="11" borderId="289" xfId="164" applyFill="1" applyBorder="1" applyAlignment="1">
      <alignment horizontal="left" vertical="center" indent="2"/>
    </xf>
    <xf numFmtId="0" fontId="39" fillId="11" borderId="5" xfId="164" applyFill="1" applyBorder="1" applyAlignment="1">
      <alignment vertical="center"/>
    </xf>
    <xf numFmtId="0" fontId="39" fillId="11" borderId="291" xfId="164" applyFill="1" applyBorder="1" applyAlignment="1">
      <alignment horizontal="left" vertical="center" indent="2"/>
    </xf>
    <xf numFmtId="0" fontId="39" fillId="11" borderId="306" xfId="164" applyFill="1" applyBorder="1" applyAlignment="1">
      <alignment vertical="center"/>
    </xf>
    <xf numFmtId="0" fontId="39" fillId="11" borderId="307" xfId="164" applyFill="1" applyBorder="1" applyAlignment="1">
      <alignment vertical="center"/>
    </xf>
    <xf numFmtId="0" fontId="0" fillId="11" borderId="0" xfId="171" applyFont="1" applyFill="1" applyAlignment="1">
      <alignment horizontal="center" vertical="center" wrapText="1"/>
    </xf>
    <xf numFmtId="0" fontId="0" fillId="11" borderId="0" xfId="171" quotePrefix="1" applyFont="1" applyFill="1" applyAlignment="1">
      <alignment horizontal="right" vertical="center"/>
    </xf>
    <xf numFmtId="0" fontId="39" fillId="11" borderId="280" xfId="172" applyFont="1" applyFill="1" applyBorder="1" applyAlignment="1">
      <alignment vertical="center"/>
    </xf>
    <xf numFmtId="0" fontId="39" fillId="11" borderId="0" xfId="164" quotePrefix="1" applyFill="1" applyAlignment="1">
      <alignment horizontal="right" vertical="top"/>
    </xf>
    <xf numFmtId="0" fontId="39" fillId="11" borderId="0" xfId="164" applyFill="1" applyAlignment="1">
      <alignment vertical="top" wrapText="1"/>
    </xf>
    <xf numFmtId="0" fontId="39" fillId="11" borderId="280" xfId="164" applyFill="1" applyBorder="1" applyAlignment="1">
      <alignment vertical="top" wrapText="1"/>
    </xf>
    <xf numFmtId="0" fontId="41" fillId="11" borderId="280" xfId="164" applyFont="1" applyFill="1" applyBorder="1" applyAlignment="1">
      <alignment vertical="center"/>
    </xf>
    <xf numFmtId="0" fontId="41" fillId="11" borderId="280" xfId="171" applyFont="1" applyFill="1" applyBorder="1" applyAlignment="1">
      <alignment horizontal="justify" vertical="center" wrapText="1"/>
    </xf>
    <xf numFmtId="0" fontId="156" fillId="0" borderId="0" xfId="13" applyFont="1" applyProtection="1">
      <protection locked="0"/>
    </xf>
    <xf numFmtId="0" fontId="156" fillId="0" borderId="0" xfId="13" applyFont="1" applyAlignment="1" applyProtection="1">
      <alignment vertical="center"/>
      <protection locked="0"/>
    </xf>
    <xf numFmtId="0" fontId="156" fillId="0" borderId="0" xfId="13" applyFont="1" applyAlignment="1" applyProtection="1">
      <alignment vertical="top"/>
      <protection locked="0"/>
    </xf>
    <xf numFmtId="0" fontId="41" fillId="11" borderId="0" xfId="35" quotePrefix="1" applyFont="1" applyFill="1" applyAlignment="1">
      <alignment horizontal="right"/>
    </xf>
    <xf numFmtId="0" fontId="39" fillId="11" borderId="0" xfId="103" applyFont="1" applyFill="1"/>
    <xf numFmtId="170" fontId="39" fillId="11" borderId="0" xfId="1" applyNumberFormat="1" applyFont="1" applyFill="1" applyBorder="1" applyAlignment="1">
      <alignment horizontal="center"/>
    </xf>
    <xf numFmtId="0" fontId="58" fillId="11" borderId="0" xfId="13" applyFont="1" applyFill="1"/>
    <xf numFmtId="170" fontId="39" fillId="11" borderId="0" xfId="1" applyNumberFormat="1" applyFont="1" applyFill="1" applyBorder="1" applyAlignment="1">
      <alignment horizontal="center" vertical="center"/>
    </xf>
    <xf numFmtId="0" fontId="39" fillId="11" borderId="8" xfId="35" quotePrefix="1" applyFill="1" applyBorder="1" applyAlignment="1">
      <alignment horizontal="right"/>
    </xf>
    <xf numFmtId="0" fontId="48" fillId="11" borderId="0" xfId="22" quotePrefix="1" applyFont="1" applyFill="1" applyAlignment="1">
      <alignment vertical="top" wrapText="1"/>
    </xf>
    <xf numFmtId="0" fontId="129" fillId="11" borderId="0" xfId="35" applyFont="1" applyFill="1" applyAlignment="1">
      <alignment vertical="top"/>
    </xf>
    <xf numFmtId="0" fontId="120" fillId="11" borderId="0" xfId="35" applyFont="1" applyFill="1"/>
    <xf numFmtId="0" fontId="48" fillId="11" borderId="0" xfId="35" quotePrefix="1" applyFont="1" applyFill="1" applyAlignment="1">
      <alignment vertical="top" wrapText="1"/>
    </xf>
    <xf numFmtId="0" fontId="52" fillId="11" borderId="0" xfId="35" applyFont="1" applyFill="1" applyAlignment="1">
      <alignment wrapText="1"/>
    </xf>
    <xf numFmtId="0" fontId="52" fillId="11" borderId="0" xfId="22" applyFont="1" applyFill="1" applyAlignment="1">
      <alignment horizontal="left" vertical="top" wrapText="1"/>
    </xf>
    <xf numFmtId="0" fontId="41" fillId="11" borderId="0" xfId="35" applyFont="1" applyFill="1" applyAlignment="1">
      <alignment horizontal="center" vertical="center"/>
    </xf>
    <xf numFmtId="0" fontId="39" fillId="11" borderId="0" xfId="13" applyFont="1" applyFill="1" applyAlignment="1">
      <alignment horizontal="left" vertical="center" indent="1"/>
    </xf>
    <xf numFmtId="0" fontId="41" fillId="11" borderId="67" xfId="35" applyFont="1" applyFill="1" applyBorder="1" applyAlignment="1">
      <alignment vertical="center"/>
    </xf>
    <xf numFmtId="0" fontId="39" fillId="11" borderId="0" xfId="13" applyFont="1" applyFill="1" applyAlignment="1">
      <alignment horizontal="left"/>
    </xf>
    <xf numFmtId="0" fontId="119" fillId="11" borderId="0" xfId="35" quotePrefix="1" applyFont="1" applyFill="1" applyAlignment="1">
      <alignment horizontal="right" vertical="center"/>
    </xf>
    <xf numFmtId="0" fontId="41" fillId="11" borderId="0" xfId="35" quotePrefix="1" applyFont="1" applyFill="1" applyAlignment="1">
      <alignment horizontal="right" vertical="center"/>
    </xf>
    <xf numFmtId="170" fontId="39" fillId="11" borderId="0" xfId="1" applyNumberFormat="1" applyFont="1" applyFill="1" applyBorder="1" applyAlignment="1">
      <alignment horizontal="left" vertical="center"/>
    </xf>
    <xf numFmtId="0" fontId="39" fillId="11" borderId="0" xfId="6" applyFont="1" applyFill="1"/>
    <xf numFmtId="0" fontId="39" fillId="11" borderId="0" xfId="6" applyFont="1" applyFill="1" applyAlignment="1">
      <alignment vertical="center"/>
    </xf>
    <xf numFmtId="0" fontId="39" fillId="11" borderId="0" xfId="26" applyFill="1" applyAlignment="1">
      <alignment vertical="top"/>
    </xf>
    <xf numFmtId="0" fontId="39" fillId="11" borderId="0" xfId="35" quotePrefix="1" applyFill="1" applyAlignment="1">
      <alignment horizontal="left"/>
    </xf>
    <xf numFmtId="0" fontId="41" fillId="11" borderId="0" xfId="6" applyFont="1" applyFill="1"/>
    <xf numFmtId="170" fontId="109" fillId="11" borderId="0" xfId="1" applyNumberFormat="1" applyFont="1" applyFill="1" applyBorder="1" applyAlignment="1">
      <alignment vertical="center"/>
    </xf>
    <xf numFmtId="0" fontId="98" fillId="11" borderId="0" xfId="22" applyFont="1" applyFill="1" applyAlignment="1">
      <alignment horizontal="center" vertical="center"/>
    </xf>
    <xf numFmtId="0" fontId="98" fillId="11" borderId="0" xfId="22" applyFont="1" applyFill="1" applyAlignment="1">
      <alignment horizontal="center" vertical="center" wrapText="1"/>
    </xf>
    <xf numFmtId="0" fontId="39" fillId="11" borderId="0" xfId="35" quotePrefix="1" applyFill="1" applyAlignment="1">
      <alignment horizontal="left" vertical="center"/>
    </xf>
    <xf numFmtId="0" fontId="58" fillId="11" borderId="0" xfId="13" applyFont="1" applyFill="1" applyAlignment="1">
      <alignment horizontal="left" vertical="center"/>
    </xf>
    <xf numFmtId="0" fontId="109" fillId="11" borderId="0" xfId="35" quotePrefix="1" applyFont="1" applyFill="1" applyAlignment="1">
      <alignment vertical="center"/>
    </xf>
    <xf numFmtId="0" fontId="109" fillId="11" borderId="0" xfId="26" applyFont="1" applyFill="1" applyAlignment="1">
      <alignment vertical="top" wrapText="1"/>
    </xf>
    <xf numFmtId="0" fontId="41" fillId="11" borderId="0" xfId="35" applyFont="1" applyFill="1" applyAlignment="1">
      <alignment horizontal="center"/>
    </xf>
    <xf numFmtId="0" fontId="39" fillId="11" borderId="0" xfId="35" quotePrefix="1" applyFill="1" applyAlignment="1">
      <alignment horizontal="center" wrapText="1"/>
    </xf>
    <xf numFmtId="0" fontId="39" fillId="11" borderId="0" xfId="35" quotePrefix="1" applyFill="1" applyAlignment="1">
      <alignment vertical="top"/>
    </xf>
    <xf numFmtId="0" fontId="147" fillId="11" borderId="0" xfId="26" applyFont="1" applyFill="1" applyAlignment="1">
      <alignment horizontal="left"/>
    </xf>
    <xf numFmtId="0" fontId="65" fillId="11" borderId="0" xfId="13" applyFont="1" applyFill="1" applyAlignment="1">
      <alignment horizontal="right"/>
    </xf>
    <xf numFmtId="0" fontId="39" fillId="11" borderId="0" xfId="13" applyFont="1" applyFill="1" applyAlignment="1">
      <alignment horizontal="left" wrapText="1"/>
    </xf>
    <xf numFmtId="0" fontId="41" fillId="11" borderId="38" xfId="26" applyFont="1" applyFill="1" applyBorder="1" applyAlignment="1">
      <alignment vertical="center"/>
    </xf>
    <xf numFmtId="10" fontId="39" fillId="0" borderId="0" xfId="0" applyNumberFormat="1" applyFont="1" applyAlignment="1">
      <alignment horizontal="left"/>
    </xf>
    <xf numFmtId="0" fontId="39" fillId="11" borderId="0" xfId="171" applyFont="1" applyFill="1" applyAlignment="1">
      <alignment vertical="top"/>
    </xf>
    <xf numFmtId="0" fontId="159" fillId="11" borderId="0" xfId="11" quotePrefix="1" applyFont="1" applyFill="1"/>
    <xf numFmtId="0" fontId="163" fillId="7" borderId="1" xfId="42" applyFont="1" applyFill="1" applyBorder="1" applyAlignment="1">
      <alignment horizontal="center" vertical="center"/>
    </xf>
    <xf numFmtId="0" fontId="86" fillId="0" borderId="183" xfId="42" applyFont="1" applyBorder="1" applyAlignment="1">
      <alignment horizontal="center" vertical="center"/>
    </xf>
    <xf numFmtId="0" fontId="86" fillId="0" borderId="182" xfId="42" applyFont="1" applyBorder="1" applyAlignment="1">
      <alignment horizontal="center" vertical="center"/>
    </xf>
    <xf numFmtId="0" fontId="86" fillId="0" borderId="224" xfId="42" applyFont="1" applyBorder="1" applyAlignment="1">
      <alignment vertical="center"/>
    </xf>
    <xf numFmtId="0" fontId="86" fillId="0" borderId="55" xfId="26" applyFont="1" applyBorder="1" applyAlignment="1">
      <alignment horizontal="left" vertical="center" wrapText="1"/>
    </xf>
    <xf numFmtId="0" fontId="132" fillId="0" borderId="60" xfId="42" applyFont="1" applyBorder="1" applyAlignment="1">
      <alignment horizontal="center" vertical="center"/>
    </xf>
    <xf numFmtId="0" fontId="132" fillId="0" borderId="162" xfId="42" applyFont="1" applyBorder="1" applyAlignment="1">
      <alignment horizontal="center" vertical="center"/>
    </xf>
    <xf numFmtId="0" fontId="132" fillId="0" borderId="271" xfId="42" applyFont="1" applyBorder="1" applyAlignment="1">
      <alignment horizontal="center" vertical="center"/>
    </xf>
    <xf numFmtId="0" fontId="132" fillId="0" borderId="172" xfId="42" applyFont="1" applyBorder="1" applyAlignment="1">
      <alignment horizontal="center" vertical="top"/>
    </xf>
    <xf numFmtId="0" fontId="142" fillId="0" borderId="164" xfId="42" applyFont="1" applyBorder="1" applyAlignment="1">
      <alignment horizontal="center" vertical="top"/>
    </xf>
    <xf numFmtId="0" fontId="142" fillId="0" borderId="267" xfId="42" applyFont="1" applyBorder="1" applyAlignment="1">
      <alignment vertical="top"/>
    </xf>
    <xf numFmtId="0" fontId="86" fillId="0" borderId="55" xfId="26" quotePrefix="1" applyFont="1" applyBorder="1" applyAlignment="1">
      <alignment vertical="center"/>
    </xf>
    <xf numFmtId="0" fontId="133" fillId="0" borderId="271" xfId="42" applyFont="1" applyBorder="1" applyAlignment="1">
      <alignment horizontal="center" vertical="center"/>
    </xf>
    <xf numFmtId="0" fontId="118" fillId="0" borderId="60" xfId="42" applyFont="1" applyBorder="1" applyAlignment="1">
      <alignment horizontal="center" vertical="center"/>
    </xf>
    <xf numFmtId="0" fontId="133" fillId="0" borderId="172" xfId="42" applyFont="1" applyBorder="1" applyAlignment="1">
      <alignment horizontal="center" vertical="top"/>
    </xf>
    <xf numFmtId="0" fontId="132" fillId="0" borderId="1" xfId="42" applyFont="1" applyBorder="1" applyAlignment="1">
      <alignment horizontal="center" vertical="center"/>
    </xf>
    <xf numFmtId="0" fontId="133" fillId="0" borderId="1" xfId="42" applyFont="1" applyBorder="1" applyAlignment="1">
      <alignment horizontal="center" vertical="center"/>
    </xf>
    <xf numFmtId="0" fontId="118" fillId="0" borderId="184" xfId="42" applyFont="1" applyBorder="1" applyAlignment="1">
      <alignment horizontal="center" vertical="center"/>
    </xf>
    <xf numFmtId="0" fontId="132" fillId="0" borderId="267" xfId="42" applyFont="1" applyBorder="1" applyAlignment="1">
      <alignment horizontal="center" vertical="top"/>
    </xf>
    <xf numFmtId="0" fontId="86" fillId="0" borderId="100" xfId="26" applyFont="1" applyBorder="1" applyAlignment="1">
      <alignment vertical="center"/>
    </xf>
    <xf numFmtId="0" fontId="86" fillId="0" borderId="184" xfId="42" applyFont="1" applyBorder="1" applyAlignment="1">
      <alignment horizontal="center" vertical="center"/>
    </xf>
    <xf numFmtId="0" fontId="132" fillId="0" borderId="160" xfId="42" applyFont="1" applyBorder="1" applyAlignment="1">
      <alignment horizontal="center" vertical="center"/>
    </xf>
    <xf numFmtId="0" fontId="164" fillId="0" borderId="0" xfId="0" applyFont="1"/>
    <xf numFmtId="0" fontId="109" fillId="0" borderId="0" xfId="0" applyFont="1"/>
    <xf numFmtId="0" fontId="165" fillId="0" borderId="0" xfId="0" applyFont="1"/>
    <xf numFmtId="0" fontId="109" fillId="0" borderId="0" xfId="0" applyFont="1" applyAlignment="1">
      <alignment horizontal="left"/>
    </xf>
    <xf numFmtId="0" fontId="165" fillId="10" borderId="0" xfId="0" applyFont="1" applyFill="1"/>
    <xf numFmtId="0" fontId="140" fillId="10" borderId="0" xfId="0" applyFont="1" applyFill="1"/>
    <xf numFmtId="0" fontId="148" fillId="10" borderId="0" xfId="0" applyFont="1" applyFill="1"/>
    <xf numFmtId="0" fontId="39" fillId="10" borderId="0" xfId="0" applyFont="1" applyFill="1"/>
    <xf numFmtId="0" fontId="64" fillId="10" borderId="0" xfId="0" applyFont="1" applyFill="1"/>
    <xf numFmtId="0" fontId="64" fillId="10" borderId="0" xfId="0" applyFont="1" applyFill="1" applyAlignment="1">
      <alignment horizontal="right"/>
    </xf>
    <xf numFmtId="0" fontId="134" fillId="0" borderId="121" xfId="42" applyFont="1" applyBorder="1" applyAlignment="1">
      <alignment horizontal="justify"/>
    </xf>
    <xf numFmtId="0" fontId="134" fillId="0" borderId="122" xfId="42" applyFont="1" applyBorder="1" applyAlignment="1">
      <alignment horizontal="justify"/>
    </xf>
    <xf numFmtId="0" fontId="134" fillId="0" borderId="123" xfId="42" applyFont="1" applyBorder="1" applyAlignment="1">
      <alignment horizontal="justify"/>
    </xf>
    <xf numFmtId="0" fontId="89" fillId="0" borderId="271" xfId="42" applyFont="1" applyBorder="1" applyAlignment="1">
      <alignment horizontal="center" vertical="top"/>
    </xf>
    <xf numFmtId="0" fontId="89" fillId="0" borderId="267" xfId="42" applyFont="1" applyBorder="1" applyAlignment="1">
      <alignment horizontal="center" vertical="top"/>
    </xf>
    <xf numFmtId="0" fontId="89" fillId="0" borderId="272" xfId="42" applyFont="1" applyBorder="1" applyAlignment="1">
      <alignment horizontal="center" vertical="top"/>
    </xf>
    <xf numFmtId="0" fontId="86" fillId="0" borderId="271" xfId="42" applyFont="1" applyBorder="1" applyAlignment="1">
      <alignment horizontal="center" vertical="top"/>
    </xf>
    <xf numFmtId="0" fontId="86" fillId="0" borderId="272" xfId="42" applyFont="1" applyBorder="1" applyAlignment="1">
      <alignment horizontal="center" vertical="top"/>
    </xf>
    <xf numFmtId="0" fontId="86" fillId="0" borderId="184" xfId="42" applyFont="1" applyBorder="1" applyAlignment="1">
      <alignment horizontal="center" vertical="top"/>
    </xf>
    <xf numFmtId="0" fontId="86" fillId="0" borderId="266" xfId="42" applyFont="1" applyBorder="1" applyAlignment="1">
      <alignment horizontal="center" vertical="top"/>
    </xf>
    <xf numFmtId="0" fontId="86" fillId="0" borderId="351" xfId="42" applyFont="1" applyBorder="1" applyAlignment="1">
      <alignment horizontal="center" vertical="top"/>
    </xf>
    <xf numFmtId="0" fontId="89" fillId="8" borderId="27" xfId="42" applyFont="1" applyFill="1" applyBorder="1" applyAlignment="1">
      <alignment horizontal="center" vertical="center"/>
    </xf>
    <xf numFmtId="0" fontId="89" fillId="7" borderId="27" xfId="42" applyFont="1" applyFill="1" applyBorder="1" applyAlignment="1">
      <alignment horizontal="center" vertical="center"/>
    </xf>
    <xf numFmtId="0" fontId="132" fillId="0" borderId="271" xfId="42" applyFont="1" applyBorder="1" applyAlignment="1">
      <alignment horizontal="center" vertical="top"/>
    </xf>
    <xf numFmtId="0" fontId="132" fillId="0" borderId="267" xfId="42" applyFont="1" applyBorder="1" applyAlignment="1">
      <alignment horizontal="center" vertical="top"/>
    </xf>
    <xf numFmtId="0" fontId="132" fillId="0" borderId="272" xfId="42" applyFont="1" applyBorder="1" applyAlignment="1">
      <alignment horizontal="center" vertical="top"/>
    </xf>
    <xf numFmtId="0" fontId="142" fillId="0" borderId="164" xfId="42" applyFont="1" applyBorder="1" applyAlignment="1">
      <alignment horizontal="center" vertical="top"/>
    </xf>
    <xf numFmtId="0" fontId="142" fillId="0" borderId="172" xfId="42" applyFont="1" applyBorder="1" applyAlignment="1">
      <alignment horizontal="center" vertical="top"/>
    </xf>
    <xf numFmtId="0" fontId="142" fillId="0" borderId="267" xfId="42" applyFont="1" applyBorder="1" applyAlignment="1">
      <alignment horizontal="center" vertical="top"/>
    </xf>
    <xf numFmtId="0" fontId="163" fillId="7" borderId="27" xfId="42" applyFont="1" applyFill="1" applyBorder="1" applyAlignment="1">
      <alignment horizontal="center" vertical="center"/>
    </xf>
    <xf numFmtId="0" fontId="0" fillId="0" borderId="35" xfId="0" applyBorder="1" applyAlignment="1" applyProtection="1">
      <alignment horizontal="center"/>
      <protection locked="0"/>
    </xf>
    <xf numFmtId="0" fontId="0" fillId="0" borderId="5" xfId="0" applyBorder="1" applyAlignment="1" applyProtection="1">
      <alignment horizontal="center"/>
      <protection locked="0"/>
    </xf>
    <xf numFmtId="0" fontId="0" fillId="0" borderId="34" xfId="0" applyBorder="1" applyAlignment="1" applyProtection="1">
      <alignment horizontal="center"/>
      <protection locked="0"/>
    </xf>
    <xf numFmtId="0" fontId="91" fillId="11" borderId="0" xfId="21" applyFont="1" applyFill="1" applyAlignment="1">
      <alignment horizontal="center" vertical="top" wrapText="1"/>
    </xf>
    <xf numFmtId="0" fontId="39" fillId="0" borderId="27" xfId="0" applyFont="1" applyBorder="1" applyAlignment="1" applyProtection="1">
      <alignment horizontal="center"/>
      <protection locked="0"/>
    </xf>
    <xf numFmtId="0" fontId="42" fillId="11" borderId="26" xfId="15" applyFont="1" applyFill="1" applyBorder="1" applyAlignment="1">
      <alignment horizontal="center" vertical="top"/>
    </xf>
    <xf numFmtId="0" fontId="45" fillId="11" borderId="0" xfId="0" applyFont="1" applyFill="1" applyAlignment="1">
      <alignment horizontal="center"/>
    </xf>
    <xf numFmtId="0" fontId="39" fillId="0" borderId="27" xfId="15" applyFont="1" applyBorder="1" applyAlignment="1" applyProtection="1">
      <alignment horizontal="center"/>
      <protection locked="0"/>
    </xf>
    <xf numFmtId="0" fontId="39" fillId="11" borderId="0" xfId="21" applyFill="1" applyAlignment="1">
      <alignment horizontal="center" vertical="center"/>
    </xf>
    <xf numFmtId="0" fontId="41" fillId="11" borderId="0" xfId="21" applyFont="1" applyFill="1" applyAlignment="1">
      <alignment horizontal="center" vertical="center"/>
    </xf>
    <xf numFmtId="0" fontId="43" fillId="11" borderId="0" xfId="21" applyFont="1" applyFill="1" applyAlignment="1">
      <alignment horizontal="center" vertical="center"/>
    </xf>
    <xf numFmtId="0" fontId="53" fillId="11" borderId="0" xfId="21" applyFont="1" applyFill="1" applyAlignment="1">
      <alignment horizontal="center" vertical="center"/>
    </xf>
    <xf numFmtId="0" fontId="92" fillId="11" borderId="0" xfId="21" applyFont="1" applyFill="1" applyAlignment="1">
      <alignment horizontal="center" vertical="center"/>
    </xf>
    <xf numFmtId="0" fontId="56" fillId="11" borderId="127" xfId="21" applyFont="1" applyFill="1" applyBorder="1" applyAlignment="1">
      <alignment horizontal="center" vertical="center" wrapText="1" shrinkToFit="1"/>
    </xf>
    <xf numFmtId="0" fontId="56" fillId="11" borderId="128" xfId="21" applyFont="1" applyFill="1" applyBorder="1" applyAlignment="1">
      <alignment horizontal="center" vertical="center" wrapText="1" shrinkToFit="1"/>
    </xf>
    <xf numFmtId="0" fontId="39" fillId="11" borderId="0" xfId="21" applyFill="1" applyAlignment="1">
      <alignment horizontal="justify" vertical="center" wrapText="1" shrinkToFit="1"/>
    </xf>
    <xf numFmtId="0" fontId="45" fillId="11" borderId="115" xfId="21" applyFont="1" applyFill="1" applyBorder="1" applyAlignment="1">
      <alignment horizontal="justify" vertical="center" wrapText="1" shrinkToFit="1"/>
    </xf>
    <xf numFmtId="0" fontId="47" fillId="11" borderId="26" xfId="15" applyFont="1" applyFill="1" applyBorder="1" applyAlignment="1">
      <alignment horizontal="center" vertical="top"/>
    </xf>
    <xf numFmtId="0" fontId="39" fillId="0" borderId="5" xfId="15" applyFont="1" applyBorder="1" applyAlignment="1" applyProtection="1">
      <alignment horizontal="center"/>
      <protection locked="0"/>
    </xf>
    <xf numFmtId="11" fontId="39" fillId="0" borderId="27" xfId="15" applyNumberFormat="1" applyFont="1" applyBorder="1" applyAlignment="1" applyProtection="1">
      <alignment horizontal="center"/>
      <protection locked="0"/>
    </xf>
    <xf numFmtId="0" fontId="39" fillId="0" borderId="27" xfId="38" applyBorder="1" applyAlignment="1" applyProtection="1">
      <alignment horizontal="center" vertical="center"/>
      <protection locked="0"/>
    </xf>
    <xf numFmtId="0" fontId="39" fillId="0" borderId="0" xfId="0" applyFont="1" applyAlignment="1" applyProtection="1">
      <alignment horizontal="center"/>
      <protection locked="0"/>
    </xf>
    <xf numFmtId="0" fontId="52" fillId="11" borderId="0" xfId="0" applyFont="1" applyFill="1" applyAlignment="1">
      <alignment horizontal="center"/>
    </xf>
    <xf numFmtId="0" fontId="0" fillId="0" borderId="27" xfId="0" applyBorder="1" applyAlignment="1" applyProtection="1">
      <alignment horizontal="center"/>
      <protection locked="0"/>
    </xf>
    <xf numFmtId="0" fontId="42" fillId="11" borderId="0" xfId="15" applyFont="1" applyFill="1" applyAlignment="1">
      <alignment horizontal="center" vertical="top"/>
    </xf>
    <xf numFmtId="0" fontId="42" fillId="11" borderId="0" xfId="15" applyFont="1" applyFill="1" applyAlignment="1">
      <alignment vertical="top"/>
    </xf>
    <xf numFmtId="0" fontId="45" fillId="11" borderId="0" xfId="15" applyFont="1" applyFill="1" applyAlignment="1">
      <alignment horizontal="center"/>
    </xf>
    <xf numFmtId="0" fontId="39" fillId="11" borderId="0" xfId="15" applyFont="1" applyFill="1" applyAlignment="1">
      <alignment horizontal="center"/>
    </xf>
    <xf numFmtId="0" fontId="39" fillId="11" borderId="27" xfId="15" applyFont="1" applyFill="1" applyBorder="1" applyAlignment="1">
      <alignment horizontal="center"/>
    </xf>
    <xf numFmtId="3" fontId="140" fillId="0" borderId="121" xfId="22" applyNumberFormat="1" applyFont="1" applyBorder="1" applyAlignment="1" applyProtection="1">
      <alignment horizontal="center" vertical="center"/>
      <protection locked="0"/>
    </xf>
    <xf numFmtId="3" fontId="140" fillId="0" borderId="122" xfId="22" applyNumberFormat="1" applyFont="1" applyBorder="1" applyAlignment="1" applyProtection="1">
      <alignment horizontal="center" vertical="center"/>
      <protection locked="0"/>
    </xf>
    <xf numFmtId="3" fontId="140" fillId="0" borderId="124" xfId="22" applyNumberFormat="1" applyFont="1" applyBorder="1" applyAlignment="1" applyProtection="1">
      <alignment horizontal="center" vertical="center"/>
      <protection locked="0"/>
    </xf>
    <xf numFmtId="3" fontId="140" fillId="0" borderId="125" xfId="22" applyNumberFormat="1" applyFont="1" applyBorder="1" applyAlignment="1" applyProtection="1">
      <alignment horizontal="center" vertical="center"/>
      <protection locked="0"/>
    </xf>
    <xf numFmtId="0" fontId="41" fillId="11" borderId="120" xfId="22" applyFont="1" applyFill="1" applyBorder="1" applyAlignment="1">
      <alignment horizontal="center" vertical="center" wrapText="1"/>
    </xf>
    <xf numFmtId="0" fontId="41" fillId="11" borderId="72" xfId="22" applyFont="1" applyFill="1" applyBorder="1" applyAlignment="1">
      <alignment horizontal="center" vertical="center" wrapText="1"/>
    </xf>
    <xf numFmtId="0" fontId="41" fillId="11" borderId="74" xfId="22" applyFont="1" applyFill="1" applyBorder="1" applyAlignment="1">
      <alignment horizontal="center" vertical="center" wrapText="1"/>
    </xf>
    <xf numFmtId="0" fontId="41" fillId="11" borderId="32" xfId="22" applyFont="1" applyFill="1" applyBorder="1" applyAlignment="1">
      <alignment horizontal="center" vertical="center" wrapText="1"/>
    </xf>
    <xf numFmtId="0" fontId="41" fillId="11" borderId="27" xfId="22" applyFont="1" applyFill="1" applyBorder="1" applyAlignment="1">
      <alignment horizontal="center" vertical="center" wrapText="1"/>
    </xf>
    <xf numFmtId="0" fontId="41" fillId="11" borderId="33" xfId="22" applyFont="1" applyFill="1" applyBorder="1" applyAlignment="1">
      <alignment horizontal="center" vertical="center" wrapText="1"/>
    </xf>
    <xf numFmtId="0" fontId="41" fillId="11" borderId="119" xfId="22" applyFont="1" applyFill="1" applyBorder="1" applyAlignment="1">
      <alignment horizontal="center" vertical="center"/>
    </xf>
    <xf numFmtId="0" fontId="41" fillId="11" borderId="94" xfId="22" applyFont="1" applyFill="1" applyBorder="1" applyAlignment="1">
      <alignment horizontal="center" vertical="center"/>
    </xf>
    <xf numFmtId="0" fontId="41" fillId="11" borderId="118" xfId="22" applyFont="1" applyFill="1" applyBorder="1" applyAlignment="1">
      <alignment horizontal="center" vertical="center"/>
    </xf>
    <xf numFmtId="0" fontId="41" fillId="11" borderId="59" xfId="22" applyFont="1" applyFill="1" applyBorder="1" applyAlignment="1">
      <alignment horizontal="center" vertical="center"/>
    </xf>
    <xf numFmtId="0" fontId="41" fillId="11" borderId="97" xfId="22" applyFont="1" applyFill="1" applyBorder="1" applyAlignment="1">
      <alignment horizontal="center" vertical="center"/>
    </xf>
    <xf numFmtId="0" fontId="39" fillId="5" borderId="193" xfId="22" applyFill="1" applyBorder="1" applyAlignment="1">
      <alignment horizontal="center" vertical="center"/>
    </xf>
    <xf numFmtId="0" fontId="39" fillId="5" borderId="122" xfId="22" applyFill="1" applyBorder="1" applyAlignment="1">
      <alignment horizontal="center" vertical="center"/>
    </xf>
    <xf numFmtId="0" fontId="39" fillId="5" borderId="124" xfId="22" applyFill="1" applyBorder="1" applyAlignment="1">
      <alignment horizontal="center" vertical="center"/>
    </xf>
    <xf numFmtId="0" fontId="39" fillId="5" borderId="125" xfId="22" applyFill="1" applyBorder="1" applyAlignment="1">
      <alignment horizontal="center" vertical="center"/>
    </xf>
    <xf numFmtId="0" fontId="39" fillId="5" borderId="123" xfId="22" applyFill="1" applyBorder="1" applyAlignment="1">
      <alignment horizontal="center" vertical="center"/>
    </xf>
    <xf numFmtId="3" fontId="41" fillId="11" borderId="91" xfId="22" applyNumberFormat="1" applyFont="1" applyFill="1" applyBorder="1" applyAlignment="1">
      <alignment horizontal="center" vertical="center"/>
    </xf>
    <xf numFmtId="3" fontId="41" fillId="11" borderId="57" xfId="22" applyNumberFormat="1" applyFont="1" applyFill="1" applyBorder="1" applyAlignment="1">
      <alignment horizontal="center" vertical="center"/>
    </xf>
    <xf numFmtId="3" fontId="41" fillId="11" borderId="89" xfId="22" applyNumberFormat="1" applyFont="1" applyFill="1" applyBorder="1" applyAlignment="1">
      <alignment horizontal="center" vertical="center"/>
    </xf>
    <xf numFmtId="3" fontId="41" fillId="11" borderId="62" xfId="22" applyNumberFormat="1" applyFont="1" applyFill="1" applyBorder="1" applyAlignment="1">
      <alignment horizontal="center" vertical="center"/>
    </xf>
    <xf numFmtId="3" fontId="41" fillId="11" borderId="56" xfId="22" applyNumberFormat="1" applyFont="1" applyFill="1" applyBorder="1" applyAlignment="1">
      <alignment horizontal="center" vertical="center"/>
    </xf>
    <xf numFmtId="3" fontId="41" fillId="11" borderId="219" xfId="22" applyNumberFormat="1" applyFont="1" applyFill="1" applyBorder="1" applyAlignment="1">
      <alignment horizontal="center" vertical="center"/>
    </xf>
    <xf numFmtId="3" fontId="41" fillId="11" borderId="150" xfId="22" applyNumberFormat="1" applyFont="1" applyFill="1" applyBorder="1" applyAlignment="1">
      <alignment horizontal="center" vertical="center"/>
    </xf>
    <xf numFmtId="3" fontId="41" fillId="11" borderId="157" xfId="22" applyNumberFormat="1" applyFont="1" applyFill="1" applyBorder="1" applyAlignment="1">
      <alignment horizontal="center" vertical="center"/>
    </xf>
    <xf numFmtId="3" fontId="41" fillId="11" borderId="156" xfId="22" applyNumberFormat="1" applyFont="1" applyFill="1" applyBorder="1" applyAlignment="1">
      <alignment horizontal="center" vertical="center"/>
    </xf>
    <xf numFmtId="3" fontId="41" fillId="11" borderId="142" xfId="22" applyNumberFormat="1" applyFont="1" applyFill="1" applyBorder="1" applyAlignment="1">
      <alignment horizontal="center" vertical="center"/>
    </xf>
    <xf numFmtId="3" fontId="129" fillId="11" borderId="193" xfId="22" applyNumberFormat="1" applyFont="1" applyFill="1" applyBorder="1" applyAlignment="1">
      <alignment horizontal="center" vertical="center"/>
    </xf>
    <xf numFmtId="3" fontId="129" fillId="11" borderId="122" xfId="22" applyNumberFormat="1" applyFont="1" applyFill="1" applyBorder="1" applyAlignment="1">
      <alignment horizontal="center" vertical="center"/>
    </xf>
    <xf numFmtId="3" fontId="129" fillId="11" borderId="124" xfId="22" applyNumberFormat="1" applyFont="1" applyFill="1" applyBorder="1" applyAlignment="1">
      <alignment horizontal="center" vertical="center"/>
    </xf>
    <xf numFmtId="3" fontId="129" fillId="11" borderId="125" xfId="22" applyNumberFormat="1" applyFont="1" applyFill="1" applyBorder="1" applyAlignment="1">
      <alignment horizontal="center" vertical="center"/>
    </xf>
    <xf numFmtId="3" fontId="129" fillId="11" borderId="123" xfId="22" applyNumberFormat="1" applyFont="1" applyFill="1" applyBorder="1" applyAlignment="1">
      <alignment horizontal="center" vertical="center"/>
    </xf>
    <xf numFmtId="0" fontId="41" fillId="11" borderId="71" xfId="22" applyFont="1" applyFill="1" applyBorder="1" applyAlignment="1">
      <alignment horizontal="center" vertical="center"/>
    </xf>
    <xf numFmtId="0" fontId="41" fillId="11" borderId="72" xfId="22" applyFont="1" applyFill="1" applyBorder="1" applyAlignment="1">
      <alignment horizontal="center" vertical="center"/>
    </xf>
    <xf numFmtId="0" fontId="41" fillId="11" borderId="6" xfId="22" applyFont="1" applyFill="1" applyBorder="1" applyAlignment="1">
      <alignment horizontal="center" vertical="center"/>
    </xf>
    <xf numFmtId="0" fontId="41" fillId="11" borderId="27" xfId="22" applyFont="1" applyFill="1" applyBorder="1" applyAlignment="1">
      <alignment horizontal="center" vertical="center"/>
    </xf>
    <xf numFmtId="0" fontId="41" fillId="11" borderId="96" xfId="22" applyFont="1" applyFill="1" applyBorder="1" applyAlignment="1">
      <alignment horizontal="center" vertical="center"/>
    </xf>
    <xf numFmtId="0" fontId="39" fillId="5" borderId="121" xfId="22" applyFill="1" applyBorder="1" applyAlignment="1">
      <alignment horizontal="center" vertical="center"/>
    </xf>
    <xf numFmtId="3" fontId="39" fillId="0" borderId="83" xfId="22" applyNumberFormat="1" applyBorder="1" applyAlignment="1" applyProtection="1">
      <alignment horizontal="center" vertical="center"/>
      <protection locked="0"/>
    </xf>
    <xf numFmtId="3" fontId="39" fillId="0" borderId="57" xfId="22" applyNumberFormat="1" applyBorder="1" applyAlignment="1" applyProtection="1">
      <alignment horizontal="center" vertical="center"/>
      <protection locked="0"/>
    </xf>
    <xf numFmtId="3" fontId="39" fillId="0" borderId="89" xfId="22" applyNumberFormat="1" applyBorder="1" applyAlignment="1" applyProtection="1">
      <alignment horizontal="center" vertical="center"/>
      <protection locked="0"/>
    </xf>
    <xf numFmtId="3" fontId="39" fillId="0" borderId="62" xfId="22" applyNumberFormat="1" applyBorder="1" applyAlignment="1" applyProtection="1">
      <alignment horizontal="center" vertical="center"/>
      <protection locked="0"/>
    </xf>
    <xf numFmtId="3" fontId="39" fillId="0" borderId="141" xfId="22" applyNumberFormat="1" applyBorder="1" applyAlignment="1" applyProtection="1">
      <alignment horizontal="center" vertical="center"/>
      <protection locked="0"/>
    </xf>
    <xf numFmtId="3" fontId="39" fillId="0" borderId="150" xfId="22" applyNumberFormat="1" applyBorder="1" applyAlignment="1" applyProtection="1">
      <alignment horizontal="center" vertical="center"/>
      <protection locked="0"/>
    </xf>
    <xf numFmtId="3" fontId="39" fillId="0" borderId="157" xfId="22" applyNumberFormat="1" applyBorder="1" applyAlignment="1" applyProtection="1">
      <alignment horizontal="center" vertical="center"/>
      <protection locked="0"/>
    </xf>
    <xf numFmtId="3" fontId="39" fillId="0" borderId="156" xfId="22" applyNumberFormat="1" applyBorder="1" applyAlignment="1" applyProtection="1">
      <alignment horizontal="center" vertical="center"/>
      <protection locked="0"/>
    </xf>
    <xf numFmtId="3" fontId="39" fillId="0" borderId="56" xfId="22" applyNumberFormat="1" applyBorder="1" applyAlignment="1" applyProtection="1">
      <alignment horizontal="center" vertical="center"/>
      <protection locked="0"/>
    </xf>
    <xf numFmtId="3" fontId="39" fillId="0" borderId="142" xfId="22" applyNumberFormat="1" applyBorder="1" applyAlignment="1" applyProtection="1">
      <alignment horizontal="center" vertical="center"/>
      <protection locked="0"/>
    </xf>
    <xf numFmtId="3" fontId="140" fillId="0" borderId="123" xfId="22" applyNumberFormat="1" applyFont="1" applyBorder="1" applyAlignment="1" applyProtection="1">
      <alignment horizontal="center" vertical="center"/>
      <protection locked="0"/>
    </xf>
    <xf numFmtId="0" fontId="41" fillId="11" borderId="74" xfId="22" applyFont="1" applyFill="1" applyBorder="1" applyAlignment="1">
      <alignment horizontal="center" vertical="center"/>
    </xf>
    <xf numFmtId="0" fontId="41" fillId="11" borderId="33" xfId="22" applyFont="1" applyFill="1" applyBorder="1" applyAlignment="1">
      <alignment horizontal="center" vertical="center"/>
    </xf>
    <xf numFmtId="0" fontId="103" fillId="5" borderId="121" xfId="22" applyFont="1" applyFill="1" applyBorder="1" applyAlignment="1">
      <alignment horizontal="center" vertical="center"/>
    </xf>
    <xf numFmtId="0" fontId="103" fillId="5" borderId="122" xfId="22" applyFont="1" applyFill="1" applyBorder="1" applyAlignment="1">
      <alignment horizontal="center" vertical="center"/>
    </xf>
    <xf numFmtId="0" fontId="103" fillId="5" borderId="123" xfId="22" applyFont="1" applyFill="1" applyBorder="1" applyAlignment="1">
      <alignment horizontal="center" vertical="center"/>
    </xf>
    <xf numFmtId="0" fontId="39" fillId="11" borderId="83" xfId="22" applyFill="1" applyBorder="1" applyAlignment="1">
      <alignment horizontal="left" vertical="center" wrapText="1"/>
    </xf>
    <xf numFmtId="0" fontId="39" fillId="11" borderId="57" xfId="22" applyFill="1" applyBorder="1" applyAlignment="1">
      <alignment horizontal="left" vertical="center" wrapText="1"/>
    </xf>
    <xf numFmtId="0" fontId="39" fillId="11" borderId="7" xfId="22" applyFill="1" applyBorder="1" applyAlignment="1">
      <alignment horizontal="left" vertical="center" wrapText="1"/>
    </xf>
    <xf numFmtId="0" fontId="39" fillId="11" borderId="8" xfId="22" applyFill="1" applyBorder="1" applyAlignment="1">
      <alignment horizontal="left" vertical="center" wrapText="1"/>
    </xf>
    <xf numFmtId="0" fontId="39" fillId="11" borderId="71" xfId="22" applyFill="1" applyBorder="1" applyAlignment="1">
      <alignment horizontal="left" vertical="top" wrapText="1"/>
    </xf>
    <xf numFmtId="0" fontId="39" fillId="11" borderId="72" xfId="22" applyFill="1" applyBorder="1" applyAlignment="1">
      <alignment horizontal="left" vertical="top" wrapText="1"/>
    </xf>
    <xf numFmtId="0" fontId="41" fillId="11" borderId="67" xfId="22" applyFont="1" applyFill="1" applyBorder="1" applyAlignment="1">
      <alignment horizontal="center" vertical="center"/>
    </xf>
    <xf numFmtId="0" fontId="41" fillId="11" borderId="0" xfId="22" applyFont="1" applyFill="1" applyAlignment="1">
      <alignment horizontal="center" vertical="center"/>
    </xf>
    <xf numFmtId="0" fontId="41" fillId="11" borderId="7" xfId="22" applyFont="1" applyFill="1" applyBorder="1" applyAlignment="1">
      <alignment horizontal="center" vertical="center"/>
    </xf>
    <xf numFmtId="0" fontId="41" fillId="11" borderId="8" xfId="22" applyFont="1" applyFill="1" applyBorder="1" applyAlignment="1">
      <alignment horizontal="center" vertical="center"/>
    </xf>
    <xf numFmtId="0" fontId="0" fillId="11" borderId="0" xfId="73" applyFont="1" applyFill="1" applyAlignment="1">
      <alignment vertical="center"/>
    </xf>
    <xf numFmtId="0" fontId="0" fillId="11" borderId="38" xfId="73" applyFont="1" applyFill="1" applyBorder="1" applyAlignment="1">
      <alignment vertical="center"/>
    </xf>
    <xf numFmtId="3" fontId="0" fillId="0" borderId="353" xfId="73" applyNumberFormat="1" applyFont="1" applyBorder="1" applyAlignment="1" applyProtection="1">
      <alignment horizontal="center" vertical="center" wrapText="1"/>
      <protection locked="0"/>
    </xf>
    <xf numFmtId="3" fontId="0" fillId="0" borderId="354" xfId="73" applyNumberFormat="1" applyFont="1" applyBorder="1" applyAlignment="1" applyProtection="1">
      <alignment horizontal="center" vertical="center" wrapText="1"/>
      <protection locked="0"/>
    </xf>
    <xf numFmtId="3" fontId="0" fillId="0" borderId="355" xfId="73" applyNumberFormat="1" applyFont="1" applyBorder="1" applyAlignment="1" applyProtection="1">
      <alignment horizontal="center" vertical="center" wrapText="1"/>
      <protection locked="0"/>
    </xf>
    <xf numFmtId="3" fontId="0" fillId="0" borderId="356" xfId="73" applyNumberFormat="1" applyFont="1" applyBorder="1" applyAlignment="1" applyProtection="1">
      <alignment horizontal="center" vertical="center" wrapText="1"/>
      <protection locked="0"/>
    </xf>
    <xf numFmtId="3" fontId="41" fillId="11" borderId="357" xfId="73" applyNumberFormat="1" applyFont="1" applyFill="1" applyBorder="1" applyAlignment="1">
      <alignment horizontal="center" vertical="center" wrapText="1"/>
    </xf>
    <xf numFmtId="3" fontId="41" fillId="11" borderId="224" xfId="73" applyNumberFormat="1" applyFont="1" applyFill="1" applyBorder="1" applyAlignment="1">
      <alignment horizontal="center" vertical="center" wrapText="1"/>
    </xf>
    <xf numFmtId="0" fontId="105" fillId="5" borderId="158" xfId="74" applyFont="1" applyFill="1" applyBorder="1" applyAlignment="1">
      <alignment horizontal="center" vertical="center"/>
    </xf>
    <xf numFmtId="0" fontId="105" fillId="5" borderId="220" xfId="74" applyFont="1" applyFill="1" applyBorder="1" applyAlignment="1">
      <alignment horizontal="center" vertical="center"/>
    </xf>
    <xf numFmtId="0" fontId="105" fillId="5" borderId="202" xfId="74" applyFont="1" applyFill="1" applyBorder="1" applyAlignment="1">
      <alignment horizontal="center" vertical="center"/>
    </xf>
    <xf numFmtId="0" fontId="48" fillId="11" borderId="96" xfId="73" applyFont="1" applyFill="1" applyBorder="1" applyAlignment="1">
      <alignment horizontal="center" vertical="center" wrapText="1"/>
    </xf>
    <xf numFmtId="0" fontId="48" fillId="11" borderId="118" xfId="73" applyFont="1" applyFill="1" applyBorder="1" applyAlignment="1">
      <alignment horizontal="center" vertical="center" wrapText="1"/>
    </xf>
    <xf numFmtId="0" fontId="48" fillId="11" borderId="59" xfId="73" applyFont="1" applyFill="1" applyBorder="1" applyAlignment="1">
      <alignment horizontal="center" vertical="center" wrapText="1"/>
    </xf>
    <xf numFmtId="0" fontId="48" fillId="11" borderId="140" xfId="73" applyFont="1" applyFill="1" applyBorder="1" applyAlignment="1">
      <alignment horizontal="center" vertical="center" wrapText="1"/>
    </xf>
    <xf numFmtId="0" fontId="41" fillId="11" borderId="6" xfId="73" applyFont="1" applyFill="1" applyBorder="1" applyAlignment="1">
      <alignment horizontal="center" vertical="center" wrapText="1"/>
    </xf>
    <xf numFmtId="0" fontId="41" fillId="11" borderId="27" xfId="73" applyFont="1" applyFill="1" applyBorder="1" applyAlignment="1">
      <alignment horizontal="center" vertical="center" wrapText="1"/>
    </xf>
    <xf numFmtId="0" fontId="41" fillId="11" borderId="33" xfId="73" applyFont="1" applyFill="1" applyBorder="1" applyAlignment="1">
      <alignment horizontal="center" vertical="center" wrapText="1"/>
    </xf>
    <xf numFmtId="0" fontId="48" fillId="11" borderId="119" xfId="73" applyFont="1" applyFill="1" applyBorder="1" applyAlignment="1">
      <alignment horizontal="center" vertical="center" wrapText="1"/>
    </xf>
    <xf numFmtId="0" fontId="48" fillId="11" borderId="97" xfId="73" applyFont="1" applyFill="1" applyBorder="1" applyAlignment="1">
      <alignment horizontal="center" vertical="center" wrapText="1"/>
    </xf>
    <xf numFmtId="3" fontId="0" fillId="0" borderId="358" xfId="73" applyNumberFormat="1" applyFont="1" applyBorder="1" applyAlignment="1" applyProtection="1">
      <alignment horizontal="center" vertical="center" wrapText="1"/>
      <protection locked="0"/>
    </xf>
    <xf numFmtId="0" fontId="41" fillId="11" borderId="121" xfId="74" applyFont="1" applyFill="1" applyBorder="1" applyAlignment="1">
      <alignment horizontal="center" vertical="center"/>
    </xf>
    <xf numFmtId="0" fontId="41" fillId="11" borderId="122" xfId="74" applyFont="1" applyFill="1" applyBorder="1" applyAlignment="1">
      <alignment horizontal="center" vertical="center"/>
    </xf>
    <xf numFmtId="0" fontId="41" fillId="11" borderId="123" xfId="74" applyFont="1" applyFill="1" applyBorder="1" applyAlignment="1">
      <alignment horizontal="center" vertical="center"/>
    </xf>
    <xf numFmtId="0" fontId="48" fillId="11" borderId="94" xfId="73" applyFont="1" applyFill="1" applyBorder="1" applyAlignment="1">
      <alignment horizontal="center" vertical="center" wrapText="1"/>
    </xf>
    <xf numFmtId="0" fontId="41" fillId="11" borderId="71" xfId="73" applyFont="1" applyFill="1" applyBorder="1" applyAlignment="1">
      <alignment horizontal="center" vertical="center" wrapText="1"/>
    </xf>
    <xf numFmtId="0" fontId="41" fillId="11" borderId="72" xfId="73" applyFont="1" applyFill="1" applyBorder="1" applyAlignment="1">
      <alignment horizontal="center" vertical="center" wrapText="1"/>
    </xf>
    <xf numFmtId="0" fontId="41" fillId="11" borderId="74" xfId="73" applyFont="1" applyFill="1" applyBorder="1" applyAlignment="1">
      <alignment horizontal="center" vertical="center" wrapText="1"/>
    </xf>
    <xf numFmtId="0" fontId="41" fillId="11" borderId="67" xfId="73" applyFont="1" applyFill="1" applyBorder="1" applyAlignment="1">
      <alignment horizontal="center" vertical="center" wrapText="1"/>
    </xf>
    <xf numFmtId="0" fontId="41" fillId="11" borderId="0" xfId="73" applyFont="1" applyFill="1" applyAlignment="1">
      <alignment horizontal="center" vertical="center" wrapText="1"/>
    </xf>
    <xf numFmtId="0" fontId="41" fillId="11" borderId="38" xfId="73" applyFont="1" applyFill="1" applyBorder="1" applyAlignment="1">
      <alignment horizontal="center" vertical="center" wrapText="1"/>
    </xf>
    <xf numFmtId="0" fontId="41" fillId="11" borderId="7" xfId="73" applyFont="1" applyFill="1" applyBorder="1" applyAlignment="1">
      <alignment horizontal="center" vertical="center" wrapText="1"/>
    </xf>
    <xf numFmtId="0" fontId="41" fillId="11" borderId="8" xfId="73" applyFont="1" applyFill="1" applyBorder="1" applyAlignment="1">
      <alignment horizontal="center" vertical="center" wrapText="1"/>
    </xf>
    <xf numFmtId="0" fontId="41" fillId="11" borderId="16" xfId="73" applyFont="1" applyFill="1" applyBorder="1" applyAlignment="1">
      <alignment horizontal="center" vertical="center" wrapText="1"/>
    </xf>
    <xf numFmtId="0" fontId="41" fillId="11" borderId="17" xfId="73" applyFont="1" applyFill="1" applyBorder="1" applyAlignment="1">
      <alignment horizontal="center" vertical="center" wrapText="1"/>
    </xf>
    <xf numFmtId="0" fontId="41" fillId="11" borderId="10" xfId="73" applyFont="1" applyFill="1" applyBorder="1" applyAlignment="1">
      <alignment horizontal="center" vertical="center" wrapText="1"/>
    </xf>
    <xf numFmtId="0" fontId="41" fillId="11" borderId="22" xfId="73" applyFont="1" applyFill="1" applyBorder="1" applyAlignment="1">
      <alignment horizontal="center" vertical="center" wrapText="1"/>
    </xf>
    <xf numFmtId="0" fontId="0" fillId="11" borderId="58" xfId="73" applyFont="1" applyFill="1" applyBorder="1" applyAlignment="1">
      <alignment vertical="center"/>
    </xf>
    <xf numFmtId="0" fontId="0" fillId="11" borderId="55" xfId="73" applyFont="1" applyFill="1" applyBorder="1" applyAlignment="1">
      <alignment vertical="center"/>
    </xf>
    <xf numFmtId="3" fontId="0" fillId="0" borderId="2" xfId="73" applyNumberFormat="1" applyFont="1" applyBorder="1" applyAlignment="1" applyProtection="1">
      <alignment horizontal="center" vertical="center" wrapText="1"/>
      <protection locked="0"/>
    </xf>
    <xf numFmtId="3" fontId="0" fillId="0" borderId="66" xfId="73" applyNumberFormat="1" applyFont="1" applyBorder="1" applyAlignment="1" applyProtection="1">
      <alignment horizontal="center" vertical="center" wrapText="1"/>
      <protection locked="0"/>
    </xf>
    <xf numFmtId="3" fontId="0" fillId="0" borderId="64" xfId="73" applyNumberFormat="1" applyFont="1" applyBorder="1" applyAlignment="1" applyProtection="1">
      <alignment horizontal="center" vertical="center" wrapText="1"/>
      <protection locked="0"/>
    </xf>
    <xf numFmtId="3" fontId="0" fillId="0" borderId="92" xfId="73" applyNumberFormat="1" applyFont="1" applyBorder="1" applyAlignment="1" applyProtection="1">
      <alignment horizontal="center" vertical="center" wrapText="1"/>
      <protection locked="0"/>
    </xf>
    <xf numFmtId="3" fontId="41" fillId="11" borderId="93" xfId="73" applyNumberFormat="1" applyFont="1" applyFill="1" applyBorder="1" applyAlignment="1">
      <alignment horizontal="center" vertical="center" wrapText="1"/>
    </xf>
    <xf numFmtId="3" fontId="41" fillId="11" borderId="55" xfId="73" applyNumberFormat="1" applyFont="1" applyFill="1" applyBorder="1" applyAlignment="1">
      <alignment horizontal="center" vertical="center" wrapText="1"/>
    </xf>
    <xf numFmtId="3" fontId="0" fillId="0" borderId="58" xfId="73" applyNumberFormat="1" applyFont="1" applyBorder="1" applyAlignment="1" applyProtection="1">
      <alignment horizontal="center" vertical="center" wrapText="1"/>
      <protection locked="0"/>
    </xf>
    <xf numFmtId="0" fontId="39" fillId="11" borderId="8" xfId="73" applyFont="1" applyFill="1" applyBorder="1" applyAlignment="1">
      <alignment vertical="center"/>
    </xf>
    <xf numFmtId="0" fontId="39" fillId="11" borderId="16" xfId="73" applyFont="1" applyFill="1" applyBorder="1" applyAlignment="1">
      <alignment vertical="center"/>
    </xf>
    <xf numFmtId="3" fontId="0" fillId="0" borderId="141" xfId="73" applyNumberFormat="1" applyFont="1" applyBorder="1" applyAlignment="1" applyProtection="1">
      <alignment horizontal="center" vertical="center" wrapText="1"/>
      <protection locked="0"/>
    </xf>
    <xf numFmtId="3" fontId="0" fillId="0" borderId="157" xfId="73" applyNumberFormat="1" applyFont="1" applyBorder="1" applyAlignment="1" applyProtection="1">
      <alignment horizontal="center" vertical="center" wrapText="1"/>
      <protection locked="0"/>
    </xf>
    <xf numFmtId="3" fontId="0" fillId="0" borderId="156" xfId="73" applyNumberFormat="1" applyFont="1" applyBorder="1" applyAlignment="1" applyProtection="1">
      <alignment horizontal="center" vertical="center" wrapText="1"/>
      <protection locked="0"/>
    </xf>
    <xf numFmtId="3" fontId="0" fillId="0" borderId="218" xfId="73" applyNumberFormat="1" applyFont="1" applyBorder="1" applyAlignment="1" applyProtection="1">
      <alignment horizontal="center" vertical="center" wrapText="1"/>
      <protection locked="0"/>
    </xf>
    <xf numFmtId="3" fontId="41" fillId="11" borderId="219" xfId="73" applyNumberFormat="1" applyFont="1" applyFill="1" applyBorder="1" applyAlignment="1">
      <alignment horizontal="center" vertical="center" wrapText="1"/>
    </xf>
    <xf numFmtId="3" fontId="41" fillId="11" borderId="142" xfId="73" applyNumberFormat="1" applyFont="1" applyFill="1" applyBorder="1" applyAlignment="1">
      <alignment horizontal="center" vertical="center" wrapText="1"/>
    </xf>
    <xf numFmtId="3" fontId="0" fillId="0" borderId="150" xfId="73" applyNumberFormat="1" applyFont="1" applyBorder="1" applyAlignment="1" applyProtection="1">
      <alignment horizontal="center" vertical="center" wrapText="1"/>
      <protection locked="0"/>
    </xf>
    <xf numFmtId="0" fontId="39" fillId="11" borderId="58" xfId="73" applyFont="1" applyFill="1" applyBorder="1" applyAlignment="1">
      <alignment vertical="top" wrapText="1"/>
    </xf>
    <xf numFmtId="0" fontId="39" fillId="11" borderId="58" xfId="73" applyFont="1" applyFill="1" applyBorder="1" applyAlignment="1">
      <alignment vertical="top"/>
    </xf>
    <xf numFmtId="0" fontId="39" fillId="11" borderId="55" xfId="73" applyFont="1" applyFill="1" applyBorder="1" applyAlignment="1">
      <alignment vertical="top"/>
    </xf>
    <xf numFmtId="0" fontId="39" fillId="11" borderId="58" xfId="73" applyFont="1" applyFill="1" applyBorder="1" applyAlignment="1">
      <alignment vertical="center"/>
    </xf>
    <xf numFmtId="0" fontId="39" fillId="11" borderId="55" xfId="73" applyFont="1" applyFill="1" applyBorder="1" applyAlignment="1">
      <alignment vertical="center"/>
    </xf>
    <xf numFmtId="3" fontId="41" fillId="11" borderId="47" xfId="73" applyNumberFormat="1" applyFont="1" applyFill="1" applyBorder="1" applyAlignment="1">
      <alignment horizontal="center" vertical="center" wrapText="1"/>
    </xf>
    <xf numFmtId="3" fontId="41" fillId="11" borderId="49" xfId="73" applyNumberFormat="1" applyFont="1" applyFill="1" applyBorder="1" applyAlignment="1">
      <alignment horizontal="center" vertical="center" wrapText="1"/>
    </xf>
    <xf numFmtId="3" fontId="41" fillId="11" borderId="51" xfId="73" applyNumberFormat="1" applyFont="1" applyFill="1" applyBorder="1" applyAlignment="1">
      <alignment horizontal="center" vertical="center" wrapText="1"/>
    </xf>
    <xf numFmtId="3" fontId="41" fillId="11" borderId="52" xfId="73" applyNumberFormat="1" applyFont="1" applyFill="1" applyBorder="1" applyAlignment="1">
      <alignment horizontal="center" vertical="center" wrapText="1"/>
    </xf>
    <xf numFmtId="0" fontId="41" fillId="11" borderId="46" xfId="73" applyFont="1" applyFill="1" applyBorder="1" applyAlignment="1">
      <alignment horizontal="center" vertical="center"/>
    </xf>
    <xf numFmtId="0" fontId="41" fillId="11" borderId="47" xfId="73" applyFont="1" applyFill="1" applyBorder="1" applyAlignment="1">
      <alignment horizontal="center" vertical="center"/>
    </xf>
    <xf numFmtId="0" fontId="41" fillId="11" borderId="52" xfId="73" applyFont="1" applyFill="1" applyBorder="1" applyAlignment="1">
      <alignment horizontal="center" vertical="center"/>
    </xf>
    <xf numFmtId="3" fontId="41" fillId="11" borderId="46" xfId="73" applyNumberFormat="1" applyFont="1" applyFill="1" applyBorder="1" applyAlignment="1">
      <alignment horizontal="center" vertical="center" wrapText="1"/>
    </xf>
    <xf numFmtId="3" fontId="41" fillId="11" borderId="48" xfId="73" applyNumberFormat="1" applyFont="1" applyFill="1" applyBorder="1" applyAlignment="1">
      <alignment horizontal="center" vertical="center" wrapText="1"/>
    </xf>
    <xf numFmtId="3" fontId="41" fillId="11" borderId="50" xfId="73" applyNumberFormat="1" applyFont="1" applyFill="1" applyBorder="1" applyAlignment="1">
      <alignment horizontal="center" vertical="center" wrapText="1"/>
    </xf>
    <xf numFmtId="0" fontId="39" fillId="11" borderId="115" xfId="73" applyFont="1" applyFill="1" applyBorder="1" applyAlignment="1">
      <alignment vertical="center"/>
    </xf>
    <xf numFmtId="0" fontId="39" fillId="11" borderId="116" xfId="73" applyFont="1" applyFill="1" applyBorder="1" applyAlignment="1">
      <alignment vertical="center"/>
    </xf>
    <xf numFmtId="3" fontId="0" fillId="0" borderId="61" xfId="73" applyNumberFormat="1" applyFont="1" applyBorder="1" applyAlignment="1" applyProtection="1">
      <alignment horizontal="center" vertical="center" wrapText="1"/>
      <protection locked="0"/>
    </xf>
    <xf numFmtId="3" fontId="0" fillId="0" borderId="209" xfId="73" applyNumberFormat="1" applyFont="1" applyBorder="1" applyAlignment="1" applyProtection="1">
      <alignment horizontal="center" vertical="center" wrapText="1"/>
      <protection locked="0"/>
    </xf>
    <xf numFmtId="3" fontId="0" fillId="0" borderId="54" xfId="73" applyNumberFormat="1" applyFont="1" applyBorder="1" applyAlignment="1" applyProtection="1">
      <alignment horizontal="center" vertical="center" wrapText="1"/>
      <protection locked="0"/>
    </xf>
    <xf numFmtId="3" fontId="0" fillId="0" borderId="212" xfId="73" applyNumberFormat="1" applyFont="1" applyBorder="1" applyAlignment="1" applyProtection="1">
      <alignment horizontal="center" vertical="center" wrapText="1"/>
      <protection locked="0"/>
    </xf>
    <xf numFmtId="3" fontId="41" fillId="11" borderId="210" xfId="73" applyNumberFormat="1" applyFont="1" applyFill="1" applyBorder="1" applyAlignment="1">
      <alignment horizontal="center" vertical="center" wrapText="1"/>
    </xf>
    <xf numFmtId="3" fontId="41" fillId="11" borderId="185" xfId="73" applyNumberFormat="1" applyFont="1" applyFill="1" applyBorder="1" applyAlignment="1">
      <alignment horizontal="center" vertical="center" wrapText="1"/>
    </xf>
    <xf numFmtId="3" fontId="0" fillId="0" borderId="186" xfId="73" applyNumberFormat="1" applyFont="1" applyBorder="1" applyAlignment="1" applyProtection="1">
      <alignment horizontal="center" vertical="center" wrapText="1"/>
      <protection locked="0"/>
    </xf>
    <xf numFmtId="0" fontId="0" fillId="5" borderId="189" xfId="73" applyFont="1" applyFill="1" applyBorder="1" applyAlignment="1">
      <alignment horizontal="center" vertical="center" wrapText="1"/>
    </xf>
    <xf numFmtId="0" fontId="0" fillId="5" borderId="127" xfId="73" applyFont="1" applyFill="1" applyBorder="1" applyAlignment="1">
      <alignment horizontal="center" vertical="center" wrapText="1"/>
    </xf>
    <xf numFmtId="0" fontId="0" fillId="5" borderId="190" xfId="73" applyFont="1" applyFill="1" applyBorder="1" applyAlignment="1">
      <alignment horizontal="center" vertical="center" wrapText="1"/>
    </xf>
    <xf numFmtId="0" fontId="0" fillId="5" borderId="67" xfId="73" applyFont="1" applyFill="1" applyBorder="1" applyAlignment="1">
      <alignment horizontal="center" vertical="center" wrapText="1"/>
    </xf>
    <xf numFmtId="0" fontId="0" fillId="5" borderId="0" xfId="73" applyFont="1" applyFill="1" applyAlignment="1">
      <alignment horizontal="center" vertical="center" wrapText="1"/>
    </xf>
    <xf numFmtId="0" fontId="0" fillId="5" borderId="38" xfId="73" applyFont="1" applyFill="1" applyBorder="1" applyAlignment="1">
      <alignment horizontal="center" vertical="center" wrapText="1"/>
    </xf>
    <xf numFmtId="0" fontId="0" fillId="5" borderId="117" xfId="73" applyFont="1" applyFill="1" applyBorder="1" applyAlignment="1">
      <alignment horizontal="center" vertical="center" wrapText="1"/>
    </xf>
    <xf numFmtId="0" fontId="0" fillId="5" borderId="115" xfId="73" applyFont="1" applyFill="1" applyBorder="1" applyAlignment="1">
      <alignment horizontal="center" vertical="center" wrapText="1"/>
    </xf>
    <xf numFmtId="0" fontId="0" fillId="5" borderId="116" xfId="73" applyFont="1" applyFill="1" applyBorder="1" applyAlignment="1">
      <alignment horizontal="center" vertical="center" wrapText="1"/>
    </xf>
    <xf numFmtId="0" fontId="0" fillId="11" borderId="27" xfId="0" applyFill="1" applyBorder="1" applyAlignment="1">
      <alignment horizontal="center"/>
    </xf>
    <xf numFmtId="0" fontId="39" fillId="11" borderId="58" xfId="73" applyFont="1" applyFill="1" applyBorder="1" applyAlignment="1">
      <alignment vertical="center" wrapText="1"/>
    </xf>
    <xf numFmtId="0" fontId="39" fillId="11" borderId="0" xfId="73" applyFont="1" applyFill="1" applyAlignment="1">
      <alignment vertical="center"/>
    </xf>
    <xf numFmtId="0" fontId="39" fillId="11" borderId="38" xfId="73" applyFont="1" applyFill="1" applyBorder="1" applyAlignment="1">
      <alignment vertical="center"/>
    </xf>
    <xf numFmtId="0" fontId="39" fillId="11" borderId="58" xfId="73" applyFont="1" applyFill="1" applyBorder="1" applyAlignment="1">
      <alignment horizontal="right" vertical="center"/>
    </xf>
    <xf numFmtId="0" fontId="41" fillId="11" borderId="0" xfId="73" applyFont="1" applyFill="1" applyAlignment="1">
      <alignment horizontal="justify" vertical="top" wrapText="1"/>
    </xf>
    <xf numFmtId="0" fontId="45" fillId="11" borderId="0" xfId="11" applyFont="1" applyFill="1" applyAlignment="1">
      <alignment horizontal="center" vertical="top" wrapText="1"/>
    </xf>
    <xf numFmtId="0" fontId="45" fillId="11" borderId="0" xfId="11" applyFont="1" applyFill="1" applyAlignment="1">
      <alignment horizontal="right" vertical="top" wrapText="1"/>
    </xf>
    <xf numFmtId="0" fontId="45" fillId="11" borderId="0" xfId="11" applyFont="1" applyFill="1" applyAlignment="1">
      <alignment vertical="top" wrapText="1"/>
    </xf>
    <xf numFmtId="0" fontId="45" fillId="11" borderId="0" xfId="22" applyFont="1" applyFill="1" applyAlignment="1">
      <alignment vertical="top" wrapText="1"/>
    </xf>
    <xf numFmtId="0" fontId="45" fillId="11" borderId="0" xfId="11" applyFont="1" applyFill="1" applyAlignment="1">
      <alignment horizontal="justify" vertical="top" wrapText="1"/>
    </xf>
    <xf numFmtId="0" fontId="68" fillId="11" borderId="0" xfId="42" applyFont="1" applyFill="1" applyAlignment="1">
      <alignment wrapText="1"/>
    </xf>
    <xf numFmtId="0" fontId="45" fillId="11" borderId="0" xfId="83" applyFont="1" applyFill="1" applyAlignment="1">
      <alignment horizontal="justify" vertical="top" wrapText="1"/>
    </xf>
    <xf numFmtId="0" fontId="52" fillId="11" borderId="0" xfId="15" applyFont="1" applyFill="1" applyAlignment="1">
      <alignment horizontal="center"/>
    </xf>
    <xf numFmtId="0" fontId="52" fillId="11" borderId="27" xfId="15" applyFont="1" applyFill="1" applyBorder="1" applyAlignment="1">
      <alignment horizontal="center"/>
    </xf>
    <xf numFmtId="0" fontId="110" fillId="11" borderId="26" xfId="15" applyFont="1" applyFill="1" applyBorder="1" applyAlignment="1">
      <alignment horizontal="center" vertical="top"/>
    </xf>
    <xf numFmtId="0" fontId="52" fillId="11" borderId="27" xfId="0" applyFont="1" applyFill="1" applyBorder="1" applyAlignment="1">
      <alignment horizontal="center"/>
    </xf>
    <xf numFmtId="0" fontId="39" fillId="0" borderId="2" xfId="58" applyFont="1" applyBorder="1" applyAlignment="1" applyProtection="1">
      <alignment horizontal="center" vertical="center"/>
      <protection locked="0"/>
    </xf>
    <xf numFmtId="0" fontId="39" fillId="0" borderId="58" xfId="58" applyFont="1" applyBorder="1" applyAlignment="1" applyProtection="1">
      <alignment horizontal="center" vertical="center"/>
      <protection locked="0"/>
    </xf>
    <xf numFmtId="0" fontId="39" fillId="0" borderId="55" xfId="58" applyFont="1" applyBorder="1" applyAlignment="1" applyProtection="1">
      <alignment horizontal="center" vertical="center"/>
      <protection locked="0"/>
    </xf>
    <xf numFmtId="3" fontId="41" fillId="11" borderId="46" xfId="58" applyNumberFormat="1" applyFont="1" applyFill="1" applyBorder="1" applyAlignment="1">
      <alignment horizontal="center" vertical="center"/>
    </xf>
    <xf numFmtId="3" fontId="41" fillId="11" borderId="47" xfId="58" applyNumberFormat="1" applyFont="1" applyFill="1" applyBorder="1" applyAlignment="1">
      <alignment horizontal="center" vertical="center"/>
    </xf>
    <xf numFmtId="3" fontId="41" fillId="11" borderId="52" xfId="58" applyNumberFormat="1" applyFont="1" applyFill="1" applyBorder="1" applyAlignment="1">
      <alignment horizontal="center" vertical="center"/>
    </xf>
    <xf numFmtId="0" fontId="39" fillId="11" borderId="2" xfId="58" applyFont="1" applyFill="1" applyBorder="1" applyAlignment="1">
      <alignment horizontal="center" vertical="center"/>
    </xf>
    <xf numFmtId="0" fontId="39" fillId="11" borderId="58" xfId="58" applyFont="1" applyFill="1" applyBorder="1" applyAlignment="1">
      <alignment horizontal="center" vertical="center"/>
    </xf>
    <xf numFmtId="0" fontId="39" fillId="11" borderId="58" xfId="58" applyFont="1" applyFill="1" applyBorder="1" applyAlignment="1">
      <alignment vertical="center"/>
    </xf>
    <xf numFmtId="0" fontId="39" fillId="11" borderId="55" xfId="58" applyFont="1" applyFill="1" applyBorder="1" applyAlignment="1">
      <alignment vertical="center"/>
    </xf>
    <xf numFmtId="0" fontId="39" fillId="11" borderId="87" xfId="58" applyFont="1" applyFill="1" applyBorder="1" applyAlignment="1">
      <alignment horizontal="center" vertical="center"/>
    </xf>
    <xf numFmtId="0" fontId="39" fillId="11" borderId="85" xfId="58" applyFont="1" applyFill="1" applyBorder="1" applyAlignment="1">
      <alignment horizontal="center" vertical="center"/>
    </xf>
    <xf numFmtId="0" fontId="39" fillId="11" borderId="0" xfId="58" applyFont="1" applyFill="1" applyAlignment="1">
      <alignment vertical="center"/>
    </xf>
    <xf numFmtId="0" fontId="39" fillId="11" borderId="38" xfId="58" applyFont="1" applyFill="1" applyBorder="1" applyAlignment="1">
      <alignment vertical="center"/>
    </xf>
    <xf numFmtId="0" fontId="41" fillId="11" borderId="46" xfId="58" applyFont="1" applyFill="1" applyBorder="1" applyAlignment="1">
      <alignment horizontal="center" vertical="center"/>
    </xf>
    <xf numFmtId="0" fontId="41" fillId="11" borderId="47" xfId="58" applyFont="1" applyFill="1" applyBorder="1" applyAlignment="1">
      <alignment horizontal="center" vertical="center"/>
    </xf>
    <xf numFmtId="0" fontId="41" fillId="11" borderId="52" xfId="58" applyFont="1" applyFill="1" applyBorder="1" applyAlignment="1">
      <alignment horizontal="center" vertical="center"/>
    </xf>
    <xf numFmtId="0" fontId="39" fillId="11" borderId="99" xfId="58" applyFont="1" applyFill="1" applyBorder="1" applyAlignment="1">
      <alignment vertical="center"/>
    </xf>
    <xf numFmtId="0" fontId="39" fillId="11" borderId="100" xfId="58" applyFont="1" applyFill="1" applyBorder="1" applyAlignment="1">
      <alignment vertical="center"/>
    </xf>
    <xf numFmtId="0" fontId="41" fillId="11" borderId="83" xfId="58" applyFont="1" applyFill="1" applyBorder="1" applyAlignment="1">
      <alignment vertical="center"/>
    </xf>
    <xf numFmtId="0" fontId="41" fillId="11" borderId="57" xfId="58" applyFont="1" applyFill="1" applyBorder="1" applyAlignment="1">
      <alignment vertical="center"/>
    </xf>
    <xf numFmtId="0" fontId="41" fillId="11" borderId="56" xfId="58" applyFont="1" applyFill="1" applyBorder="1" applyAlignment="1">
      <alignment vertical="center"/>
    </xf>
    <xf numFmtId="0" fontId="41" fillId="11" borderId="121" xfId="58" applyFont="1" applyFill="1" applyBorder="1" applyAlignment="1">
      <alignment horizontal="center" vertical="center" wrapText="1"/>
    </xf>
    <xf numFmtId="0" fontId="41" fillId="11" borderId="122" xfId="58" applyFont="1" applyFill="1" applyBorder="1" applyAlignment="1">
      <alignment horizontal="center" vertical="center" wrapText="1"/>
    </xf>
    <xf numFmtId="0" fontId="41" fillId="11" borderId="123" xfId="58" applyFont="1" applyFill="1" applyBorder="1" applyAlignment="1">
      <alignment horizontal="center" vertical="center" wrapText="1"/>
    </xf>
    <xf numFmtId="0" fontId="41" fillId="11" borderId="0" xfId="58" applyFont="1" applyFill="1" applyAlignment="1">
      <alignment horizontal="justify" wrapText="1"/>
    </xf>
    <xf numFmtId="0" fontId="45" fillId="11" borderId="0" xfId="22" applyFont="1" applyFill="1" applyAlignment="1">
      <alignment horizontal="justify" vertical="center" wrapText="1"/>
    </xf>
    <xf numFmtId="3" fontId="52" fillId="0" borderId="2" xfId="58" applyNumberFormat="1" applyFont="1" applyBorder="1" applyAlignment="1" applyProtection="1">
      <alignment horizontal="center" vertical="center"/>
      <protection locked="0"/>
    </xf>
    <xf numFmtId="3" fontId="52" fillId="0" borderId="58" xfId="58" applyNumberFormat="1" applyFont="1" applyBorder="1" applyAlignment="1" applyProtection="1">
      <alignment horizontal="center" vertical="center"/>
      <protection locked="0"/>
    </xf>
    <xf numFmtId="3" fontId="52" fillId="0" borderId="55" xfId="58" applyNumberFormat="1" applyFont="1" applyBorder="1" applyAlignment="1" applyProtection="1">
      <alignment horizontal="center" vertical="center"/>
      <protection locked="0"/>
    </xf>
    <xf numFmtId="0" fontId="39" fillId="11" borderId="57" xfId="58" applyFont="1" applyFill="1" applyBorder="1" applyAlignment="1">
      <alignment vertical="center"/>
    </xf>
    <xf numFmtId="0" fontId="39" fillId="11" borderId="56" xfId="58" applyFont="1" applyFill="1" applyBorder="1" applyAlignment="1">
      <alignment vertical="center"/>
    </xf>
    <xf numFmtId="0" fontId="41" fillId="11" borderId="0" xfId="64" applyFont="1" applyFill="1" applyAlignment="1">
      <alignment horizontal="justify" vertical="top" wrapText="1"/>
    </xf>
    <xf numFmtId="0" fontId="68" fillId="11" borderId="0" xfId="0" applyFont="1" applyFill="1" applyAlignment="1">
      <alignment vertical="center" wrapText="1"/>
    </xf>
    <xf numFmtId="0" fontId="68" fillId="11" borderId="0" xfId="0" applyFont="1" applyFill="1" applyAlignment="1">
      <alignment vertical="center"/>
    </xf>
    <xf numFmtId="0" fontId="39" fillId="11" borderId="0" xfId="64" applyFont="1" applyFill="1" applyAlignment="1">
      <alignment horizontal="justify" vertical="center" wrapText="1"/>
    </xf>
    <xf numFmtId="0" fontId="39" fillId="11" borderId="0" xfId="64" applyFont="1" applyFill="1" applyAlignment="1">
      <alignment horizontal="justify" vertical="center"/>
    </xf>
    <xf numFmtId="0" fontId="39" fillId="11" borderId="7" xfId="64" applyFont="1" applyFill="1" applyBorder="1" applyAlignment="1">
      <alignment vertical="center"/>
    </xf>
    <xf numFmtId="0" fontId="39" fillId="11" borderId="8" xfId="64" applyFont="1" applyFill="1" applyBorder="1" applyAlignment="1">
      <alignment vertical="center"/>
    </xf>
    <xf numFmtId="0" fontId="39" fillId="11" borderId="16" xfId="64" applyFont="1" applyFill="1" applyBorder="1" applyAlignment="1">
      <alignment vertical="center"/>
    </xf>
    <xf numFmtId="0" fontId="39" fillId="0" borderId="8" xfId="64" applyFont="1" applyBorder="1" applyAlignment="1" applyProtection="1">
      <alignment horizontal="center" vertical="center"/>
      <protection locked="0"/>
    </xf>
    <xf numFmtId="0" fontId="39" fillId="0" borderId="16" xfId="64" applyFont="1" applyBorder="1" applyAlignment="1" applyProtection="1">
      <alignment horizontal="center" vertical="center"/>
      <protection locked="0"/>
    </xf>
    <xf numFmtId="0" fontId="103" fillId="5" borderId="72" xfId="64" applyFont="1" applyFill="1" applyBorder="1" applyAlignment="1">
      <alignment horizontal="center" vertical="center"/>
    </xf>
    <xf numFmtId="0" fontId="103" fillId="5" borderId="74" xfId="64" applyFont="1" applyFill="1" applyBorder="1" applyAlignment="1">
      <alignment horizontal="center" vertical="center"/>
    </xf>
    <xf numFmtId="0" fontId="48" fillId="11" borderId="71" xfId="64" applyFont="1" applyFill="1" applyBorder="1" applyAlignment="1">
      <alignment vertical="center"/>
    </xf>
    <xf numFmtId="0" fontId="48" fillId="11" borderId="72" xfId="64" applyFont="1" applyFill="1" applyBorder="1" applyAlignment="1">
      <alignment vertical="center"/>
    </xf>
    <xf numFmtId="0" fontId="48" fillId="11" borderId="74" xfId="64" applyFont="1" applyFill="1" applyBorder="1" applyAlignment="1">
      <alignment vertical="center"/>
    </xf>
    <xf numFmtId="0" fontId="41" fillId="11" borderId="0" xfId="64" applyFont="1" applyFill="1" applyAlignment="1">
      <alignment horizontal="left"/>
    </xf>
    <xf numFmtId="0" fontId="41" fillId="11" borderId="0" xfId="64" applyFont="1" applyFill="1" applyAlignment="1">
      <alignment horizontal="justify" vertical="center" wrapText="1"/>
    </xf>
    <xf numFmtId="0" fontId="39" fillId="11" borderId="2" xfId="64" applyFont="1" applyFill="1" applyBorder="1" applyAlignment="1">
      <alignment vertical="center"/>
    </xf>
    <xf numFmtId="0" fontId="39" fillId="11" borderId="58" xfId="64" applyFont="1" applyFill="1" applyBorder="1" applyAlignment="1">
      <alignment vertical="center"/>
    </xf>
    <xf numFmtId="0" fontId="39" fillId="11" borderId="55" xfId="64" applyFont="1" applyFill="1" applyBorder="1" applyAlignment="1">
      <alignment vertical="center"/>
    </xf>
    <xf numFmtId="0" fontId="39" fillId="0" borderId="58" xfId="64" applyFont="1" applyBorder="1" applyAlignment="1" applyProtection="1">
      <alignment horizontal="center" vertical="center"/>
      <protection locked="0"/>
    </xf>
    <xf numFmtId="0" fontId="39" fillId="0" borderId="55" xfId="64" applyFont="1" applyBorder="1" applyAlignment="1" applyProtection="1">
      <alignment horizontal="center" vertical="center"/>
      <protection locked="0"/>
    </xf>
    <xf numFmtId="0" fontId="39" fillId="5" borderId="2" xfId="64" applyFont="1" applyFill="1" applyBorder="1" applyAlignment="1">
      <alignment horizontal="center" vertical="center"/>
    </xf>
    <xf numFmtId="0" fontId="39" fillId="5" borderId="58" xfId="64" applyFont="1" applyFill="1" applyBorder="1" applyAlignment="1">
      <alignment horizontal="center" vertical="center"/>
    </xf>
    <xf numFmtId="0" fontId="39" fillId="5" borderId="55" xfId="64" applyFont="1" applyFill="1" applyBorder="1" applyAlignment="1">
      <alignment horizontal="center" vertical="center"/>
    </xf>
    <xf numFmtId="0" fontId="39" fillId="11" borderId="189" xfId="64" applyFont="1" applyFill="1" applyBorder="1" applyAlignment="1">
      <alignment vertical="center"/>
    </xf>
    <xf numFmtId="0" fontId="39" fillId="11" borderId="127" xfId="64" applyFont="1" applyFill="1" applyBorder="1" applyAlignment="1">
      <alignment vertical="center"/>
    </xf>
    <xf numFmtId="0" fontId="39" fillId="11" borderId="190" xfId="64" applyFont="1" applyFill="1" applyBorder="1" applyAlignment="1">
      <alignment vertical="center"/>
    </xf>
    <xf numFmtId="0" fontId="41" fillId="11" borderId="122" xfId="64" applyFont="1" applyFill="1" applyBorder="1" applyAlignment="1">
      <alignment horizontal="center" vertical="center" wrapText="1"/>
    </xf>
    <xf numFmtId="0" fontId="41" fillId="11" borderId="123" xfId="64" applyFont="1" applyFill="1" applyBorder="1" applyAlignment="1">
      <alignment horizontal="center" vertical="center" wrapText="1"/>
    </xf>
    <xf numFmtId="0" fontId="41" fillId="11" borderId="121" xfId="64" applyFont="1" applyFill="1" applyBorder="1" applyAlignment="1">
      <alignment horizontal="center" vertical="center"/>
    </xf>
    <xf numFmtId="0" fontId="41" fillId="11" borderId="122" xfId="64" applyFont="1" applyFill="1" applyBorder="1" applyAlignment="1">
      <alignment horizontal="center" vertical="center"/>
    </xf>
    <xf numFmtId="0" fontId="41" fillId="11" borderId="123" xfId="64" applyFont="1" applyFill="1" applyBorder="1" applyAlignment="1">
      <alignment horizontal="center" vertical="center"/>
    </xf>
    <xf numFmtId="0" fontId="103" fillId="5" borderId="2" xfId="64" applyFont="1" applyFill="1" applyBorder="1" applyAlignment="1">
      <alignment horizontal="center" vertical="center"/>
    </xf>
    <xf numFmtId="0" fontId="103" fillId="5" borderId="58" xfId="64" applyFont="1" applyFill="1" applyBorder="1" applyAlignment="1">
      <alignment horizontal="center" vertical="center"/>
    </xf>
    <xf numFmtId="0" fontId="103" fillId="5" borderId="55" xfId="64" applyFont="1" applyFill="1" applyBorder="1" applyAlignment="1">
      <alignment horizontal="center" vertical="center"/>
    </xf>
    <xf numFmtId="0" fontId="39" fillId="11" borderId="87" xfId="64" applyFont="1" applyFill="1" applyBorder="1" applyAlignment="1">
      <alignment vertical="center"/>
    </xf>
    <xf numFmtId="0" fontId="39" fillId="11" borderId="85" xfId="64" applyFont="1" applyFill="1" applyBorder="1" applyAlignment="1">
      <alignment vertical="center"/>
    </xf>
    <xf numFmtId="0" fontId="39" fillId="11" borderId="86" xfId="64" applyFont="1" applyFill="1" applyBorder="1" applyAlignment="1">
      <alignment vertical="center"/>
    </xf>
    <xf numFmtId="0" fontId="41" fillId="11" borderId="194" xfId="64" applyFont="1" applyFill="1" applyBorder="1" applyAlignment="1">
      <alignment horizontal="center" vertical="center"/>
    </xf>
    <xf numFmtId="0" fontId="41" fillId="11" borderId="207" xfId="64" applyFont="1" applyFill="1" applyBorder="1" applyAlignment="1">
      <alignment horizontal="center" vertical="center"/>
    </xf>
    <xf numFmtId="0" fontId="41" fillId="11" borderId="208" xfId="64" applyFont="1" applyFill="1" applyBorder="1" applyAlignment="1">
      <alignment horizontal="center" vertical="center"/>
    </xf>
    <xf numFmtId="0" fontId="41" fillId="11" borderId="207" xfId="64" applyFont="1" applyFill="1" applyBorder="1" applyAlignment="1">
      <alignment horizontal="center" vertical="center" wrapText="1"/>
    </xf>
    <xf numFmtId="0" fontId="41" fillId="11" borderId="208" xfId="64" applyFont="1" applyFill="1" applyBorder="1" applyAlignment="1">
      <alignment horizontal="center" vertical="center" wrapText="1"/>
    </xf>
    <xf numFmtId="0" fontId="52" fillId="0" borderId="27" xfId="0" applyFont="1" applyBorder="1" applyAlignment="1" applyProtection="1">
      <alignment horizontal="center"/>
      <protection locked="0"/>
    </xf>
    <xf numFmtId="3" fontId="48" fillId="11" borderId="13" xfId="57" applyNumberFormat="1" applyFont="1" applyFill="1" applyBorder="1" applyAlignment="1">
      <alignment horizontal="center" vertical="center" wrapText="1"/>
    </xf>
    <xf numFmtId="3" fontId="48" fillId="11" borderId="16" xfId="57" applyNumberFormat="1" applyFont="1" applyFill="1" applyBorder="1" applyAlignment="1">
      <alignment horizontal="center" vertical="center" wrapText="1"/>
    </xf>
    <xf numFmtId="3" fontId="48" fillId="11" borderId="7" xfId="57" applyNumberFormat="1" applyFont="1" applyFill="1" applyBorder="1" applyAlignment="1">
      <alignment horizontal="center" vertical="center" wrapText="1"/>
    </xf>
    <xf numFmtId="3" fontId="48" fillId="11" borderId="9" xfId="57" applyNumberFormat="1" applyFont="1" applyFill="1" applyBorder="1" applyAlignment="1">
      <alignment horizontal="center" vertical="center" wrapText="1"/>
    </xf>
    <xf numFmtId="3" fontId="48" fillId="11" borderId="8" xfId="57" applyNumberFormat="1" applyFont="1" applyFill="1" applyBorder="1" applyAlignment="1">
      <alignment horizontal="center" vertical="center" wrapText="1"/>
    </xf>
    <xf numFmtId="3" fontId="52" fillId="0" borderId="61" xfId="57" applyNumberFormat="1" applyFont="1" applyBorder="1" applyAlignment="1" applyProtection="1">
      <alignment horizontal="center" vertical="center" wrapText="1"/>
      <protection locked="0"/>
    </xf>
    <xf numFmtId="3" fontId="52" fillId="0" borderId="209" xfId="57" applyNumberFormat="1" applyFont="1" applyBorder="1" applyAlignment="1" applyProtection="1">
      <alignment horizontal="center" vertical="center" wrapText="1"/>
      <protection locked="0"/>
    </xf>
    <xf numFmtId="3" fontId="52" fillId="0" borderId="186" xfId="57" applyNumberFormat="1" applyFont="1" applyBorder="1" applyAlignment="1" applyProtection="1">
      <alignment horizontal="center" vertical="center" wrapText="1"/>
      <protection locked="0"/>
    </xf>
    <xf numFmtId="3" fontId="52" fillId="0" borderId="54" xfId="57" applyNumberFormat="1" applyFont="1" applyBorder="1" applyAlignment="1" applyProtection="1">
      <alignment horizontal="center" vertical="center" wrapText="1"/>
      <protection locked="0"/>
    </xf>
    <xf numFmtId="3" fontId="52" fillId="0" borderId="185" xfId="57" applyNumberFormat="1" applyFont="1" applyBorder="1" applyAlignment="1" applyProtection="1">
      <alignment horizontal="center" vertical="center" wrapText="1"/>
      <protection locked="0"/>
    </xf>
    <xf numFmtId="3" fontId="52" fillId="0" borderId="64" xfId="57" applyNumberFormat="1" applyFont="1" applyBorder="1" applyAlignment="1" applyProtection="1">
      <alignment horizontal="center" vertical="center" wrapText="1"/>
      <protection locked="0"/>
    </xf>
    <xf numFmtId="3" fontId="52" fillId="0" borderId="55" xfId="57" applyNumberFormat="1" applyFont="1" applyBorder="1" applyAlignment="1" applyProtection="1">
      <alignment horizontal="center" vertical="center" wrapText="1"/>
      <protection locked="0"/>
    </xf>
    <xf numFmtId="3" fontId="52" fillId="0" borderId="2" xfId="57" applyNumberFormat="1" applyFont="1" applyBorder="1" applyAlignment="1" applyProtection="1">
      <alignment horizontal="center" vertical="center" wrapText="1"/>
      <protection locked="0"/>
    </xf>
    <xf numFmtId="3" fontId="52" fillId="0" borderId="66" xfId="57" applyNumberFormat="1" applyFont="1" applyBorder="1" applyAlignment="1" applyProtection="1">
      <alignment horizontal="center" vertical="center" wrapText="1"/>
      <protection locked="0"/>
    </xf>
    <xf numFmtId="3" fontId="52" fillId="0" borderId="58" xfId="57" applyNumberFormat="1" applyFont="1" applyBorder="1" applyAlignment="1" applyProtection="1">
      <alignment horizontal="center" vertical="center" wrapText="1"/>
      <protection locked="0"/>
    </xf>
    <xf numFmtId="3" fontId="52" fillId="0" borderId="83" xfId="57" applyNumberFormat="1" applyFont="1" applyBorder="1" applyAlignment="1" applyProtection="1">
      <alignment horizontal="center" vertical="center" wrapText="1"/>
      <protection locked="0"/>
    </xf>
    <xf numFmtId="3" fontId="52" fillId="0" borderId="89" xfId="57" applyNumberFormat="1" applyFont="1" applyBorder="1" applyAlignment="1" applyProtection="1">
      <alignment horizontal="center" vertical="center" wrapText="1"/>
      <protection locked="0"/>
    </xf>
    <xf numFmtId="3" fontId="52" fillId="0" borderId="57" xfId="57" applyNumberFormat="1" applyFont="1" applyBorder="1" applyAlignment="1" applyProtection="1">
      <alignment horizontal="center" vertical="center" wrapText="1"/>
      <protection locked="0"/>
    </xf>
    <xf numFmtId="3" fontId="52" fillId="0" borderId="62" xfId="57" applyNumberFormat="1" applyFont="1" applyBorder="1" applyAlignment="1" applyProtection="1">
      <alignment horizontal="center" vertical="center" wrapText="1"/>
      <protection locked="0"/>
    </xf>
    <xf numFmtId="3" fontId="52" fillId="0" borderId="56" xfId="57" applyNumberFormat="1" applyFont="1" applyBorder="1" applyAlignment="1" applyProtection="1">
      <alignment horizontal="center" vertical="center" wrapText="1"/>
      <protection locked="0"/>
    </xf>
    <xf numFmtId="3" fontId="52" fillId="0" borderId="141" xfId="57" applyNumberFormat="1" applyFont="1" applyBorder="1" applyAlignment="1" applyProtection="1">
      <alignment horizontal="center" vertical="center" wrapText="1"/>
      <protection locked="0"/>
    </xf>
    <xf numFmtId="3" fontId="52" fillId="0" borderId="157" xfId="57" applyNumberFormat="1" applyFont="1" applyBorder="1" applyAlignment="1" applyProtection="1">
      <alignment horizontal="center" vertical="center" wrapText="1"/>
      <protection locked="0"/>
    </xf>
    <xf numFmtId="3" fontId="52" fillId="0" borderId="156" xfId="57" applyNumberFormat="1" applyFont="1" applyBorder="1" applyAlignment="1" applyProtection="1">
      <alignment horizontal="center" vertical="center" wrapText="1"/>
      <protection locked="0"/>
    </xf>
    <xf numFmtId="3" fontId="52" fillId="0" borderId="142" xfId="57" applyNumberFormat="1" applyFont="1" applyBorder="1" applyAlignment="1" applyProtection="1">
      <alignment horizontal="center" vertical="center" wrapText="1"/>
      <protection locked="0"/>
    </xf>
    <xf numFmtId="3" fontId="52" fillId="0" borderId="150" xfId="57" applyNumberFormat="1" applyFont="1" applyBorder="1" applyAlignment="1" applyProtection="1">
      <alignment horizontal="center" vertical="center" wrapText="1"/>
      <protection locked="0"/>
    </xf>
    <xf numFmtId="0" fontId="48" fillId="11" borderId="98" xfId="57" applyFont="1" applyFill="1" applyBorder="1" applyAlignment="1">
      <alignment horizontal="center" vertical="center" wrapText="1"/>
    </xf>
    <xf numFmtId="0" fontId="52" fillId="11" borderId="73" xfId="0" applyFont="1" applyFill="1" applyBorder="1" applyAlignment="1">
      <alignment horizontal="center" vertical="center" wrapText="1"/>
    </xf>
    <xf numFmtId="0" fontId="48" fillId="11" borderId="68" xfId="57" applyFont="1" applyFill="1" applyBorder="1" applyAlignment="1">
      <alignment horizontal="center" vertical="center" wrapText="1"/>
    </xf>
    <xf numFmtId="0" fontId="52" fillId="11" borderId="69" xfId="0" applyFont="1" applyFill="1" applyBorder="1" applyAlignment="1">
      <alignment horizontal="center" vertical="center" wrapText="1"/>
    </xf>
    <xf numFmtId="0" fontId="48" fillId="11" borderId="13" xfId="57" applyFont="1" applyFill="1" applyBorder="1" applyAlignment="1">
      <alignment horizontal="center" vertical="center" wrapText="1"/>
    </xf>
    <xf numFmtId="0" fontId="52" fillId="11" borderId="9" xfId="0" applyFont="1" applyFill="1" applyBorder="1" applyAlignment="1">
      <alignment horizontal="center" vertical="center" wrapText="1"/>
    </xf>
    <xf numFmtId="0" fontId="52" fillId="11" borderId="74" xfId="0" applyFont="1" applyFill="1" applyBorder="1" applyAlignment="1">
      <alignment horizontal="center" vertical="center" wrapText="1"/>
    </xf>
    <xf numFmtId="0" fontId="52" fillId="11" borderId="38" xfId="0" applyFont="1" applyFill="1" applyBorder="1" applyAlignment="1">
      <alignment horizontal="center" vertical="center" wrapText="1"/>
    </xf>
    <xf numFmtId="0" fontId="52" fillId="11" borderId="16" xfId="0" applyFont="1" applyFill="1" applyBorder="1" applyAlignment="1">
      <alignment horizontal="center" vertical="center" wrapText="1"/>
    </xf>
    <xf numFmtId="0" fontId="41" fillId="11" borderId="121" xfId="57" applyFont="1" applyFill="1" applyBorder="1" applyAlignment="1">
      <alignment horizontal="center" vertical="center" wrapText="1"/>
    </xf>
    <xf numFmtId="0" fontId="41" fillId="11" borderId="122" xfId="57" applyFont="1" applyFill="1" applyBorder="1" applyAlignment="1">
      <alignment horizontal="center" vertical="center" wrapText="1"/>
    </xf>
    <xf numFmtId="0" fontId="41" fillId="11" borderId="123" xfId="57" applyFont="1" applyFill="1" applyBorder="1" applyAlignment="1">
      <alignment horizontal="center" vertical="center" wrapText="1"/>
    </xf>
    <xf numFmtId="0" fontId="48" fillId="11" borderId="71" xfId="57" applyFont="1" applyFill="1" applyBorder="1" applyAlignment="1">
      <alignment horizontal="center" vertical="center" wrapText="1"/>
    </xf>
    <xf numFmtId="0" fontId="48" fillId="11" borderId="73" xfId="57" applyFont="1" applyFill="1" applyBorder="1" applyAlignment="1">
      <alignment horizontal="center" vertical="center" wrapText="1"/>
    </xf>
    <xf numFmtId="0" fontId="48" fillId="11" borderId="67" xfId="57" applyFont="1" applyFill="1" applyBorder="1" applyAlignment="1">
      <alignment horizontal="center" vertical="center" wrapText="1"/>
    </xf>
    <xf numFmtId="0" fontId="48" fillId="11" borderId="69" xfId="57" applyFont="1" applyFill="1" applyBorder="1" applyAlignment="1">
      <alignment horizontal="center" vertical="center" wrapText="1"/>
    </xf>
    <xf numFmtId="0" fontId="48" fillId="11" borderId="7" xfId="57" applyFont="1" applyFill="1" applyBorder="1" applyAlignment="1">
      <alignment horizontal="center" vertical="center" wrapText="1"/>
    </xf>
    <xf numFmtId="0" fontId="48" fillId="11" borderId="9" xfId="57" applyFont="1" applyFill="1" applyBorder="1" applyAlignment="1">
      <alignment horizontal="center" vertical="center" wrapText="1"/>
    </xf>
    <xf numFmtId="0" fontId="48" fillId="11" borderId="72" xfId="57" applyFont="1" applyFill="1" applyBorder="1" applyAlignment="1">
      <alignment horizontal="center" vertical="center" wrapText="1"/>
    </xf>
    <xf numFmtId="0" fontId="48" fillId="11" borderId="0" xfId="57" applyFont="1" applyFill="1" applyAlignment="1">
      <alignment horizontal="center" vertical="center" wrapText="1"/>
    </xf>
    <xf numFmtId="0" fontId="48" fillId="11" borderId="8" xfId="57" applyFont="1" applyFill="1" applyBorder="1" applyAlignment="1">
      <alignment horizontal="center" vertical="center" wrapText="1"/>
    </xf>
    <xf numFmtId="0" fontId="39" fillId="11" borderId="3" xfId="57" applyFont="1" applyFill="1" applyBorder="1" applyAlignment="1">
      <alignment vertical="center"/>
    </xf>
    <xf numFmtId="0" fontId="39" fillId="11" borderId="84" xfId="57" applyFont="1" applyFill="1" applyBorder="1" applyAlignment="1">
      <alignment vertical="center"/>
    </xf>
    <xf numFmtId="0" fontId="39" fillId="11" borderId="103" xfId="57" applyFont="1" applyFill="1" applyBorder="1" applyAlignment="1">
      <alignment vertical="center"/>
    </xf>
    <xf numFmtId="0" fontId="39" fillId="11" borderId="2" xfId="57" applyFont="1" applyFill="1" applyBorder="1" applyAlignment="1">
      <alignment vertical="center"/>
    </xf>
    <xf numFmtId="0" fontId="39" fillId="11" borderId="58" xfId="57" applyFont="1" applyFill="1" applyBorder="1" applyAlignment="1">
      <alignment vertical="center"/>
    </xf>
    <xf numFmtId="0" fontId="39" fillId="11" borderId="55" xfId="57" applyFont="1" applyFill="1" applyBorder="1" applyAlignment="1">
      <alignment vertical="center"/>
    </xf>
    <xf numFmtId="0" fontId="39" fillId="11" borderId="61" xfId="57" applyFont="1" applyFill="1" applyBorder="1" applyAlignment="1">
      <alignment vertical="center"/>
    </xf>
    <xf numFmtId="0" fontId="39" fillId="11" borderId="186" xfId="57" applyFont="1" applyFill="1" applyBorder="1" applyAlignment="1">
      <alignment vertical="center"/>
    </xf>
    <xf numFmtId="0" fontId="39" fillId="11" borderId="185" xfId="57" applyFont="1" applyFill="1" applyBorder="1" applyAlignment="1">
      <alignment vertical="center"/>
    </xf>
    <xf numFmtId="0" fontId="41" fillId="11" borderId="7" xfId="57" applyFont="1" applyFill="1" applyBorder="1" applyAlignment="1">
      <alignment horizontal="center" vertical="center" wrapText="1"/>
    </xf>
    <xf numFmtId="0" fontId="41" fillId="11" borderId="8" xfId="57" applyFont="1" applyFill="1" applyBorder="1" applyAlignment="1">
      <alignment horizontal="center" vertical="center" wrapText="1"/>
    </xf>
    <xf numFmtId="0" fontId="41" fillId="11" borderId="16" xfId="57" applyFont="1" applyFill="1" applyBorder="1" applyAlignment="1">
      <alignment horizontal="center" vertical="center" wrapText="1"/>
    </xf>
    <xf numFmtId="0" fontId="41" fillId="11" borderId="71" xfId="57" applyFont="1" applyFill="1" applyBorder="1" applyAlignment="1">
      <alignment horizontal="center" vertical="center" wrapText="1"/>
    </xf>
    <xf numFmtId="0" fontId="41" fillId="11" borderId="72" xfId="57" applyFont="1" applyFill="1" applyBorder="1" applyAlignment="1">
      <alignment horizontal="center" vertical="center" wrapText="1"/>
    </xf>
    <xf numFmtId="0" fontId="41" fillId="11" borderId="74" xfId="57" applyFont="1" applyFill="1" applyBorder="1" applyAlignment="1">
      <alignment horizontal="center" vertical="center" wrapText="1"/>
    </xf>
    <xf numFmtId="0" fontId="41" fillId="11" borderId="67" xfId="57" applyFont="1" applyFill="1" applyBorder="1" applyAlignment="1">
      <alignment horizontal="center" vertical="center" wrapText="1"/>
    </xf>
    <xf numFmtId="0" fontId="41" fillId="11" borderId="0" xfId="57" applyFont="1" applyFill="1" applyAlignment="1">
      <alignment horizontal="center" vertical="center" wrapText="1"/>
    </xf>
    <xf numFmtId="0" fontId="41" fillId="11" borderId="38" xfId="57" applyFont="1" applyFill="1" applyBorder="1" applyAlignment="1">
      <alignment horizontal="center" vertical="center" wrapText="1"/>
    </xf>
    <xf numFmtId="0" fontId="39" fillId="11" borderId="83" xfId="57" applyFont="1" applyFill="1" applyBorder="1" applyAlignment="1">
      <alignment vertical="center"/>
    </xf>
    <xf numFmtId="0" fontId="39" fillId="11" borderId="57" xfId="57" applyFont="1" applyFill="1" applyBorder="1" applyAlignment="1">
      <alignment vertical="center"/>
    </xf>
    <xf numFmtId="0" fontId="39" fillId="11" borderId="56" xfId="57" applyFont="1" applyFill="1" applyBorder="1" applyAlignment="1">
      <alignment vertical="center"/>
    </xf>
    <xf numFmtId="0" fontId="39" fillId="11" borderId="108" xfId="57" applyFont="1" applyFill="1" applyBorder="1" applyAlignment="1">
      <alignment vertical="center"/>
    </xf>
    <xf numFmtId="0" fontId="39" fillId="11" borderId="109" xfId="57" applyFont="1" applyFill="1" applyBorder="1" applyAlignment="1">
      <alignment vertical="center"/>
    </xf>
    <xf numFmtId="0" fontId="39" fillId="11" borderId="110" xfId="57" applyFont="1" applyFill="1" applyBorder="1" applyAlignment="1">
      <alignment vertical="center"/>
    </xf>
    <xf numFmtId="0" fontId="52" fillId="0" borderId="27" xfId="21" applyFont="1" applyBorder="1" applyAlignment="1" applyProtection="1">
      <alignment horizontal="center"/>
      <protection locked="0"/>
    </xf>
    <xf numFmtId="0" fontId="39" fillId="11" borderId="10" xfId="22" applyFill="1" applyBorder="1" applyAlignment="1">
      <alignment horizontal="left" vertical="center"/>
    </xf>
    <xf numFmtId="0" fontId="39" fillId="11" borderId="22" xfId="22" applyFill="1" applyBorder="1" applyAlignment="1">
      <alignment horizontal="left" vertical="center"/>
    </xf>
    <xf numFmtId="0" fontId="39" fillId="11" borderId="94" xfId="22" applyFill="1" applyBorder="1" applyAlignment="1">
      <alignment horizontal="left" vertical="center"/>
    </xf>
    <xf numFmtId="0" fontId="39" fillId="11" borderId="97" xfId="22" applyFill="1" applyBorder="1" applyAlignment="1">
      <alignment horizontal="left" vertical="center"/>
    </xf>
    <xf numFmtId="0" fontId="39" fillId="0" borderId="19" xfId="22" applyBorder="1" applyAlignment="1" applyProtection="1">
      <alignment horizontal="center" vertical="center"/>
      <protection locked="0"/>
    </xf>
    <xf numFmtId="0" fontId="39" fillId="0" borderId="10" xfId="22" applyBorder="1" applyAlignment="1" applyProtection="1">
      <alignment horizontal="center" vertical="center"/>
      <protection locked="0"/>
    </xf>
    <xf numFmtId="0" fontId="39" fillId="0" borderId="20" xfId="22" applyBorder="1" applyAlignment="1" applyProtection="1">
      <alignment horizontal="center" vertical="center"/>
      <protection locked="0"/>
    </xf>
    <xf numFmtId="0" fontId="41" fillId="11" borderId="21" xfId="22" applyFont="1" applyFill="1" applyBorder="1" applyAlignment="1">
      <alignment horizontal="center" vertical="center"/>
    </xf>
    <xf numFmtId="0" fontId="41" fillId="11" borderId="10" xfId="22" applyFont="1" applyFill="1" applyBorder="1" applyAlignment="1">
      <alignment horizontal="center" vertical="center"/>
    </xf>
    <xf numFmtId="0" fontId="41" fillId="11" borderId="22" xfId="22" applyFont="1" applyFill="1" applyBorder="1" applyAlignment="1">
      <alignment horizontal="center" vertical="center"/>
    </xf>
    <xf numFmtId="0" fontId="39" fillId="0" borderId="17" xfId="22" applyBorder="1" applyAlignment="1" applyProtection="1">
      <alignment horizontal="center" vertical="center"/>
      <protection locked="0"/>
    </xf>
    <xf numFmtId="0" fontId="39" fillId="0" borderId="11" xfId="22" applyBorder="1" applyAlignment="1" applyProtection="1">
      <alignment horizontal="center" vertical="center"/>
      <protection locked="0"/>
    </xf>
    <xf numFmtId="0" fontId="39" fillId="0" borderId="96" xfId="22" applyBorder="1" applyAlignment="1" applyProtection="1">
      <alignment horizontal="center" vertical="center"/>
      <protection locked="0"/>
    </xf>
    <xf numFmtId="0" fontId="39" fillId="0" borderId="94" xfId="22" applyBorder="1" applyAlignment="1" applyProtection="1">
      <alignment horizontal="center" vertical="center"/>
      <protection locked="0"/>
    </xf>
    <xf numFmtId="0" fontId="39" fillId="0" borderId="118" xfId="22" applyBorder="1" applyAlignment="1" applyProtection="1">
      <alignment horizontal="center" vertical="center"/>
      <protection locked="0"/>
    </xf>
    <xf numFmtId="0" fontId="39" fillId="0" borderId="59" xfId="22" applyBorder="1" applyAlignment="1" applyProtection="1">
      <alignment horizontal="center" vertical="center"/>
      <protection locked="0"/>
    </xf>
    <xf numFmtId="0" fontId="39" fillId="0" borderId="140" xfId="22" applyBorder="1" applyAlignment="1" applyProtection="1">
      <alignment horizontal="center" vertical="center"/>
      <protection locked="0"/>
    </xf>
    <xf numFmtId="0" fontId="53" fillId="11" borderId="72" xfId="11" applyFont="1" applyFill="1" applyBorder="1" applyAlignment="1">
      <alignment horizontal="justify" wrapText="1"/>
    </xf>
    <xf numFmtId="0" fontId="53" fillId="10" borderId="0" xfId="11" applyFont="1" applyFill="1" applyAlignment="1">
      <alignment horizontal="justify" wrapText="1"/>
    </xf>
    <xf numFmtId="0" fontId="45" fillId="11" borderId="0" xfId="11" applyFont="1" applyFill="1" applyAlignment="1">
      <alignment horizontal="left" wrapText="1"/>
    </xf>
    <xf numFmtId="0" fontId="41" fillId="11" borderId="71" xfId="22" applyFont="1" applyFill="1" applyBorder="1" applyAlignment="1">
      <alignment horizontal="center" vertical="center" wrapText="1"/>
    </xf>
    <xf numFmtId="0" fontId="41" fillId="11" borderId="67" xfId="22" applyFont="1" applyFill="1" applyBorder="1" applyAlignment="1">
      <alignment horizontal="center" vertical="center" wrapText="1"/>
    </xf>
    <xf numFmtId="0" fontId="41" fillId="11" borderId="0" xfId="22" applyFont="1" applyFill="1" applyAlignment="1">
      <alignment horizontal="center" vertical="center" wrapText="1"/>
    </xf>
    <xf numFmtId="0" fontId="41" fillId="11" borderId="38" xfId="22" applyFont="1" applyFill="1" applyBorder="1" applyAlignment="1">
      <alignment horizontal="center" vertical="center" wrapText="1"/>
    </xf>
    <xf numFmtId="0" fontId="41" fillId="11" borderId="7" xfId="22" applyFont="1" applyFill="1" applyBorder="1" applyAlignment="1">
      <alignment horizontal="center" vertical="center" wrapText="1"/>
    </xf>
    <xf numFmtId="0" fontId="41" fillId="11" borderId="8" xfId="22" applyFont="1" applyFill="1" applyBorder="1" applyAlignment="1">
      <alignment horizontal="center" vertical="center" wrapText="1"/>
    </xf>
    <xf numFmtId="0" fontId="41" fillId="11" borderId="16" xfId="22" applyFont="1" applyFill="1" applyBorder="1" applyAlignment="1">
      <alignment horizontal="center" vertical="center" wrapText="1"/>
    </xf>
    <xf numFmtId="0" fontId="41" fillId="11" borderId="121" xfId="22" applyFont="1" applyFill="1" applyBorder="1" applyAlignment="1">
      <alignment horizontal="center" vertical="center"/>
    </xf>
    <xf numFmtId="0" fontId="41" fillId="11" borderId="122" xfId="22" applyFont="1" applyFill="1" applyBorder="1" applyAlignment="1">
      <alignment horizontal="center" vertical="center"/>
    </xf>
    <xf numFmtId="0" fontId="41" fillId="11" borderId="123" xfId="22" applyFont="1" applyFill="1" applyBorder="1" applyAlignment="1">
      <alignment horizontal="center" vertical="center"/>
    </xf>
    <xf numFmtId="0" fontId="41" fillId="11" borderId="17" xfId="22" applyFont="1" applyFill="1" applyBorder="1" applyAlignment="1">
      <alignment horizontal="center" vertical="center" wrapText="1"/>
    </xf>
    <xf numFmtId="0" fontId="41" fillId="11" borderId="10" xfId="22" applyFont="1" applyFill="1" applyBorder="1" applyAlignment="1">
      <alignment horizontal="center" vertical="center" wrapText="1"/>
    </xf>
    <xf numFmtId="0" fontId="41" fillId="11" borderId="11" xfId="22" applyFont="1" applyFill="1" applyBorder="1" applyAlignment="1">
      <alignment horizontal="center" vertical="center" wrapText="1"/>
    </xf>
    <xf numFmtId="0" fontId="41" fillId="11" borderId="98" xfId="22" applyFont="1" applyFill="1" applyBorder="1" applyAlignment="1">
      <alignment horizontal="center" vertical="center" wrapText="1"/>
    </xf>
    <xf numFmtId="0" fontId="41" fillId="11" borderId="73" xfId="22" applyFont="1" applyFill="1" applyBorder="1" applyAlignment="1">
      <alignment horizontal="center" vertical="center" wrapText="1"/>
    </xf>
    <xf numFmtId="0" fontId="41" fillId="11" borderId="13" xfId="22" applyFont="1" applyFill="1" applyBorder="1" applyAlignment="1">
      <alignment horizontal="center" vertical="center" wrapText="1"/>
    </xf>
    <xf numFmtId="0" fontId="41" fillId="11" borderId="9" xfId="22" applyFont="1" applyFill="1" applyBorder="1" applyAlignment="1">
      <alignment horizontal="center" vertical="center" wrapText="1"/>
    </xf>
    <xf numFmtId="0" fontId="41" fillId="11" borderId="75" xfId="22" applyFont="1" applyFill="1" applyBorder="1" applyAlignment="1">
      <alignment horizontal="center" vertical="center" wrapText="1"/>
    </xf>
    <xf numFmtId="0" fontId="41" fillId="11" borderId="14" xfId="22" applyFont="1" applyFill="1" applyBorder="1" applyAlignment="1">
      <alignment horizontal="center" vertical="center" wrapText="1"/>
    </xf>
    <xf numFmtId="0" fontId="41" fillId="11" borderId="15" xfId="22" applyFont="1" applyFill="1" applyBorder="1" applyAlignment="1">
      <alignment horizontal="center" vertical="center" wrapText="1"/>
    </xf>
    <xf numFmtId="0" fontId="41" fillId="11" borderId="135" xfId="22" applyFont="1" applyFill="1" applyBorder="1" applyAlignment="1">
      <alignment horizontal="center" vertical="center"/>
    </xf>
    <xf numFmtId="0" fontId="41" fillId="11" borderId="134" xfId="22" applyFont="1" applyFill="1" applyBorder="1" applyAlignment="1">
      <alignment horizontal="center" vertical="center"/>
    </xf>
    <xf numFmtId="0" fontId="39" fillId="0" borderId="211" xfId="22" applyBorder="1" applyAlignment="1" applyProtection="1">
      <alignment horizontal="center" vertical="center"/>
      <protection locked="0"/>
    </xf>
    <xf numFmtId="0" fontId="39" fillId="0" borderId="134" xfId="22" applyBorder="1" applyAlignment="1" applyProtection="1">
      <alignment horizontal="center" vertical="center"/>
      <protection locked="0"/>
    </xf>
    <xf numFmtId="0" fontId="41" fillId="11" borderId="140" xfId="22" applyFont="1" applyFill="1" applyBorder="1" applyAlignment="1">
      <alignment horizontal="center" vertical="center"/>
    </xf>
    <xf numFmtId="0" fontId="39" fillId="0" borderId="121" xfId="22" applyBorder="1" applyAlignment="1" applyProtection="1">
      <alignment horizontal="center" vertical="center"/>
      <protection locked="0"/>
    </xf>
    <xf numFmtId="0" fontId="39" fillId="0" borderId="122" xfId="22" applyBorder="1" applyAlignment="1" applyProtection="1">
      <alignment horizontal="center" vertical="center"/>
      <protection locked="0"/>
    </xf>
    <xf numFmtId="0" fontId="39" fillId="0" borderId="124" xfId="22" applyBorder="1" applyAlignment="1" applyProtection="1">
      <alignment horizontal="center" vertical="center"/>
      <protection locked="0"/>
    </xf>
    <xf numFmtId="0" fontId="41" fillId="11" borderId="0" xfId="22" applyFont="1" applyFill="1" applyAlignment="1">
      <alignment vertical="center" wrapText="1"/>
    </xf>
    <xf numFmtId="0" fontId="41" fillId="11" borderId="17" xfId="22" applyFont="1" applyFill="1" applyBorder="1" applyAlignment="1">
      <alignment horizontal="center" vertical="center"/>
    </xf>
    <xf numFmtId="0" fontId="41" fillId="11" borderId="193" xfId="22" applyFont="1" applyFill="1" applyBorder="1" applyAlignment="1">
      <alignment horizontal="center" vertical="center"/>
    </xf>
    <xf numFmtId="0" fontId="39" fillId="0" borderId="125" xfId="22" applyBorder="1" applyAlignment="1" applyProtection="1">
      <alignment horizontal="center" vertical="center"/>
      <protection locked="0"/>
    </xf>
    <xf numFmtId="0" fontId="39" fillId="0" borderId="126" xfId="22" applyBorder="1" applyAlignment="1" applyProtection="1">
      <alignment horizontal="center" vertical="center"/>
      <protection locked="0"/>
    </xf>
    <xf numFmtId="0" fontId="53" fillId="11" borderId="0" xfId="11" applyFont="1" applyFill="1" applyAlignment="1">
      <alignment horizontal="left" vertical="top" wrapText="1"/>
    </xf>
    <xf numFmtId="0" fontId="53" fillId="11" borderId="0" xfId="11" applyFont="1" applyFill="1" applyAlignment="1">
      <alignment horizontal="left" vertical="center" wrapText="1"/>
    </xf>
    <xf numFmtId="0" fontId="68" fillId="11" borderId="0" xfId="22" applyFont="1" applyFill="1" applyAlignment="1">
      <alignment vertical="center" wrapText="1"/>
    </xf>
    <xf numFmtId="0" fontId="39" fillId="0" borderId="18" xfId="22" applyBorder="1" applyAlignment="1" applyProtection="1">
      <alignment horizontal="center" vertical="center"/>
      <protection locked="0"/>
    </xf>
    <xf numFmtId="0" fontId="39" fillId="0" borderId="135" xfId="22" applyBorder="1" applyAlignment="1" applyProtection="1">
      <alignment horizontal="center" vertical="center"/>
      <protection locked="0"/>
    </xf>
    <xf numFmtId="3" fontId="41" fillId="11" borderId="58" xfId="1" applyNumberFormat="1" applyFont="1" applyFill="1" applyBorder="1" applyAlignment="1">
      <alignment horizontal="center" vertical="center"/>
    </xf>
    <xf numFmtId="3" fontId="41" fillId="11" borderId="55" xfId="1" applyNumberFormat="1" applyFont="1" applyFill="1" applyBorder="1" applyAlignment="1">
      <alignment horizontal="center" vertical="center"/>
    </xf>
    <xf numFmtId="3" fontId="41" fillId="11" borderId="130" xfId="1" applyNumberFormat="1" applyFont="1" applyFill="1" applyBorder="1" applyAlignment="1">
      <alignment horizontal="center" vertical="center"/>
    </xf>
    <xf numFmtId="3" fontId="41" fillId="11" borderId="66" xfId="1" applyNumberFormat="1" applyFont="1" applyFill="1" applyBorder="1" applyAlignment="1">
      <alignment horizontal="center" vertical="center"/>
    </xf>
    <xf numFmtId="3" fontId="41" fillId="11" borderId="64" xfId="1" applyNumberFormat="1" applyFont="1" applyFill="1" applyBorder="1" applyAlignment="1">
      <alignment horizontal="center" vertical="center"/>
    </xf>
    <xf numFmtId="3" fontId="41" fillId="11" borderId="92" xfId="1" applyNumberFormat="1" applyFont="1" applyFill="1" applyBorder="1" applyAlignment="1">
      <alignment horizontal="center" vertical="center"/>
    </xf>
    <xf numFmtId="3" fontId="39" fillId="0" borderId="359" xfId="1" applyNumberFormat="1" applyFont="1" applyFill="1" applyBorder="1" applyAlignment="1" applyProtection="1">
      <alignment horizontal="center" vertical="center"/>
      <protection locked="0"/>
    </xf>
    <xf numFmtId="3" fontId="39" fillId="0" borderId="85" xfId="1" applyNumberFormat="1" applyFont="1" applyFill="1" applyBorder="1" applyAlignment="1" applyProtection="1">
      <alignment horizontal="center" vertical="center"/>
      <protection locked="0"/>
    </xf>
    <xf numFmtId="3" fontId="39" fillId="0" borderId="65" xfId="1" applyNumberFormat="1" applyFont="1" applyFill="1" applyBorder="1" applyAlignment="1" applyProtection="1">
      <alignment horizontal="center" vertical="center"/>
      <protection locked="0"/>
    </xf>
    <xf numFmtId="3" fontId="39" fillId="0" borderId="63" xfId="1" applyNumberFormat="1" applyFont="1" applyFill="1" applyBorder="1" applyAlignment="1" applyProtection="1">
      <alignment horizontal="center" vertical="center"/>
      <protection locked="0"/>
    </xf>
    <xf numFmtId="3" fontId="39" fillId="0" borderId="88" xfId="1" applyNumberFormat="1" applyFont="1" applyFill="1" applyBorder="1" applyAlignment="1" applyProtection="1">
      <alignment horizontal="center" vertical="center"/>
      <protection locked="0"/>
    </xf>
    <xf numFmtId="3" fontId="41" fillId="11" borderId="192" xfId="1" applyNumberFormat="1" applyFont="1" applyFill="1" applyBorder="1" applyAlignment="1">
      <alignment horizontal="center" vertical="center"/>
    </xf>
    <xf numFmtId="3" fontId="41" fillId="11" borderId="85" xfId="1" applyNumberFormat="1" applyFont="1" applyFill="1" applyBorder="1" applyAlignment="1">
      <alignment horizontal="center" vertical="center"/>
    </xf>
    <xf numFmtId="3" fontId="41" fillId="11" borderId="88" xfId="1" applyNumberFormat="1" applyFont="1" applyFill="1" applyBorder="1" applyAlignment="1">
      <alignment horizontal="center" vertical="center"/>
    </xf>
    <xf numFmtId="3" fontId="41" fillId="11" borderId="86" xfId="1" applyNumberFormat="1" applyFont="1" applyFill="1" applyBorder="1" applyAlignment="1">
      <alignment horizontal="center" vertical="center"/>
    </xf>
    <xf numFmtId="3" fontId="41" fillId="11" borderId="84" xfId="1" applyNumberFormat="1" applyFont="1" applyFill="1" applyBorder="1" applyAlignment="1">
      <alignment horizontal="center" vertical="center"/>
    </xf>
    <xf numFmtId="3" fontId="41" fillId="11" borderId="103" xfId="1" applyNumberFormat="1" applyFont="1" applyFill="1" applyBorder="1" applyAlignment="1">
      <alignment horizontal="center" vertical="center"/>
    </xf>
    <xf numFmtId="3" fontId="41" fillId="11" borderId="109" xfId="1" applyNumberFormat="1" applyFont="1" applyFill="1" applyBorder="1" applyAlignment="1">
      <alignment horizontal="center" vertical="center"/>
    </xf>
    <xf numFmtId="3" fontId="41" fillId="11" borderId="110" xfId="1" applyNumberFormat="1" applyFont="1" applyFill="1" applyBorder="1" applyAlignment="1">
      <alignment horizontal="center" vertical="center"/>
    </xf>
    <xf numFmtId="3" fontId="41" fillId="11" borderId="131" xfId="1" applyNumberFormat="1" applyFont="1" applyFill="1" applyBorder="1" applyAlignment="1">
      <alignment horizontal="center" vertical="center"/>
    </xf>
    <xf numFmtId="3" fontId="41" fillId="11" borderId="111" xfId="1" applyNumberFormat="1" applyFont="1" applyFill="1" applyBorder="1" applyAlignment="1">
      <alignment horizontal="center" vertical="center"/>
    </xf>
    <xf numFmtId="3" fontId="41" fillId="11" borderId="112" xfId="1" applyNumberFormat="1" applyFont="1" applyFill="1" applyBorder="1" applyAlignment="1">
      <alignment horizontal="center" vertical="center"/>
    </xf>
    <xf numFmtId="3" fontId="41" fillId="11" borderId="113" xfId="1" applyNumberFormat="1" applyFont="1" applyFill="1" applyBorder="1" applyAlignment="1">
      <alignment horizontal="center" vertical="center"/>
    </xf>
    <xf numFmtId="3" fontId="39" fillId="0" borderId="131" xfId="1" applyNumberFormat="1" applyFont="1" applyFill="1" applyBorder="1" applyAlignment="1" applyProtection="1">
      <alignment horizontal="center" vertical="center"/>
      <protection locked="0"/>
    </xf>
    <xf numFmtId="3" fontId="39" fillId="0" borderId="109" xfId="1" applyNumberFormat="1" applyFont="1" applyFill="1" applyBorder="1" applyAlignment="1" applyProtection="1">
      <alignment horizontal="center" vertical="center"/>
      <protection locked="0"/>
    </xf>
    <xf numFmtId="3" fontId="39" fillId="0" borderId="111" xfId="1" applyNumberFormat="1" applyFont="1" applyFill="1" applyBorder="1" applyAlignment="1" applyProtection="1">
      <alignment horizontal="center" vertical="center"/>
      <protection locked="0"/>
    </xf>
    <xf numFmtId="3" fontId="39" fillId="0" borderId="2" xfId="1" applyNumberFormat="1" applyFont="1" applyFill="1" applyBorder="1" applyAlignment="1" applyProtection="1">
      <alignment horizontal="center" vertical="center"/>
      <protection locked="0"/>
    </xf>
    <xf numFmtId="3" fontId="39" fillId="0" borderId="58" xfId="1" applyNumberFormat="1" applyFont="1" applyFill="1" applyBorder="1" applyAlignment="1" applyProtection="1">
      <alignment horizontal="center" vertical="center"/>
      <protection locked="0"/>
    </xf>
    <xf numFmtId="3" fontId="39" fillId="0" borderId="55" xfId="1" applyNumberFormat="1" applyFont="1" applyFill="1" applyBorder="1" applyAlignment="1" applyProtection="1">
      <alignment horizontal="center" vertical="center"/>
      <protection locked="0"/>
    </xf>
    <xf numFmtId="3" fontId="39" fillId="0" borderId="64" xfId="1" applyNumberFormat="1" applyFont="1" applyFill="1" applyBorder="1" applyAlignment="1" applyProtection="1">
      <alignment horizontal="center" vertical="center"/>
      <protection locked="0"/>
    </xf>
    <xf numFmtId="3" fontId="39" fillId="0" borderId="92" xfId="1" applyNumberFormat="1" applyFont="1" applyFill="1" applyBorder="1" applyAlignment="1" applyProtection="1">
      <alignment horizontal="center" vertical="center"/>
      <protection locked="0"/>
    </xf>
    <xf numFmtId="3" fontId="39" fillId="0" borderId="130" xfId="1" applyNumberFormat="1" applyFont="1" applyFill="1" applyBorder="1" applyAlignment="1" applyProtection="1">
      <alignment horizontal="center" vertical="center"/>
      <protection locked="0"/>
    </xf>
    <xf numFmtId="3" fontId="39" fillId="0" borderId="66" xfId="1" applyNumberFormat="1" applyFont="1" applyFill="1" applyBorder="1" applyAlignment="1" applyProtection="1">
      <alignment horizontal="center" vertical="center"/>
      <protection locked="0"/>
    </xf>
    <xf numFmtId="3" fontId="39" fillId="0" borderId="87" xfId="1" applyNumberFormat="1" applyFont="1" applyFill="1" applyBorder="1" applyAlignment="1" applyProtection="1">
      <alignment horizontal="center" vertical="center"/>
      <protection locked="0"/>
    </xf>
    <xf numFmtId="3" fontId="39" fillId="0" borderId="86" xfId="1" applyNumberFormat="1" applyFont="1" applyFill="1" applyBorder="1" applyAlignment="1" applyProtection="1">
      <alignment horizontal="center" vertical="center"/>
      <protection locked="0"/>
    </xf>
    <xf numFmtId="3" fontId="41" fillId="11" borderId="63" xfId="1" applyNumberFormat="1" applyFont="1" applyFill="1" applyBorder="1" applyAlignment="1">
      <alignment horizontal="center" vertical="center"/>
    </xf>
    <xf numFmtId="3" fontId="39" fillId="0" borderId="108" xfId="1" applyNumberFormat="1" applyFont="1" applyFill="1" applyBorder="1" applyAlignment="1" applyProtection="1">
      <alignment horizontal="center" vertical="center"/>
      <protection locked="0"/>
    </xf>
    <xf numFmtId="3" fontId="39" fillId="0" borderId="110" xfId="1" applyNumberFormat="1" applyFont="1" applyFill="1" applyBorder="1" applyAlignment="1" applyProtection="1">
      <alignment horizontal="center" vertical="center"/>
      <protection locked="0"/>
    </xf>
    <xf numFmtId="3" fontId="39" fillId="0" borderId="112" xfId="1" applyNumberFormat="1" applyFont="1" applyFill="1" applyBorder="1" applyAlignment="1" applyProtection="1">
      <alignment horizontal="center" vertical="center"/>
      <protection locked="0"/>
    </xf>
    <xf numFmtId="3" fontId="39" fillId="0" borderId="113" xfId="1" applyNumberFormat="1" applyFont="1" applyFill="1" applyBorder="1" applyAlignment="1" applyProtection="1">
      <alignment horizontal="center" vertical="center"/>
      <protection locked="0"/>
    </xf>
    <xf numFmtId="3" fontId="41" fillId="11" borderId="359" xfId="1" applyNumberFormat="1" applyFont="1" applyFill="1" applyBorder="1" applyAlignment="1">
      <alignment horizontal="center" vertical="center"/>
    </xf>
    <xf numFmtId="3" fontId="41" fillId="11" borderId="65" xfId="1" applyNumberFormat="1" applyFont="1" applyFill="1" applyBorder="1" applyAlignment="1">
      <alignment horizontal="center" vertical="center"/>
    </xf>
    <xf numFmtId="3" fontId="41" fillId="11" borderId="114" xfId="1" applyNumberFormat="1" applyFont="1" applyFill="1" applyBorder="1" applyAlignment="1">
      <alignment horizontal="center" vertical="center"/>
    </xf>
    <xf numFmtId="3" fontId="41" fillId="11" borderId="93" xfId="1" applyNumberFormat="1" applyFont="1" applyFill="1" applyBorder="1" applyAlignment="1">
      <alignment horizontal="center" vertical="center"/>
    </xf>
    <xf numFmtId="0" fontId="48" fillId="11" borderId="71" xfId="22" applyFont="1" applyFill="1" applyBorder="1" applyAlignment="1">
      <alignment horizontal="center" vertical="center" wrapText="1"/>
    </xf>
    <xf numFmtId="0" fontId="48" fillId="11" borderId="72" xfId="22" applyFont="1" applyFill="1" applyBorder="1" applyAlignment="1">
      <alignment horizontal="center" vertical="center" wrapText="1"/>
    </xf>
    <xf numFmtId="0" fontId="48" fillId="11" borderId="74" xfId="22" applyFont="1" applyFill="1" applyBorder="1" applyAlignment="1">
      <alignment horizontal="center" vertical="center" wrapText="1"/>
    </xf>
    <xf numFmtId="0" fontId="48" fillId="11" borderId="67" xfId="22" applyFont="1" applyFill="1" applyBorder="1" applyAlignment="1">
      <alignment horizontal="center" vertical="center" wrapText="1"/>
    </xf>
    <xf numFmtId="0" fontId="48" fillId="11" borderId="0" xfId="22" applyFont="1" applyFill="1" applyAlignment="1">
      <alignment horizontal="center" vertical="center" wrapText="1"/>
    </xf>
    <xf numFmtId="0" fontId="48" fillId="11" borderId="38" xfId="22" applyFont="1" applyFill="1" applyBorder="1" applyAlignment="1">
      <alignment horizontal="center" vertical="center" wrapText="1"/>
    </xf>
    <xf numFmtId="0" fontId="48" fillId="11" borderId="98" xfId="22" applyFont="1" applyFill="1" applyBorder="1" applyAlignment="1">
      <alignment horizontal="center" vertical="center" wrapText="1"/>
    </xf>
    <xf numFmtId="0" fontId="48" fillId="11" borderId="73" xfId="22" applyFont="1" applyFill="1" applyBorder="1" applyAlignment="1">
      <alignment horizontal="center" vertical="center" wrapText="1"/>
    </xf>
    <xf numFmtId="0" fontId="48" fillId="11" borderId="68" xfId="22" applyFont="1" applyFill="1" applyBorder="1" applyAlignment="1">
      <alignment horizontal="center" vertical="center" wrapText="1"/>
    </xf>
    <xf numFmtId="0" fontId="48" fillId="11" borderId="69" xfId="22" applyFont="1" applyFill="1" applyBorder="1" applyAlignment="1">
      <alignment horizontal="center" vertical="center" wrapText="1"/>
    </xf>
    <xf numFmtId="0" fontId="48" fillId="11" borderId="79" xfId="22" applyFont="1" applyFill="1" applyBorder="1" applyAlignment="1">
      <alignment horizontal="center" vertical="center" wrapText="1"/>
    </xf>
    <xf numFmtId="0" fontId="48" fillId="11" borderId="26" xfId="22" applyFont="1" applyFill="1" applyBorder="1" applyAlignment="1">
      <alignment horizontal="center" vertical="center" wrapText="1"/>
    </xf>
    <xf numFmtId="0" fontId="48" fillId="11" borderId="80" xfId="22" applyFont="1" applyFill="1" applyBorder="1" applyAlignment="1">
      <alignment horizontal="center" vertical="center" wrapText="1"/>
    </xf>
    <xf numFmtId="3" fontId="39" fillId="0" borderId="144" xfId="1" applyNumberFormat="1" applyFont="1" applyFill="1" applyBorder="1" applyAlignment="1" applyProtection="1">
      <alignment horizontal="center" vertical="center"/>
      <protection locked="0"/>
    </xf>
    <xf numFmtId="3" fontId="39" fillId="0" borderId="57" xfId="1" applyNumberFormat="1" applyFont="1" applyFill="1" applyBorder="1" applyAlignment="1" applyProtection="1">
      <alignment horizontal="center" vertical="center"/>
      <protection locked="0"/>
    </xf>
    <xf numFmtId="3" fontId="39" fillId="0" borderId="89" xfId="1" applyNumberFormat="1" applyFont="1" applyFill="1" applyBorder="1" applyAlignment="1" applyProtection="1">
      <alignment horizontal="center" vertical="center"/>
      <protection locked="0"/>
    </xf>
    <xf numFmtId="0" fontId="77" fillId="11" borderId="7" xfId="22" applyFont="1" applyFill="1" applyBorder="1" applyAlignment="1">
      <alignment horizontal="center" vertical="center" wrapText="1"/>
    </xf>
    <xf numFmtId="0" fontId="77" fillId="11" borderId="8" xfId="22" applyFont="1" applyFill="1" applyBorder="1" applyAlignment="1">
      <alignment horizontal="center" vertical="center" wrapText="1"/>
    </xf>
    <xf numFmtId="0" fontId="77" fillId="11" borderId="16" xfId="22" applyFont="1" applyFill="1" applyBorder="1" applyAlignment="1">
      <alignment horizontal="center" vertical="center" wrapText="1"/>
    </xf>
    <xf numFmtId="0" fontId="73" fillId="11" borderId="5" xfId="0" applyFont="1" applyFill="1" applyBorder="1" applyAlignment="1">
      <alignment horizontal="left" vertical="center" wrapText="1"/>
    </xf>
    <xf numFmtId="0" fontId="73" fillId="11" borderId="84" xfId="0" applyFont="1" applyFill="1" applyBorder="1" applyAlignment="1">
      <alignment horizontal="left" vertical="center" wrapText="1"/>
    </xf>
    <xf numFmtId="3" fontId="41" fillId="11" borderId="133" xfId="1" applyNumberFormat="1" applyFont="1" applyFill="1" applyBorder="1" applyAlignment="1">
      <alignment horizontal="center" vertical="center"/>
    </xf>
    <xf numFmtId="3" fontId="41" fillId="11" borderId="47" xfId="1" applyNumberFormat="1" applyFont="1" applyFill="1" applyBorder="1" applyAlignment="1">
      <alignment horizontal="center" vertical="center"/>
    </xf>
    <xf numFmtId="3" fontId="41" fillId="11" borderId="49" xfId="1" applyNumberFormat="1" applyFont="1" applyFill="1" applyBorder="1" applyAlignment="1">
      <alignment horizontal="center" vertical="center"/>
    </xf>
    <xf numFmtId="3" fontId="41" fillId="11" borderId="48" xfId="1" applyNumberFormat="1" applyFont="1" applyFill="1" applyBorder="1" applyAlignment="1">
      <alignment horizontal="center" vertical="center"/>
    </xf>
    <xf numFmtId="3" fontId="41" fillId="11" borderId="50" xfId="1" applyNumberFormat="1" applyFont="1" applyFill="1" applyBorder="1" applyAlignment="1">
      <alignment horizontal="center" vertical="center"/>
    </xf>
    <xf numFmtId="3" fontId="41" fillId="11" borderId="52" xfId="1" applyNumberFormat="1" applyFont="1" applyFill="1" applyBorder="1" applyAlignment="1">
      <alignment horizontal="center" vertical="center"/>
    </xf>
    <xf numFmtId="3" fontId="41" fillId="11" borderId="186" xfId="1" applyNumberFormat="1" applyFont="1" applyFill="1" applyBorder="1" applyAlignment="1">
      <alignment horizontal="center" vertical="center"/>
    </xf>
    <xf numFmtId="3" fontId="41" fillId="11" borderId="185" xfId="1" applyNumberFormat="1" applyFont="1" applyFill="1" applyBorder="1" applyAlignment="1">
      <alignment horizontal="center" vertical="center"/>
    </xf>
    <xf numFmtId="3" fontId="41" fillId="11" borderId="51" xfId="1" applyNumberFormat="1" applyFont="1" applyFill="1" applyBorder="1" applyAlignment="1">
      <alignment horizontal="center" vertical="center"/>
    </xf>
    <xf numFmtId="3" fontId="39" fillId="0" borderId="214" xfId="1" applyNumberFormat="1" applyFont="1" applyFill="1" applyBorder="1" applyAlignment="1" applyProtection="1">
      <alignment horizontal="center" vertical="center"/>
      <protection locked="0"/>
    </xf>
    <xf numFmtId="3" fontId="39" fillId="0" borderId="186" xfId="1" applyNumberFormat="1" applyFont="1" applyFill="1" applyBorder="1" applyAlignment="1" applyProtection="1">
      <alignment horizontal="center" vertical="center"/>
      <protection locked="0"/>
    </xf>
    <xf numFmtId="3" fontId="39" fillId="0" borderId="209" xfId="1" applyNumberFormat="1" applyFont="1" applyFill="1" applyBorder="1" applyAlignment="1" applyProtection="1">
      <alignment horizontal="center" vertical="center"/>
      <protection locked="0"/>
    </xf>
    <xf numFmtId="3" fontId="39" fillId="0" borderId="54" xfId="1" applyNumberFormat="1" applyFont="1" applyFill="1" applyBorder="1" applyAlignment="1" applyProtection="1">
      <alignment horizontal="center" vertical="center"/>
      <protection locked="0"/>
    </xf>
    <xf numFmtId="3" fontId="39" fillId="0" borderId="212" xfId="1" applyNumberFormat="1" applyFont="1" applyFill="1" applyBorder="1" applyAlignment="1" applyProtection="1">
      <alignment horizontal="center" vertical="center"/>
      <protection locked="0"/>
    </xf>
    <xf numFmtId="3" fontId="41" fillId="11" borderId="210" xfId="1" applyNumberFormat="1" applyFont="1" applyFill="1" applyBorder="1" applyAlignment="1">
      <alignment horizontal="center" vertical="center"/>
    </xf>
    <xf numFmtId="3" fontId="41" fillId="11" borderId="212" xfId="1" applyNumberFormat="1" applyFont="1" applyFill="1" applyBorder="1" applyAlignment="1">
      <alignment horizontal="center" vertical="center"/>
    </xf>
    <xf numFmtId="0" fontId="61" fillId="11" borderId="46" xfId="22" applyFont="1" applyFill="1" applyBorder="1" applyAlignment="1">
      <alignment horizontal="center" vertical="center" shrinkToFit="1"/>
    </xf>
    <xf numFmtId="0" fontId="61" fillId="11" borderId="47" xfId="22" applyFont="1" applyFill="1" applyBorder="1" applyAlignment="1">
      <alignment horizontal="center" vertical="center" shrinkToFit="1"/>
    </xf>
    <xf numFmtId="0" fontId="61" fillId="11" borderId="52" xfId="22" applyFont="1" applyFill="1" applyBorder="1" applyAlignment="1">
      <alignment horizontal="center" vertical="center" shrinkToFit="1"/>
    </xf>
    <xf numFmtId="3" fontId="41" fillId="11" borderId="46" xfId="1" applyNumberFormat="1" applyFont="1" applyFill="1" applyBorder="1" applyAlignment="1">
      <alignment horizontal="center" vertical="center"/>
    </xf>
    <xf numFmtId="0" fontId="48" fillId="11" borderId="81" xfId="22" applyFont="1" applyFill="1" applyBorder="1" applyAlignment="1">
      <alignment horizontal="center" vertical="center" wrapText="1"/>
    </xf>
    <xf numFmtId="0" fontId="48" fillId="11" borderId="76" xfId="22" applyFont="1" applyFill="1" applyBorder="1" applyAlignment="1">
      <alignment horizontal="center" vertical="center" wrapText="1"/>
    </xf>
    <xf numFmtId="0" fontId="48" fillId="11" borderId="120" xfId="22" applyFont="1" applyFill="1" applyBorder="1" applyAlignment="1">
      <alignment horizontal="center" vertical="center" wrapText="1"/>
    </xf>
    <xf numFmtId="0" fontId="48" fillId="11" borderId="24" xfId="22" applyFont="1" applyFill="1" applyBorder="1" applyAlignment="1">
      <alignment horizontal="center" vertical="center" wrapText="1"/>
    </xf>
    <xf numFmtId="0" fontId="77" fillId="11" borderId="24" xfId="22" quotePrefix="1" applyFont="1" applyFill="1" applyBorder="1" applyAlignment="1">
      <alignment horizontal="center" vertical="center" wrapText="1"/>
    </xf>
    <xf numFmtId="0" fontId="77" fillId="11" borderId="0" xfId="22" quotePrefix="1" applyFont="1" applyFill="1" applyAlignment="1">
      <alignment horizontal="center" vertical="center" wrapText="1"/>
    </xf>
    <xf numFmtId="0" fontId="77" fillId="11" borderId="69" xfId="22" quotePrefix="1" applyFont="1" applyFill="1" applyBorder="1" applyAlignment="1">
      <alignment horizontal="center" vertical="center" wrapText="1"/>
    </xf>
    <xf numFmtId="0" fontId="48" fillId="11" borderId="82" xfId="22" applyFont="1" applyFill="1" applyBorder="1" applyAlignment="1">
      <alignment horizontal="center" vertical="center" wrapText="1"/>
    </xf>
    <xf numFmtId="0" fontId="77" fillId="11" borderId="76" xfId="22" quotePrefix="1" applyFont="1" applyFill="1" applyBorder="1" applyAlignment="1">
      <alignment horizontal="center" vertical="center" wrapText="1"/>
    </xf>
    <xf numFmtId="3" fontId="39" fillId="0" borderId="61" xfId="1" applyNumberFormat="1" applyFont="1" applyFill="1" applyBorder="1" applyAlignment="1" applyProtection="1">
      <alignment horizontal="center" vertical="center"/>
      <protection locked="0"/>
    </xf>
    <xf numFmtId="3" fontId="39" fillId="0" borderId="185" xfId="1" applyNumberFormat="1" applyFont="1" applyFill="1" applyBorder="1" applyAlignment="1" applyProtection="1">
      <alignment horizontal="center" vertical="center"/>
      <protection locked="0"/>
    </xf>
    <xf numFmtId="3" fontId="41" fillId="11" borderId="209" xfId="1" applyNumberFormat="1" applyFont="1" applyFill="1" applyBorder="1" applyAlignment="1">
      <alignment horizontal="center" vertical="center"/>
    </xf>
    <xf numFmtId="3" fontId="41" fillId="11" borderId="132" xfId="1" applyNumberFormat="1" applyFont="1" applyFill="1" applyBorder="1" applyAlignment="1">
      <alignment horizontal="center" vertical="center"/>
    </xf>
    <xf numFmtId="3" fontId="41" fillId="11" borderId="104" xfId="1" applyNumberFormat="1" applyFont="1" applyFill="1" applyBorder="1" applyAlignment="1">
      <alignment horizontal="center" vertical="center"/>
    </xf>
    <xf numFmtId="3" fontId="41" fillId="11" borderId="105" xfId="1" applyNumberFormat="1" applyFont="1" applyFill="1" applyBorder="1" applyAlignment="1">
      <alignment horizontal="center" vertical="center"/>
    </xf>
    <xf numFmtId="3" fontId="41" fillId="11" borderId="106" xfId="1" applyNumberFormat="1" applyFont="1" applyFill="1" applyBorder="1" applyAlignment="1">
      <alignment horizontal="center" vertical="center"/>
    </xf>
    <xf numFmtId="3" fontId="39" fillId="0" borderId="132" xfId="1" applyNumberFormat="1" applyFont="1" applyFill="1" applyBorder="1" applyAlignment="1" applyProtection="1">
      <alignment horizontal="center" vertical="center"/>
      <protection locked="0"/>
    </xf>
    <xf numFmtId="3" fontId="39" fillId="0" borderId="84" xfId="1" applyNumberFormat="1" applyFont="1" applyFill="1" applyBorder="1" applyAlignment="1" applyProtection="1">
      <alignment horizontal="center" vertical="center"/>
      <protection locked="0"/>
    </xf>
    <xf numFmtId="3" fontId="39" fillId="0" borderId="104" xfId="1" applyNumberFormat="1" applyFont="1" applyFill="1" applyBorder="1" applyAlignment="1" applyProtection="1">
      <alignment horizontal="center" vertical="center"/>
      <protection locked="0"/>
    </xf>
    <xf numFmtId="3" fontId="39" fillId="0" borderId="105" xfId="1" applyNumberFormat="1" applyFont="1" applyFill="1" applyBorder="1" applyAlignment="1" applyProtection="1">
      <alignment horizontal="center" vertical="center"/>
      <protection locked="0"/>
    </xf>
    <xf numFmtId="3" fontId="39" fillId="0" borderId="106" xfId="1" applyNumberFormat="1" applyFont="1" applyFill="1" applyBorder="1" applyAlignment="1" applyProtection="1">
      <alignment horizontal="center" vertical="center"/>
      <protection locked="0"/>
    </xf>
    <xf numFmtId="3" fontId="41" fillId="11" borderId="107" xfId="1" applyNumberFormat="1" applyFont="1" applyFill="1" applyBorder="1" applyAlignment="1">
      <alignment horizontal="center" vertical="center"/>
    </xf>
    <xf numFmtId="3" fontId="41" fillId="11" borderId="214" xfId="1" applyNumberFormat="1" applyFont="1" applyFill="1" applyBorder="1" applyAlignment="1">
      <alignment horizontal="center" vertical="center"/>
    </xf>
    <xf numFmtId="3" fontId="41" fillId="11" borderId="54" xfId="1" applyNumberFormat="1" applyFont="1" applyFill="1" applyBorder="1" applyAlignment="1">
      <alignment horizontal="center" vertical="center"/>
    </xf>
    <xf numFmtId="3" fontId="39" fillId="0" borderId="3" xfId="1" applyNumberFormat="1" applyFont="1" applyFill="1" applyBorder="1" applyAlignment="1" applyProtection="1">
      <alignment horizontal="center" vertical="center"/>
      <protection locked="0"/>
    </xf>
    <xf numFmtId="3" fontId="39" fillId="0" borderId="103" xfId="1" applyNumberFormat="1" applyFont="1" applyFill="1" applyBorder="1" applyAlignment="1" applyProtection="1">
      <alignment horizontal="center" vertical="center"/>
      <protection locked="0"/>
    </xf>
    <xf numFmtId="3" fontId="39" fillId="0" borderId="62" xfId="1" applyNumberFormat="1" applyFont="1" applyFill="1" applyBorder="1" applyAlignment="1" applyProtection="1">
      <alignment horizontal="center" vertical="center"/>
      <protection locked="0"/>
    </xf>
    <xf numFmtId="3" fontId="39" fillId="0" borderId="90" xfId="1" applyNumberFormat="1" applyFont="1" applyFill="1" applyBorder="1" applyAlignment="1" applyProtection="1">
      <alignment horizontal="center" vertical="center"/>
      <protection locked="0"/>
    </xf>
    <xf numFmtId="3" fontId="41" fillId="11" borderId="91" xfId="1" applyNumberFormat="1" applyFont="1" applyFill="1" applyBorder="1" applyAlignment="1">
      <alignment horizontal="center" vertical="center"/>
    </xf>
    <xf numFmtId="3" fontId="41" fillId="11" borderId="57" xfId="1" applyNumberFormat="1" applyFont="1" applyFill="1" applyBorder="1" applyAlignment="1">
      <alignment horizontal="center" vertical="center"/>
    </xf>
    <xf numFmtId="3" fontId="41" fillId="11" borderId="90" xfId="1" applyNumberFormat="1" applyFont="1" applyFill="1" applyBorder="1" applyAlignment="1">
      <alignment horizontal="center" vertical="center"/>
    </xf>
    <xf numFmtId="3" fontId="39" fillId="0" borderId="83" xfId="1" applyNumberFormat="1" applyFont="1" applyFill="1" applyBorder="1" applyAlignment="1" applyProtection="1">
      <alignment horizontal="center" vertical="center"/>
      <protection locked="0"/>
    </xf>
    <xf numFmtId="3" fontId="39" fillId="0" borderId="56" xfId="1" applyNumberFormat="1" applyFont="1" applyFill="1" applyBorder="1" applyAlignment="1" applyProtection="1">
      <alignment horizontal="center" vertical="center"/>
      <protection locked="0"/>
    </xf>
    <xf numFmtId="3" fontId="41" fillId="11" borderId="89" xfId="1" applyNumberFormat="1" applyFont="1" applyFill="1" applyBorder="1" applyAlignment="1">
      <alignment horizontal="center" vertical="center"/>
    </xf>
    <xf numFmtId="0" fontId="77" fillId="11" borderId="13" xfId="22" applyFont="1" applyFill="1" applyBorder="1" applyAlignment="1">
      <alignment horizontal="center" vertical="center" wrapText="1"/>
    </xf>
    <xf numFmtId="0" fontId="77" fillId="11" borderId="14" xfId="22" applyFont="1" applyFill="1" applyBorder="1" applyAlignment="1">
      <alignment horizontal="center" vertical="center" wrapText="1"/>
    </xf>
    <xf numFmtId="0" fontId="77" fillId="11" borderId="15" xfId="22" applyFont="1" applyFill="1" applyBorder="1" applyAlignment="1">
      <alignment horizontal="center" vertical="center" wrapText="1"/>
    </xf>
    <xf numFmtId="0" fontId="77" fillId="11" borderId="9" xfId="22" applyFont="1" applyFill="1" applyBorder="1" applyAlignment="1">
      <alignment horizontal="center" vertical="center" wrapText="1"/>
    </xf>
    <xf numFmtId="0" fontId="48" fillId="11" borderId="82" xfId="22" quotePrefix="1" applyFont="1" applyFill="1" applyBorder="1" applyAlignment="1">
      <alignment horizontal="center" vertical="center" wrapText="1"/>
    </xf>
    <xf numFmtId="0" fontId="48" fillId="11" borderId="26" xfId="22" quotePrefix="1" applyFont="1" applyFill="1" applyBorder="1" applyAlignment="1">
      <alignment horizontal="center" vertical="center"/>
    </xf>
    <xf numFmtId="0" fontId="48" fillId="11" borderId="78" xfId="22" quotePrefix="1" applyFont="1" applyFill="1" applyBorder="1" applyAlignment="1">
      <alignment horizontal="center" vertical="center"/>
    </xf>
    <xf numFmtId="0" fontId="41" fillId="11" borderId="121" xfId="22" applyFont="1" applyFill="1" applyBorder="1" applyAlignment="1">
      <alignment horizontal="center" vertical="center" wrapText="1"/>
    </xf>
    <xf numFmtId="0" fontId="41" fillId="11" borderId="122" xfId="22" applyFont="1" applyFill="1" applyBorder="1" applyAlignment="1">
      <alignment horizontal="center" vertical="center" wrapText="1"/>
    </xf>
    <xf numFmtId="0" fontId="41" fillId="11" borderId="123" xfId="22" applyFont="1" applyFill="1" applyBorder="1" applyAlignment="1">
      <alignment horizontal="center" vertical="center" wrapText="1"/>
    </xf>
    <xf numFmtId="0" fontId="48" fillId="11" borderId="121" xfId="22" applyFont="1" applyFill="1" applyBorder="1" applyAlignment="1">
      <alignment horizontal="center" vertical="center" wrapText="1"/>
    </xf>
    <xf numFmtId="0" fontId="48" fillId="11" borderId="122" xfId="22" applyFont="1" applyFill="1" applyBorder="1" applyAlignment="1">
      <alignment horizontal="center" vertical="center" wrapText="1"/>
    </xf>
    <xf numFmtId="0" fontId="48" fillId="11" borderId="123" xfId="22" applyFont="1" applyFill="1" applyBorder="1" applyAlignment="1">
      <alignment horizontal="center" vertical="center" wrapText="1"/>
    </xf>
    <xf numFmtId="0" fontId="48" fillId="11" borderId="80" xfId="22" quotePrefix="1" applyFont="1" applyFill="1" applyBorder="1" applyAlignment="1">
      <alignment horizontal="center" vertical="center"/>
    </xf>
    <xf numFmtId="0" fontId="48" fillId="11" borderId="6" xfId="22" applyFont="1" applyFill="1" applyBorder="1" applyAlignment="1">
      <alignment horizontal="center" vertical="center" wrapText="1"/>
    </xf>
    <xf numFmtId="0" fontId="48" fillId="11" borderId="27" xfId="22" applyFont="1" applyFill="1" applyBorder="1" applyAlignment="1">
      <alignment horizontal="center" vertical="center" wrapText="1"/>
    </xf>
    <xf numFmtId="0" fontId="48" fillId="11" borderId="33" xfId="22" applyFont="1" applyFill="1" applyBorder="1" applyAlignment="1">
      <alignment horizontal="center" vertical="center" wrapText="1"/>
    </xf>
    <xf numFmtId="0" fontId="48" fillId="11" borderId="29" xfId="22" applyFont="1" applyFill="1" applyBorder="1" applyAlignment="1">
      <alignment horizontal="center" vertical="center" wrapText="1"/>
    </xf>
    <xf numFmtId="0" fontId="48" fillId="11" borderId="19" xfId="22" applyFont="1" applyFill="1" applyBorder="1" applyAlignment="1">
      <alignment horizontal="center" vertical="center" wrapText="1"/>
    </xf>
    <xf numFmtId="0" fontId="48" fillId="11" borderId="10" xfId="22" applyFont="1" applyFill="1" applyBorder="1" applyAlignment="1">
      <alignment horizontal="center" vertical="center" wrapText="1"/>
    </xf>
    <xf numFmtId="0" fontId="48" fillId="11" borderId="20" xfId="22" applyFont="1" applyFill="1" applyBorder="1" applyAlignment="1">
      <alignment horizontal="center" vertical="center" wrapText="1"/>
    </xf>
    <xf numFmtId="0" fontId="48" fillId="11" borderId="77" xfId="22" applyFont="1" applyFill="1" applyBorder="1" applyAlignment="1">
      <alignment horizontal="center" vertical="center" wrapText="1"/>
    </xf>
    <xf numFmtId="0" fontId="48" fillId="11" borderId="77" xfId="22" applyFont="1" applyFill="1" applyBorder="1" applyAlignment="1">
      <alignment horizontal="center" vertical="center"/>
    </xf>
    <xf numFmtId="0" fontId="48" fillId="11" borderId="26" xfId="22" applyFont="1" applyFill="1" applyBorder="1" applyAlignment="1">
      <alignment horizontal="center" vertical="center"/>
    </xf>
    <xf numFmtId="0" fontId="48" fillId="11" borderId="80" xfId="22" applyFont="1" applyFill="1" applyBorder="1" applyAlignment="1">
      <alignment horizontal="center" vertical="center"/>
    </xf>
    <xf numFmtId="0" fontId="48" fillId="11" borderId="67" xfId="22" applyFont="1" applyFill="1" applyBorder="1" applyAlignment="1">
      <alignment horizontal="center" vertical="center"/>
    </xf>
    <xf numFmtId="0" fontId="48" fillId="11" borderId="0" xfId="22" applyFont="1" applyFill="1" applyAlignment="1">
      <alignment horizontal="center" vertical="center"/>
    </xf>
    <xf numFmtId="0" fontId="48" fillId="11" borderId="69" xfId="22" applyFont="1" applyFill="1" applyBorder="1" applyAlignment="1">
      <alignment horizontal="center" vertical="center"/>
    </xf>
    <xf numFmtId="0" fontId="48" fillId="11" borderId="79" xfId="22" applyFont="1" applyFill="1" applyBorder="1" applyAlignment="1">
      <alignment horizontal="center" vertical="center"/>
    </xf>
    <xf numFmtId="0" fontId="48" fillId="11" borderId="81" xfId="22" applyFont="1" applyFill="1" applyBorder="1" applyAlignment="1">
      <alignment horizontal="center" vertical="center"/>
    </xf>
    <xf numFmtId="0" fontId="48" fillId="11" borderId="68" xfId="22" applyFont="1" applyFill="1" applyBorder="1" applyAlignment="1">
      <alignment horizontal="center" vertical="center"/>
    </xf>
    <xf numFmtId="0" fontId="48" fillId="11" borderId="76" xfId="22" applyFont="1" applyFill="1" applyBorder="1" applyAlignment="1">
      <alignment horizontal="center" vertical="center"/>
    </xf>
    <xf numFmtId="0" fontId="77" fillId="11" borderId="67" xfId="22" quotePrefix="1" applyFont="1" applyFill="1" applyBorder="1" applyAlignment="1">
      <alignment horizontal="center" vertical="center" wrapText="1"/>
    </xf>
    <xf numFmtId="0" fontId="77" fillId="11" borderId="68" xfId="22" quotePrefix="1" applyFont="1" applyFill="1" applyBorder="1" applyAlignment="1">
      <alignment horizontal="center" vertical="center" wrapText="1"/>
    </xf>
    <xf numFmtId="0" fontId="77" fillId="11" borderId="38" xfId="22" quotePrefix="1" applyFont="1" applyFill="1" applyBorder="1" applyAlignment="1">
      <alignment horizontal="center" vertical="center" wrapText="1"/>
    </xf>
    <xf numFmtId="0" fontId="48" fillId="11" borderId="77" xfId="22" quotePrefix="1" applyFont="1" applyFill="1" applyBorder="1" applyAlignment="1">
      <alignment horizontal="center" vertical="center" wrapText="1"/>
    </xf>
    <xf numFmtId="0" fontId="48" fillId="11" borderId="79" xfId="22" quotePrefix="1" applyFont="1" applyFill="1" applyBorder="1" applyAlignment="1">
      <alignment horizontal="center" vertical="center" wrapText="1"/>
    </xf>
    <xf numFmtId="0" fontId="48" fillId="11" borderId="81" xfId="22" quotePrefix="1" applyFont="1" applyFill="1" applyBorder="1" applyAlignment="1">
      <alignment horizontal="center" vertical="center"/>
    </xf>
    <xf numFmtId="0" fontId="77" fillId="11" borderId="15" xfId="22" quotePrefix="1" applyFont="1" applyFill="1" applyBorder="1" applyAlignment="1">
      <alignment horizontal="center" vertical="center" wrapText="1"/>
    </xf>
    <xf numFmtId="0" fontId="77" fillId="11" borderId="8" xfId="22" quotePrefix="1" applyFont="1" applyFill="1" applyBorder="1" applyAlignment="1">
      <alignment horizontal="center" vertical="center" wrapText="1"/>
    </xf>
    <xf numFmtId="3" fontId="41" fillId="11" borderId="56" xfId="1" applyNumberFormat="1" applyFont="1" applyFill="1" applyBorder="1" applyAlignment="1">
      <alignment horizontal="center" vertical="center"/>
    </xf>
    <xf numFmtId="3" fontId="41" fillId="11" borderId="144" xfId="1" applyNumberFormat="1" applyFont="1" applyFill="1" applyBorder="1" applyAlignment="1">
      <alignment horizontal="center" vertical="center"/>
    </xf>
    <xf numFmtId="3" fontId="41" fillId="11" borderId="62" xfId="1" applyNumberFormat="1" applyFont="1" applyFill="1" applyBorder="1" applyAlignment="1">
      <alignment horizontal="center" vertical="center"/>
    </xf>
    <xf numFmtId="3" fontId="41" fillId="11" borderId="37" xfId="1" applyNumberFormat="1" applyFont="1" applyFill="1" applyBorder="1" applyAlignment="1">
      <alignment horizontal="center" vertical="center"/>
    </xf>
    <xf numFmtId="3" fontId="41" fillId="11" borderId="5" xfId="1" applyNumberFormat="1" applyFont="1" applyFill="1" applyBorder="1" applyAlignment="1">
      <alignment horizontal="center" vertical="center"/>
    </xf>
    <xf numFmtId="3" fontId="41" fillId="11" borderId="28" xfId="1" applyNumberFormat="1" applyFont="1" applyFill="1" applyBorder="1" applyAlignment="1">
      <alignment horizontal="center" vertical="center"/>
    </xf>
    <xf numFmtId="170" fontId="39" fillId="5" borderId="4" xfId="1" applyNumberFormat="1" applyFont="1" applyFill="1" applyBorder="1" applyAlignment="1">
      <alignment horizontal="center" vertical="center"/>
    </xf>
    <xf numFmtId="170" fontId="39" fillId="5" borderId="5" xfId="1" applyNumberFormat="1" applyFont="1" applyFill="1" applyBorder="1" applyAlignment="1">
      <alignment horizontal="center" vertical="center"/>
    </xf>
    <xf numFmtId="170" fontId="39" fillId="5" borderId="34" xfId="1" applyNumberFormat="1" applyFont="1" applyFill="1" applyBorder="1" applyAlignment="1">
      <alignment horizontal="center" vertical="center"/>
    </xf>
    <xf numFmtId="170" fontId="39" fillId="5" borderId="35" xfId="1" applyNumberFormat="1" applyFont="1" applyFill="1" applyBorder="1" applyAlignment="1">
      <alignment horizontal="center" vertical="center"/>
    </xf>
    <xf numFmtId="170" fontId="39" fillId="5" borderId="36" xfId="1" applyNumberFormat="1" applyFont="1" applyFill="1" applyBorder="1" applyAlignment="1">
      <alignment horizontal="center" vertical="center"/>
    </xf>
    <xf numFmtId="170" fontId="39" fillId="5" borderId="37" xfId="1" applyNumberFormat="1" applyFont="1" applyFill="1" applyBorder="1" applyAlignment="1">
      <alignment horizontal="center" vertical="center"/>
    </xf>
    <xf numFmtId="170" fontId="39" fillId="5" borderId="28" xfId="1" applyNumberFormat="1" applyFont="1" applyFill="1" applyBorder="1" applyAlignment="1">
      <alignment horizontal="center" vertical="center"/>
    </xf>
    <xf numFmtId="3" fontId="39" fillId="0" borderId="4" xfId="1" applyNumberFormat="1" applyFont="1" applyBorder="1" applyAlignment="1" applyProtection="1">
      <alignment horizontal="center" vertical="center"/>
      <protection locked="0"/>
    </xf>
    <xf numFmtId="3" fontId="39" fillId="0" borderId="5" xfId="1" applyNumberFormat="1" applyFont="1" applyBorder="1" applyAlignment="1" applyProtection="1">
      <alignment horizontal="center" vertical="center"/>
      <protection locked="0"/>
    </xf>
    <xf numFmtId="3" fontId="39" fillId="0" borderId="34" xfId="1" applyNumberFormat="1" applyFont="1" applyBorder="1" applyAlignment="1" applyProtection="1">
      <alignment horizontal="center" vertical="center"/>
      <protection locked="0"/>
    </xf>
    <xf numFmtId="3" fontId="39" fillId="0" borderId="35" xfId="1" applyNumberFormat="1" applyFont="1" applyBorder="1" applyAlignment="1" applyProtection="1">
      <alignment horizontal="center" vertical="center"/>
      <protection locked="0"/>
    </xf>
    <xf numFmtId="3" fontId="39" fillId="0" borderId="36" xfId="1" applyNumberFormat="1" applyFont="1" applyBorder="1" applyAlignment="1" applyProtection="1">
      <alignment horizontal="center" vertical="center"/>
      <protection locked="0"/>
    </xf>
    <xf numFmtId="3" fontId="41" fillId="11" borderId="4" xfId="1" applyNumberFormat="1" applyFont="1" applyFill="1" applyBorder="1" applyAlignment="1">
      <alignment horizontal="center" vertical="center"/>
    </xf>
    <xf numFmtId="3" fontId="41" fillId="11" borderId="34" xfId="1" applyNumberFormat="1" applyFont="1" applyFill="1" applyBorder="1" applyAlignment="1">
      <alignment horizontal="center" vertical="center"/>
    </xf>
    <xf numFmtId="3" fontId="41" fillId="11" borderId="35" xfId="1" applyNumberFormat="1" applyFont="1" applyFill="1" applyBorder="1" applyAlignment="1">
      <alignment horizontal="center" vertical="center"/>
    </xf>
    <xf numFmtId="3" fontId="41" fillId="11" borderId="36" xfId="1" applyNumberFormat="1" applyFont="1" applyFill="1" applyBorder="1" applyAlignment="1">
      <alignment horizontal="center" vertical="center"/>
    </xf>
    <xf numFmtId="3" fontId="39" fillId="0" borderId="4" xfId="1" applyNumberFormat="1" applyFont="1" applyFill="1" applyBorder="1" applyAlignment="1" applyProtection="1">
      <alignment horizontal="center" vertical="center"/>
      <protection locked="0"/>
    </xf>
    <xf numFmtId="3" fontId="39" fillId="0" borderId="5" xfId="1" applyNumberFormat="1" applyFont="1" applyFill="1" applyBorder="1" applyAlignment="1" applyProtection="1">
      <alignment horizontal="center" vertical="center"/>
      <protection locked="0"/>
    </xf>
    <xf numFmtId="3" fontId="39" fillId="0" borderId="34" xfId="1" applyNumberFormat="1" applyFont="1" applyFill="1" applyBorder="1" applyAlignment="1" applyProtection="1">
      <alignment horizontal="center" vertical="center"/>
      <protection locked="0"/>
    </xf>
    <xf numFmtId="3" fontId="39" fillId="0" borderId="35" xfId="1" applyNumberFormat="1" applyFont="1" applyFill="1" applyBorder="1" applyAlignment="1" applyProtection="1">
      <alignment horizontal="center" vertical="center"/>
      <protection locked="0"/>
    </xf>
    <xf numFmtId="3" fontId="39" fillId="0" borderId="36" xfId="1" applyNumberFormat="1" applyFont="1" applyFill="1" applyBorder="1" applyAlignment="1" applyProtection="1">
      <alignment horizontal="center" vertical="center"/>
      <protection locked="0"/>
    </xf>
    <xf numFmtId="170" fontId="39" fillId="5" borderId="39" xfId="1" applyNumberFormat="1" applyFont="1" applyFill="1" applyBorder="1" applyAlignment="1">
      <alignment horizontal="center" vertical="center"/>
    </xf>
    <xf numFmtId="170" fontId="39" fillId="5" borderId="40" xfId="1" applyNumberFormat="1" applyFont="1" applyFill="1" applyBorder="1" applyAlignment="1">
      <alignment horizontal="center" vertical="center"/>
    </xf>
    <xf numFmtId="170" fontId="39" fillId="5" borderId="42" xfId="1" applyNumberFormat="1" applyFont="1" applyFill="1" applyBorder="1" applyAlignment="1">
      <alignment horizontal="center" vertical="center"/>
    </xf>
    <xf numFmtId="170" fontId="39" fillId="5" borderId="41" xfId="1" applyNumberFormat="1" applyFont="1" applyFill="1" applyBorder="1" applyAlignment="1">
      <alignment horizontal="center" vertical="center"/>
    </xf>
    <xf numFmtId="170" fontId="39" fillId="5" borderId="43" xfId="1" applyNumberFormat="1" applyFont="1" applyFill="1" applyBorder="1" applyAlignment="1">
      <alignment horizontal="center" vertical="center"/>
    </xf>
    <xf numFmtId="170" fontId="39" fillId="5" borderId="44" xfId="1" applyNumberFormat="1" applyFont="1" applyFill="1" applyBorder="1" applyAlignment="1">
      <alignment horizontal="center" vertical="center"/>
    </xf>
    <xf numFmtId="170" fontId="39" fillId="5" borderId="45" xfId="1" applyNumberFormat="1" applyFont="1" applyFill="1" applyBorder="1" applyAlignment="1">
      <alignment horizontal="center" vertical="center"/>
    </xf>
    <xf numFmtId="3" fontId="41" fillId="11" borderId="44" xfId="1" applyNumberFormat="1" applyFont="1" applyFill="1" applyBorder="1" applyAlignment="1">
      <alignment horizontal="center" vertical="center"/>
    </xf>
    <xf numFmtId="3" fontId="41" fillId="11" borderId="40" xfId="1" applyNumberFormat="1" applyFont="1" applyFill="1" applyBorder="1" applyAlignment="1">
      <alignment horizontal="center" vertical="center"/>
    </xf>
    <xf numFmtId="3" fontId="41" fillId="11" borderId="45" xfId="1" applyNumberFormat="1" applyFont="1" applyFill="1" applyBorder="1" applyAlignment="1">
      <alignment horizontal="center" vertical="center"/>
    </xf>
    <xf numFmtId="3" fontId="41" fillId="11" borderId="39" xfId="1" applyNumberFormat="1" applyFont="1" applyFill="1" applyBorder="1" applyAlignment="1">
      <alignment horizontal="center" vertical="center"/>
    </xf>
    <xf numFmtId="3" fontId="41" fillId="11" borderId="42" xfId="1" applyNumberFormat="1" applyFont="1" applyFill="1" applyBorder="1" applyAlignment="1">
      <alignment horizontal="center" vertical="center"/>
    </xf>
    <xf numFmtId="3" fontId="41" fillId="11" borderId="41" xfId="1" applyNumberFormat="1" applyFont="1" applyFill="1" applyBorder="1" applyAlignment="1">
      <alignment horizontal="center" vertical="center"/>
    </xf>
    <xf numFmtId="3" fontId="41" fillId="11" borderId="43" xfId="1" applyNumberFormat="1" applyFont="1" applyFill="1" applyBorder="1" applyAlignment="1">
      <alignment horizontal="center" vertical="center"/>
    </xf>
    <xf numFmtId="170" fontId="39" fillId="5" borderId="48" xfId="1" applyNumberFormat="1" applyFont="1" applyFill="1" applyBorder="1" applyAlignment="1">
      <alignment horizontal="center" vertical="center"/>
    </xf>
    <xf numFmtId="170" fontId="39" fillId="5" borderId="47" xfId="1" applyNumberFormat="1" applyFont="1" applyFill="1" applyBorder="1" applyAlignment="1">
      <alignment horizontal="center" vertical="center"/>
    </xf>
    <xf numFmtId="170" fontId="39" fillId="5" borderId="49" xfId="1" applyNumberFormat="1" applyFont="1" applyFill="1" applyBorder="1" applyAlignment="1">
      <alignment horizontal="center" vertical="center"/>
    </xf>
    <xf numFmtId="170" fontId="39" fillId="5" borderId="50" xfId="1" applyNumberFormat="1" applyFont="1" applyFill="1" applyBorder="1" applyAlignment="1">
      <alignment horizontal="center" vertical="center"/>
    </xf>
    <xf numFmtId="170" fontId="39" fillId="5" borderId="51" xfId="1" applyNumberFormat="1" applyFont="1" applyFill="1" applyBorder="1" applyAlignment="1">
      <alignment horizontal="center" vertical="center"/>
    </xf>
    <xf numFmtId="170" fontId="39" fillId="5" borderId="46" xfId="1" applyNumberFormat="1" applyFont="1" applyFill="1" applyBorder="1" applyAlignment="1">
      <alignment horizontal="center" vertical="center"/>
    </xf>
    <xf numFmtId="170" fontId="39" fillId="5" borderId="52" xfId="1" applyNumberFormat="1" applyFont="1" applyFill="1" applyBorder="1" applyAlignment="1">
      <alignment horizontal="center" vertical="center"/>
    </xf>
    <xf numFmtId="3" fontId="39" fillId="0" borderId="54" xfId="1" applyNumberFormat="1" applyFont="1" applyBorder="1" applyAlignment="1" applyProtection="1">
      <alignment horizontal="center" vertical="center"/>
      <protection locked="0"/>
    </xf>
    <xf numFmtId="3" fontId="39" fillId="0" borderId="186" xfId="1" applyNumberFormat="1" applyFont="1" applyBorder="1" applyAlignment="1" applyProtection="1">
      <alignment horizontal="center" vertical="center"/>
      <protection locked="0"/>
    </xf>
    <xf numFmtId="3" fontId="39" fillId="0" borderId="212" xfId="1" applyNumberFormat="1" applyFont="1" applyBorder="1" applyAlignment="1" applyProtection="1">
      <alignment horizontal="center" vertical="center"/>
      <protection locked="0"/>
    </xf>
    <xf numFmtId="3" fontId="39" fillId="0" borderId="61" xfId="1" applyNumberFormat="1" applyFont="1" applyBorder="1" applyAlignment="1" applyProtection="1">
      <alignment horizontal="center" vertical="center"/>
      <protection locked="0"/>
    </xf>
    <xf numFmtId="3" fontId="39" fillId="0" borderId="209" xfId="1" applyNumberFormat="1" applyFont="1" applyBorder="1" applyAlignment="1" applyProtection="1">
      <alignment horizontal="center" vertical="center"/>
      <protection locked="0"/>
    </xf>
    <xf numFmtId="3" fontId="39" fillId="0" borderId="2" xfId="1" applyNumberFormat="1" applyFont="1" applyBorder="1" applyAlignment="1" applyProtection="1">
      <alignment horizontal="center" vertical="center"/>
      <protection locked="0"/>
    </xf>
    <xf numFmtId="3" fontId="39" fillId="0" borderId="58" xfId="1" applyNumberFormat="1" applyFont="1" applyBorder="1" applyAlignment="1" applyProtection="1">
      <alignment horizontal="center" vertical="center"/>
      <protection locked="0"/>
    </xf>
    <xf numFmtId="3" fontId="39" fillId="0" borderId="66" xfId="1" applyNumberFormat="1" applyFont="1" applyBorder="1" applyAlignment="1" applyProtection="1">
      <alignment horizontal="center" vertical="center"/>
      <protection locked="0"/>
    </xf>
    <xf numFmtId="3" fontId="39" fillId="0" borderId="64" xfId="1" applyNumberFormat="1" applyFont="1" applyBorder="1" applyAlignment="1" applyProtection="1">
      <alignment horizontal="center" vertical="center"/>
      <protection locked="0"/>
    </xf>
    <xf numFmtId="3" fontId="39" fillId="0" borderId="92" xfId="1" applyNumberFormat="1" applyFont="1" applyBorder="1" applyAlignment="1" applyProtection="1">
      <alignment horizontal="center" vertical="center"/>
      <protection locked="0"/>
    </xf>
    <xf numFmtId="3" fontId="41" fillId="11" borderId="2" xfId="1" applyNumberFormat="1" applyFont="1" applyFill="1" applyBorder="1" applyAlignment="1">
      <alignment horizontal="center" vertical="center"/>
    </xf>
    <xf numFmtId="3" fontId="41" fillId="11" borderId="61" xfId="1" applyNumberFormat="1" applyFont="1" applyFill="1" applyBorder="1" applyAlignment="1">
      <alignment horizontal="center" vertical="center"/>
    </xf>
    <xf numFmtId="3" fontId="41" fillId="11" borderId="87" xfId="1" applyNumberFormat="1" applyFont="1" applyFill="1" applyBorder="1" applyAlignment="1">
      <alignment horizontal="center" vertical="center"/>
    </xf>
    <xf numFmtId="3" fontId="39" fillId="0" borderId="3" xfId="1" applyNumberFormat="1" applyFont="1" applyBorder="1" applyAlignment="1" applyProtection="1">
      <alignment horizontal="center" vertical="center"/>
      <protection locked="0"/>
    </xf>
    <xf numFmtId="3" fontId="39" fillId="0" borderId="84" xfId="1" applyNumberFormat="1" applyFont="1" applyBorder="1" applyAlignment="1" applyProtection="1">
      <alignment horizontal="center" vertical="center"/>
      <protection locked="0"/>
    </xf>
    <xf numFmtId="3" fontId="39" fillId="0" borderId="104" xfId="1" applyNumberFormat="1" applyFont="1" applyBorder="1" applyAlignment="1" applyProtection="1">
      <alignment horizontal="center" vertical="center"/>
      <protection locked="0"/>
    </xf>
    <xf numFmtId="3" fontId="39" fillId="0" borderId="105" xfId="1" applyNumberFormat="1" applyFont="1" applyBorder="1" applyAlignment="1" applyProtection="1">
      <alignment horizontal="center" vertical="center"/>
      <protection locked="0"/>
    </xf>
    <xf numFmtId="3" fontId="39" fillId="0" borderId="106" xfId="1" applyNumberFormat="1" applyFont="1" applyBorder="1" applyAlignment="1" applyProtection="1">
      <alignment horizontal="center" vertical="center"/>
      <protection locked="0"/>
    </xf>
    <xf numFmtId="3" fontId="39" fillId="0" borderId="108" xfId="1" applyNumberFormat="1" applyFont="1" applyBorder="1" applyAlignment="1" applyProtection="1">
      <alignment horizontal="center" vertical="center"/>
      <protection locked="0"/>
    </xf>
    <xf numFmtId="3" fontId="39" fillId="0" borderId="109" xfId="1" applyNumberFormat="1" applyFont="1" applyBorder="1" applyAlignment="1" applyProtection="1">
      <alignment horizontal="center" vertical="center"/>
      <protection locked="0"/>
    </xf>
    <xf numFmtId="3" fontId="39" fillId="0" borderId="111" xfId="1" applyNumberFormat="1" applyFont="1" applyBorder="1" applyAlignment="1" applyProtection="1">
      <alignment horizontal="center" vertical="center"/>
      <protection locked="0"/>
    </xf>
    <xf numFmtId="3" fontId="39" fillId="0" borderId="112" xfId="1" applyNumberFormat="1" applyFont="1" applyBorder="1" applyAlignment="1" applyProtection="1">
      <alignment horizontal="center" vertical="center"/>
      <protection locked="0"/>
    </xf>
    <xf numFmtId="3" fontId="39" fillId="0" borderId="113" xfId="1" applyNumberFormat="1" applyFont="1" applyBorder="1" applyAlignment="1" applyProtection="1">
      <alignment horizontal="center" vertical="center"/>
      <protection locked="0"/>
    </xf>
    <xf numFmtId="3" fontId="41" fillId="11" borderId="108" xfId="1" applyNumberFormat="1" applyFont="1" applyFill="1" applyBorder="1" applyAlignment="1">
      <alignment horizontal="center" vertical="center"/>
    </xf>
    <xf numFmtId="0" fontId="45" fillId="11" borderId="0" xfId="11" applyFont="1" applyFill="1" applyAlignment="1">
      <alignment horizontal="justify" vertical="top"/>
    </xf>
    <xf numFmtId="3" fontId="41" fillId="11" borderId="3" xfId="1" applyNumberFormat="1" applyFont="1" applyFill="1" applyBorder="1" applyAlignment="1">
      <alignment horizontal="center" vertical="center"/>
    </xf>
    <xf numFmtId="0" fontId="39" fillId="11" borderId="27" xfId="0" applyFont="1" applyFill="1" applyBorder="1" applyAlignment="1">
      <alignment horizontal="center"/>
    </xf>
    <xf numFmtId="0" fontId="48" fillId="11" borderId="26" xfId="22" quotePrefix="1" applyFont="1" applyFill="1" applyBorder="1" applyAlignment="1">
      <alignment horizontal="center" vertical="center" wrapText="1"/>
    </xf>
    <xf numFmtId="0" fontId="48" fillId="11" borderId="80" xfId="22" quotePrefix="1" applyFont="1" applyFill="1" applyBorder="1" applyAlignment="1">
      <alignment horizontal="center" vertical="center" wrapText="1"/>
    </xf>
    <xf numFmtId="0" fontId="68" fillId="11" borderId="46" xfId="0" applyFont="1" applyFill="1" applyBorder="1" applyAlignment="1">
      <alignment horizontal="center" vertical="center"/>
    </xf>
    <xf numFmtId="0" fontId="68" fillId="11" borderId="47" xfId="0" applyFont="1" applyFill="1" applyBorder="1" applyAlignment="1">
      <alignment horizontal="center" vertical="center"/>
    </xf>
    <xf numFmtId="0" fontId="68" fillId="11" borderId="52" xfId="0" applyFont="1" applyFill="1" applyBorder="1" applyAlignment="1">
      <alignment horizontal="center" vertical="center"/>
    </xf>
    <xf numFmtId="0" fontId="43" fillId="11" borderId="15" xfId="22" applyFont="1" applyFill="1" applyBorder="1" applyAlignment="1">
      <alignment horizontal="center" vertical="center" wrapText="1"/>
    </xf>
    <xf numFmtId="0" fontId="43" fillId="11" borderId="8" xfId="22" applyFont="1" applyFill="1" applyBorder="1" applyAlignment="1">
      <alignment horizontal="center" vertical="center" wrapText="1"/>
    </xf>
    <xf numFmtId="0" fontId="43" fillId="11" borderId="14" xfId="22" applyFont="1" applyFill="1" applyBorder="1" applyAlignment="1">
      <alignment horizontal="center" vertical="center" wrapText="1"/>
    </xf>
    <xf numFmtId="0" fontId="43" fillId="11" borderId="15" xfId="22" quotePrefix="1" applyFont="1" applyFill="1" applyBorder="1" applyAlignment="1">
      <alignment horizontal="center" vertical="center" wrapText="1"/>
    </xf>
    <xf numFmtId="0" fontId="43" fillId="11" borderId="8" xfId="22" quotePrefix="1" applyFont="1" applyFill="1" applyBorder="1" applyAlignment="1">
      <alignment horizontal="center" vertical="center" wrapText="1"/>
    </xf>
    <xf numFmtId="0" fontId="43" fillId="11" borderId="16" xfId="22" applyFont="1" applyFill="1" applyBorder="1" applyAlignment="1">
      <alignment horizontal="center" vertical="center" wrapText="1"/>
    </xf>
    <xf numFmtId="0" fontId="43" fillId="11" borderId="7" xfId="22" applyFont="1" applyFill="1" applyBorder="1" applyAlignment="1">
      <alignment horizontal="center" vertical="center" wrapText="1"/>
    </xf>
    <xf numFmtId="0" fontId="43" fillId="11" borderId="9" xfId="22" applyFont="1" applyFill="1" applyBorder="1" applyAlignment="1">
      <alignment horizontal="center" vertical="center" wrapText="1"/>
    </xf>
    <xf numFmtId="0" fontId="43" fillId="11" borderId="13" xfId="22" applyFont="1" applyFill="1" applyBorder="1" applyAlignment="1">
      <alignment horizontal="center" vertical="center" wrapText="1"/>
    </xf>
    <xf numFmtId="0" fontId="68" fillId="11" borderId="71" xfId="22" applyFont="1" applyFill="1" applyBorder="1" applyAlignment="1">
      <alignment horizontal="center" vertical="center" wrapText="1"/>
    </xf>
    <xf numFmtId="0" fontId="68" fillId="11" borderId="72" xfId="22" applyFont="1" applyFill="1" applyBorder="1" applyAlignment="1">
      <alignment horizontal="center" vertical="center" wrapText="1"/>
    </xf>
    <xf numFmtId="0" fontId="68" fillId="11" borderId="74" xfId="22" applyFont="1" applyFill="1" applyBorder="1" applyAlignment="1">
      <alignment horizontal="center" vertical="center" wrapText="1"/>
    </xf>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68" fillId="11" borderId="121" xfId="22" applyFont="1" applyFill="1" applyBorder="1" applyAlignment="1">
      <alignment horizontal="center" vertical="center" wrapText="1"/>
    </xf>
    <xf numFmtId="0" fontId="68" fillId="11" borderId="122" xfId="22" applyFont="1" applyFill="1" applyBorder="1" applyAlignment="1">
      <alignment horizontal="center" vertical="center" wrapText="1"/>
    </xf>
    <xf numFmtId="0" fontId="68" fillId="11" borderId="123" xfId="22" applyFont="1" applyFill="1" applyBorder="1" applyAlignment="1">
      <alignment horizontal="center" vertical="center" wrapText="1"/>
    </xf>
    <xf numFmtId="0" fontId="41" fillId="11" borderId="24" xfId="22" applyFont="1" applyFill="1" applyBorder="1" applyAlignment="1">
      <alignment horizontal="center" vertical="center" wrapText="1"/>
    </xf>
    <xf numFmtId="3" fontId="41" fillId="11" borderId="148" xfId="1" applyNumberFormat="1" applyFont="1" applyFill="1" applyBorder="1" applyAlignment="1">
      <alignment horizontal="center" vertical="center"/>
    </xf>
    <xf numFmtId="0" fontId="41" fillId="11" borderId="46" xfId="22" applyFont="1" applyFill="1" applyBorder="1" applyAlignment="1">
      <alignment horizontal="center" vertical="center"/>
    </xf>
    <xf numFmtId="0" fontId="41" fillId="11" borderId="47" xfId="22" applyFont="1" applyFill="1" applyBorder="1" applyAlignment="1">
      <alignment horizontal="center" vertical="center"/>
    </xf>
    <xf numFmtId="0" fontId="41" fillId="11" borderId="52" xfId="22" applyFont="1" applyFill="1" applyBorder="1" applyAlignment="1">
      <alignment horizontal="center" vertical="center"/>
    </xf>
    <xf numFmtId="3" fontId="39" fillId="0" borderId="213" xfId="1" applyNumberFormat="1" applyFont="1" applyFill="1" applyBorder="1" applyAlignment="1" applyProtection="1">
      <alignment horizontal="center" vertical="center"/>
      <protection locked="0"/>
    </xf>
    <xf numFmtId="3" fontId="41" fillId="11" borderId="170" xfId="1" applyNumberFormat="1" applyFont="1" applyFill="1" applyBorder="1" applyAlignment="1">
      <alignment horizontal="center" vertical="center"/>
    </xf>
    <xf numFmtId="3" fontId="41" fillId="11" borderId="99" xfId="1" applyNumberFormat="1" applyFont="1" applyFill="1" applyBorder="1" applyAlignment="1">
      <alignment horizontal="center" vertical="center"/>
    </xf>
    <xf numFmtId="3" fontId="41" fillId="11" borderId="100" xfId="1" applyNumberFormat="1" applyFont="1" applyFill="1" applyBorder="1" applyAlignment="1">
      <alignment horizontal="center" vertical="center"/>
    </xf>
    <xf numFmtId="3" fontId="39" fillId="0" borderId="145" xfId="1" applyNumberFormat="1" applyFont="1" applyFill="1" applyBorder="1" applyAlignment="1" applyProtection="1">
      <alignment horizontal="center" vertical="center"/>
      <protection locked="0"/>
    </xf>
    <xf numFmtId="3" fontId="39" fillId="0" borderId="146" xfId="1" applyNumberFormat="1" applyFont="1" applyFill="1" applyBorder="1" applyAlignment="1" applyProtection="1">
      <alignment horizontal="center" vertical="center"/>
      <protection locked="0"/>
    </xf>
    <xf numFmtId="0" fontId="52" fillId="11" borderId="0" xfId="21" applyFont="1" applyFill="1" applyAlignment="1">
      <alignment horizontal="center"/>
    </xf>
    <xf numFmtId="0" fontId="52" fillId="11" borderId="27" xfId="21" applyFont="1" applyFill="1" applyBorder="1" applyAlignment="1">
      <alignment horizontal="center"/>
    </xf>
    <xf numFmtId="0" fontId="48" fillId="11" borderId="46" xfId="0" applyFont="1" applyFill="1" applyBorder="1" applyAlignment="1">
      <alignment horizontal="center" vertical="center" shrinkToFit="1"/>
    </xf>
    <xf numFmtId="0" fontId="48" fillId="11" borderId="47" xfId="0" applyFont="1" applyFill="1" applyBorder="1" applyAlignment="1">
      <alignment horizontal="center" vertical="center" shrinkToFit="1"/>
    </xf>
    <xf numFmtId="0" fontId="48" fillId="11" borderId="52" xfId="0" applyFont="1" applyFill="1" applyBorder="1" applyAlignment="1">
      <alignment horizontal="center" vertical="center" shrinkToFit="1"/>
    </xf>
    <xf numFmtId="3" fontId="39" fillId="0" borderId="360" xfId="1" applyNumberFormat="1" applyFont="1" applyFill="1" applyBorder="1" applyAlignment="1" applyProtection="1">
      <alignment horizontal="center" vertical="center"/>
      <protection locked="0"/>
    </xf>
    <xf numFmtId="3" fontId="39" fillId="0" borderId="147" xfId="1" applyNumberFormat="1" applyFont="1" applyFill="1" applyBorder="1" applyAlignment="1" applyProtection="1">
      <alignment horizontal="center" vertical="center"/>
      <protection locked="0"/>
    </xf>
    <xf numFmtId="0" fontId="41" fillId="11" borderId="120" xfId="0" applyFont="1" applyFill="1" applyBorder="1" applyAlignment="1">
      <alignment horizontal="center" vertical="center" wrapText="1"/>
    </xf>
    <xf numFmtId="0" fontId="41" fillId="11" borderId="72" xfId="0" applyFont="1" applyFill="1" applyBorder="1" applyAlignment="1">
      <alignment horizontal="center" vertical="center" wrapText="1"/>
    </xf>
    <xf numFmtId="0" fontId="41" fillId="11" borderId="74" xfId="0" applyFont="1" applyFill="1" applyBorder="1" applyAlignment="1">
      <alignment horizontal="center" vertical="center" wrapText="1"/>
    </xf>
    <xf numFmtId="0" fontId="41" fillId="11" borderId="24" xfId="0" applyFont="1" applyFill="1" applyBorder="1" applyAlignment="1">
      <alignment horizontal="center" vertical="center" wrapText="1"/>
    </xf>
    <xf numFmtId="0" fontId="41" fillId="11" borderId="0" xfId="0" applyFont="1" applyFill="1" applyAlignment="1">
      <alignment horizontal="center" vertical="center" wrapText="1"/>
    </xf>
    <xf numFmtId="0" fontId="41" fillId="11" borderId="38" xfId="0" applyFont="1" applyFill="1" applyBorder="1" applyAlignment="1">
      <alignment horizontal="center" vertical="center" wrapText="1"/>
    </xf>
    <xf numFmtId="0" fontId="43" fillId="11" borderId="71" xfId="0" applyFont="1" applyFill="1" applyBorder="1" applyAlignment="1">
      <alignment horizontal="center" vertical="center" wrapText="1"/>
    </xf>
    <xf numFmtId="0" fontId="43" fillId="11" borderId="72" xfId="0" applyFont="1" applyFill="1" applyBorder="1" applyAlignment="1">
      <alignment horizontal="center" vertical="center" wrapText="1"/>
    </xf>
    <xf numFmtId="0" fontId="43" fillId="11" borderId="137" xfId="0" applyFont="1" applyFill="1" applyBorder="1" applyAlignment="1">
      <alignment horizontal="center" vertical="center" wrapText="1"/>
    </xf>
    <xf numFmtId="0" fontId="43" fillId="11" borderId="67" xfId="0" applyFont="1" applyFill="1" applyBorder="1" applyAlignment="1">
      <alignment horizontal="center" vertical="center" wrapText="1"/>
    </xf>
    <xf numFmtId="0" fontId="43" fillId="11" borderId="0" xfId="0" applyFont="1" applyFill="1" applyAlignment="1">
      <alignment horizontal="center" vertical="center" wrapText="1"/>
    </xf>
    <xf numFmtId="0" fontId="43" fillId="11" borderId="138" xfId="0" applyFont="1" applyFill="1" applyBorder="1" applyAlignment="1">
      <alignment horizontal="center" vertical="center" wrapText="1"/>
    </xf>
    <xf numFmtId="0" fontId="43" fillId="11" borderId="139" xfId="0" applyFont="1" applyFill="1" applyBorder="1" applyAlignment="1">
      <alignment horizontal="center" vertical="center" wrapText="1"/>
    </xf>
    <xf numFmtId="0" fontId="43" fillId="11" borderId="73" xfId="0" applyFont="1" applyFill="1" applyBorder="1" applyAlignment="1">
      <alignment horizontal="center" vertical="center" wrapText="1"/>
    </xf>
    <xf numFmtId="0" fontId="43" fillId="11" borderId="70" xfId="0" applyFont="1" applyFill="1" applyBorder="1" applyAlignment="1">
      <alignment horizontal="center" vertical="center" wrapText="1"/>
    </xf>
    <xf numFmtId="0" fontId="43" fillId="11" borderId="69" xfId="0" applyFont="1" applyFill="1" applyBorder="1" applyAlignment="1">
      <alignment horizontal="center" vertical="center" wrapText="1"/>
    </xf>
    <xf numFmtId="0" fontId="43" fillId="11" borderId="98" xfId="0" applyFont="1" applyFill="1" applyBorder="1" applyAlignment="1">
      <alignment horizontal="center" vertical="center" wrapText="1"/>
    </xf>
    <xf numFmtId="0" fontId="43" fillId="11" borderId="68" xfId="0" applyFont="1" applyFill="1" applyBorder="1" applyAlignment="1">
      <alignment horizontal="center" vertical="center" wrapText="1"/>
    </xf>
    <xf numFmtId="0" fontId="77" fillId="11" borderId="13" xfId="0" applyFont="1" applyFill="1" applyBorder="1" applyAlignment="1">
      <alignment horizontal="center" vertical="center" wrapText="1"/>
    </xf>
    <xf numFmtId="0" fontId="77" fillId="11" borderId="8" xfId="0" applyFont="1" applyFill="1" applyBorder="1" applyAlignment="1">
      <alignment horizontal="center" vertical="center" wrapText="1"/>
    </xf>
    <xf numFmtId="0" fontId="77" fillId="11" borderId="14" xfId="0" applyFont="1" applyFill="1" applyBorder="1" applyAlignment="1">
      <alignment horizontal="center" vertical="center" wrapText="1"/>
    </xf>
    <xf numFmtId="0" fontId="77" fillId="11" borderId="15" xfId="0" applyFont="1" applyFill="1" applyBorder="1" applyAlignment="1">
      <alignment horizontal="center" vertical="center" wrapText="1"/>
    </xf>
    <xf numFmtId="0" fontId="77" fillId="11" borderId="16" xfId="0" applyFont="1" applyFill="1" applyBorder="1" applyAlignment="1">
      <alignment horizontal="center" vertical="center" wrapText="1"/>
    </xf>
    <xf numFmtId="0" fontId="77" fillId="11" borderId="7" xfId="0" applyFont="1" applyFill="1" applyBorder="1" applyAlignment="1">
      <alignment horizontal="center" vertical="center"/>
    </xf>
    <xf numFmtId="0" fontId="77" fillId="11" borderId="8" xfId="0" applyFont="1" applyFill="1" applyBorder="1" applyAlignment="1">
      <alignment horizontal="center" vertical="center"/>
    </xf>
    <xf numFmtId="0" fontId="77" fillId="11" borderId="12" xfId="0" applyFont="1" applyFill="1" applyBorder="1" applyAlignment="1">
      <alignment horizontal="center" vertical="center"/>
    </xf>
    <xf numFmtId="0" fontId="77" fillId="11" borderId="136" xfId="0" applyFont="1" applyFill="1" applyBorder="1" applyAlignment="1">
      <alignment horizontal="center" vertical="center" wrapText="1"/>
    </xf>
    <xf numFmtId="0" fontId="77" fillId="11" borderId="9" xfId="0" applyFont="1" applyFill="1" applyBorder="1" applyAlignment="1">
      <alignment horizontal="center" vertical="center" wrapText="1"/>
    </xf>
    <xf numFmtId="0" fontId="77" fillId="11" borderId="12" xfId="0" applyFont="1" applyFill="1" applyBorder="1" applyAlignment="1">
      <alignment horizontal="center" vertical="center" wrapText="1"/>
    </xf>
    <xf numFmtId="0" fontId="41" fillId="11" borderId="94" xfId="22" applyFont="1" applyFill="1" applyBorder="1" applyAlignment="1">
      <alignment horizontal="center" vertical="center" wrapText="1"/>
    </xf>
    <xf numFmtId="0" fontId="41" fillId="11" borderId="97" xfId="22" applyFont="1" applyFill="1" applyBorder="1" applyAlignment="1">
      <alignment horizontal="center" vertical="center" wrapText="1"/>
    </xf>
    <xf numFmtId="0" fontId="48" fillId="11" borderId="71" xfId="0" applyFont="1" applyFill="1" applyBorder="1" applyAlignment="1">
      <alignment horizontal="center" vertical="center" wrapText="1"/>
    </xf>
    <xf numFmtId="0" fontId="48" fillId="11" borderId="72" xfId="0" applyFont="1" applyFill="1" applyBorder="1" applyAlignment="1">
      <alignment horizontal="center" vertical="center" wrapText="1"/>
    </xf>
    <xf numFmtId="0" fontId="48" fillId="11" borderId="74" xfId="0" applyFont="1" applyFill="1" applyBorder="1" applyAlignment="1">
      <alignment horizontal="center" vertical="center" wrapText="1"/>
    </xf>
    <xf numFmtId="0" fontId="48" fillId="11" borderId="67" xfId="0" applyFont="1" applyFill="1" applyBorder="1" applyAlignment="1">
      <alignment horizontal="center" vertical="center" wrapText="1"/>
    </xf>
    <xf numFmtId="0" fontId="48" fillId="11" borderId="0" xfId="0" applyFont="1" applyFill="1" applyAlignment="1">
      <alignment horizontal="center" vertical="center" wrapText="1"/>
    </xf>
    <xf numFmtId="0" fontId="48" fillId="11" borderId="38" xfId="0" applyFont="1" applyFill="1" applyBorder="1" applyAlignment="1">
      <alignment horizontal="center" vertical="center" wrapText="1"/>
    </xf>
    <xf numFmtId="0" fontId="41" fillId="11" borderId="71" xfId="0" applyFont="1" applyFill="1" applyBorder="1" applyAlignment="1">
      <alignment horizontal="center" vertical="center" wrapText="1"/>
    </xf>
    <xf numFmtId="0" fontId="41" fillId="11" borderId="73" xfId="0" applyFont="1" applyFill="1" applyBorder="1" applyAlignment="1">
      <alignment horizontal="center" vertical="center" wrapText="1"/>
    </xf>
    <xf numFmtId="0" fontId="41" fillId="11" borderId="98" xfId="0" applyFont="1" applyFill="1" applyBorder="1" applyAlignment="1">
      <alignment horizontal="center" vertical="center" wrapText="1"/>
    </xf>
    <xf numFmtId="0" fontId="41" fillId="11" borderId="75" xfId="0" applyFont="1" applyFill="1" applyBorder="1" applyAlignment="1">
      <alignment horizontal="center" vertical="center" wrapText="1"/>
    </xf>
    <xf numFmtId="0" fontId="41" fillId="11" borderId="68" xfId="0" applyFont="1" applyFill="1" applyBorder="1" applyAlignment="1">
      <alignment horizontal="center" vertical="center" wrapText="1"/>
    </xf>
    <xf numFmtId="0" fontId="41" fillId="11" borderId="76" xfId="0" applyFont="1" applyFill="1" applyBorder="1" applyAlignment="1">
      <alignment horizontal="center" vertical="center" wrapText="1"/>
    </xf>
    <xf numFmtId="0" fontId="77" fillId="11" borderId="7" xfId="0" applyFont="1" applyFill="1" applyBorder="1" applyAlignment="1">
      <alignment horizontal="center" vertical="center" wrapText="1"/>
    </xf>
    <xf numFmtId="0" fontId="41" fillId="11" borderId="22" xfId="22" applyFont="1" applyFill="1" applyBorder="1" applyAlignment="1">
      <alignment horizontal="center" vertical="center" wrapText="1"/>
    </xf>
    <xf numFmtId="0" fontId="41" fillId="11" borderId="134" xfId="22" applyFont="1" applyFill="1" applyBorder="1" applyAlignment="1">
      <alignment horizontal="center" vertical="center" wrapText="1"/>
    </xf>
    <xf numFmtId="0" fontId="41" fillId="11" borderId="140" xfId="22" applyFont="1" applyFill="1" applyBorder="1" applyAlignment="1">
      <alignment horizontal="center" vertical="center" wrapText="1"/>
    </xf>
    <xf numFmtId="3" fontId="39" fillId="0" borderId="143" xfId="1" applyNumberFormat="1" applyFont="1" applyFill="1" applyBorder="1" applyAlignment="1" applyProtection="1">
      <alignment horizontal="center" vertical="center"/>
      <protection locked="0"/>
    </xf>
    <xf numFmtId="3" fontId="41" fillId="11" borderId="48" xfId="22" applyNumberFormat="1" applyFont="1" applyFill="1" applyBorder="1" applyAlignment="1">
      <alignment horizontal="center" vertical="center" wrapText="1" shrinkToFit="1"/>
    </xf>
    <xf numFmtId="3" fontId="41" fillId="11" borderId="47" xfId="22" applyNumberFormat="1" applyFont="1" applyFill="1" applyBorder="1" applyAlignment="1">
      <alignment horizontal="center" vertical="center" wrapText="1" shrinkToFit="1"/>
    </xf>
    <xf numFmtId="3" fontId="41" fillId="11" borderId="50" xfId="22" applyNumberFormat="1" applyFont="1" applyFill="1" applyBorder="1" applyAlignment="1">
      <alignment horizontal="center" vertical="center" wrapText="1" shrinkToFit="1"/>
    </xf>
    <xf numFmtId="3" fontId="41" fillId="11" borderId="51" xfId="22" applyNumberFormat="1" applyFont="1" applyFill="1" applyBorder="1" applyAlignment="1">
      <alignment horizontal="center" vertical="center" wrapText="1" shrinkToFit="1"/>
    </xf>
    <xf numFmtId="3" fontId="41" fillId="11" borderId="52" xfId="22" applyNumberFormat="1" applyFont="1" applyFill="1" applyBorder="1" applyAlignment="1">
      <alignment horizontal="center" vertical="center" wrapText="1" shrinkToFit="1"/>
    </xf>
    <xf numFmtId="3" fontId="41" fillId="11" borderId="58" xfId="94" applyNumberFormat="1" applyFont="1" applyFill="1" applyBorder="1" applyAlignment="1">
      <alignment horizontal="center" vertical="center" wrapText="1" shrinkToFit="1"/>
    </xf>
    <xf numFmtId="3" fontId="41" fillId="11" borderId="66" xfId="94" applyNumberFormat="1" applyFont="1" applyFill="1" applyBorder="1" applyAlignment="1">
      <alignment horizontal="center" vertical="center" wrapText="1" shrinkToFit="1"/>
    </xf>
    <xf numFmtId="3" fontId="41" fillId="11" borderId="64" xfId="22" applyNumberFormat="1" applyFont="1" applyFill="1" applyBorder="1" applyAlignment="1">
      <alignment horizontal="center" vertical="center" wrapText="1" shrinkToFit="1"/>
    </xf>
    <xf numFmtId="3" fontId="41" fillId="11" borderId="58" xfId="22" applyNumberFormat="1" applyFont="1" applyFill="1" applyBorder="1" applyAlignment="1">
      <alignment horizontal="center" vertical="center" wrapText="1" shrinkToFit="1"/>
    </xf>
    <xf numFmtId="3" fontId="41" fillId="11" borderId="92" xfId="22" applyNumberFormat="1" applyFont="1" applyFill="1" applyBorder="1" applyAlignment="1">
      <alignment horizontal="center" vertical="center" wrapText="1" shrinkToFit="1"/>
    </xf>
    <xf numFmtId="3" fontId="41" fillId="11" borderId="93" xfId="22" applyNumberFormat="1" applyFont="1" applyFill="1" applyBorder="1" applyAlignment="1">
      <alignment horizontal="center" vertical="center" wrapText="1" shrinkToFit="1"/>
    </xf>
    <xf numFmtId="3" fontId="41" fillId="11" borderId="55" xfId="22" applyNumberFormat="1" applyFont="1" applyFill="1" applyBorder="1" applyAlignment="1">
      <alignment horizontal="center" vertical="center" wrapText="1" shrinkToFit="1"/>
    </xf>
    <xf numFmtId="3" fontId="41" fillId="11" borderId="186" xfId="94" applyNumberFormat="1" applyFont="1" applyFill="1" applyBorder="1" applyAlignment="1">
      <alignment horizontal="center" vertical="center" wrapText="1" shrinkToFit="1"/>
    </xf>
    <xf numFmtId="3" fontId="41" fillId="11" borderId="209" xfId="94" applyNumberFormat="1" applyFont="1" applyFill="1" applyBorder="1" applyAlignment="1">
      <alignment horizontal="center" vertical="center" wrapText="1" shrinkToFit="1"/>
    </xf>
    <xf numFmtId="3" fontId="41" fillId="11" borderId="54" xfId="22" applyNumberFormat="1" applyFont="1" applyFill="1" applyBorder="1" applyAlignment="1">
      <alignment horizontal="center" vertical="center" wrapText="1" shrinkToFit="1"/>
    </xf>
    <xf numFmtId="3" fontId="41" fillId="11" borderId="186" xfId="22" applyNumberFormat="1" applyFont="1" applyFill="1" applyBorder="1" applyAlignment="1">
      <alignment horizontal="center" vertical="center" wrapText="1" shrinkToFit="1"/>
    </xf>
    <xf numFmtId="3" fontId="41" fillId="11" borderId="212" xfId="22" applyNumberFormat="1" applyFont="1" applyFill="1" applyBorder="1" applyAlignment="1">
      <alignment horizontal="center" vertical="center" wrapText="1" shrinkToFit="1"/>
    </xf>
    <xf numFmtId="3" fontId="41" fillId="11" borderId="210" xfId="22" applyNumberFormat="1" applyFont="1" applyFill="1" applyBorder="1" applyAlignment="1">
      <alignment horizontal="center" vertical="center" wrapText="1" shrinkToFit="1"/>
    </xf>
    <xf numFmtId="3" fontId="41" fillId="11" borderId="185" xfId="22" applyNumberFormat="1" applyFont="1" applyFill="1" applyBorder="1" applyAlignment="1">
      <alignment horizontal="center" vertical="center" wrapText="1" shrinkToFit="1"/>
    </xf>
    <xf numFmtId="3" fontId="41" fillId="11" borderId="47" xfId="94" applyNumberFormat="1" applyFont="1" applyFill="1" applyBorder="1" applyAlignment="1">
      <alignment horizontal="center" vertical="center" wrapText="1" shrinkToFit="1"/>
    </xf>
    <xf numFmtId="3" fontId="41" fillId="11" borderId="49" xfId="94" applyNumberFormat="1" applyFont="1" applyFill="1" applyBorder="1" applyAlignment="1">
      <alignment horizontal="center" vertical="center" wrapText="1" shrinkToFit="1"/>
    </xf>
    <xf numFmtId="3" fontId="41" fillId="11" borderId="72" xfId="94" applyNumberFormat="1" applyFont="1" applyFill="1" applyBorder="1" applyAlignment="1">
      <alignment horizontal="center" vertical="center" wrapText="1" shrinkToFit="1"/>
    </xf>
    <xf numFmtId="3" fontId="41" fillId="11" borderId="73" xfId="94" applyNumberFormat="1" applyFont="1" applyFill="1" applyBorder="1" applyAlignment="1">
      <alignment horizontal="center" vertical="center" wrapText="1" shrinkToFit="1"/>
    </xf>
    <xf numFmtId="3" fontId="41" fillId="11" borderId="98" xfId="22" applyNumberFormat="1" applyFont="1" applyFill="1" applyBorder="1" applyAlignment="1">
      <alignment horizontal="center" vertical="center" wrapText="1" shrinkToFit="1"/>
    </xf>
    <xf numFmtId="3" fontId="41" fillId="11" borderId="72" xfId="22" applyNumberFormat="1" applyFont="1" applyFill="1" applyBorder="1" applyAlignment="1">
      <alignment horizontal="center" vertical="center" wrapText="1" shrinkToFit="1"/>
    </xf>
    <xf numFmtId="3" fontId="41" fillId="11" borderId="75" xfId="22" applyNumberFormat="1" applyFont="1" applyFill="1" applyBorder="1" applyAlignment="1">
      <alignment horizontal="center" vertical="center" wrapText="1" shrinkToFit="1"/>
    </xf>
    <xf numFmtId="3" fontId="41" fillId="11" borderId="120" xfId="22" applyNumberFormat="1" applyFont="1" applyFill="1" applyBorder="1" applyAlignment="1">
      <alignment horizontal="center" vertical="center" wrapText="1" shrinkToFit="1"/>
    </xf>
    <xf numFmtId="3" fontId="41" fillId="11" borderId="74" xfId="22" applyNumberFormat="1" applyFont="1" applyFill="1" applyBorder="1" applyAlignment="1">
      <alignment horizontal="center" vertical="center" wrapText="1" shrinkToFit="1"/>
    </xf>
    <xf numFmtId="3" fontId="39" fillId="0" borderId="64" xfId="22" applyNumberFormat="1" applyBorder="1" applyAlignment="1" applyProtection="1">
      <alignment horizontal="center" vertical="center" wrapText="1" shrinkToFit="1"/>
      <protection locked="0"/>
    </xf>
    <xf numFmtId="3" fontId="39" fillId="0" borderId="58" xfId="22" applyNumberFormat="1" applyBorder="1" applyAlignment="1" applyProtection="1">
      <alignment horizontal="center" vertical="center" wrapText="1" shrinkToFit="1"/>
      <protection locked="0"/>
    </xf>
    <xf numFmtId="3" fontId="39" fillId="0" borderId="92" xfId="22" applyNumberFormat="1" applyBorder="1" applyAlignment="1" applyProtection="1">
      <alignment horizontal="center" vertical="center" wrapText="1" shrinkToFit="1"/>
      <protection locked="0"/>
    </xf>
    <xf numFmtId="3" fontId="39" fillId="0" borderId="61" xfId="94" applyNumberFormat="1" applyFont="1" applyBorder="1" applyAlignment="1" applyProtection="1">
      <alignment horizontal="center" vertical="center" wrapText="1" shrinkToFit="1"/>
      <protection locked="0"/>
    </xf>
    <xf numFmtId="3" fontId="39" fillId="0" borderId="186" xfId="94" applyNumberFormat="1" applyFont="1" applyBorder="1" applyAlignment="1" applyProtection="1">
      <alignment horizontal="center" vertical="center" wrapText="1" shrinkToFit="1"/>
      <protection locked="0"/>
    </xf>
    <xf numFmtId="3" fontId="39" fillId="0" borderId="209" xfId="94" applyNumberFormat="1" applyFont="1" applyBorder="1" applyAlignment="1" applyProtection="1">
      <alignment horizontal="center" vertical="center" wrapText="1" shrinkToFit="1"/>
      <protection locked="0"/>
    </xf>
    <xf numFmtId="3" fontId="39" fillId="0" borderId="54" xfId="22" applyNumberFormat="1" applyBorder="1" applyAlignment="1" applyProtection="1">
      <alignment horizontal="center" vertical="center" wrapText="1" shrinkToFit="1"/>
      <protection locked="0"/>
    </xf>
    <xf numFmtId="3" fontId="39" fillId="0" borderId="186" xfId="22" applyNumberFormat="1" applyBorder="1" applyAlignment="1" applyProtection="1">
      <alignment horizontal="center" vertical="center" wrapText="1" shrinkToFit="1"/>
      <protection locked="0"/>
    </xf>
    <xf numFmtId="3" fontId="39" fillId="0" borderId="212" xfId="22" applyNumberFormat="1" applyBorder="1" applyAlignment="1" applyProtection="1">
      <alignment horizontal="center" vertical="center" wrapText="1" shrinkToFit="1"/>
      <protection locked="0"/>
    </xf>
    <xf numFmtId="3" fontId="39" fillId="0" borderId="71" xfId="94" applyNumberFormat="1" applyFont="1" applyBorder="1" applyAlignment="1" applyProtection="1">
      <alignment horizontal="center" vertical="center" wrapText="1" shrinkToFit="1"/>
      <protection locked="0"/>
    </xf>
    <xf numFmtId="3" fontId="39" fillId="0" borderId="72" xfId="94" applyNumberFormat="1" applyFont="1" applyBorder="1" applyAlignment="1" applyProtection="1">
      <alignment horizontal="center" vertical="center" wrapText="1" shrinkToFit="1"/>
      <protection locked="0"/>
    </xf>
    <xf numFmtId="3" fontId="39" fillId="0" borderId="73" xfId="94" applyNumberFormat="1" applyFont="1" applyBorder="1" applyAlignment="1" applyProtection="1">
      <alignment horizontal="center" vertical="center" wrapText="1" shrinkToFit="1"/>
      <protection locked="0"/>
    </xf>
    <xf numFmtId="3" fontId="39" fillId="0" borderId="98" xfId="22" applyNumberFormat="1" applyBorder="1" applyAlignment="1" applyProtection="1">
      <alignment horizontal="center" vertical="center" wrapText="1" shrinkToFit="1"/>
      <protection locked="0"/>
    </xf>
    <xf numFmtId="3" fontId="39" fillId="0" borderId="72" xfId="22" applyNumberFormat="1" applyBorder="1" applyAlignment="1" applyProtection="1">
      <alignment horizontal="center" vertical="center" wrapText="1" shrinkToFit="1"/>
      <protection locked="0"/>
    </xf>
    <xf numFmtId="3" fontId="39" fillId="0" borderId="75" xfId="22" applyNumberFormat="1" applyBorder="1" applyAlignment="1" applyProtection="1">
      <alignment horizontal="center" vertical="center" wrapText="1" shrinkToFit="1"/>
      <protection locked="0"/>
    </xf>
    <xf numFmtId="3" fontId="41" fillId="11" borderId="46" xfId="94" applyNumberFormat="1" applyFont="1" applyFill="1" applyBorder="1" applyAlignment="1">
      <alignment horizontal="center" vertical="center" wrapText="1" shrinkToFit="1"/>
    </xf>
    <xf numFmtId="3" fontId="39" fillId="0" borderId="2" xfId="94" applyNumberFormat="1" applyFont="1" applyBorder="1" applyAlignment="1" applyProtection="1">
      <alignment horizontal="center" vertical="center" wrapText="1" shrinkToFit="1"/>
      <protection locked="0"/>
    </xf>
    <xf numFmtId="3" fontId="39" fillId="0" borderId="58" xfId="94" applyNumberFormat="1" applyFont="1" applyBorder="1" applyAlignment="1" applyProtection="1">
      <alignment horizontal="center" vertical="center" wrapText="1" shrinkToFit="1"/>
      <protection locked="0"/>
    </xf>
    <xf numFmtId="3" fontId="39" fillId="0" borderId="66" xfId="94" applyNumberFormat="1" applyFont="1" applyBorder="1" applyAlignment="1" applyProtection="1">
      <alignment horizontal="center" vertical="center" wrapText="1" shrinkToFit="1"/>
      <protection locked="0"/>
    </xf>
    <xf numFmtId="0" fontId="41" fillId="11" borderId="0" xfId="22" applyFont="1" applyFill="1" applyAlignment="1">
      <alignment horizontal="center" vertical="center" wrapText="1" shrinkToFit="1"/>
    </xf>
    <xf numFmtId="0" fontId="41" fillId="11" borderId="17" xfId="22" applyFont="1" applyFill="1" applyBorder="1" applyAlignment="1">
      <alignment horizontal="center" vertical="center" wrapText="1" shrinkToFit="1"/>
    </xf>
    <xf numFmtId="0" fontId="41" fillId="11" borderId="10" xfId="22" applyFont="1" applyFill="1" applyBorder="1" applyAlignment="1">
      <alignment horizontal="center" vertical="center" wrapText="1" shrinkToFit="1"/>
    </xf>
    <xf numFmtId="0" fontId="41" fillId="11" borderId="22" xfId="22" applyFont="1" applyFill="1" applyBorder="1" applyAlignment="1">
      <alignment horizontal="center" vertical="center" wrapText="1" shrinkToFit="1"/>
    </xf>
    <xf numFmtId="0" fontId="39" fillId="11" borderId="0" xfId="11" applyFont="1" applyFill="1" applyAlignment="1">
      <alignment horizontal="justify" vertical="top" wrapText="1"/>
    </xf>
    <xf numFmtId="0" fontId="45" fillId="11" borderId="0" xfId="11" applyFont="1" applyFill="1" applyAlignment="1">
      <alignment horizontal="justify"/>
    </xf>
    <xf numFmtId="0" fontId="39" fillId="11" borderId="0" xfId="11" applyFont="1" applyFill="1" applyAlignment="1">
      <alignment horizontal="justify"/>
    </xf>
    <xf numFmtId="0" fontId="39" fillId="11" borderId="0" xfId="11" applyFont="1" applyFill="1" applyAlignment="1">
      <alignment horizontal="left"/>
    </xf>
    <xf numFmtId="0" fontId="41" fillId="11" borderId="119" xfId="22" applyFont="1" applyFill="1" applyBorder="1" applyAlignment="1">
      <alignment horizontal="center" vertical="center" wrapText="1" shrinkToFit="1"/>
    </xf>
    <xf numFmtId="0" fontId="41" fillId="11" borderId="94" xfId="22" applyFont="1" applyFill="1" applyBorder="1" applyAlignment="1">
      <alignment horizontal="center" vertical="center" wrapText="1" shrinkToFit="1"/>
    </xf>
    <xf numFmtId="0" fontId="41" fillId="11" borderId="140" xfId="22" applyFont="1" applyFill="1" applyBorder="1" applyAlignment="1">
      <alignment horizontal="center" vertical="center" wrapText="1" shrinkToFit="1"/>
    </xf>
    <xf numFmtId="0" fontId="41" fillId="11" borderId="118" xfId="22" applyFont="1" applyFill="1" applyBorder="1" applyAlignment="1">
      <alignment horizontal="center" vertical="center" wrapText="1" shrinkToFit="1"/>
    </xf>
    <xf numFmtId="0" fontId="41" fillId="11" borderId="59" xfId="22" applyFont="1" applyFill="1" applyBorder="1" applyAlignment="1">
      <alignment horizontal="center" vertical="center" wrapText="1" shrinkToFit="1"/>
    </xf>
    <xf numFmtId="0" fontId="41" fillId="11" borderId="97" xfId="22" applyFont="1" applyFill="1" applyBorder="1" applyAlignment="1">
      <alignment horizontal="center" vertical="center" wrapText="1" shrinkToFit="1"/>
    </xf>
    <xf numFmtId="0" fontId="41" fillId="11" borderId="6" xfId="22" applyFont="1" applyFill="1" applyBorder="1" applyAlignment="1">
      <alignment horizontal="center" vertical="center" wrapText="1" shrinkToFit="1"/>
    </xf>
    <xf numFmtId="0" fontId="41" fillId="11" borderId="27" xfId="22" applyFont="1" applyFill="1" applyBorder="1" applyAlignment="1">
      <alignment horizontal="center" vertical="center" wrapText="1" shrinkToFit="1"/>
    </xf>
    <xf numFmtId="0" fontId="41" fillId="11" borderId="33" xfId="22" applyFont="1" applyFill="1" applyBorder="1" applyAlignment="1">
      <alignment horizontal="center" vertical="center" wrapText="1" shrinkToFit="1"/>
    </xf>
    <xf numFmtId="0" fontId="41" fillId="11" borderId="31" xfId="22" applyFont="1" applyFill="1" applyBorder="1" applyAlignment="1">
      <alignment horizontal="center" vertical="center" wrapText="1" shrinkToFit="1"/>
    </xf>
    <xf numFmtId="0" fontId="41" fillId="11" borderId="96" xfId="22" applyFont="1" applyFill="1" applyBorder="1" applyAlignment="1">
      <alignment horizontal="center" vertical="center" wrapText="1" shrinkToFit="1"/>
    </xf>
    <xf numFmtId="3" fontId="41" fillId="11" borderId="46" xfId="22" applyNumberFormat="1" applyFont="1" applyFill="1" applyBorder="1" applyAlignment="1">
      <alignment horizontal="center" vertical="center" wrapText="1"/>
    </xf>
    <xf numFmtId="3" fontId="41" fillId="11" borderId="47" xfId="22" applyNumberFormat="1" applyFont="1" applyFill="1" applyBorder="1" applyAlignment="1">
      <alignment horizontal="center" vertical="center" wrapText="1"/>
    </xf>
    <xf numFmtId="3" fontId="41" fillId="11" borderId="49" xfId="22" applyNumberFormat="1" applyFont="1" applyFill="1" applyBorder="1" applyAlignment="1">
      <alignment horizontal="center" vertical="center" wrapText="1"/>
    </xf>
    <xf numFmtId="3" fontId="41" fillId="11" borderId="48" xfId="22" applyNumberFormat="1" applyFont="1" applyFill="1" applyBorder="1" applyAlignment="1">
      <alignment horizontal="center" vertical="center" wrapText="1"/>
    </xf>
    <xf numFmtId="3" fontId="41" fillId="11" borderId="50" xfId="22" applyNumberFormat="1" applyFont="1" applyFill="1" applyBorder="1" applyAlignment="1">
      <alignment horizontal="center" vertical="center" wrapText="1"/>
    </xf>
    <xf numFmtId="3" fontId="41" fillId="11" borderId="51" xfId="22" applyNumberFormat="1" applyFont="1" applyFill="1" applyBorder="1" applyAlignment="1">
      <alignment horizontal="center" vertical="center" wrapText="1"/>
    </xf>
    <xf numFmtId="3" fontId="41" fillId="11" borderId="52" xfId="22" applyNumberFormat="1" applyFont="1" applyFill="1" applyBorder="1" applyAlignment="1">
      <alignment horizontal="center" vertical="center" wrapText="1"/>
    </xf>
    <xf numFmtId="0" fontId="45" fillId="11" borderId="0" xfId="12" applyFont="1" applyFill="1" applyAlignment="1">
      <alignment horizontal="justify" vertical="center" wrapText="1"/>
    </xf>
    <xf numFmtId="0" fontId="45" fillId="11" borderId="0" xfId="12" applyFont="1" applyFill="1" applyAlignment="1">
      <alignment horizontal="justify" vertical="top" wrapText="1"/>
    </xf>
    <xf numFmtId="0" fontId="45" fillId="11" borderId="0" xfId="22" applyFont="1" applyFill="1" applyAlignment="1">
      <alignment horizontal="justify" vertical="top" wrapText="1"/>
    </xf>
    <xf numFmtId="0" fontId="45" fillId="11" borderId="0" xfId="12" applyFont="1" applyFill="1" applyAlignment="1">
      <alignment wrapText="1"/>
    </xf>
    <xf numFmtId="0" fontId="45" fillId="11" borderId="0" xfId="12" applyFont="1" applyFill="1" applyAlignment="1">
      <alignment horizontal="left" vertical="top" wrapText="1"/>
    </xf>
    <xf numFmtId="0" fontId="147" fillId="11" borderId="0" xfId="22" applyFont="1" applyFill="1" applyAlignment="1">
      <alignment horizontal="left" vertical="center" wrapText="1"/>
    </xf>
    <xf numFmtId="0" fontId="147" fillId="11" borderId="72" xfId="22" applyFont="1" applyFill="1" applyBorder="1" applyAlignment="1">
      <alignment horizontal="left" vertical="top" wrapText="1"/>
    </xf>
    <xf numFmtId="0" fontId="41" fillId="11" borderId="71" xfId="22" applyFont="1" applyFill="1" applyBorder="1" applyAlignment="1">
      <alignment horizontal="center" vertical="center" wrapText="1" shrinkToFit="1"/>
    </xf>
    <xf numFmtId="0" fontId="41" fillId="11" borderId="72" xfId="22" applyFont="1" applyFill="1" applyBorder="1" applyAlignment="1">
      <alignment horizontal="center" vertical="center" wrapText="1" shrinkToFit="1"/>
    </xf>
    <xf numFmtId="0" fontId="41" fillId="11" borderId="74" xfId="22" applyFont="1" applyFill="1" applyBorder="1" applyAlignment="1">
      <alignment horizontal="center" vertical="center" wrapText="1" shrinkToFit="1"/>
    </xf>
    <xf numFmtId="3" fontId="39" fillId="0" borderId="2" xfId="22" applyNumberFormat="1" applyBorder="1" applyAlignment="1" applyProtection="1">
      <alignment horizontal="center" vertical="center" wrapText="1" shrinkToFit="1"/>
      <protection locked="0"/>
    </xf>
    <xf numFmtId="3" fontId="39" fillId="0" borderId="66" xfId="22" applyNumberFormat="1" applyBorder="1" applyAlignment="1" applyProtection="1">
      <alignment horizontal="center" vertical="center" wrapText="1" shrinkToFit="1"/>
      <protection locked="0"/>
    </xf>
    <xf numFmtId="3" fontId="39" fillId="0" borderId="61" xfId="22" applyNumberFormat="1" applyBorder="1" applyAlignment="1" applyProtection="1">
      <alignment horizontal="center" vertical="center" wrapText="1" shrinkToFit="1"/>
      <protection locked="0"/>
    </xf>
    <xf numFmtId="3" fontId="39" fillId="0" borderId="209" xfId="22" applyNumberFormat="1" applyBorder="1" applyAlignment="1" applyProtection="1">
      <alignment horizontal="center" vertical="center" wrapText="1" shrinkToFit="1"/>
      <protection locked="0"/>
    </xf>
    <xf numFmtId="3" fontId="41" fillId="11" borderId="210" xfId="22" applyNumberFormat="1" applyFont="1" applyFill="1" applyBorder="1" applyAlignment="1">
      <alignment horizontal="center" vertical="center" wrapText="1"/>
    </xf>
    <xf numFmtId="3" fontId="41" fillId="11" borderId="186" xfId="22" applyNumberFormat="1" applyFont="1" applyFill="1" applyBorder="1" applyAlignment="1">
      <alignment horizontal="center" vertical="center" wrapText="1"/>
    </xf>
    <xf numFmtId="3" fontId="41" fillId="11" borderId="185" xfId="22" applyNumberFormat="1" applyFont="1" applyFill="1" applyBorder="1" applyAlignment="1">
      <alignment horizontal="center" vertical="center" wrapText="1"/>
    </xf>
    <xf numFmtId="3" fontId="39" fillId="0" borderId="83" xfId="22" applyNumberFormat="1" applyBorder="1" applyAlignment="1" applyProtection="1">
      <alignment horizontal="center" vertical="center" wrapText="1" shrinkToFit="1"/>
      <protection locked="0"/>
    </xf>
    <xf numFmtId="3" fontId="39" fillId="0" borderId="57" xfId="22" applyNumberFormat="1" applyBorder="1" applyAlignment="1" applyProtection="1">
      <alignment horizontal="center" vertical="center" wrapText="1" shrinkToFit="1"/>
      <protection locked="0"/>
    </xf>
    <xf numFmtId="3" fontId="39" fillId="0" borderId="89" xfId="22" applyNumberFormat="1" applyBorder="1" applyAlignment="1" applyProtection="1">
      <alignment horizontal="center" vertical="center" wrapText="1" shrinkToFit="1"/>
      <protection locked="0"/>
    </xf>
    <xf numFmtId="3" fontId="39" fillId="0" borderId="62" xfId="22" applyNumberFormat="1" applyBorder="1" applyAlignment="1" applyProtection="1">
      <alignment horizontal="center" vertical="center" wrapText="1" shrinkToFit="1"/>
      <protection locked="0"/>
    </xf>
    <xf numFmtId="3" fontId="39" fillId="0" borderId="90" xfId="22" applyNumberFormat="1" applyBorder="1" applyAlignment="1" applyProtection="1">
      <alignment horizontal="center" vertical="center" wrapText="1" shrinkToFit="1"/>
      <protection locked="0"/>
    </xf>
    <xf numFmtId="3" fontId="41" fillId="11" borderId="91" xfId="22" applyNumberFormat="1" applyFont="1" applyFill="1" applyBorder="1" applyAlignment="1">
      <alignment horizontal="center" vertical="center" wrapText="1" shrinkToFit="1"/>
    </xf>
    <xf numFmtId="3" fontId="41" fillId="11" borderId="57" xfId="22" applyNumberFormat="1" applyFont="1" applyFill="1" applyBorder="1" applyAlignment="1">
      <alignment horizontal="center" vertical="center" wrapText="1" shrinkToFit="1"/>
    </xf>
    <xf numFmtId="3" fontId="41" fillId="11" borderId="56" xfId="22" applyNumberFormat="1" applyFont="1" applyFill="1" applyBorder="1" applyAlignment="1">
      <alignment horizontal="center" vertical="center" wrapText="1" shrinkToFit="1"/>
    </xf>
    <xf numFmtId="3" fontId="39" fillId="0" borderId="61" xfId="22" applyNumberFormat="1" applyBorder="1" applyAlignment="1" applyProtection="1">
      <alignment horizontal="center" vertical="center" wrapText="1"/>
      <protection locked="0"/>
    </xf>
    <xf numFmtId="3" fontId="39" fillId="0" borderId="186" xfId="22" applyNumberFormat="1" applyBorder="1" applyAlignment="1" applyProtection="1">
      <alignment horizontal="center" vertical="center" wrapText="1"/>
      <protection locked="0"/>
    </xf>
    <xf numFmtId="3" fontId="39" fillId="0" borderId="209" xfId="22" applyNumberFormat="1" applyBorder="1" applyAlignment="1" applyProtection="1">
      <alignment horizontal="center" vertical="center" wrapText="1"/>
      <protection locked="0"/>
    </xf>
    <xf numFmtId="3" fontId="39" fillId="0" borderId="54" xfId="22" applyNumberFormat="1" applyBorder="1" applyAlignment="1" applyProtection="1">
      <alignment horizontal="center" vertical="center" wrapText="1"/>
      <protection locked="0"/>
    </xf>
    <xf numFmtId="3" fontId="39" fillId="0" borderId="212" xfId="22" applyNumberFormat="1" applyBorder="1" applyAlignment="1" applyProtection="1">
      <alignment horizontal="center" vertical="center" wrapText="1"/>
      <protection locked="0"/>
    </xf>
    <xf numFmtId="0" fontId="39" fillId="11" borderId="2" xfId="22" applyFill="1" applyBorder="1" applyAlignment="1">
      <alignment horizontal="left" vertical="center" wrapText="1" indent="1"/>
    </xf>
    <xf numFmtId="0" fontId="39" fillId="11" borderId="58" xfId="22" applyFill="1" applyBorder="1" applyAlignment="1">
      <alignment horizontal="left" vertical="center" wrapText="1" indent="1"/>
    </xf>
    <xf numFmtId="0" fontId="39" fillId="11" borderId="55" xfId="22" applyFill="1" applyBorder="1" applyAlignment="1">
      <alignment horizontal="left" vertical="center" wrapText="1" indent="1"/>
    </xf>
    <xf numFmtId="0" fontId="39" fillId="11" borderId="141" xfId="22" applyFill="1" applyBorder="1" applyAlignment="1">
      <alignment horizontal="left" vertical="center" wrapText="1" indent="1"/>
    </xf>
    <xf numFmtId="0" fontId="39" fillId="11" borderId="150" xfId="22" applyFill="1" applyBorder="1" applyAlignment="1">
      <alignment horizontal="left" vertical="center" wrapText="1" indent="1"/>
    </xf>
    <xf numFmtId="0" fontId="39" fillId="11" borderId="83" xfId="22" applyFill="1" applyBorder="1" applyAlignment="1">
      <alignment horizontal="left" vertical="center" wrapText="1" indent="1"/>
    </xf>
    <xf numFmtId="0" fontId="39" fillId="11" borderId="57" xfId="22" applyFill="1" applyBorder="1" applyAlignment="1">
      <alignment horizontal="left" vertical="center" wrapText="1" indent="1"/>
    </xf>
    <xf numFmtId="0" fontId="41" fillId="11" borderId="38" xfId="22" applyFont="1" applyFill="1" applyBorder="1" applyAlignment="1">
      <alignment horizontal="center" vertical="center"/>
    </xf>
    <xf numFmtId="0" fontId="41" fillId="11" borderId="16" xfId="22" applyFont="1" applyFill="1" applyBorder="1" applyAlignment="1">
      <alignment horizontal="center" vertical="center"/>
    </xf>
    <xf numFmtId="0" fontId="41" fillId="11" borderId="17" xfId="0" applyFont="1" applyFill="1" applyBorder="1" applyAlignment="1">
      <alignment horizontal="center" vertical="center"/>
    </xf>
    <xf numFmtId="0" fontId="41" fillId="11" borderId="10" xfId="0" applyFont="1" applyFill="1" applyBorder="1" applyAlignment="1">
      <alignment horizontal="center" vertical="center"/>
    </xf>
    <xf numFmtId="0" fontId="41" fillId="11" borderId="22" xfId="0" applyFont="1" applyFill="1" applyBorder="1" applyAlignment="1">
      <alignment horizontal="center" vertical="center"/>
    </xf>
    <xf numFmtId="0" fontId="41" fillId="11" borderId="4" xfId="0" applyFont="1" applyFill="1" applyBorder="1" applyAlignment="1">
      <alignment horizontal="center" vertical="center"/>
    </xf>
    <xf numFmtId="0" fontId="41" fillId="11" borderId="5" xfId="0" applyFont="1" applyFill="1" applyBorder="1" applyAlignment="1">
      <alignment horizontal="center" vertical="center"/>
    </xf>
    <xf numFmtId="0" fontId="41" fillId="11" borderId="28" xfId="0" applyFont="1" applyFill="1" applyBorder="1" applyAlignment="1">
      <alignment horizontal="center" vertical="center"/>
    </xf>
    <xf numFmtId="0" fontId="52" fillId="0" borderId="0" xfId="92" applyFont="1" applyAlignment="1" applyProtection="1">
      <alignment horizontal="center"/>
      <protection locked="0"/>
    </xf>
    <xf numFmtId="0" fontId="52" fillId="0" borderId="27" xfId="92" applyFont="1" applyBorder="1" applyAlignment="1" applyProtection="1">
      <alignment horizontal="center"/>
      <protection locked="0"/>
    </xf>
    <xf numFmtId="0" fontId="52" fillId="11" borderId="0" xfId="92" applyFont="1" applyFill="1" applyAlignment="1">
      <alignment horizontal="center"/>
    </xf>
    <xf numFmtId="0" fontId="52" fillId="11" borderId="27" xfId="92" applyFont="1" applyFill="1" applyBorder="1" applyAlignment="1">
      <alignment horizontal="center"/>
    </xf>
    <xf numFmtId="3" fontId="39" fillId="0" borderId="27" xfId="13" applyNumberFormat="1" applyFont="1" applyBorder="1" applyAlignment="1" applyProtection="1">
      <alignment horizontal="center" vertical="center"/>
      <protection locked="0"/>
    </xf>
    <xf numFmtId="3" fontId="39" fillId="0" borderId="5" xfId="13" applyNumberFormat="1" applyFont="1" applyBorder="1" applyAlignment="1" applyProtection="1">
      <alignment horizontal="center" vertical="center"/>
      <protection locked="0"/>
    </xf>
    <xf numFmtId="3" fontId="41" fillId="11" borderId="46" xfId="92" applyNumberFormat="1" applyFont="1" applyFill="1" applyBorder="1" applyAlignment="1">
      <alignment horizontal="center" vertical="center"/>
    </xf>
    <xf numFmtId="3" fontId="41" fillId="11" borderId="47" xfId="92" applyNumberFormat="1" applyFont="1" applyFill="1" applyBorder="1" applyAlignment="1">
      <alignment horizontal="center" vertical="center"/>
    </xf>
    <xf numFmtId="3" fontId="41" fillId="11" borderId="49" xfId="92" applyNumberFormat="1" applyFont="1" applyFill="1" applyBorder="1" applyAlignment="1">
      <alignment horizontal="center" vertical="center"/>
    </xf>
    <xf numFmtId="0" fontId="53" fillId="11" borderId="72" xfId="92" applyFont="1" applyFill="1" applyBorder="1" applyAlignment="1">
      <alignment horizontal="justify" vertical="center" wrapText="1"/>
    </xf>
    <xf numFmtId="0" fontId="39" fillId="11" borderId="184" xfId="92" applyFont="1" applyFill="1" applyBorder="1" applyAlignment="1">
      <alignment horizontal="left" vertical="center" indent="1"/>
    </xf>
    <xf numFmtId="0" fontId="39" fillId="11" borderId="99" xfId="92" applyFont="1" applyFill="1" applyBorder="1" applyAlignment="1">
      <alignment horizontal="left" vertical="center" indent="1"/>
    </xf>
    <xf numFmtId="0" fontId="39" fillId="11" borderId="102" xfId="92" applyFont="1" applyFill="1" applyBorder="1" applyAlignment="1">
      <alignment horizontal="left" vertical="center" indent="1"/>
    </xf>
    <xf numFmtId="3" fontId="39" fillId="0" borderId="95" xfId="92" applyNumberFormat="1" applyFont="1" applyBorder="1" applyAlignment="1" applyProtection="1">
      <alignment horizontal="center"/>
      <protection locked="0"/>
    </xf>
    <xf numFmtId="3" fontId="39" fillId="0" borderId="99" xfId="92" applyNumberFormat="1" applyFont="1" applyBorder="1" applyAlignment="1" applyProtection="1">
      <alignment horizontal="center"/>
      <protection locked="0"/>
    </xf>
    <xf numFmtId="3" fontId="39" fillId="0" borderId="101" xfId="92" applyNumberFormat="1" applyFont="1" applyBorder="1" applyAlignment="1" applyProtection="1">
      <alignment horizontal="center"/>
      <protection locked="0"/>
    </xf>
    <xf numFmtId="3" fontId="39" fillId="0" borderId="102" xfId="92" applyNumberFormat="1" applyFont="1" applyBorder="1" applyAlignment="1" applyProtection="1">
      <alignment horizontal="center"/>
      <protection locked="0"/>
    </xf>
    <xf numFmtId="3" fontId="41" fillId="11" borderId="170" xfId="92" applyNumberFormat="1" applyFont="1" applyFill="1" applyBorder="1" applyAlignment="1">
      <alignment horizontal="center"/>
    </xf>
    <xf numFmtId="3" fontId="41" fillId="11" borderId="99" xfId="92" applyNumberFormat="1" applyFont="1" applyFill="1" applyBorder="1" applyAlignment="1">
      <alignment horizontal="center"/>
    </xf>
    <xf numFmtId="3" fontId="41" fillId="11" borderId="100" xfId="92" applyNumberFormat="1" applyFont="1" applyFill="1" applyBorder="1" applyAlignment="1">
      <alignment horizontal="center"/>
    </xf>
    <xf numFmtId="0" fontId="41" fillId="11" borderId="46" xfId="92" applyFont="1" applyFill="1" applyBorder="1" applyAlignment="1">
      <alignment horizontal="center" vertical="center"/>
    </xf>
    <xf numFmtId="0" fontId="41" fillId="11" borderId="47" xfId="92" applyFont="1" applyFill="1" applyBorder="1" applyAlignment="1">
      <alignment horizontal="center" vertical="center"/>
    </xf>
    <xf numFmtId="3" fontId="41" fillId="11" borderId="48" xfId="92" applyNumberFormat="1" applyFont="1" applyFill="1" applyBorder="1" applyAlignment="1">
      <alignment horizontal="center" vertical="center"/>
    </xf>
    <xf numFmtId="3" fontId="41" fillId="11" borderId="51" xfId="92" applyNumberFormat="1" applyFont="1" applyFill="1" applyBorder="1" applyAlignment="1">
      <alignment horizontal="center" vertical="center"/>
    </xf>
    <xf numFmtId="3" fontId="41" fillId="11" borderId="52" xfId="92" applyNumberFormat="1" applyFont="1" applyFill="1" applyBorder="1" applyAlignment="1">
      <alignment horizontal="center" vertical="center"/>
    </xf>
    <xf numFmtId="0" fontId="39" fillId="11" borderId="60" xfId="92" applyFont="1" applyFill="1" applyBorder="1" applyAlignment="1">
      <alignment horizontal="left" vertical="center" indent="1"/>
    </xf>
    <xf numFmtId="0" fontId="39" fillId="11" borderId="58" xfId="92" applyFont="1" applyFill="1" applyBorder="1" applyAlignment="1">
      <alignment horizontal="left" vertical="center" indent="1"/>
    </xf>
    <xf numFmtId="0" fontId="39" fillId="11" borderId="64" xfId="92" applyFont="1" applyFill="1" applyBorder="1" applyAlignment="1">
      <alignment horizontal="left" vertical="center" indent="1"/>
    </xf>
    <xf numFmtId="3" fontId="39" fillId="0" borderId="2" xfId="92" applyNumberFormat="1" applyFont="1" applyBorder="1" applyAlignment="1" applyProtection="1">
      <alignment horizontal="center"/>
      <protection locked="0"/>
    </xf>
    <xf numFmtId="3" fontId="39" fillId="0" borderId="58" xfId="92" applyNumberFormat="1" applyFont="1" applyBorder="1" applyAlignment="1" applyProtection="1">
      <alignment horizontal="center"/>
      <protection locked="0"/>
    </xf>
    <xf numFmtId="3" fontId="39" fillId="0" borderId="66" xfId="92" applyNumberFormat="1" applyFont="1" applyBorder="1" applyAlignment="1" applyProtection="1">
      <alignment horizontal="center"/>
      <protection locked="0"/>
    </xf>
    <xf numFmtId="3" fontId="39" fillId="0" borderId="64" xfId="92" applyNumberFormat="1" applyFont="1" applyBorder="1" applyAlignment="1" applyProtection="1">
      <alignment horizontal="center"/>
      <protection locked="0"/>
    </xf>
    <xf numFmtId="3" fontId="41" fillId="11" borderId="93" xfId="92" applyNumberFormat="1" applyFont="1" applyFill="1" applyBorder="1" applyAlignment="1">
      <alignment horizontal="center"/>
    </xf>
    <xf numFmtId="3" fontId="41" fillId="11" borderId="58" xfId="92" applyNumberFormat="1" applyFont="1" applyFill="1" applyBorder="1" applyAlignment="1">
      <alignment horizontal="center"/>
    </xf>
    <xf numFmtId="3" fontId="41" fillId="11" borderId="55" xfId="92" applyNumberFormat="1" applyFont="1" applyFill="1" applyBorder="1" applyAlignment="1">
      <alignment horizontal="center"/>
    </xf>
    <xf numFmtId="0" fontId="39" fillId="11" borderId="83" xfId="92" applyFont="1" applyFill="1" applyBorder="1" applyAlignment="1">
      <alignment horizontal="left" vertical="center" indent="1"/>
    </xf>
    <xf numFmtId="0" fontId="39" fillId="11" borderId="57" xfId="92" applyFont="1" applyFill="1" applyBorder="1" applyAlignment="1">
      <alignment horizontal="left" vertical="center" indent="1"/>
    </xf>
    <xf numFmtId="0" fontId="39" fillId="11" borderId="56" xfId="92" applyFont="1" applyFill="1" applyBorder="1" applyAlignment="1">
      <alignment horizontal="left" vertical="center" indent="1"/>
    </xf>
    <xf numFmtId="3" fontId="39" fillId="0" borderId="83" xfId="92" applyNumberFormat="1" applyFont="1" applyBorder="1" applyAlignment="1" applyProtection="1">
      <alignment horizontal="center"/>
      <protection locked="0"/>
    </xf>
    <xf numFmtId="3" fontId="39" fillId="0" borderId="57" xfId="92" applyNumberFormat="1" applyFont="1" applyBorder="1" applyAlignment="1" applyProtection="1">
      <alignment horizontal="center"/>
      <protection locked="0"/>
    </xf>
    <xf numFmtId="3" fontId="39" fillId="0" borderId="89" xfId="92" applyNumberFormat="1" applyFont="1" applyBorder="1" applyAlignment="1" applyProtection="1">
      <alignment horizontal="center"/>
      <protection locked="0"/>
    </xf>
    <xf numFmtId="3" fontId="39" fillId="0" borderId="62" xfId="92" applyNumberFormat="1" applyFont="1" applyBorder="1" applyAlignment="1" applyProtection="1">
      <alignment horizontal="center"/>
      <protection locked="0"/>
    </xf>
    <xf numFmtId="3" fontId="41" fillId="11" borderId="91" xfId="92" applyNumberFormat="1" applyFont="1" applyFill="1" applyBorder="1" applyAlignment="1">
      <alignment horizontal="center"/>
    </xf>
    <xf numFmtId="3" fontId="41" fillId="11" borderId="57" xfId="92" applyNumberFormat="1" applyFont="1" applyFill="1" applyBorder="1" applyAlignment="1">
      <alignment horizontal="center"/>
    </xf>
    <xf numFmtId="3" fontId="41" fillId="11" borderId="56" xfId="92" applyNumberFormat="1" applyFont="1" applyFill="1" applyBorder="1" applyAlignment="1">
      <alignment horizontal="center"/>
    </xf>
    <xf numFmtId="0" fontId="68" fillId="11" borderId="0" xfId="92" applyFont="1" applyFill="1" applyAlignment="1">
      <alignment horizontal="left" vertical="top" wrapText="1"/>
    </xf>
    <xf numFmtId="0" fontId="41" fillId="11" borderId="163" xfId="92" applyFont="1" applyFill="1" applyBorder="1" applyAlignment="1">
      <alignment horizontal="center" vertical="center"/>
    </xf>
    <xf numFmtId="0" fontId="41" fillId="11" borderId="57" xfId="92" applyFont="1" applyFill="1" applyBorder="1" applyAlignment="1">
      <alignment horizontal="center" vertical="center"/>
    </xf>
    <xf numFmtId="0" fontId="41" fillId="11" borderId="62" xfId="92" applyFont="1" applyFill="1" applyBorder="1" applyAlignment="1">
      <alignment horizontal="center" vertical="center"/>
    </xf>
    <xf numFmtId="0" fontId="41" fillId="11" borderId="151" xfId="92" applyFont="1" applyFill="1" applyBorder="1" applyAlignment="1">
      <alignment horizontal="center" vertical="center"/>
    </xf>
    <xf numFmtId="0" fontId="41" fillId="11" borderId="150" xfId="92" applyFont="1" applyFill="1" applyBorder="1" applyAlignment="1">
      <alignment horizontal="center" vertical="center"/>
    </xf>
    <xf numFmtId="0" fontId="41" fillId="11" borderId="156" xfId="92" applyFont="1" applyFill="1" applyBorder="1" applyAlignment="1">
      <alignment horizontal="center" vertical="center"/>
    </xf>
    <xf numFmtId="0" fontId="41" fillId="11" borderId="178" xfId="92" applyFont="1" applyFill="1" applyBorder="1" applyAlignment="1">
      <alignment horizontal="center"/>
    </xf>
    <xf numFmtId="0" fontId="41" fillId="11" borderId="73" xfId="92" applyFont="1" applyFill="1" applyBorder="1" applyAlignment="1">
      <alignment horizontal="center"/>
    </xf>
    <xf numFmtId="0" fontId="41" fillId="11" borderId="179" xfId="92" applyFont="1" applyFill="1" applyBorder="1" applyAlignment="1">
      <alignment horizontal="center"/>
    </xf>
    <xf numFmtId="0" fontId="41" fillId="11" borderId="98" xfId="92" applyFont="1" applyFill="1" applyBorder="1" applyAlignment="1">
      <alignment horizontal="center"/>
    </xf>
    <xf numFmtId="0" fontId="41" fillId="11" borderId="180" xfId="92" applyFont="1" applyFill="1" applyBorder="1" applyAlignment="1">
      <alignment horizontal="center"/>
    </xf>
    <xf numFmtId="0" fontId="41" fillId="11" borderId="171" xfId="92" applyFont="1" applyFill="1" applyBorder="1" applyAlignment="1">
      <alignment horizontal="center"/>
    </xf>
    <xf numFmtId="0" fontId="41" fillId="11" borderId="118" xfId="92" applyFont="1" applyFill="1" applyBorder="1" applyAlignment="1">
      <alignment horizontal="center"/>
    </xf>
    <xf numFmtId="0" fontId="41" fillId="11" borderId="160" xfId="92" applyFont="1" applyFill="1" applyBorder="1" applyAlignment="1">
      <alignment horizontal="center"/>
    </xf>
    <xf numFmtId="0" fontId="41" fillId="11" borderId="59" xfId="92" applyFont="1" applyFill="1" applyBorder="1" applyAlignment="1">
      <alignment horizontal="center"/>
    </xf>
    <xf numFmtId="0" fontId="41" fillId="11" borderId="188" xfId="92" applyFont="1" applyFill="1" applyBorder="1" applyAlignment="1">
      <alignment horizontal="center"/>
    </xf>
    <xf numFmtId="0" fontId="41" fillId="11" borderId="94" xfId="92" applyFont="1" applyFill="1" applyBorder="1" applyAlignment="1">
      <alignment horizontal="center"/>
    </xf>
    <xf numFmtId="0" fontId="41" fillId="11" borderId="187" xfId="92" applyFont="1" applyFill="1" applyBorder="1" applyAlignment="1">
      <alignment horizontal="center"/>
    </xf>
    <xf numFmtId="0" fontId="47" fillId="11" borderId="0" xfId="15" applyFont="1" applyFill="1" applyAlignment="1">
      <alignment vertical="center"/>
    </xf>
    <xf numFmtId="0" fontId="39" fillId="0" borderId="27" xfId="13" applyFont="1" applyBorder="1" applyAlignment="1" applyProtection="1">
      <alignment horizontal="center" vertical="center"/>
      <protection locked="0"/>
    </xf>
    <xf numFmtId="0" fontId="39" fillId="11" borderId="0" xfId="26" applyFill="1" applyAlignment="1">
      <alignment vertical="top" wrapText="1"/>
    </xf>
    <xf numFmtId="0" fontId="39" fillId="11" borderId="0" xfId="26" applyFill="1" applyAlignment="1">
      <alignment vertical="center" wrapText="1"/>
    </xf>
    <xf numFmtId="0" fontId="41" fillId="11" borderId="71" xfId="13" applyFont="1" applyFill="1" applyBorder="1" applyAlignment="1">
      <alignment horizontal="center" vertical="center" wrapText="1"/>
    </xf>
    <xf numFmtId="0" fontId="41" fillId="11" borderId="72" xfId="13" applyFont="1" applyFill="1" applyBorder="1" applyAlignment="1">
      <alignment horizontal="center" vertical="center" wrapText="1"/>
    </xf>
    <xf numFmtId="0" fontId="41" fillId="11" borderId="74" xfId="13" applyFont="1" applyFill="1" applyBorder="1" applyAlignment="1">
      <alignment horizontal="center" vertical="center" wrapText="1"/>
    </xf>
    <xf numFmtId="0" fontId="41" fillId="11" borderId="7" xfId="13" applyFont="1" applyFill="1" applyBorder="1" applyAlignment="1">
      <alignment horizontal="center" vertical="center" wrapText="1"/>
    </xf>
    <xf numFmtId="0" fontId="41" fillId="11" borderId="8" xfId="13" applyFont="1" applyFill="1" applyBorder="1" applyAlignment="1">
      <alignment horizontal="center" vertical="center" wrapText="1"/>
    </xf>
    <xf numFmtId="0" fontId="41" fillId="11" borderId="16" xfId="13" applyFont="1" applyFill="1" applyBorder="1" applyAlignment="1">
      <alignment horizontal="center" vertical="center" wrapText="1"/>
    </xf>
    <xf numFmtId="0" fontId="41" fillId="11" borderId="17" xfId="22" applyFont="1" applyFill="1" applyBorder="1" applyAlignment="1">
      <alignment horizontal="center"/>
    </xf>
    <xf numFmtId="0" fontId="41" fillId="11" borderId="10" xfId="22" applyFont="1" applyFill="1" applyBorder="1" applyAlignment="1">
      <alignment horizontal="center"/>
    </xf>
    <xf numFmtId="0" fontId="41" fillId="11" borderId="22" xfId="22" applyFont="1" applyFill="1" applyBorder="1" applyAlignment="1">
      <alignment horizontal="center"/>
    </xf>
    <xf numFmtId="0" fontId="41" fillId="11" borderId="96" xfId="22" applyFont="1" applyFill="1" applyBorder="1" applyAlignment="1">
      <alignment horizontal="center" vertical="center" wrapText="1"/>
    </xf>
    <xf numFmtId="0" fontId="41" fillId="11" borderId="118" xfId="22" applyFont="1" applyFill="1" applyBorder="1" applyAlignment="1">
      <alignment horizontal="center" vertical="center" wrapText="1"/>
    </xf>
    <xf numFmtId="0" fontId="41" fillId="11" borderId="59" xfId="22" applyFont="1" applyFill="1" applyBorder="1" applyAlignment="1">
      <alignment horizontal="center" vertical="center" wrapText="1"/>
    </xf>
    <xf numFmtId="0" fontId="41" fillId="4" borderId="83" xfId="22" applyFont="1" applyFill="1" applyBorder="1" applyAlignment="1">
      <alignment horizontal="center" vertical="center" wrapText="1"/>
    </xf>
    <xf numFmtId="0" fontId="41" fillId="4" borderId="57" xfId="22" applyFont="1" applyFill="1" applyBorder="1" applyAlignment="1">
      <alignment horizontal="center" vertical="center" wrapText="1"/>
    </xf>
    <xf numFmtId="0" fontId="41" fillId="4" borderId="56" xfId="22" applyFont="1" applyFill="1" applyBorder="1" applyAlignment="1">
      <alignment horizontal="center" vertical="center" wrapText="1"/>
    </xf>
    <xf numFmtId="3" fontId="39" fillId="0" borderId="2" xfId="22" applyNumberFormat="1" applyBorder="1" applyAlignment="1" applyProtection="1">
      <alignment horizontal="center" vertical="center"/>
      <protection locked="0"/>
    </xf>
    <xf numFmtId="3" fontId="39" fillId="0" borderId="58" xfId="22" applyNumberFormat="1" applyBorder="1" applyAlignment="1" applyProtection="1">
      <alignment horizontal="center" vertical="center"/>
      <protection locked="0"/>
    </xf>
    <xf numFmtId="3" fontId="39" fillId="0" borderId="66" xfId="22" applyNumberFormat="1" applyBorder="1" applyAlignment="1" applyProtection="1">
      <alignment horizontal="center" vertical="center"/>
      <protection locked="0"/>
    </xf>
    <xf numFmtId="3" fontId="39" fillId="0" borderId="64" xfId="22" applyNumberFormat="1" applyBorder="1" applyAlignment="1" applyProtection="1">
      <alignment horizontal="center" vertical="center"/>
      <protection locked="0"/>
    </xf>
    <xf numFmtId="3" fontId="39" fillId="0" borderId="92" xfId="22" applyNumberFormat="1" applyBorder="1" applyAlignment="1" applyProtection="1">
      <alignment horizontal="center" vertical="center"/>
      <protection locked="0"/>
    </xf>
    <xf numFmtId="3" fontId="41" fillId="11" borderId="93" xfId="22" applyNumberFormat="1" applyFont="1" applyFill="1" applyBorder="1" applyAlignment="1">
      <alignment horizontal="center" vertical="center"/>
    </xf>
    <xf numFmtId="3" fontId="41" fillId="11" borderId="58" xfId="22" applyNumberFormat="1" applyFont="1" applyFill="1" applyBorder="1" applyAlignment="1">
      <alignment horizontal="center" vertical="center"/>
    </xf>
    <xf numFmtId="3" fontId="41" fillId="11" borderId="55" xfId="22" applyNumberFormat="1" applyFont="1" applyFill="1" applyBorder="1" applyAlignment="1">
      <alignment horizontal="center" vertical="center"/>
    </xf>
    <xf numFmtId="3" fontId="39" fillId="0" borderId="61" xfId="22" applyNumberFormat="1" applyBorder="1" applyAlignment="1" applyProtection="1">
      <alignment horizontal="center" vertical="center"/>
      <protection locked="0"/>
    </xf>
    <xf numFmtId="3" fontId="39" fillId="0" borderId="186" xfId="22" applyNumberFormat="1" applyBorder="1" applyAlignment="1" applyProtection="1">
      <alignment horizontal="center" vertical="center"/>
      <protection locked="0"/>
    </xf>
    <xf numFmtId="3" fontId="39" fillId="0" borderId="209" xfId="22" applyNumberFormat="1" applyBorder="1" applyAlignment="1" applyProtection="1">
      <alignment horizontal="center" vertical="center"/>
      <protection locked="0"/>
    </xf>
    <xf numFmtId="3" fontId="39" fillId="0" borderId="54" xfId="22" applyNumberFormat="1" applyBorder="1" applyAlignment="1" applyProtection="1">
      <alignment horizontal="center" vertical="center"/>
      <protection locked="0"/>
    </xf>
    <xf numFmtId="3" fontId="39" fillId="0" borderId="212" xfId="22" applyNumberFormat="1" applyBorder="1" applyAlignment="1" applyProtection="1">
      <alignment horizontal="center" vertical="center"/>
      <protection locked="0"/>
    </xf>
    <xf numFmtId="3" fontId="41" fillId="11" borderId="210" xfId="22" applyNumberFormat="1" applyFont="1" applyFill="1" applyBorder="1" applyAlignment="1">
      <alignment horizontal="center" vertical="center" shrinkToFit="1"/>
    </xf>
    <xf numFmtId="3" fontId="41" fillId="11" borderId="186" xfId="22" applyNumberFormat="1" applyFont="1" applyFill="1" applyBorder="1" applyAlignment="1">
      <alignment horizontal="center" vertical="center" shrinkToFit="1"/>
    </xf>
    <xf numFmtId="3" fontId="41" fillId="11" borderId="185" xfId="22" applyNumberFormat="1" applyFont="1" applyFill="1" applyBorder="1" applyAlignment="1">
      <alignment horizontal="center" vertical="center" shrinkToFit="1"/>
    </xf>
    <xf numFmtId="0" fontId="39" fillId="4" borderId="87" xfId="22" applyFill="1" applyBorder="1" applyAlignment="1">
      <alignment horizontal="center" vertical="center" wrapText="1"/>
    </xf>
    <xf numFmtId="0" fontId="39" fillId="4" borderId="85" xfId="22" applyFill="1" applyBorder="1" applyAlignment="1">
      <alignment horizontal="center" vertical="center" wrapText="1"/>
    </xf>
    <xf numFmtId="0" fontId="39" fillId="4" borderId="86" xfId="22" applyFill="1" applyBorder="1" applyAlignment="1">
      <alignment horizontal="center" vertical="center" wrapText="1"/>
    </xf>
    <xf numFmtId="3" fontId="41" fillId="11" borderId="13" xfId="22" applyNumberFormat="1" applyFont="1" applyFill="1" applyBorder="1" applyAlignment="1">
      <alignment horizontal="center" vertical="center"/>
    </xf>
    <xf numFmtId="3" fontId="41" fillId="11" borderId="8" xfId="22" applyNumberFormat="1" applyFont="1" applyFill="1" applyBorder="1" applyAlignment="1">
      <alignment horizontal="center" vertical="center"/>
    </xf>
    <xf numFmtId="3" fontId="39" fillId="11" borderId="8" xfId="22" applyNumberFormat="1" applyFill="1" applyBorder="1" applyAlignment="1">
      <alignment horizontal="center" vertical="center"/>
    </xf>
    <xf numFmtId="3" fontId="39" fillId="11" borderId="9" xfId="22" applyNumberFormat="1" applyFill="1" applyBorder="1" applyAlignment="1">
      <alignment horizontal="center" vertical="center"/>
    </xf>
    <xf numFmtId="0" fontId="48" fillId="11" borderId="0" xfId="12" applyFont="1" applyFill="1" applyAlignment="1">
      <alignment horizontal="left" wrapText="1" indent="3"/>
    </xf>
    <xf numFmtId="0" fontId="52" fillId="11" borderId="0" xfId="12" quotePrefix="1" applyFont="1" applyFill="1" applyAlignment="1">
      <alignment horizontal="justify" wrapText="1"/>
    </xf>
    <xf numFmtId="0" fontId="48" fillId="11" borderId="0" xfId="12" applyFont="1" applyFill="1" applyAlignment="1">
      <alignment horizontal="left" indent="3"/>
    </xf>
    <xf numFmtId="0" fontId="52" fillId="11" borderId="0" xfId="12" applyFont="1" applyFill="1" applyAlignment="1">
      <alignment horizontal="left" wrapText="1" indent="3"/>
    </xf>
    <xf numFmtId="3" fontId="39" fillId="11" borderId="14" xfId="22" applyNumberFormat="1" applyFill="1" applyBorder="1" applyAlignment="1">
      <alignment horizontal="center" vertical="center"/>
    </xf>
    <xf numFmtId="3" fontId="41" fillId="11" borderId="15" xfId="22" applyNumberFormat="1" applyFont="1" applyFill="1" applyBorder="1" applyAlignment="1">
      <alignment horizontal="center" vertical="center"/>
    </xf>
    <xf numFmtId="3" fontId="39" fillId="11" borderId="16" xfId="22" applyNumberFormat="1" applyFill="1" applyBorder="1" applyAlignment="1">
      <alignment horizontal="center" vertical="center"/>
    </xf>
    <xf numFmtId="0" fontId="53" fillId="11" borderId="0" xfId="12" applyFont="1" applyFill="1" applyAlignment="1">
      <alignment horizontal="left" wrapText="1" indent="3"/>
    </xf>
    <xf numFmtId="0" fontId="39" fillId="11" borderId="27" xfId="22" applyFill="1" applyBorder="1" applyAlignment="1">
      <alignment horizontal="center"/>
    </xf>
    <xf numFmtId="0" fontId="41" fillId="11" borderId="0" xfId="12" applyFont="1" applyFill="1" applyAlignment="1">
      <alignment horizontal="left" wrapText="1" indent="3"/>
    </xf>
    <xf numFmtId="0" fontId="53" fillId="11" borderId="0" xfId="12" quotePrefix="1" applyFont="1" applyFill="1" applyAlignment="1">
      <alignment horizontal="justify" wrapText="1"/>
    </xf>
    <xf numFmtId="0" fontId="39" fillId="0" borderId="0" xfId="15" applyFont="1" applyAlignment="1" applyProtection="1">
      <alignment horizontal="center"/>
      <protection locked="0"/>
    </xf>
    <xf numFmtId="3" fontId="41" fillId="11" borderId="7" xfId="22" applyNumberFormat="1" applyFont="1" applyFill="1" applyBorder="1" applyAlignment="1">
      <alignment horizontal="center" vertical="center"/>
    </xf>
    <xf numFmtId="3" fontId="41" fillId="11" borderId="9" xfId="22" applyNumberFormat="1" applyFont="1" applyFill="1" applyBorder="1" applyAlignment="1">
      <alignment horizontal="center" vertical="center"/>
    </xf>
    <xf numFmtId="3" fontId="39" fillId="0" borderId="87" xfId="22" applyNumberFormat="1" applyBorder="1" applyAlignment="1" applyProtection="1">
      <alignment horizontal="center" vertical="center"/>
      <protection locked="0"/>
    </xf>
    <xf numFmtId="3" fontId="39" fillId="0" borderId="85" xfId="22" applyNumberFormat="1" applyBorder="1" applyAlignment="1" applyProtection="1">
      <alignment horizontal="center" vertical="center"/>
      <protection locked="0"/>
    </xf>
    <xf numFmtId="3" fontId="39" fillId="0" borderId="65" xfId="22" applyNumberFormat="1" applyBorder="1" applyAlignment="1" applyProtection="1">
      <alignment horizontal="center" vertical="center"/>
      <protection locked="0"/>
    </xf>
    <xf numFmtId="3" fontId="39" fillId="0" borderId="63" xfId="22" applyNumberFormat="1" applyBorder="1" applyAlignment="1" applyProtection="1">
      <alignment horizontal="center" vertical="center"/>
      <protection locked="0"/>
    </xf>
    <xf numFmtId="3" fontId="39" fillId="0" borderId="88" xfId="22" applyNumberFormat="1" applyBorder="1" applyAlignment="1" applyProtection="1">
      <alignment horizontal="center" vertical="center"/>
      <protection locked="0"/>
    </xf>
    <xf numFmtId="3" fontId="41" fillId="11" borderId="192" xfId="22" applyNumberFormat="1" applyFont="1" applyFill="1" applyBorder="1" applyAlignment="1">
      <alignment horizontal="center" vertical="center" shrinkToFit="1"/>
    </xf>
    <xf numFmtId="3" fontId="41" fillId="11" borderId="85" xfId="22" applyNumberFormat="1" applyFont="1" applyFill="1" applyBorder="1" applyAlignment="1">
      <alignment horizontal="center" vertical="center" shrinkToFit="1"/>
    </xf>
    <xf numFmtId="3" fontId="41" fillId="11" borderId="86" xfId="22" applyNumberFormat="1" applyFont="1" applyFill="1" applyBorder="1" applyAlignment="1">
      <alignment horizontal="center" vertical="center" shrinkToFit="1"/>
    </xf>
    <xf numFmtId="3" fontId="41" fillId="11" borderId="93" xfId="22" applyNumberFormat="1" applyFont="1" applyFill="1" applyBorder="1" applyAlignment="1">
      <alignment horizontal="center" vertical="center" shrinkToFit="1"/>
    </xf>
    <xf numFmtId="3" fontId="41" fillId="11" borderId="58" xfId="22" applyNumberFormat="1" applyFont="1" applyFill="1" applyBorder="1" applyAlignment="1">
      <alignment horizontal="center" vertical="center" shrinkToFit="1"/>
    </xf>
    <xf numFmtId="3" fontId="41" fillId="11" borderId="55" xfId="22" applyNumberFormat="1" applyFont="1" applyFill="1" applyBorder="1" applyAlignment="1">
      <alignment horizontal="center" vertical="center" shrinkToFit="1"/>
    </xf>
    <xf numFmtId="3" fontId="41" fillId="11" borderId="170" xfId="22" applyNumberFormat="1" applyFont="1" applyFill="1" applyBorder="1" applyAlignment="1">
      <alignment horizontal="center" vertical="center" shrinkToFit="1"/>
    </xf>
    <xf numFmtId="3" fontId="41" fillId="11" borderId="99" xfId="22" applyNumberFormat="1" applyFont="1" applyFill="1" applyBorder="1" applyAlignment="1">
      <alignment horizontal="center" vertical="center" shrinkToFit="1"/>
    </xf>
    <xf numFmtId="3" fontId="41" fillId="11" borderId="100" xfId="22" applyNumberFormat="1" applyFont="1" applyFill="1" applyBorder="1" applyAlignment="1">
      <alignment horizontal="center" vertical="center" shrinkToFit="1"/>
    </xf>
    <xf numFmtId="0" fontId="39" fillId="4" borderId="2" xfId="22" applyFill="1" applyBorder="1" applyAlignment="1">
      <alignment horizontal="center" vertical="center"/>
    </xf>
    <xf numFmtId="0" fontId="39" fillId="4" borderId="58" xfId="22" applyFill="1" applyBorder="1" applyAlignment="1">
      <alignment horizontal="center" vertical="center"/>
    </xf>
    <xf numFmtId="0" fontId="39" fillId="4" borderId="55" xfId="22" applyFill="1" applyBorder="1" applyAlignment="1">
      <alignment horizontal="center" vertical="center"/>
    </xf>
    <xf numFmtId="0" fontId="48" fillId="11" borderId="0" xfId="12" applyFont="1" applyFill="1" applyAlignment="1">
      <alignment horizontal="justify" wrapText="1"/>
    </xf>
    <xf numFmtId="3" fontId="41" fillId="11" borderId="46" xfId="22" applyNumberFormat="1" applyFont="1" applyFill="1" applyBorder="1" applyAlignment="1">
      <alignment horizontal="center" vertical="center"/>
    </xf>
    <xf numFmtId="3" fontId="41" fillId="11" borderId="47" xfId="22" applyNumberFormat="1" applyFont="1" applyFill="1" applyBorder="1" applyAlignment="1">
      <alignment horizontal="center" vertical="center"/>
    </xf>
    <xf numFmtId="3" fontId="41" fillId="11" borderId="49"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shrinkToFit="1"/>
    </xf>
    <xf numFmtId="3" fontId="41" fillId="11" borderId="47" xfId="22" applyNumberFormat="1" applyFont="1" applyFill="1" applyBorder="1" applyAlignment="1">
      <alignment horizontal="center" vertical="center" shrinkToFit="1"/>
    </xf>
    <xf numFmtId="3" fontId="41" fillId="11" borderId="49" xfId="22" applyNumberFormat="1" applyFont="1" applyFill="1" applyBorder="1" applyAlignment="1">
      <alignment horizontal="center" vertical="center" shrinkToFit="1"/>
    </xf>
    <xf numFmtId="3" fontId="41" fillId="11" borderId="50" xfId="22" applyNumberFormat="1" applyFont="1" applyFill="1" applyBorder="1" applyAlignment="1">
      <alignment horizontal="center" vertical="center" shrinkToFit="1"/>
    </xf>
    <xf numFmtId="3" fontId="41" fillId="11" borderId="51" xfId="22" applyNumberFormat="1" applyFont="1" applyFill="1" applyBorder="1" applyAlignment="1">
      <alignment horizontal="center" vertical="center" shrinkToFit="1"/>
    </xf>
    <xf numFmtId="3" fontId="41" fillId="11" borderId="52" xfId="22" applyNumberFormat="1" applyFont="1" applyFill="1" applyBorder="1" applyAlignment="1">
      <alignment horizontal="center" vertical="center" shrinkToFit="1"/>
    </xf>
    <xf numFmtId="0" fontId="43" fillId="11" borderId="67" xfId="13" applyFont="1" applyFill="1" applyBorder="1" applyAlignment="1">
      <alignment horizontal="center" vertical="top" wrapText="1"/>
    </xf>
    <xf numFmtId="0" fontId="43" fillId="11" borderId="0" xfId="13" applyFont="1" applyFill="1" applyAlignment="1">
      <alignment horizontal="center" vertical="top" wrapText="1"/>
    </xf>
    <xf numFmtId="0" fontId="43" fillId="11" borderId="69" xfId="13" applyFont="1" applyFill="1" applyBorder="1" applyAlignment="1">
      <alignment horizontal="center" vertical="top" wrapText="1"/>
    </xf>
    <xf numFmtId="0" fontId="43" fillId="11" borderId="7" xfId="13" applyFont="1" applyFill="1" applyBorder="1" applyAlignment="1">
      <alignment horizontal="center" vertical="top" wrapText="1"/>
    </xf>
    <xf numFmtId="0" fontId="43" fillId="11" borderId="8" xfId="13" applyFont="1" applyFill="1" applyBorder="1" applyAlignment="1">
      <alignment horizontal="center" vertical="top" wrapText="1"/>
    </xf>
    <xf numFmtId="0" fontId="43" fillId="11" borderId="9" xfId="13" applyFont="1" applyFill="1" applyBorder="1" applyAlignment="1">
      <alignment horizontal="center" vertical="top" wrapText="1"/>
    </xf>
    <xf numFmtId="0" fontId="43" fillId="11" borderId="68" xfId="13" applyFont="1" applyFill="1" applyBorder="1" applyAlignment="1">
      <alignment horizontal="center" vertical="top" wrapText="1" shrinkToFit="1"/>
    </xf>
    <xf numFmtId="0" fontId="43" fillId="11" borderId="0" xfId="13" applyFont="1" applyFill="1" applyAlignment="1">
      <alignment horizontal="center" vertical="top" wrapText="1" shrinkToFit="1"/>
    </xf>
    <xf numFmtId="0" fontId="43" fillId="11" borderId="69" xfId="13" applyFont="1" applyFill="1" applyBorder="1" applyAlignment="1">
      <alignment horizontal="center" vertical="top" wrapText="1" shrinkToFit="1"/>
    </xf>
    <xf numFmtId="0" fontId="43" fillId="11" borderId="13" xfId="13" applyFont="1" applyFill="1" applyBorder="1" applyAlignment="1">
      <alignment horizontal="center" vertical="top" wrapText="1" shrinkToFit="1"/>
    </xf>
    <xf numFmtId="0" fontId="43" fillId="11" borderId="8" xfId="13" applyFont="1" applyFill="1" applyBorder="1" applyAlignment="1">
      <alignment horizontal="center" vertical="top" wrapText="1" shrinkToFit="1"/>
    </xf>
    <xf numFmtId="0" fontId="43" fillId="11" borderId="9" xfId="13" applyFont="1" applyFill="1" applyBorder="1" applyAlignment="1">
      <alignment horizontal="center" vertical="top" wrapText="1" shrinkToFit="1"/>
    </xf>
    <xf numFmtId="0" fontId="43" fillId="11" borderId="68" xfId="13" applyFont="1" applyFill="1" applyBorder="1" applyAlignment="1">
      <alignment horizontal="center" vertical="center" wrapText="1" shrinkToFit="1"/>
    </xf>
    <xf numFmtId="0" fontId="43" fillId="11" borderId="0" xfId="13" applyFont="1" applyFill="1" applyAlignment="1">
      <alignment horizontal="center" vertical="center" wrapText="1" shrinkToFit="1"/>
    </xf>
    <xf numFmtId="0" fontId="43" fillId="11" borderId="38" xfId="13" applyFont="1" applyFill="1" applyBorder="1" applyAlignment="1">
      <alignment horizontal="center" vertical="center" wrapText="1" shrinkToFit="1"/>
    </xf>
    <xf numFmtId="0" fontId="43" fillId="11" borderId="13" xfId="13" applyFont="1" applyFill="1" applyBorder="1" applyAlignment="1">
      <alignment horizontal="center" vertical="center" wrapText="1" shrinkToFit="1"/>
    </xf>
    <xf numFmtId="0" fontId="43" fillId="11" borderId="8" xfId="13" applyFont="1" applyFill="1" applyBorder="1" applyAlignment="1">
      <alignment horizontal="center" vertical="center" wrapText="1" shrinkToFit="1"/>
    </xf>
    <xf numFmtId="0" fontId="43" fillId="11" borderId="16" xfId="13" applyFont="1" applyFill="1" applyBorder="1" applyAlignment="1">
      <alignment horizontal="center" vertical="center" wrapText="1" shrinkToFit="1"/>
    </xf>
    <xf numFmtId="0" fontId="52" fillId="0" borderId="27" xfId="14" applyFont="1" applyBorder="1" applyAlignment="1" applyProtection="1">
      <alignment horizontal="center"/>
      <protection locked="0"/>
    </xf>
    <xf numFmtId="14" fontId="52" fillId="0" borderId="27" xfId="14" applyNumberFormat="1" applyFont="1" applyBorder="1" applyAlignment="1" applyProtection="1">
      <alignment horizontal="center"/>
      <protection locked="0"/>
    </xf>
    <xf numFmtId="4" fontId="52" fillId="0" borderId="27" xfId="14" applyNumberFormat="1" applyFont="1" applyBorder="1" applyAlignment="1" applyProtection="1">
      <alignment horizontal="center"/>
      <protection locked="0"/>
    </xf>
    <xf numFmtId="21" fontId="52" fillId="0" borderId="27" xfId="14" applyNumberFormat="1" applyFont="1" applyBorder="1" applyAlignment="1" applyProtection="1">
      <alignment horizontal="center"/>
      <protection locked="0"/>
    </xf>
    <xf numFmtId="0" fontId="41" fillId="11" borderId="0" xfId="11" quotePrefix="1" applyFont="1" applyFill="1" applyAlignment="1">
      <alignment horizontal="justify" wrapText="1"/>
    </xf>
    <xf numFmtId="0" fontId="41" fillId="11" borderId="73" xfId="13" applyFont="1" applyFill="1" applyBorder="1" applyAlignment="1">
      <alignment horizontal="center" vertical="center" wrapText="1"/>
    </xf>
    <xf numFmtId="0" fontId="41" fillId="11" borderId="98" xfId="13" applyFont="1" applyFill="1" applyBorder="1" applyAlignment="1">
      <alignment horizontal="center" vertical="center" wrapText="1" shrinkToFit="1"/>
    </xf>
    <xf numFmtId="0" fontId="41" fillId="11" borderId="72" xfId="13" applyFont="1" applyFill="1" applyBorder="1" applyAlignment="1">
      <alignment horizontal="center" vertical="center" wrapText="1" shrinkToFit="1"/>
    </xf>
    <xf numFmtId="0" fontId="41" fillId="11" borderId="73" xfId="13" applyFont="1" applyFill="1" applyBorder="1" applyAlignment="1">
      <alignment horizontal="center" vertical="center" wrapText="1" shrinkToFit="1"/>
    </xf>
    <xf numFmtId="0" fontId="41" fillId="11" borderId="98" xfId="13" applyFont="1" applyFill="1" applyBorder="1" applyAlignment="1">
      <alignment horizontal="center" vertical="center" shrinkToFit="1"/>
    </xf>
    <xf numFmtId="0" fontId="41" fillId="11" borderId="72" xfId="13" applyFont="1" applyFill="1" applyBorder="1" applyAlignment="1">
      <alignment horizontal="center" vertical="center" shrinkToFit="1"/>
    </xf>
    <xf numFmtId="0" fontId="41" fillId="11" borderId="73" xfId="13" applyFont="1" applyFill="1" applyBorder="1" applyAlignment="1">
      <alignment horizontal="center" vertical="center" shrinkToFit="1"/>
    </xf>
    <xf numFmtId="0" fontId="41" fillId="11" borderId="74" xfId="13" applyFont="1" applyFill="1" applyBorder="1" applyAlignment="1">
      <alignment horizontal="center" vertical="center" wrapText="1" shrinkToFit="1"/>
    </xf>
    <xf numFmtId="0" fontId="48" fillId="11" borderId="8" xfId="13" applyFont="1" applyFill="1" applyBorder="1" applyAlignment="1">
      <alignment horizontal="left" wrapText="1"/>
    </xf>
    <xf numFmtId="0" fontId="52" fillId="0" borderId="83" xfId="13" applyFont="1" applyBorder="1" applyAlignment="1" applyProtection="1">
      <alignment horizontal="center" vertical="center"/>
      <protection locked="0"/>
    </xf>
    <xf numFmtId="0" fontId="52" fillId="0" borderId="57" xfId="13" applyFont="1" applyBorder="1" applyAlignment="1" applyProtection="1">
      <alignment horizontal="center" vertical="center"/>
      <protection locked="0"/>
    </xf>
    <xf numFmtId="0" fontId="52" fillId="0" borderId="89" xfId="13" applyFont="1" applyBorder="1" applyAlignment="1" applyProtection="1">
      <alignment horizontal="center" vertical="center"/>
      <protection locked="0"/>
    </xf>
    <xf numFmtId="0" fontId="52" fillId="0" borderId="62" xfId="13" applyFont="1" applyBorder="1" applyAlignment="1" applyProtection="1">
      <alignment horizontal="center" vertical="center"/>
      <protection locked="0"/>
    </xf>
    <xf numFmtId="4" fontId="52" fillId="0" borderId="62" xfId="13" applyNumberFormat="1" applyFont="1" applyBorder="1" applyAlignment="1" applyProtection="1">
      <alignment horizontal="center" vertical="center"/>
      <protection locked="0"/>
    </xf>
    <xf numFmtId="4" fontId="52" fillId="0" borderId="57" xfId="13" applyNumberFormat="1" applyFont="1" applyBorder="1" applyAlignment="1" applyProtection="1">
      <alignment horizontal="center" vertical="center"/>
      <protection locked="0"/>
    </xf>
    <xf numFmtId="4" fontId="52" fillId="0" borderId="89" xfId="13" applyNumberFormat="1" applyFont="1" applyBorder="1" applyAlignment="1" applyProtection="1">
      <alignment horizontal="center" vertical="center"/>
      <protection locked="0"/>
    </xf>
    <xf numFmtId="0" fontId="52" fillId="0" borderId="56" xfId="13" applyFont="1" applyBorder="1" applyAlignment="1" applyProtection="1">
      <alignment horizontal="center" vertical="center"/>
      <protection locked="0"/>
    </xf>
    <xf numFmtId="0" fontId="52" fillId="0" borderId="2" xfId="13" applyFont="1" applyBorder="1" applyAlignment="1" applyProtection="1">
      <alignment horizontal="center" vertical="center"/>
      <protection locked="0"/>
    </xf>
    <xf numFmtId="0" fontId="52" fillId="0" borderId="58" xfId="13" applyFont="1" applyBorder="1" applyAlignment="1" applyProtection="1">
      <alignment horizontal="center" vertical="center"/>
      <protection locked="0"/>
    </xf>
    <xf numFmtId="0" fontId="52" fillId="0" borderId="66" xfId="13" applyFont="1" applyBorder="1" applyAlignment="1" applyProtection="1">
      <alignment horizontal="center" vertical="center"/>
      <protection locked="0"/>
    </xf>
    <xf numFmtId="0" fontId="52" fillId="0" borderId="64" xfId="13" applyFont="1" applyBorder="1" applyAlignment="1" applyProtection="1">
      <alignment horizontal="center" vertical="center"/>
      <protection locked="0"/>
    </xf>
    <xf numFmtId="4" fontId="52" fillId="0" borderId="64" xfId="13" applyNumberFormat="1" applyFont="1" applyBorder="1" applyAlignment="1" applyProtection="1">
      <alignment horizontal="center" vertical="center"/>
      <protection locked="0"/>
    </xf>
    <xf numFmtId="4" fontId="52" fillId="0" borderId="58" xfId="13" applyNumberFormat="1" applyFont="1" applyBorder="1" applyAlignment="1" applyProtection="1">
      <alignment horizontal="center" vertical="center"/>
      <protection locked="0"/>
    </xf>
    <xf numFmtId="4" fontId="52" fillId="0" borderId="66" xfId="13" applyNumberFormat="1" applyFont="1" applyBorder="1" applyAlignment="1" applyProtection="1">
      <alignment horizontal="center" vertical="center"/>
      <protection locked="0"/>
    </xf>
    <xf numFmtId="0" fontId="52" fillId="0" borderId="55" xfId="13" applyFont="1" applyBorder="1" applyAlignment="1" applyProtection="1">
      <alignment horizontal="center" vertical="center"/>
      <protection locked="0"/>
    </xf>
    <xf numFmtId="0" fontId="52" fillId="0" borderId="156" xfId="13" applyFont="1" applyBorder="1" applyAlignment="1" applyProtection="1">
      <alignment horizontal="center" vertical="center"/>
      <protection locked="0"/>
    </xf>
    <xf numFmtId="0" fontId="52" fillId="0" borderId="150" xfId="13" applyFont="1" applyBorder="1" applyAlignment="1" applyProtection="1">
      <alignment horizontal="center" vertical="center"/>
      <protection locked="0"/>
    </xf>
    <xf numFmtId="0" fontId="52" fillId="0" borderId="157" xfId="13" applyFont="1" applyBorder="1" applyAlignment="1" applyProtection="1">
      <alignment horizontal="center" vertical="center"/>
      <protection locked="0"/>
    </xf>
    <xf numFmtId="4" fontId="52" fillId="0" borderId="156" xfId="13" applyNumberFormat="1" applyFont="1" applyBorder="1" applyAlignment="1" applyProtection="1">
      <alignment horizontal="center" vertical="center"/>
      <protection locked="0"/>
    </xf>
    <xf numFmtId="4" fontId="52" fillId="0" borderId="150" xfId="13" applyNumberFormat="1" applyFont="1" applyBorder="1" applyAlignment="1" applyProtection="1">
      <alignment horizontal="center" vertical="center"/>
      <protection locked="0"/>
    </xf>
    <xf numFmtId="4" fontId="52" fillId="0" borderId="157" xfId="13" applyNumberFormat="1" applyFont="1" applyBorder="1" applyAlignment="1" applyProtection="1">
      <alignment horizontal="center" vertical="center"/>
      <protection locked="0"/>
    </xf>
    <xf numFmtId="0" fontId="52" fillId="0" borderId="142" xfId="13" applyFont="1" applyBorder="1" applyAlignment="1" applyProtection="1">
      <alignment horizontal="center" vertical="center"/>
      <protection locked="0"/>
    </xf>
    <xf numFmtId="0" fontId="52" fillId="0" borderId="141" xfId="13" applyFont="1" applyBorder="1" applyAlignment="1" applyProtection="1">
      <alignment horizontal="center" vertical="center"/>
      <protection locked="0"/>
    </xf>
    <xf numFmtId="0" fontId="48" fillId="11" borderId="0" xfId="11" quotePrefix="1" applyFont="1" applyFill="1" applyAlignment="1">
      <alignment horizontal="justify" wrapText="1"/>
    </xf>
    <xf numFmtId="0" fontId="48" fillId="11" borderId="0" xfId="12" quotePrefix="1" applyFont="1" applyFill="1" applyAlignment="1">
      <alignment horizontal="justify" wrapText="1"/>
    </xf>
    <xf numFmtId="0" fontId="52" fillId="0" borderId="95" xfId="13" applyFont="1" applyBorder="1" applyAlignment="1" applyProtection="1">
      <alignment horizontal="center" vertical="center"/>
      <protection locked="0"/>
    </xf>
    <xf numFmtId="0" fontId="52" fillId="0" borderId="99" xfId="13" applyFont="1" applyBorder="1" applyAlignment="1" applyProtection="1">
      <alignment horizontal="center" vertical="center"/>
      <protection locked="0"/>
    </xf>
    <xf numFmtId="0" fontId="52" fillId="0" borderId="101" xfId="13" applyFont="1" applyBorder="1" applyAlignment="1" applyProtection="1">
      <alignment horizontal="center" vertical="center"/>
      <protection locked="0"/>
    </xf>
    <xf numFmtId="0" fontId="52" fillId="0" borderId="67" xfId="13" applyFont="1" applyBorder="1" applyAlignment="1" applyProtection="1">
      <alignment horizontal="center" vertical="center"/>
      <protection locked="0"/>
    </xf>
    <xf numFmtId="0" fontId="52" fillId="0" borderId="0" xfId="13" applyFont="1" applyAlignment="1" applyProtection="1">
      <alignment horizontal="center" vertical="center"/>
      <protection locked="0"/>
    </xf>
    <xf numFmtId="0" fontId="52" fillId="0" borderId="69" xfId="13" applyFont="1" applyBorder="1" applyAlignment="1" applyProtection="1">
      <alignment horizontal="center" vertical="center"/>
      <protection locked="0"/>
    </xf>
    <xf numFmtId="0" fontId="52" fillId="0" borderId="7" xfId="13" applyFont="1" applyBorder="1" applyAlignment="1" applyProtection="1">
      <alignment horizontal="center" vertical="center"/>
      <protection locked="0"/>
    </xf>
    <xf numFmtId="0" fontId="52" fillId="0" borderId="8" xfId="13" applyFont="1" applyBorder="1" applyAlignment="1" applyProtection="1">
      <alignment horizontal="center" vertical="center"/>
      <protection locked="0"/>
    </xf>
    <xf numFmtId="0" fontId="52" fillId="0" borderId="9" xfId="13" applyFont="1" applyBorder="1" applyAlignment="1" applyProtection="1">
      <alignment horizontal="center" vertical="center"/>
      <protection locked="0"/>
    </xf>
    <xf numFmtId="0" fontId="52" fillId="0" borderId="102" xfId="13" applyFont="1" applyBorder="1" applyAlignment="1" applyProtection="1">
      <alignment horizontal="center" vertical="center"/>
      <protection locked="0"/>
    </xf>
    <xf numFmtId="0" fontId="52" fillId="0" borderId="68" xfId="13" applyFont="1" applyBorder="1" applyAlignment="1" applyProtection="1">
      <alignment horizontal="center" vertical="center"/>
      <protection locked="0"/>
    </xf>
    <xf numFmtId="0" fontId="52" fillId="0" borderId="13" xfId="13" applyFont="1" applyBorder="1" applyAlignment="1" applyProtection="1">
      <alignment horizontal="center" vertical="center"/>
      <protection locked="0"/>
    </xf>
    <xf numFmtId="4" fontId="52" fillId="0" borderId="102" xfId="13" applyNumberFormat="1" applyFont="1" applyBorder="1" applyAlignment="1" applyProtection="1">
      <alignment horizontal="center" vertical="center"/>
      <protection locked="0"/>
    </xf>
    <xf numFmtId="4" fontId="52" fillId="0" borderId="99" xfId="13" applyNumberFormat="1" applyFont="1" applyBorder="1" applyAlignment="1" applyProtection="1">
      <alignment horizontal="center" vertical="center"/>
      <protection locked="0"/>
    </xf>
    <xf numFmtId="4" fontId="52" fillId="0" borderId="101" xfId="13" applyNumberFormat="1" applyFont="1" applyBorder="1" applyAlignment="1" applyProtection="1">
      <alignment horizontal="center" vertical="center"/>
      <protection locked="0"/>
    </xf>
    <xf numFmtId="4" fontId="52" fillId="0" borderId="68" xfId="13" applyNumberFormat="1" applyFont="1" applyBorder="1" applyAlignment="1" applyProtection="1">
      <alignment horizontal="center" vertical="center"/>
      <protection locked="0"/>
    </xf>
    <xf numFmtId="4" fontId="52" fillId="0" borderId="0" xfId="13" applyNumberFormat="1" applyFont="1" applyAlignment="1" applyProtection="1">
      <alignment horizontal="center" vertical="center"/>
      <protection locked="0"/>
    </xf>
    <xf numFmtId="4" fontId="52" fillId="0" borderId="69" xfId="13" applyNumberFormat="1" applyFont="1" applyBorder="1" applyAlignment="1" applyProtection="1">
      <alignment horizontal="center" vertical="center"/>
      <protection locked="0"/>
    </xf>
    <xf numFmtId="4" fontId="52" fillId="0" borderId="13" xfId="13" applyNumberFormat="1" applyFont="1" applyBorder="1" applyAlignment="1" applyProtection="1">
      <alignment horizontal="center" vertical="center"/>
      <protection locked="0"/>
    </xf>
    <xf numFmtId="4" fontId="52" fillId="0" borderId="8" xfId="13" applyNumberFormat="1" applyFont="1" applyBorder="1" applyAlignment="1" applyProtection="1">
      <alignment horizontal="center" vertical="center"/>
      <protection locked="0"/>
    </xf>
    <xf numFmtId="4" fontId="52" fillId="0" borderId="9" xfId="13" applyNumberFormat="1" applyFont="1" applyBorder="1" applyAlignment="1" applyProtection="1">
      <alignment horizontal="center" vertical="center"/>
      <protection locked="0"/>
    </xf>
    <xf numFmtId="0" fontId="53" fillId="11" borderId="0" xfId="12" applyFont="1" applyFill="1"/>
    <xf numFmtId="0" fontId="52" fillId="0" borderId="100" xfId="13" applyFont="1" applyBorder="1" applyAlignment="1" applyProtection="1">
      <alignment horizontal="center" vertical="center"/>
      <protection locked="0"/>
    </xf>
    <xf numFmtId="0" fontId="52" fillId="0" borderId="38" xfId="13" applyFont="1" applyBorder="1" applyAlignment="1" applyProtection="1">
      <alignment horizontal="center" vertical="center"/>
      <protection locked="0"/>
    </xf>
    <xf numFmtId="0" fontId="52" fillId="0" borderId="16" xfId="13" applyFont="1" applyBorder="1" applyAlignment="1" applyProtection="1">
      <alignment horizontal="center" vertical="center"/>
      <protection locked="0"/>
    </xf>
    <xf numFmtId="0" fontId="52" fillId="11" borderId="27" xfId="42" applyFont="1" applyFill="1" applyBorder="1" applyAlignment="1">
      <alignment horizontal="center"/>
    </xf>
    <xf numFmtId="0" fontId="48" fillId="11" borderId="0" xfId="12" applyFont="1" applyFill="1"/>
    <xf numFmtId="0" fontId="48" fillId="11" borderId="0" xfId="12" quotePrefix="1" applyFont="1" applyFill="1" applyAlignment="1">
      <alignment wrapText="1"/>
    </xf>
    <xf numFmtId="0" fontId="72" fillId="11" borderId="0" xfId="12" applyFont="1" applyFill="1" applyAlignment="1">
      <alignment vertical="center"/>
    </xf>
    <xf numFmtId="0" fontId="52" fillId="0" borderId="87" xfId="13" applyFont="1" applyBorder="1" applyAlignment="1" applyProtection="1">
      <alignment horizontal="center" vertical="center"/>
      <protection locked="0"/>
    </xf>
    <xf numFmtId="0" fontId="52" fillId="0" borderId="85" xfId="13" applyFont="1" applyBorder="1" applyAlignment="1" applyProtection="1">
      <alignment horizontal="center" vertical="center"/>
      <protection locked="0"/>
    </xf>
    <xf numFmtId="0" fontId="52" fillId="0" borderId="65" xfId="13" applyFont="1" applyBorder="1" applyAlignment="1" applyProtection="1">
      <alignment horizontal="center" vertical="center"/>
      <protection locked="0"/>
    </xf>
    <xf numFmtId="0" fontId="52" fillId="0" borderId="63" xfId="13" applyFont="1" applyBorder="1" applyAlignment="1" applyProtection="1">
      <alignment horizontal="center" vertical="center"/>
      <protection locked="0"/>
    </xf>
    <xf numFmtId="4" fontId="52" fillId="0" borderId="63" xfId="13" applyNumberFormat="1" applyFont="1" applyBorder="1" applyAlignment="1" applyProtection="1">
      <alignment horizontal="center" vertical="center"/>
      <protection locked="0"/>
    </xf>
    <xf numFmtId="4" fontId="52" fillId="0" borderId="85" xfId="13" applyNumberFormat="1" applyFont="1" applyBorder="1" applyAlignment="1" applyProtection="1">
      <alignment horizontal="center" vertical="center"/>
      <protection locked="0"/>
    </xf>
    <xf numFmtId="4" fontId="52" fillId="0" borderId="65" xfId="13" applyNumberFormat="1" applyFont="1" applyBorder="1" applyAlignment="1" applyProtection="1">
      <alignment horizontal="center" vertical="center"/>
      <protection locked="0"/>
    </xf>
    <xf numFmtId="0" fontId="52" fillId="0" borderId="86" xfId="13" applyFont="1" applyBorder="1" applyAlignment="1" applyProtection="1">
      <alignment horizontal="center" vertical="center"/>
      <protection locked="0"/>
    </xf>
    <xf numFmtId="0" fontId="52" fillId="0" borderId="71" xfId="13" applyFont="1" applyBorder="1" applyAlignment="1" applyProtection="1">
      <alignment horizontal="center" vertical="center"/>
      <protection locked="0"/>
    </xf>
    <xf numFmtId="0" fontId="52" fillId="0" borderId="72" xfId="13" applyFont="1" applyBorder="1" applyAlignment="1" applyProtection="1">
      <alignment horizontal="center" vertical="center"/>
      <protection locked="0"/>
    </xf>
    <xf numFmtId="0" fontId="52" fillId="0" borderId="73" xfId="13" applyFont="1" applyBorder="1" applyAlignment="1" applyProtection="1">
      <alignment horizontal="center" vertical="center"/>
      <protection locked="0"/>
    </xf>
    <xf numFmtId="0" fontId="52" fillId="0" borderId="98" xfId="13" applyFont="1" applyBorder="1" applyAlignment="1" applyProtection="1">
      <alignment horizontal="center" vertical="center"/>
      <protection locked="0"/>
    </xf>
    <xf numFmtId="4" fontId="52" fillId="0" borderId="98" xfId="13" applyNumberFormat="1" applyFont="1" applyBorder="1" applyAlignment="1" applyProtection="1">
      <alignment horizontal="center" vertical="center"/>
      <protection locked="0"/>
    </xf>
    <xf numFmtId="4" fontId="52" fillId="0" borderId="72" xfId="13" applyNumberFormat="1" applyFont="1" applyBorder="1" applyAlignment="1" applyProtection="1">
      <alignment horizontal="center" vertical="center"/>
      <protection locked="0"/>
    </xf>
    <xf numFmtId="4" fontId="52" fillId="0" borderId="73" xfId="13" applyNumberFormat="1" applyFont="1" applyBorder="1" applyAlignment="1" applyProtection="1">
      <alignment horizontal="center" vertical="center"/>
      <protection locked="0"/>
    </xf>
    <xf numFmtId="0" fontId="52" fillId="0" borderId="74" xfId="13" applyFont="1" applyBorder="1" applyAlignment="1" applyProtection="1">
      <alignment horizontal="center" vertical="center"/>
      <protection locked="0"/>
    </xf>
    <xf numFmtId="0" fontId="41" fillId="11" borderId="71" xfId="13" applyFont="1" applyFill="1" applyBorder="1" applyAlignment="1">
      <alignment horizontal="center" vertical="center"/>
    </xf>
    <xf numFmtId="0" fontId="41" fillId="11" borderId="72" xfId="13" applyFont="1" applyFill="1" applyBorder="1" applyAlignment="1">
      <alignment horizontal="center" vertical="center"/>
    </xf>
    <xf numFmtId="0" fontId="41" fillId="11" borderId="73" xfId="13" applyFont="1" applyFill="1" applyBorder="1" applyAlignment="1">
      <alignment horizontal="center" vertical="center"/>
    </xf>
    <xf numFmtId="0" fontId="41" fillId="11" borderId="98" xfId="13" applyFont="1" applyFill="1" applyBorder="1" applyAlignment="1">
      <alignment horizontal="center" vertical="center" wrapText="1"/>
    </xf>
    <xf numFmtId="0" fontId="42" fillId="11" borderId="67" xfId="13" applyFont="1" applyFill="1" applyBorder="1" applyAlignment="1">
      <alignment horizontal="center" vertical="top" wrapText="1"/>
    </xf>
    <xf numFmtId="0" fontId="42" fillId="11" borderId="0" xfId="13" applyFont="1" applyFill="1" applyAlignment="1">
      <alignment horizontal="center" vertical="top" wrapText="1"/>
    </xf>
    <xf numFmtId="0" fontId="42" fillId="11" borderId="69" xfId="13" applyFont="1" applyFill="1" applyBorder="1" applyAlignment="1">
      <alignment horizontal="center" vertical="top" wrapText="1"/>
    </xf>
    <xf numFmtId="0" fontId="42" fillId="11" borderId="7" xfId="13" applyFont="1" applyFill="1" applyBorder="1" applyAlignment="1">
      <alignment horizontal="center" vertical="top" wrapText="1"/>
    </xf>
    <xf numFmtId="0" fontId="42" fillId="11" borderId="8" xfId="13" applyFont="1" applyFill="1" applyBorder="1" applyAlignment="1">
      <alignment horizontal="center" vertical="top" wrapText="1"/>
    </xf>
    <xf numFmtId="0" fontId="42" fillId="11" borderId="9" xfId="13" applyFont="1" applyFill="1" applyBorder="1" applyAlignment="1">
      <alignment horizontal="center" vertical="top" wrapText="1"/>
    </xf>
    <xf numFmtId="0" fontId="42" fillId="11" borderId="68" xfId="13" applyFont="1" applyFill="1" applyBorder="1" applyAlignment="1">
      <alignment horizontal="center" vertical="top" wrapText="1"/>
    </xf>
    <xf numFmtId="0" fontId="42" fillId="11" borderId="38" xfId="13" applyFont="1" applyFill="1" applyBorder="1" applyAlignment="1">
      <alignment horizontal="center" vertical="top" wrapText="1"/>
    </xf>
    <xf numFmtId="0" fontId="42" fillId="11" borderId="13" xfId="13" applyFont="1" applyFill="1" applyBorder="1" applyAlignment="1">
      <alignment horizontal="center" vertical="top" wrapText="1"/>
    </xf>
    <xf numFmtId="0" fontId="42" fillId="11" borderId="16" xfId="13" applyFont="1" applyFill="1" applyBorder="1" applyAlignment="1">
      <alignment horizontal="center" vertical="top" wrapText="1"/>
    </xf>
    <xf numFmtId="0" fontId="53" fillId="12" borderId="0" xfId="22" applyFont="1" applyFill="1" applyAlignment="1">
      <alignment vertical="center"/>
    </xf>
    <xf numFmtId="0" fontId="53" fillId="12" borderId="232" xfId="22" applyFont="1" applyFill="1" applyBorder="1"/>
    <xf numFmtId="0" fontId="48" fillId="11" borderId="0" xfId="22" applyFont="1" applyFill="1" applyAlignment="1">
      <alignment vertical="center"/>
    </xf>
    <xf numFmtId="0" fontId="52" fillId="0" borderId="250" xfId="22" applyFont="1" applyBorder="1" applyAlignment="1" applyProtection="1">
      <alignment horizontal="center" vertical="center"/>
      <protection locked="0"/>
    </xf>
    <xf numFmtId="0" fontId="52" fillId="0" borderId="251" xfId="22" applyFont="1" applyBorder="1" applyProtection="1">
      <protection locked="0"/>
    </xf>
    <xf numFmtId="0" fontId="52" fillId="0" borderId="252" xfId="22" applyFont="1" applyBorder="1" applyProtection="1">
      <protection locked="0"/>
    </xf>
    <xf numFmtId="0" fontId="52" fillId="0" borderId="251" xfId="22" applyFont="1" applyBorder="1" applyAlignment="1" applyProtection="1">
      <alignment horizontal="center" vertical="center"/>
      <protection locked="0"/>
    </xf>
    <xf numFmtId="4" fontId="52" fillId="0" borderId="253" xfId="22" applyNumberFormat="1" applyFont="1" applyBorder="1" applyAlignment="1" applyProtection="1">
      <alignment horizontal="center" vertical="center"/>
      <protection locked="0"/>
    </xf>
    <xf numFmtId="4" fontId="52" fillId="0" borderId="251" xfId="22" applyNumberFormat="1" applyFont="1" applyBorder="1" applyProtection="1">
      <protection locked="0"/>
    </xf>
    <xf numFmtId="4" fontId="52" fillId="0" borderId="252" xfId="22" applyNumberFormat="1" applyFont="1" applyBorder="1" applyProtection="1">
      <protection locked="0"/>
    </xf>
    <xf numFmtId="0" fontId="52" fillId="0" borderId="253" xfId="22" applyFont="1" applyBorder="1" applyAlignment="1" applyProtection="1">
      <alignment horizontal="center" vertical="center"/>
      <protection locked="0"/>
    </xf>
    <xf numFmtId="0" fontId="52" fillId="0" borderId="254" xfId="22" applyFont="1" applyBorder="1" applyProtection="1">
      <protection locked="0"/>
    </xf>
    <xf numFmtId="0" fontId="52" fillId="0" borderId="255" xfId="22" applyFont="1" applyBorder="1" applyAlignment="1" applyProtection="1">
      <alignment horizontal="center" vertical="center"/>
      <protection locked="0"/>
    </xf>
    <xf numFmtId="0" fontId="52" fillId="0" borderId="256" xfId="22" applyFont="1" applyBorder="1" applyProtection="1">
      <protection locked="0"/>
    </xf>
    <xf numFmtId="0" fontId="52" fillId="0" borderId="257" xfId="22" applyFont="1" applyBorder="1" applyProtection="1">
      <protection locked="0"/>
    </xf>
    <xf numFmtId="0" fontId="52" fillId="0" borderId="256" xfId="22" applyFont="1" applyBorder="1" applyAlignment="1" applyProtection="1">
      <alignment horizontal="center" vertical="center"/>
      <protection locked="0"/>
    </xf>
    <xf numFmtId="4" fontId="52" fillId="0" borderId="258" xfId="22" applyNumberFormat="1" applyFont="1" applyBorder="1" applyAlignment="1" applyProtection="1">
      <alignment horizontal="center" vertical="center"/>
      <protection locked="0"/>
    </xf>
    <xf numFmtId="4" fontId="52" fillId="0" borderId="256" xfId="22" applyNumberFormat="1" applyFont="1" applyBorder="1" applyProtection="1">
      <protection locked="0"/>
    </xf>
    <xf numFmtId="4" fontId="52" fillId="0" borderId="257" xfId="22" applyNumberFormat="1" applyFont="1" applyBorder="1" applyProtection="1">
      <protection locked="0"/>
    </xf>
    <xf numFmtId="0" fontId="52" fillId="0" borderId="258" xfId="22" applyFont="1" applyBorder="1" applyAlignment="1" applyProtection="1">
      <alignment horizontal="center" vertical="center"/>
      <protection locked="0"/>
    </xf>
    <xf numFmtId="0" fontId="52" fillId="0" borderId="259" xfId="22" applyFont="1" applyBorder="1" applyProtection="1">
      <protection locked="0"/>
    </xf>
    <xf numFmtId="0" fontId="52" fillId="0" borderId="245" xfId="22" applyFont="1" applyBorder="1" applyAlignment="1" applyProtection="1">
      <alignment horizontal="center" vertical="center"/>
      <protection locked="0"/>
    </xf>
    <xf numFmtId="0" fontId="52" fillId="0" borderId="246" xfId="22" applyFont="1" applyBorder="1" applyProtection="1">
      <protection locked="0"/>
    </xf>
    <xf numFmtId="0" fontId="52" fillId="0" borderId="247" xfId="22" applyFont="1" applyBorder="1" applyProtection="1">
      <protection locked="0"/>
    </xf>
    <xf numFmtId="0" fontId="52" fillId="0" borderId="246" xfId="22" applyFont="1" applyBorder="1" applyAlignment="1" applyProtection="1">
      <alignment horizontal="center" vertical="center"/>
      <protection locked="0"/>
    </xf>
    <xf numFmtId="4" fontId="52" fillId="0" borderId="248" xfId="22" applyNumberFormat="1" applyFont="1" applyBorder="1" applyAlignment="1" applyProtection="1">
      <alignment horizontal="center" vertical="center"/>
      <protection locked="0"/>
    </xf>
    <xf numFmtId="4" fontId="52" fillId="0" borderId="246" xfId="22" applyNumberFormat="1" applyFont="1" applyBorder="1" applyProtection="1">
      <protection locked="0"/>
    </xf>
    <xf numFmtId="4" fontId="52" fillId="0" borderId="247" xfId="22" applyNumberFormat="1" applyFont="1" applyBorder="1" applyProtection="1">
      <protection locked="0"/>
    </xf>
    <xf numFmtId="0" fontId="52" fillId="0" borderId="248" xfId="22" applyFont="1" applyBorder="1" applyAlignment="1" applyProtection="1">
      <alignment horizontal="center" vertical="center"/>
      <protection locked="0"/>
    </xf>
    <xf numFmtId="0" fontId="52" fillId="0" borderId="249" xfId="22" applyFont="1" applyBorder="1" applyProtection="1">
      <protection locked="0"/>
    </xf>
    <xf numFmtId="0" fontId="41" fillId="11" borderId="231" xfId="22" applyFont="1" applyFill="1" applyBorder="1" applyAlignment="1">
      <alignment horizontal="center" vertical="center" shrinkToFit="1"/>
    </xf>
    <xf numFmtId="0" fontId="41" fillId="11" borderId="232" xfId="22" applyFont="1" applyFill="1" applyBorder="1" applyAlignment="1">
      <alignment horizontal="center" vertical="center" shrinkToFit="1"/>
    </xf>
    <xf numFmtId="0" fontId="41" fillId="11" borderId="233" xfId="22" applyFont="1" applyFill="1" applyBorder="1" applyAlignment="1">
      <alignment horizontal="center" vertical="center" shrinkToFit="1"/>
    </xf>
    <xf numFmtId="0" fontId="52" fillId="11" borderId="232" xfId="22" applyFont="1" applyFill="1" applyBorder="1"/>
    <xf numFmtId="0" fontId="52" fillId="11" borderId="233" xfId="22" applyFont="1" applyFill="1" applyBorder="1"/>
    <xf numFmtId="0" fontId="41" fillId="11" borderId="234" xfId="22" applyFont="1" applyFill="1" applyBorder="1" applyAlignment="1">
      <alignment horizontal="center" vertical="center" shrinkToFit="1"/>
    </xf>
    <xf numFmtId="0" fontId="52" fillId="11" borderId="235" xfId="22" applyFont="1" applyFill="1" applyBorder="1"/>
    <xf numFmtId="0" fontId="42" fillId="11" borderId="236" xfId="22" applyFont="1" applyFill="1" applyBorder="1" applyAlignment="1">
      <alignment horizontal="center" vertical="top" wrapText="1"/>
    </xf>
    <xf numFmtId="0" fontId="42" fillId="11" borderId="0" xfId="22" applyFont="1" applyFill="1" applyAlignment="1">
      <alignment horizontal="center" vertical="top" wrapText="1"/>
    </xf>
    <xf numFmtId="0" fontId="42" fillId="11" borderId="237" xfId="22" applyFont="1" applyFill="1" applyBorder="1" applyAlignment="1">
      <alignment horizontal="center" vertical="top" wrapText="1"/>
    </xf>
    <xf numFmtId="0" fontId="42" fillId="11" borderId="240" xfId="22" applyFont="1" applyFill="1" applyBorder="1" applyAlignment="1">
      <alignment horizontal="center" vertical="top" wrapText="1"/>
    </xf>
    <xf numFmtId="0" fontId="42" fillId="11" borderId="241" xfId="22" applyFont="1" applyFill="1" applyBorder="1" applyAlignment="1">
      <alignment horizontal="center" vertical="top" wrapText="1"/>
    </xf>
    <xf numFmtId="0" fontId="42" fillId="11" borderId="242" xfId="22" applyFont="1" applyFill="1" applyBorder="1" applyAlignment="1">
      <alignment horizontal="center" vertical="top" wrapText="1"/>
    </xf>
    <xf numFmtId="0" fontId="42" fillId="11" borderId="0" xfId="22" applyFont="1" applyFill="1" applyAlignment="1">
      <alignment horizontal="center" vertical="top" shrinkToFit="1"/>
    </xf>
    <xf numFmtId="0" fontId="53" fillId="11" borderId="0" xfId="22" applyFont="1" applyFill="1"/>
    <xf numFmtId="0" fontId="53" fillId="11" borderId="237" xfId="22" applyFont="1" applyFill="1" applyBorder="1"/>
    <xf numFmtId="0" fontId="53" fillId="11" borderId="241" xfId="22" applyFont="1" applyFill="1" applyBorder="1"/>
    <xf numFmtId="0" fontId="53" fillId="11" borderId="242" xfId="22" applyFont="1" applyFill="1" applyBorder="1"/>
    <xf numFmtId="0" fontId="42" fillId="11" borderId="238" xfId="22" applyFont="1" applyFill="1" applyBorder="1" applyAlignment="1">
      <alignment horizontal="center" vertical="top" shrinkToFit="1"/>
    </xf>
    <xf numFmtId="0" fontId="53" fillId="11" borderId="243" xfId="22" applyFont="1" applyFill="1" applyBorder="1"/>
    <xf numFmtId="0" fontId="42" fillId="11" borderId="238" xfId="22" applyFont="1" applyFill="1" applyBorder="1" applyAlignment="1">
      <alignment horizontal="center" vertical="top" wrapText="1"/>
    </xf>
    <xf numFmtId="0" fontId="53" fillId="11" borderId="0" xfId="22" applyFont="1" applyFill="1" applyAlignment="1">
      <alignment vertical="top"/>
    </xf>
    <xf numFmtId="0" fontId="53" fillId="11" borderId="243" xfId="22" applyFont="1" applyFill="1" applyBorder="1" applyAlignment="1">
      <alignment vertical="top"/>
    </xf>
    <xf numFmtId="0" fontId="53" fillId="11" borderId="241" xfId="22" applyFont="1" applyFill="1" applyBorder="1" applyAlignment="1">
      <alignment vertical="top"/>
    </xf>
    <xf numFmtId="0" fontId="42" fillId="11" borderId="0" xfId="22" applyFont="1" applyFill="1" applyAlignment="1">
      <alignment vertical="top"/>
    </xf>
    <xf numFmtId="0" fontId="42" fillId="11" borderId="239" xfId="22" applyFont="1" applyFill="1" applyBorder="1" applyAlignment="1">
      <alignment vertical="top"/>
    </xf>
    <xf numFmtId="0" fontId="42" fillId="11" borderId="243" xfId="22" applyFont="1" applyFill="1" applyBorder="1" applyAlignment="1">
      <alignment vertical="top"/>
    </xf>
    <xf numFmtId="0" fontId="42" fillId="11" borderId="241" xfId="22" applyFont="1" applyFill="1" applyBorder="1" applyAlignment="1">
      <alignment vertical="top"/>
    </xf>
    <xf numFmtId="0" fontId="42" fillId="11" borderId="244" xfId="22" applyFont="1" applyFill="1" applyBorder="1" applyAlignment="1">
      <alignment vertical="top"/>
    </xf>
    <xf numFmtId="0" fontId="162" fillId="0" borderId="62" xfId="175" applyBorder="1" applyAlignment="1" applyProtection="1">
      <alignment horizontal="center" vertical="center"/>
      <protection locked="0"/>
    </xf>
    <xf numFmtId="0" fontId="52" fillId="0" borderId="57" xfId="22" applyFont="1" applyBorder="1" applyAlignment="1" applyProtection="1">
      <alignment horizontal="center" vertical="center"/>
      <protection locked="0"/>
    </xf>
    <xf numFmtId="0" fontId="52" fillId="0" borderId="89" xfId="22" applyFont="1" applyBorder="1" applyAlignment="1" applyProtection="1">
      <alignment horizontal="center" vertical="center"/>
      <protection locked="0"/>
    </xf>
    <xf numFmtId="0" fontId="52" fillId="0" borderId="64" xfId="22" applyFont="1" applyBorder="1" applyAlignment="1" applyProtection="1">
      <alignment horizontal="center" vertical="center"/>
      <protection locked="0"/>
    </xf>
    <xf numFmtId="0" fontId="52" fillId="0" borderId="58" xfId="22" applyFont="1" applyBorder="1" applyAlignment="1" applyProtection="1">
      <alignment horizontal="center" vertical="center"/>
      <protection locked="0"/>
    </xf>
    <xf numFmtId="0" fontId="52" fillId="0" borderId="66" xfId="22" applyFont="1" applyBorder="1" applyAlignment="1" applyProtection="1">
      <alignment horizontal="center" vertical="center"/>
      <protection locked="0"/>
    </xf>
    <xf numFmtId="0" fontId="52" fillId="0" borderId="156" xfId="22" applyFont="1" applyBorder="1" applyAlignment="1" applyProtection="1">
      <alignment horizontal="center" vertical="center"/>
      <protection locked="0"/>
    </xf>
    <xf numFmtId="0" fontId="52" fillId="0" borderId="150" xfId="22" applyFont="1" applyBorder="1" applyAlignment="1" applyProtection="1">
      <alignment horizontal="center" vertical="center"/>
      <protection locked="0"/>
    </xf>
    <xf numFmtId="0" fontId="52" fillId="0" borderId="157" xfId="22" applyFont="1" applyBorder="1" applyAlignment="1" applyProtection="1">
      <alignment horizontal="center" vertical="center"/>
      <protection locked="0"/>
    </xf>
    <xf numFmtId="172" fontId="52" fillId="0" borderId="156" xfId="22" applyNumberFormat="1" applyFont="1" applyBorder="1" applyAlignment="1" applyProtection="1">
      <alignment horizontal="center" vertical="center"/>
      <protection locked="0"/>
    </xf>
    <xf numFmtId="172" fontId="52" fillId="0" borderId="150" xfId="22" applyNumberFormat="1" applyFont="1" applyBorder="1" applyAlignment="1" applyProtection="1">
      <alignment horizontal="center" vertical="center"/>
      <protection locked="0"/>
    </xf>
    <xf numFmtId="172" fontId="52" fillId="0" borderId="157" xfId="22" applyNumberFormat="1" applyFont="1" applyBorder="1" applyAlignment="1" applyProtection="1">
      <alignment horizontal="center" vertical="center"/>
      <protection locked="0"/>
    </xf>
    <xf numFmtId="172" fontId="52" fillId="0" borderId="64" xfId="22" applyNumberFormat="1" applyFont="1" applyBorder="1" applyAlignment="1" applyProtection="1">
      <alignment horizontal="center" vertical="center"/>
      <protection locked="0"/>
    </xf>
    <xf numFmtId="172" fontId="52" fillId="0" borderId="58" xfId="22" applyNumberFormat="1" applyFont="1" applyBorder="1" applyAlignment="1" applyProtection="1">
      <alignment horizontal="center" vertical="center"/>
      <protection locked="0"/>
    </xf>
    <xf numFmtId="172" fontId="52" fillId="0" borderId="66" xfId="22" applyNumberFormat="1" applyFont="1" applyBorder="1" applyAlignment="1" applyProtection="1">
      <alignment horizontal="center" vertical="center"/>
      <protection locked="0"/>
    </xf>
    <xf numFmtId="0" fontId="52" fillId="0" borderId="62" xfId="22" applyFont="1" applyBorder="1" applyAlignment="1" applyProtection="1">
      <alignment horizontal="center" vertical="center"/>
      <protection locked="0"/>
    </xf>
    <xf numFmtId="172" fontId="52" fillId="0" borderId="62" xfId="22" applyNumberFormat="1" applyFont="1" applyBorder="1" applyAlignment="1" applyProtection="1">
      <alignment horizontal="center" vertical="center"/>
      <protection locked="0"/>
    </xf>
    <xf numFmtId="172" fontId="52" fillId="0" borderId="57" xfId="22" applyNumberFormat="1" applyFont="1" applyBorder="1" applyAlignment="1" applyProtection="1">
      <alignment horizontal="center" vertical="center"/>
      <protection locked="0"/>
    </xf>
    <xf numFmtId="172" fontId="52" fillId="0" borderId="89" xfId="22" applyNumberFormat="1" applyFont="1" applyBorder="1" applyAlignment="1" applyProtection="1">
      <alignment horizontal="center" vertical="center"/>
      <protection locked="0"/>
    </xf>
    <xf numFmtId="0" fontId="52" fillId="0" borderId="2" xfId="22" applyFont="1" applyBorder="1" applyAlignment="1" applyProtection="1">
      <alignment horizontal="center" vertical="center"/>
      <protection locked="0"/>
    </xf>
    <xf numFmtId="0" fontId="52" fillId="11" borderId="27" xfId="22" applyFont="1" applyFill="1" applyBorder="1" applyAlignment="1">
      <alignment horizontal="center"/>
    </xf>
    <xf numFmtId="0" fontId="42" fillId="11" borderId="26" xfId="22" applyFont="1" applyFill="1" applyBorder="1" applyAlignment="1">
      <alignment horizontal="center" vertical="top"/>
    </xf>
    <xf numFmtId="0" fontId="53" fillId="12" borderId="0" xfId="22" applyFont="1" applyFill="1"/>
    <xf numFmtId="0" fontId="72" fillId="11" borderId="0" xfId="22" applyFont="1" applyFill="1" applyAlignment="1">
      <alignment vertical="center"/>
    </xf>
    <xf numFmtId="0" fontId="52" fillId="11" borderId="0" xfId="22" applyFont="1" applyFill="1" applyAlignment="1">
      <alignment horizontal="center"/>
    </xf>
    <xf numFmtId="0" fontId="53" fillId="12" borderId="72" xfId="22" applyFont="1" applyFill="1" applyBorder="1"/>
    <xf numFmtId="0" fontId="52" fillId="0" borderId="141" xfId="22" applyFont="1" applyBorder="1" applyAlignment="1" applyProtection="1">
      <alignment horizontal="center" vertical="center"/>
      <protection locked="0"/>
    </xf>
    <xf numFmtId="0" fontId="41" fillId="11" borderId="262" xfId="22" applyFont="1" applyFill="1" applyBorder="1" applyAlignment="1">
      <alignment horizontal="center" vertical="center" wrapText="1"/>
    </xf>
    <xf numFmtId="0" fontId="41" fillId="11" borderId="232" xfId="22" applyFont="1" applyFill="1" applyBorder="1" applyAlignment="1">
      <alignment horizontal="center" vertical="center" wrapText="1"/>
    </xf>
    <xf numFmtId="0" fontId="41" fillId="11" borderId="261" xfId="22" applyFont="1" applyFill="1" applyBorder="1" applyAlignment="1">
      <alignment horizontal="center" vertical="center" wrapText="1"/>
    </xf>
    <xf numFmtId="0" fontId="41" fillId="11" borderId="19" xfId="22" applyFont="1" applyFill="1" applyBorder="1" applyAlignment="1">
      <alignment horizontal="center" vertical="center" wrapText="1"/>
    </xf>
    <xf numFmtId="0" fontId="42" fillId="11" borderId="7" xfId="22" applyFont="1" applyFill="1" applyBorder="1" applyAlignment="1">
      <alignment horizontal="center" vertical="top" wrapText="1"/>
    </xf>
    <xf numFmtId="0" fontId="42" fillId="11" borderId="8" xfId="22" applyFont="1" applyFill="1" applyBorder="1" applyAlignment="1">
      <alignment horizontal="center" vertical="top" wrapText="1"/>
    </xf>
    <xf numFmtId="0" fontId="42" fillId="11" borderId="9" xfId="22" applyFont="1" applyFill="1" applyBorder="1" applyAlignment="1">
      <alignment horizontal="center" vertical="top" wrapText="1"/>
    </xf>
    <xf numFmtId="0" fontId="42" fillId="11" borderId="13" xfId="22" applyFont="1" applyFill="1" applyBorder="1" applyAlignment="1">
      <alignment horizontal="center" vertical="top" wrapText="1"/>
    </xf>
    <xf numFmtId="0" fontId="42" fillId="11" borderId="13" xfId="22" applyFont="1" applyFill="1" applyBorder="1" applyAlignment="1">
      <alignment horizontal="center" vertical="top"/>
    </xf>
    <xf numFmtId="0" fontId="42" fillId="11" borderId="8" xfId="22" applyFont="1" applyFill="1" applyBorder="1" applyAlignment="1">
      <alignment horizontal="center" vertical="top"/>
    </xf>
    <xf numFmtId="0" fontId="42" fillId="11" borderId="9" xfId="22" applyFont="1" applyFill="1" applyBorder="1" applyAlignment="1">
      <alignment horizontal="center" vertical="top"/>
    </xf>
    <xf numFmtId="0" fontId="42" fillId="11" borderId="59" xfId="22" applyFont="1" applyFill="1" applyBorder="1" applyAlignment="1">
      <alignment horizontal="center" vertical="center" wrapText="1"/>
    </xf>
    <xf numFmtId="0" fontId="42" fillId="11" borderId="94" xfId="22" applyFont="1" applyFill="1" applyBorder="1" applyAlignment="1">
      <alignment horizontal="center" vertical="center" wrapText="1"/>
    </xf>
    <xf numFmtId="0" fontId="42" fillId="11" borderId="118" xfId="22" applyFont="1" applyFill="1" applyBorder="1" applyAlignment="1">
      <alignment horizontal="center" vertical="center" wrapText="1"/>
    </xf>
    <xf numFmtId="0" fontId="42" fillId="11" borderId="13" xfId="22" applyFont="1" applyFill="1" applyBorder="1" applyAlignment="1">
      <alignment horizontal="center" vertical="center" wrapText="1"/>
    </xf>
    <xf numFmtId="0" fontId="42" fillId="11" borderId="8" xfId="22" applyFont="1" applyFill="1" applyBorder="1" applyAlignment="1">
      <alignment horizontal="center" vertical="center" wrapText="1"/>
    </xf>
    <xf numFmtId="0" fontId="42" fillId="11" borderId="9" xfId="22" applyFont="1" applyFill="1" applyBorder="1" applyAlignment="1">
      <alignment horizontal="center" vertical="center" wrapText="1"/>
    </xf>
    <xf numFmtId="0" fontId="41" fillId="11" borderId="260" xfId="22" applyFont="1" applyFill="1" applyBorder="1" applyAlignment="1">
      <alignment horizontal="center" vertical="center" wrapText="1"/>
    </xf>
    <xf numFmtId="0" fontId="52" fillId="0" borderId="83" xfId="22" applyFont="1" applyBorder="1" applyAlignment="1" applyProtection="1">
      <alignment horizontal="center" vertical="center"/>
      <protection locked="0"/>
    </xf>
    <xf numFmtId="0" fontId="53" fillId="11" borderId="232" xfId="22" quotePrefix="1" applyFont="1" applyFill="1" applyBorder="1"/>
    <xf numFmtId="0" fontId="52" fillId="11" borderId="0" xfId="22" applyFont="1" applyFill="1" applyAlignment="1">
      <alignment vertical="top"/>
    </xf>
    <xf numFmtId="0" fontId="42" fillId="11" borderId="237" xfId="22" applyFont="1" applyFill="1" applyBorder="1" applyAlignment="1">
      <alignment vertical="top"/>
    </xf>
    <xf numFmtId="0" fontId="42" fillId="11" borderId="242" xfId="22" applyFont="1" applyFill="1" applyBorder="1" applyAlignment="1">
      <alignment vertical="top"/>
    </xf>
    <xf numFmtId="3" fontId="41" fillId="11" borderId="2" xfId="42" applyNumberFormat="1" applyFont="1" applyFill="1" applyBorder="1" applyAlignment="1">
      <alignment horizontal="center" vertical="center"/>
    </xf>
    <xf numFmtId="3" fontId="41" fillId="11" borderId="58" xfId="42" applyNumberFormat="1" applyFont="1" applyFill="1" applyBorder="1" applyAlignment="1">
      <alignment horizontal="center" vertical="center"/>
    </xf>
    <xf numFmtId="3" fontId="41" fillId="11" borderId="55" xfId="42" applyNumberFormat="1" applyFont="1" applyFill="1" applyBorder="1" applyAlignment="1">
      <alignment horizontal="center" vertical="center"/>
    </xf>
    <xf numFmtId="3" fontId="39" fillId="0" borderId="64" xfId="42" applyNumberFormat="1" applyBorder="1" applyAlignment="1" applyProtection="1">
      <alignment horizontal="center" vertical="center"/>
      <protection locked="0"/>
    </xf>
    <xf numFmtId="3" fontId="39" fillId="0" borderId="58" xfId="42" applyNumberFormat="1" applyBorder="1" applyAlignment="1" applyProtection="1">
      <alignment horizontal="center" vertical="center"/>
      <protection locked="0"/>
    </xf>
    <xf numFmtId="3" fontId="39" fillId="0" borderId="66" xfId="42" applyNumberFormat="1" applyBorder="1" applyAlignment="1" applyProtection="1">
      <alignment horizontal="center" vertical="center"/>
      <protection locked="0"/>
    </xf>
    <xf numFmtId="3" fontId="39" fillId="0" borderId="92" xfId="42" applyNumberFormat="1" applyBorder="1" applyAlignment="1" applyProtection="1">
      <alignment horizontal="center" vertical="center"/>
      <protection locked="0"/>
    </xf>
    <xf numFmtId="3" fontId="41" fillId="11" borderId="93" xfId="42" applyNumberFormat="1" applyFont="1" applyFill="1" applyBorder="1" applyAlignment="1">
      <alignment horizontal="center" vertical="center"/>
    </xf>
    <xf numFmtId="3" fontId="39" fillId="0" borderId="2" xfId="42" applyNumberFormat="1" applyBorder="1" applyAlignment="1" applyProtection="1">
      <alignment horizontal="center" vertical="center"/>
      <protection locked="0"/>
    </xf>
    <xf numFmtId="0" fontId="41" fillId="11" borderId="71" xfId="42" applyFont="1" applyFill="1" applyBorder="1" applyAlignment="1">
      <alignment horizontal="center" vertical="center"/>
    </xf>
    <xf numFmtId="0" fontId="41" fillId="11" borderId="72" xfId="42" applyFont="1" applyFill="1" applyBorder="1" applyAlignment="1">
      <alignment horizontal="center" vertical="center"/>
    </xf>
    <xf numFmtId="0" fontId="41" fillId="11" borderId="74" xfId="42" applyFont="1" applyFill="1" applyBorder="1" applyAlignment="1">
      <alignment horizontal="center" vertical="center"/>
    </xf>
    <xf numFmtId="0" fontId="41" fillId="11" borderId="7" xfId="42" applyFont="1" applyFill="1" applyBorder="1" applyAlignment="1">
      <alignment horizontal="center" vertical="center"/>
    </xf>
    <xf numFmtId="0" fontId="41" fillId="11" borderId="8" xfId="42" applyFont="1" applyFill="1" applyBorder="1" applyAlignment="1">
      <alignment horizontal="center" vertical="center"/>
    </xf>
    <xf numFmtId="0" fontId="41" fillId="11" borderId="16" xfId="42" applyFont="1" applyFill="1" applyBorder="1" applyAlignment="1">
      <alignment horizontal="center" vertical="center"/>
    </xf>
    <xf numFmtId="0" fontId="41" fillId="11" borderId="17" xfId="42" applyFont="1" applyFill="1" applyBorder="1" applyAlignment="1">
      <alignment horizontal="center" vertical="top" wrapText="1"/>
    </xf>
    <xf numFmtId="0" fontId="41" fillId="11" borderId="10" xfId="42" applyFont="1" applyFill="1" applyBorder="1" applyAlignment="1">
      <alignment horizontal="center" vertical="top" wrapText="1"/>
    </xf>
    <xf numFmtId="0" fontId="41" fillId="11" borderId="22" xfId="42" applyFont="1" applyFill="1" applyBorder="1" applyAlignment="1">
      <alignment horizontal="center" vertical="top" wrapText="1"/>
    </xf>
    <xf numFmtId="0" fontId="41" fillId="11" borderId="17" xfId="42" applyFont="1" applyFill="1" applyBorder="1" applyAlignment="1">
      <alignment horizontal="center" vertical="center" wrapText="1"/>
    </xf>
    <xf numFmtId="0" fontId="41" fillId="11" borderId="10" xfId="42" applyFont="1" applyFill="1" applyBorder="1" applyAlignment="1">
      <alignment horizontal="center" vertical="center" wrapText="1"/>
    </xf>
    <xf numFmtId="0" fontId="41" fillId="11" borderId="22" xfId="42" applyFont="1" applyFill="1" applyBorder="1" applyAlignment="1">
      <alignment horizontal="center" vertical="center" wrapText="1"/>
    </xf>
    <xf numFmtId="0" fontId="41" fillId="11" borderId="96" xfId="42" applyFont="1" applyFill="1" applyBorder="1" applyAlignment="1">
      <alignment horizontal="center" vertical="center"/>
    </xf>
    <xf numFmtId="0" fontId="41" fillId="11" borderId="94" xfId="42" applyFont="1" applyFill="1" applyBorder="1" applyAlignment="1">
      <alignment horizontal="center" vertical="center"/>
    </xf>
    <xf numFmtId="0" fontId="41" fillId="11" borderId="118" xfId="42" applyFont="1" applyFill="1" applyBorder="1" applyAlignment="1">
      <alignment horizontal="center" vertical="center"/>
    </xf>
    <xf numFmtId="0" fontId="41" fillId="11" borderId="59" xfId="42" applyFont="1" applyFill="1" applyBorder="1" applyAlignment="1">
      <alignment horizontal="center" vertical="center"/>
    </xf>
    <xf numFmtId="0" fontId="41" fillId="11" borderId="140" xfId="42" applyFont="1" applyFill="1" applyBorder="1" applyAlignment="1">
      <alignment horizontal="center" vertical="center"/>
    </xf>
    <xf numFmtId="0" fontId="41" fillId="11" borderId="119" xfId="42" applyFont="1" applyFill="1" applyBorder="1" applyAlignment="1">
      <alignment horizontal="center" vertical="center"/>
    </xf>
    <xf numFmtId="0" fontId="41" fillId="11" borderId="97" xfId="42" applyFont="1" applyFill="1" applyBorder="1" applyAlignment="1">
      <alignment horizontal="center" vertical="center"/>
    </xf>
    <xf numFmtId="3" fontId="41" fillId="11" borderId="61" xfId="42" applyNumberFormat="1" applyFont="1" applyFill="1" applyBorder="1" applyAlignment="1">
      <alignment horizontal="center" vertical="center"/>
    </xf>
    <xf numFmtId="3" fontId="41" fillId="11" borderId="186" xfId="42" applyNumberFormat="1" applyFont="1" applyFill="1" applyBorder="1" applyAlignment="1">
      <alignment horizontal="center" vertical="center"/>
    </xf>
    <xf numFmtId="3" fontId="41" fillId="11" borderId="185" xfId="42" applyNumberFormat="1" applyFont="1" applyFill="1" applyBorder="1" applyAlignment="1">
      <alignment horizontal="center" vertical="center"/>
    </xf>
    <xf numFmtId="0" fontId="53" fillId="11" borderId="0" xfId="12" applyFont="1" applyFill="1" applyAlignment="1">
      <alignment horizontal="justify" vertical="top" wrapText="1"/>
    </xf>
    <xf numFmtId="0" fontId="53" fillId="11" borderId="0" xfId="12" applyFont="1" applyFill="1" applyAlignment="1">
      <alignment horizontal="justify" vertical="top"/>
    </xf>
    <xf numFmtId="3" fontId="41" fillId="11" borderId="46" xfId="42" applyNumberFormat="1" applyFont="1" applyFill="1" applyBorder="1" applyAlignment="1">
      <alignment horizontal="center" vertical="center"/>
    </xf>
    <xf numFmtId="3" fontId="41" fillId="11" borderId="47" xfId="42" applyNumberFormat="1" applyFont="1" applyFill="1" applyBorder="1" applyAlignment="1">
      <alignment horizontal="center" vertical="center"/>
    </xf>
    <xf numFmtId="3" fontId="41" fillId="11" borderId="49" xfId="42" applyNumberFormat="1" applyFont="1" applyFill="1" applyBorder="1" applyAlignment="1">
      <alignment horizontal="center" vertical="center"/>
    </xf>
    <xf numFmtId="3" fontId="41" fillId="11" borderId="48" xfId="42" applyNumberFormat="1" applyFont="1" applyFill="1" applyBorder="1" applyAlignment="1">
      <alignment horizontal="center" vertical="center"/>
    </xf>
    <xf numFmtId="3" fontId="41" fillId="11" borderId="50" xfId="42" applyNumberFormat="1" applyFont="1" applyFill="1" applyBorder="1" applyAlignment="1">
      <alignment horizontal="center" vertical="center"/>
    </xf>
    <xf numFmtId="3" fontId="41" fillId="11" borderId="52" xfId="42" applyNumberFormat="1" applyFont="1" applyFill="1" applyBorder="1" applyAlignment="1">
      <alignment horizontal="center" vertical="center"/>
    </xf>
    <xf numFmtId="0" fontId="41" fillId="11" borderId="17" xfId="13" applyFont="1" applyFill="1" applyBorder="1" applyAlignment="1">
      <alignment horizontal="center" vertical="center"/>
    </xf>
    <xf numFmtId="0" fontId="41" fillId="11" borderId="10" xfId="13" applyFont="1" applyFill="1" applyBorder="1" applyAlignment="1">
      <alignment horizontal="center" vertical="center"/>
    </xf>
    <xf numFmtId="0" fontId="41" fillId="11" borderId="22" xfId="13" applyFont="1" applyFill="1" applyBorder="1" applyAlignment="1">
      <alignment horizontal="center" vertical="center"/>
    </xf>
    <xf numFmtId="0" fontId="41" fillId="11" borderId="96" xfId="13" applyFont="1" applyFill="1" applyBorder="1" applyAlignment="1">
      <alignment horizontal="center" vertical="center"/>
    </xf>
    <xf numFmtId="0" fontId="41" fillId="11" borderId="94" xfId="13" applyFont="1" applyFill="1" applyBorder="1" applyAlignment="1">
      <alignment horizontal="center" vertical="center"/>
    </xf>
    <xf numFmtId="0" fontId="41" fillId="11" borderId="118" xfId="13" applyFont="1" applyFill="1" applyBorder="1" applyAlignment="1">
      <alignment horizontal="center" vertical="center"/>
    </xf>
    <xf numFmtId="0" fontId="41" fillId="11" borderId="140" xfId="13" applyFont="1" applyFill="1" applyBorder="1" applyAlignment="1">
      <alignment horizontal="center" vertical="center"/>
    </xf>
    <xf numFmtId="0" fontId="41" fillId="11" borderId="119" xfId="38" applyFont="1" applyFill="1" applyBorder="1" applyAlignment="1">
      <alignment horizontal="center" vertical="center" wrapText="1"/>
    </xf>
    <xf numFmtId="0" fontId="41" fillId="11" borderId="94" xfId="38" applyFont="1" applyFill="1" applyBorder="1" applyAlignment="1">
      <alignment horizontal="center" vertical="center" wrapText="1"/>
    </xf>
    <xf numFmtId="0" fontId="41" fillId="11" borderId="97" xfId="38" applyFont="1" applyFill="1" applyBorder="1" applyAlignment="1">
      <alignment horizontal="center" vertical="center" wrapText="1"/>
    </xf>
    <xf numFmtId="0" fontId="53" fillId="11" borderId="0" xfId="12" applyFont="1" applyFill="1" applyAlignment="1">
      <alignment horizontal="left" vertical="top" wrapText="1"/>
    </xf>
    <xf numFmtId="0" fontId="53" fillId="11" borderId="72" xfId="12" applyFont="1" applyFill="1" applyBorder="1" applyAlignment="1">
      <alignment horizontal="justify" vertical="top" wrapText="1"/>
    </xf>
    <xf numFmtId="0" fontId="39" fillId="11" borderId="72" xfId="13" applyFont="1" applyFill="1" applyBorder="1" applyAlignment="1">
      <alignment horizontal="justify" vertical="center" wrapText="1"/>
    </xf>
    <xf numFmtId="0" fontId="39" fillId="11" borderId="0" xfId="13" applyFont="1" applyFill="1" applyAlignment="1">
      <alignment horizontal="justify" vertical="center" wrapText="1"/>
    </xf>
    <xf numFmtId="3" fontId="39" fillId="0" borderId="83" xfId="13" applyNumberFormat="1" applyFont="1" applyBorder="1" applyAlignment="1" applyProtection="1">
      <alignment horizontal="center" vertical="center"/>
      <protection locked="0"/>
    </xf>
    <xf numFmtId="3" fontId="39" fillId="0" borderId="57" xfId="13" applyNumberFormat="1" applyFont="1" applyBorder="1" applyAlignment="1" applyProtection="1">
      <alignment horizontal="center" vertical="center"/>
      <protection locked="0"/>
    </xf>
    <xf numFmtId="3" fontId="39" fillId="0" borderId="89" xfId="13" applyNumberFormat="1" applyFont="1" applyBorder="1" applyAlignment="1" applyProtection="1">
      <alignment horizontal="center" vertical="center"/>
      <protection locked="0"/>
    </xf>
    <xf numFmtId="3" fontId="39" fillId="0" borderId="2" xfId="13" applyNumberFormat="1" applyFont="1" applyBorder="1" applyAlignment="1" applyProtection="1">
      <alignment horizontal="center" vertical="center"/>
      <protection locked="0"/>
    </xf>
    <xf numFmtId="3" fontId="39" fillId="0" borderId="58" xfId="13" applyNumberFormat="1" applyFont="1" applyBorder="1" applyAlignment="1" applyProtection="1">
      <alignment horizontal="center" vertical="center"/>
      <protection locked="0"/>
    </xf>
    <xf numFmtId="3" fontId="39" fillId="0" borderId="66" xfId="13" applyNumberFormat="1" applyFont="1" applyBorder="1" applyAlignment="1" applyProtection="1">
      <alignment horizontal="center" vertical="center"/>
      <protection locked="0"/>
    </xf>
    <xf numFmtId="3" fontId="39" fillId="0" borderId="141" xfId="13" applyNumberFormat="1" applyFont="1" applyBorder="1" applyAlignment="1" applyProtection="1">
      <alignment horizontal="center" vertical="center"/>
      <protection locked="0"/>
    </xf>
    <xf numFmtId="3" fontId="39" fillId="0" borderId="150" xfId="13" applyNumberFormat="1" applyFont="1" applyBorder="1" applyAlignment="1" applyProtection="1">
      <alignment horizontal="center" vertical="center"/>
      <protection locked="0"/>
    </xf>
    <xf numFmtId="3" fontId="39" fillId="0" borderId="157" xfId="13" applyNumberFormat="1" applyFont="1" applyBorder="1" applyAlignment="1" applyProtection="1">
      <alignment horizontal="center" vertical="center"/>
      <protection locked="0"/>
    </xf>
    <xf numFmtId="3" fontId="39" fillId="0" borderId="62" xfId="13" applyNumberFormat="1" applyFont="1" applyBorder="1" applyAlignment="1" applyProtection="1">
      <alignment horizontal="center" vertical="center"/>
      <protection locked="0"/>
    </xf>
    <xf numFmtId="3" fontId="39" fillId="0" borderId="90" xfId="13" applyNumberFormat="1" applyFont="1" applyBorder="1" applyAlignment="1" applyProtection="1">
      <alignment horizontal="center" vertical="center"/>
      <protection locked="0"/>
    </xf>
    <xf numFmtId="3" fontId="39" fillId="0" borderId="64" xfId="13" applyNumberFormat="1" applyFont="1" applyBorder="1" applyAlignment="1" applyProtection="1">
      <alignment horizontal="center" vertical="center"/>
      <protection locked="0"/>
    </xf>
    <xf numFmtId="3" fontId="39" fillId="0" borderId="92" xfId="13" applyNumberFormat="1" applyFont="1" applyBorder="1" applyAlignment="1" applyProtection="1">
      <alignment horizontal="center" vertical="center"/>
      <protection locked="0"/>
    </xf>
    <xf numFmtId="3" fontId="39" fillId="0" borderId="156" xfId="13" applyNumberFormat="1" applyFont="1" applyBorder="1" applyAlignment="1" applyProtection="1">
      <alignment horizontal="center" vertical="center"/>
      <protection locked="0"/>
    </xf>
    <xf numFmtId="3" fontId="39" fillId="0" borderId="218" xfId="13" applyNumberFormat="1" applyFont="1" applyBorder="1" applyAlignment="1" applyProtection="1">
      <alignment horizontal="center" vertical="center"/>
      <protection locked="0"/>
    </xf>
    <xf numFmtId="3" fontId="41" fillId="11" borderId="91" xfId="13" applyNumberFormat="1" applyFont="1" applyFill="1" applyBorder="1" applyAlignment="1">
      <alignment horizontal="center" vertical="center"/>
    </xf>
    <xf numFmtId="3" fontId="41" fillId="11" borderId="57" xfId="13" applyNumberFormat="1" applyFont="1" applyFill="1" applyBorder="1" applyAlignment="1">
      <alignment horizontal="center" vertical="center"/>
    </xf>
    <xf numFmtId="3" fontId="41" fillId="11" borderId="56" xfId="13" applyNumberFormat="1" applyFont="1" applyFill="1" applyBorder="1" applyAlignment="1">
      <alignment horizontal="center" vertical="center"/>
    </xf>
    <xf numFmtId="3" fontId="41" fillId="11" borderId="93" xfId="13" applyNumberFormat="1" applyFont="1" applyFill="1" applyBorder="1" applyAlignment="1">
      <alignment horizontal="center" vertical="center"/>
    </xf>
    <xf numFmtId="3" fontId="41" fillId="11" borderId="58" xfId="13" applyNumberFormat="1" applyFont="1" applyFill="1" applyBorder="1" applyAlignment="1">
      <alignment horizontal="center" vertical="center"/>
    </xf>
    <xf numFmtId="3" fontId="41" fillId="11" borderId="55" xfId="13" applyNumberFormat="1" applyFont="1" applyFill="1" applyBorder="1" applyAlignment="1">
      <alignment horizontal="center" vertical="center"/>
    </xf>
    <xf numFmtId="3" fontId="41" fillId="11" borderId="219" xfId="13" applyNumberFormat="1" applyFont="1" applyFill="1" applyBorder="1" applyAlignment="1">
      <alignment horizontal="center" vertical="center"/>
    </xf>
    <xf numFmtId="3" fontId="41" fillId="11" borderId="150" xfId="13" applyNumberFormat="1" applyFont="1" applyFill="1" applyBorder="1" applyAlignment="1">
      <alignment horizontal="center" vertical="center"/>
    </xf>
    <xf numFmtId="3" fontId="41" fillId="11" borderId="142" xfId="13" applyNumberFormat="1" applyFont="1" applyFill="1" applyBorder="1" applyAlignment="1">
      <alignment horizontal="center" vertical="center"/>
    </xf>
    <xf numFmtId="0" fontId="39" fillId="11" borderId="27" xfId="42" applyFill="1" applyBorder="1" applyAlignment="1">
      <alignment horizontal="center"/>
    </xf>
    <xf numFmtId="0" fontId="39" fillId="0" borderId="27" xfId="42" applyBorder="1" applyAlignment="1" applyProtection="1">
      <alignment horizontal="center"/>
      <protection locked="0"/>
    </xf>
    <xf numFmtId="0" fontId="53" fillId="11" borderId="8" xfId="12" applyFont="1" applyFill="1" applyBorder="1" applyAlignment="1">
      <alignment horizontal="justify" vertical="top"/>
    </xf>
    <xf numFmtId="0" fontId="39" fillId="11" borderId="38" xfId="13" applyFont="1" applyFill="1" applyBorder="1" applyAlignment="1">
      <alignment horizontal="center" vertical="center"/>
    </xf>
    <xf numFmtId="0" fontId="152" fillId="0" borderId="0" xfId="13" applyFont="1" applyAlignment="1" applyProtection="1">
      <alignment horizontal="center" vertical="center"/>
      <protection locked="0"/>
    </xf>
    <xf numFmtId="0" fontId="152" fillId="0" borderId="8" xfId="13" applyFont="1" applyBorder="1" applyAlignment="1" applyProtection="1">
      <alignment horizontal="center" vertical="center"/>
      <protection locked="0"/>
    </xf>
    <xf numFmtId="0" fontId="39" fillId="11" borderId="8" xfId="13" applyFont="1" applyFill="1" applyBorder="1" applyAlignment="1">
      <alignment horizontal="justify" vertical="center" wrapText="1"/>
    </xf>
    <xf numFmtId="0" fontId="39" fillId="11" borderId="0" xfId="13" applyFont="1" applyFill="1" applyAlignment="1">
      <alignment horizontal="center"/>
    </xf>
    <xf numFmtId="0" fontId="39" fillId="11" borderId="8" xfId="13" applyFont="1" applyFill="1" applyBorder="1" applyAlignment="1">
      <alignment horizontal="center"/>
    </xf>
    <xf numFmtId="0" fontId="85" fillId="11" borderId="0" xfId="13" applyFont="1" applyFill="1" applyAlignment="1">
      <alignment horizontal="center" vertical="center"/>
    </xf>
    <xf numFmtId="0" fontId="85" fillId="11" borderId="8" xfId="13" applyFont="1" applyFill="1" applyBorder="1" applyAlignment="1">
      <alignment horizontal="center" vertical="center"/>
    </xf>
    <xf numFmtId="0" fontId="52" fillId="11" borderId="38" xfId="13" applyFont="1" applyFill="1" applyBorder="1" applyAlignment="1">
      <alignment horizontal="center"/>
    </xf>
    <xf numFmtId="0" fontId="52" fillId="11" borderId="16" xfId="13" applyFont="1" applyFill="1" applyBorder="1" applyAlignment="1">
      <alignment horizontal="center"/>
    </xf>
    <xf numFmtId="0" fontId="39" fillId="11" borderId="0" xfId="13" applyFont="1" applyFill="1" applyAlignment="1">
      <alignment horizontal="justify" vertical="center"/>
    </xf>
    <xf numFmtId="0" fontId="39" fillId="0" borderId="0" xfId="13" applyFont="1" applyAlignment="1" applyProtection="1">
      <alignment horizontal="center" vertical="center" wrapText="1"/>
      <protection locked="0"/>
    </xf>
    <xf numFmtId="0" fontId="39" fillId="0" borderId="27" xfId="13" applyFont="1" applyBorder="1" applyAlignment="1" applyProtection="1">
      <alignment horizontal="center" vertical="center" wrapText="1"/>
      <protection locked="0"/>
    </xf>
    <xf numFmtId="0" fontId="160" fillId="11" borderId="26" xfId="13" applyFont="1" applyFill="1" applyBorder="1" applyAlignment="1">
      <alignment horizontal="left" vertical="top"/>
    </xf>
    <xf numFmtId="0" fontId="160" fillId="11" borderId="8" xfId="13" applyFont="1" applyFill="1" applyBorder="1" applyAlignment="1">
      <alignment horizontal="left" vertical="top"/>
    </xf>
    <xf numFmtId="0" fontId="53" fillId="11" borderId="72" xfId="11" applyFont="1" applyFill="1" applyBorder="1" applyAlignment="1">
      <alignment horizontal="left" wrapText="1"/>
    </xf>
    <xf numFmtId="0" fontId="53" fillId="11" borderId="0" xfId="11" applyFont="1" applyFill="1" applyAlignment="1">
      <alignment horizontal="left" wrapText="1"/>
    </xf>
    <xf numFmtId="0" fontId="53" fillId="11" borderId="0" xfId="11" applyFont="1" applyFill="1" applyAlignment="1">
      <alignment horizontal="justify" vertical="center"/>
    </xf>
    <xf numFmtId="0" fontId="39" fillId="11" borderId="141" xfId="0" applyFont="1" applyFill="1" applyBorder="1" applyAlignment="1">
      <alignment horizontal="center" vertical="center"/>
    </xf>
    <xf numFmtId="0" fontId="39" fillId="11" borderId="150" xfId="0" applyFont="1" applyFill="1" applyBorder="1" applyAlignment="1">
      <alignment horizontal="center" vertical="center"/>
    </xf>
    <xf numFmtId="0" fontId="39" fillId="11" borderId="142" xfId="0" applyFont="1" applyFill="1" applyBorder="1" applyAlignment="1">
      <alignment horizontal="center" vertical="center"/>
    </xf>
    <xf numFmtId="4" fontId="39" fillId="0" borderId="141" xfId="0" applyNumberFormat="1" applyFont="1" applyBorder="1" applyAlignment="1" applyProtection="1">
      <alignment horizontal="center" vertical="center"/>
      <protection locked="0"/>
    </xf>
    <xf numFmtId="4" fontId="39" fillId="0" borderId="150" xfId="0" applyNumberFormat="1" applyFont="1" applyBorder="1" applyAlignment="1" applyProtection="1">
      <alignment horizontal="center" vertical="center"/>
      <protection locked="0"/>
    </xf>
    <xf numFmtId="4" fontId="39" fillId="0" borderId="142" xfId="0" applyNumberFormat="1" applyFont="1" applyBorder="1" applyAlignment="1" applyProtection="1">
      <alignment horizontal="center" vertical="center"/>
      <protection locked="0"/>
    </xf>
    <xf numFmtId="0" fontId="53" fillId="11" borderId="0" xfId="11" quotePrefix="1" applyFont="1" applyFill="1" applyAlignment="1">
      <alignment horizontal="right" vertical="top"/>
    </xf>
    <xf numFmtId="0" fontId="53" fillId="11" borderId="0" xfId="11" applyFont="1" applyFill="1" applyAlignment="1">
      <alignment horizontal="justify" vertical="top" wrapText="1"/>
    </xf>
    <xf numFmtId="0" fontId="41" fillId="11" borderId="154" xfId="0" applyFont="1" applyFill="1" applyBorder="1" applyAlignment="1">
      <alignment horizontal="center" vertical="center"/>
    </xf>
    <xf numFmtId="0" fontId="41" fillId="11" borderId="155" xfId="0" applyFont="1" applyFill="1" applyBorder="1" applyAlignment="1">
      <alignment horizontal="center" vertical="center"/>
    </xf>
    <xf numFmtId="0" fontId="41" fillId="11" borderId="74" xfId="0" applyFont="1" applyFill="1" applyBorder="1" applyAlignment="1">
      <alignment horizontal="center" vertical="center"/>
    </xf>
    <xf numFmtId="0" fontId="41" fillId="11" borderId="16" xfId="0" applyFont="1" applyFill="1" applyBorder="1" applyAlignment="1">
      <alignment horizontal="center" vertical="center"/>
    </xf>
    <xf numFmtId="0" fontId="39" fillId="11" borderId="83" xfId="0" applyFont="1" applyFill="1" applyBorder="1" applyAlignment="1">
      <alignment horizontal="center" vertical="center"/>
    </xf>
    <xf numFmtId="0" fontId="39" fillId="11" borderId="57" xfId="0" applyFont="1" applyFill="1" applyBorder="1" applyAlignment="1">
      <alignment horizontal="center" vertical="center"/>
    </xf>
    <xf numFmtId="0" fontId="39" fillId="11" borderId="56" xfId="0" applyFont="1" applyFill="1" applyBorder="1" applyAlignment="1">
      <alignment horizontal="center" vertical="center"/>
    </xf>
    <xf numFmtId="4" fontId="39" fillId="0" borderId="83" xfId="0" applyNumberFormat="1" applyFont="1" applyBorder="1" applyAlignment="1" applyProtection="1">
      <alignment horizontal="center" vertical="center"/>
      <protection locked="0"/>
    </xf>
    <xf numFmtId="4" fontId="39" fillId="0" borderId="57" xfId="0" applyNumberFormat="1" applyFont="1" applyBorder="1" applyAlignment="1" applyProtection="1">
      <alignment horizontal="center" vertical="center"/>
      <protection locked="0"/>
    </xf>
    <xf numFmtId="4" fontId="39" fillId="0" borderId="56" xfId="0" applyNumberFormat="1" applyFont="1" applyBorder="1" applyAlignment="1" applyProtection="1">
      <alignment horizontal="center" vertical="center"/>
      <protection locked="0"/>
    </xf>
    <xf numFmtId="0" fontId="39" fillId="11" borderId="2" xfId="0" applyFont="1" applyFill="1" applyBorder="1" applyAlignment="1">
      <alignment horizontal="center" vertical="center"/>
    </xf>
    <xf numFmtId="0" fontId="39" fillId="11" borderId="58" xfId="0" applyFont="1" applyFill="1" applyBorder="1" applyAlignment="1">
      <alignment horizontal="center" vertical="center"/>
    </xf>
    <xf numFmtId="0" fontId="39" fillId="11" borderId="55" xfId="0" applyFont="1" applyFill="1" applyBorder="1" applyAlignment="1">
      <alignment horizontal="center" vertical="center"/>
    </xf>
    <xf numFmtId="4" fontId="39" fillId="0" borderId="2" xfId="0" applyNumberFormat="1" applyFont="1" applyBorder="1" applyAlignment="1" applyProtection="1">
      <alignment horizontal="center" vertical="center"/>
      <protection locked="0"/>
    </xf>
    <xf numFmtId="4" fontId="39" fillId="0" borderId="58" xfId="0" applyNumberFormat="1" applyFont="1" applyBorder="1" applyAlignment="1" applyProtection="1">
      <alignment horizontal="center" vertical="center"/>
      <protection locked="0"/>
    </xf>
    <xf numFmtId="4" fontId="39" fillId="0" borderId="55" xfId="0" applyNumberFormat="1" applyFont="1" applyBorder="1" applyAlignment="1" applyProtection="1">
      <alignment horizontal="center" vertical="center"/>
      <protection locked="0"/>
    </xf>
    <xf numFmtId="4" fontId="39" fillId="0" borderId="27" xfId="13" applyNumberFormat="1" applyFont="1" applyBorder="1" applyAlignment="1" applyProtection="1">
      <alignment horizontal="center" vertical="center"/>
      <protection locked="0"/>
    </xf>
    <xf numFmtId="0" fontId="39" fillId="0" borderId="6" xfId="22" applyBorder="1" applyAlignment="1" applyProtection="1">
      <alignment horizontal="center" vertical="center"/>
      <protection locked="0"/>
    </xf>
    <xf numFmtId="0" fontId="39" fillId="0" borderId="27" xfId="22" applyBorder="1" applyAlignment="1" applyProtection="1">
      <alignment horizontal="center" vertical="center"/>
      <protection locked="0"/>
    </xf>
    <xf numFmtId="0" fontId="39" fillId="0" borderId="33" xfId="22" applyBorder="1" applyAlignment="1" applyProtection="1">
      <alignment horizontal="center" vertical="center"/>
      <protection locked="0"/>
    </xf>
    <xf numFmtId="0" fontId="48" fillId="11" borderId="121" xfId="13" applyFont="1" applyFill="1" applyBorder="1" applyAlignment="1">
      <alignment horizontal="center" vertical="center"/>
    </xf>
    <xf numFmtId="0" fontId="48" fillId="11" borderId="122" xfId="13" applyFont="1" applyFill="1" applyBorder="1" applyAlignment="1">
      <alignment horizontal="center" vertical="center"/>
    </xf>
    <xf numFmtId="0" fontId="48" fillId="11" borderId="123" xfId="13" applyFont="1" applyFill="1" applyBorder="1" applyAlignment="1">
      <alignment horizontal="center" vertical="center"/>
    </xf>
    <xf numFmtId="0" fontId="39" fillId="11" borderId="72" xfId="22" applyFill="1" applyBorder="1"/>
    <xf numFmtId="0" fontId="39" fillId="11" borderId="74" xfId="22" applyFill="1" applyBorder="1"/>
    <xf numFmtId="0" fontId="39" fillId="0" borderId="22" xfId="22" applyBorder="1" applyAlignment="1" applyProtection="1">
      <alignment horizontal="center" vertical="center"/>
      <protection locked="0"/>
    </xf>
    <xf numFmtId="0" fontId="39" fillId="0" borderId="4" xfId="22" applyBorder="1" applyAlignment="1" applyProtection="1">
      <alignment horizontal="center" vertical="center"/>
      <protection locked="0"/>
    </xf>
    <xf numFmtId="0" fontId="39" fillId="0" borderId="5" xfId="22" applyBorder="1" applyAlignment="1" applyProtection="1">
      <alignment horizontal="center" vertical="center"/>
      <protection locked="0"/>
    </xf>
    <xf numFmtId="0" fontId="39" fillId="0" borderId="28" xfId="22" applyBorder="1" applyAlignment="1" applyProtection="1">
      <alignment horizontal="center" vertical="center"/>
      <protection locked="0"/>
    </xf>
    <xf numFmtId="0" fontId="39" fillId="11" borderId="26" xfId="13" applyFont="1" applyFill="1" applyBorder="1" applyAlignment="1">
      <alignment vertical="top" wrapText="1"/>
    </xf>
    <xf numFmtId="0" fontId="39" fillId="11" borderId="78" xfId="13" applyFont="1" applyFill="1" applyBorder="1" applyAlignment="1">
      <alignment vertical="top" wrapText="1"/>
    </xf>
    <xf numFmtId="0" fontId="39" fillId="11" borderId="27" xfId="13" applyFont="1" applyFill="1" applyBorder="1" applyAlignment="1">
      <alignment vertical="top" wrapText="1"/>
    </xf>
    <xf numFmtId="0" fontId="39" fillId="11" borderId="33" xfId="13" applyFont="1" applyFill="1" applyBorder="1" applyAlignment="1">
      <alignment vertical="top" wrapText="1"/>
    </xf>
    <xf numFmtId="0" fontId="39" fillId="0" borderId="77" xfId="22" applyBorder="1" applyAlignment="1" applyProtection="1">
      <alignment horizontal="center"/>
      <protection locked="0"/>
    </xf>
    <xf numFmtId="0" fontId="39" fillId="0" borderId="26" xfId="22" applyBorder="1" applyAlignment="1" applyProtection="1">
      <alignment horizontal="center"/>
      <protection locked="0"/>
    </xf>
    <xf numFmtId="0" fontId="39" fillId="0" borderId="78" xfId="22" applyBorder="1" applyAlignment="1" applyProtection="1">
      <alignment horizontal="center"/>
      <protection locked="0"/>
    </xf>
    <xf numFmtId="0" fontId="39" fillId="0" borderId="6" xfId="22" applyBorder="1" applyAlignment="1" applyProtection="1">
      <alignment horizontal="center"/>
      <protection locked="0"/>
    </xf>
    <xf numFmtId="0" fontId="39" fillId="0" borderId="27" xfId="22" applyBorder="1" applyAlignment="1" applyProtection="1">
      <alignment horizontal="center"/>
      <protection locked="0"/>
    </xf>
    <xf numFmtId="0" fontId="39" fillId="0" borderId="33" xfId="22" applyBorder="1" applyAlignment="1" applyProtection="1">
      <alignment horizontal="center"/>
      <protection locked="0"/>
    </xf>
    <xf numFmtId="0" fontId="39" fillId="0" borderId="67" xfId="22" applyBorder="1" applyAlignment="1" applyProtection="1">
      <alignment horizontal="center"/>
      <protection locked="0"/>
    </xf>
    <xf numFmtId="0" fontId="39" fillId="0" borderId="0" xfId="22" applyAlignment="1" applyProtection="1">
      <alignment horizontal="center"/>
      <protection locked="0"/>
    </xf>
    <xf numFmtId="0" fontId="39" fillId="0" borderId="38" xfId="22" applyBorder="1" applyAlignment="1" applyProtection="1">
      <alignment horizontal="center"/>
      <protection locked="0"/>
    </xf>
    <xf numFmtId="0" fontId="52" fillId="11" borderId="0" xfId="13" applyFont="1" applyFill="1" applyAlignment="1">
      <alignment horizontal="center" vertical="center"/>
    </xf>
    <xf numFmtId="0" fontId="39" fillId="0" borderId="27" xfId="13" applyFont="1" applyBorder="1" applyAlignment="1" applyProtection="1">
      <alignment horizontal="center"/>
      <protection locked="0"/>
    </xf>
    <xf numFmtId="0" fontId="152" fillId="0" borderId="77" xfId="13" applyFont="1" applyBorder="1" applyAlignment="1" applyProtection="1">
      <alignment horizontal="center" vertical="top"/>
      <protection locked="0"/>
    </xf>
    <xf numFmtId="0" fontId="152" fillId="0" borderId="6" xfId="13" applyFont="1" applyBorder="1" applyAlignment="1" applyProtection="1">
      <alignment horizontal="center" vertical="top"/>
      <protection locked="0"/>
    </xf>
    <xf numFmtId="0" fontId="53" fillId="11" borderId="0" xfId="11" applyFont="1" applyFill="1" applyAlignment="1">
      <alignment horizontal="justify" vertical="top"/>
    </xf>
    <xf numFmtId="0" fontId="39" fillId="0" borderId="27" xfId="35" applyBorder="1" applyAlignment="1" applyProtection="1">
      <alignment horizontal="center" vertical="center"/>
      <protection locked="0"/>
    </xf>
    <xf numFmtId="0" fontId="41" fillId="11" borderId="0" xfId="44" applyFont="1" applyFill="1" applyAlignment="1">
      <alignment horizontal="right"/>
    </xf>
    <xf numFmtId="0" fontId="45" fillId="11" borderId="0" xfId="22" quotePrefix="1" applyFont="1" applyFill="1" applyAlignment="1">
      <alignment horizontal="center" vertical="center"/>
    </xf>
    <xf numFmtId="3" fontId="41" fillId="11" borderId="48" xfId="13" applyNumberFormat="1" applyFont="1" applyFill="1" applyBorder="1" applyAlignment="1">
      <alignment horizontal="center" vertical="center"/>
    </xf>
    <xf numFmtId="3" fontId="41" fillId="11" borderId="47" xfId="13" applyNumberFormat="1" applyFont="1" applyFill="1" applyBorder="1" applyAlignment="1">
      <alignment horizontal="center" vertical="center"/>
    </xf>
    <xf numFmtId="3" fontId="41" fillId="11" borderId="52" xfId="13" applyNumberFormat="1" applyFont="1" applyFill="1" applyBorder="1" applyAlignment="1">
      <alignment horizontal="center" vertical="center"/>
    </xf>
    <xf numFmtId="3" fontId="41" fillId="11" borderId="46" xfId="13" applyNumberFormat="1" applyFont="1" applyFill="1" applyBorder="1" applyAlignment="1">
      <alignment horizontal="center" vertical="center"/>
    </xf>
    <xf numFmtId="3" fontId="41" fillId="11" borderId="49" xfId="13" applyNumberFormat="1" applyFont="1" applyFill="1" applyBorder="1" applyAlignment="1">
      <alignment horizontal="center" vertical="center"/>
    </xf>
    <xf numFmtId="3" fontId="41" fillId="11" borderId="51" xfId="13" applyNumberFormat="1" applyFont="1" applyFill="1" applyBorder="1" applyAlignment="1">
      <alignment horizontal="center" vertical="center"/>
    </xf>
    <xf numFmtId="0" fontId="41" fillId="11" borderId="46" xfId="13" applyFont="1" applyFill="1" applyBorder="1" applyAlignment="1">
      <alignment horizontal="center" vertical="center"/>
    </xf>
    <xf numFmtId="0" fontId="41" fillId="11" borderId="47" xfId="13" applyFont="1" applyFill="1" applyBorder="1" applyAlignment="1">
      <alignment horizontal="center" vertical="center"/>
    </xf>
    <xf numFmtId="0" fontId="41" fillId="11" borderId="52" xfId="13" applyFont="1" applyFill="1" applyBorder="1" applyAlignment="1">
      <alignment horizontal="center" vertical="center"/>
    </xf>
    <xf numFmtId="3" fontId="39" fillId="0" borderId="4" xfId="13" applyNumberFormat="1" applyFont="1" applyBorder="1" applyAlignment="1" applyProtection="1">
      <alignment horizontal="center" vertical="center"/>
      <protection locked="0"/>
    </xf>
    <xf numFmtId="3" fontId="39" fillId="0" borderId="34" xfId="13" applyNumberFormat="1" applyFont="1" applyBorder="1" applyAlignment="1" applyProtection="1">
      <alignment horizontal="center" vertical="center"/>
      <protection locked="0"/>
    </xf>
    <xf numFmtId="3" fontId="39" fillId="0" borderId="35" xfId="13" applyNumberFormat="1" applyFont="1" applyBorder="1" applyAlignment="1" applyProtection="1">
      <alignment horizontal="center" vertical="center"/>
      <protection locked="0"/>
    </xf>
    <xf numFmtId="3" fontId="39" fillId="0" borderId="28" xfId="13" applyNumberFormat="1" applyFont="1" applyBorder="1" applyAlignment="1" applyProtection="1">
      <alignment horizontal="center" vertical="center"/>
      <protection locked="0"/>
    </xf>
    <xf numFmtId="3" fontId="41" fillId="11" borderId="44" xfId="13" applyNumberFormat="1" applyFont="1" applyFill="1" applyBorder="1" applyAlignment="1">
      <alignment horizontal="center" vertical="center"/>
    </xf>
    <xf numFmtId="3" fontId="41" fillId="11" borderId="40" xfId="13" applyNumberFormat="1" applyFont="1" applyFill="1" applyBorder="1" applyAlignment="1">
      <alignment horizontal="center" vertical="center"/>
    </xf>
    <xf numFmtId="3" fontId="41" fillId="11" borderId="42" xfId="13" applyNumberFormat="1" applyFont="1" applyFill="1" applyBorder="1" applyAlignment="1">
      <alignment horizontal="center" vertical="center"/>
    </xf>
    <xf numFmtId="3" fontId="41" fillId="11" borderId="41" xfId="13" applyNumberFormat="1" applyFont="1" applyFill="1" applyBorder="1" applyAlignment="1">
      <alignment horizontal="center" vertical="center"/>
    </xf>
    <xf numFmtId="3" fontId="41" fillId="11" borderId="45" xfId="13" applyNumberFormat="1" applyFont="1" applyFill="1" applyBorder="1" applyAlignment="1">
      <alignment horizontal="center" vertical="center"/>
    </xf>
    <xf numFmtId="3" fontId="41" fillId="11" borderId="37" xfId="13" applyNumberFormat="1" applyFont="1" applyFill="1" applyBorder="1" applyAlignment="1">
      <alignment horizontal="center" vertical="center"/>
    </xf>
    <xf numFmtId="3" fontId="41" fillId="11" borderId="5" xfId="13" applyNumberFormat="1" applyFont="1" applyFill="1" applyBorder="1" applyAlignment="1">
      <alignment horizontal="center" vertical="center"/>
    </xf>
    <xf numFmtId="3" fontId="41" fillId="11" borderId="34" xfId="13" applyNumberFormat="1" applyFont="1" applyFill="1" applyBorder="1" applyAlignment="1">
      <alignment horizontal="center" vertical="center"/>
    </xf>
    <xf numFmtId="3" fontId="41" fillId="11" borderId="35" xfId="13" applyNumberFormat="1" applyFont="1" applyFill="1" applyBorder="1" applyAlignment="1">
      <alignment horizontal="center" vertical="center"/>
    </xf>
    <xf numFmtId="3" fontId="41" fillId="11" borderId="28" xfId="13" applyNumberFormat="1" applyFont="1" applyFill="1" applyBorder="1" applyAlignment="1">
      <alignment horizontal="center" vertical="center"/>
    </xf>
    <xf numFmtId="0" fontId="39" fillId="5" borderId="4" xfId="13" applyFont="1" applyFill="1" applyBorder="1" applyAlignment="1">
      <alignment horizontal="center" vertical="center"/>
    </xf>
    <xf numFmtId="0" fontId="39" fillId="5" borderId="5" xfId="13" applyFont="1" applyFill="1" applyBorder="1" applyAlignment="1">
      <alignment horizontal="center" vertical="center"/>
    </xf>
    <xf numFmtId="0" fontId="39" fillId="5" borderId="34" xfId="13" applyFont="1" applyFill="1" applyBorder="1" applyAlignment="1">
      <alignment horizontal="center" vertical="center"/>
    </xf>
    <xf numFmtId="0" fontId="39" fillId="5" borderId="35" xfId="13" applyFont="1" applyFill="1" applyBorder="1" applyAlignment="1">
      <alignment horizontal="center" vertical="center"/>
    </xf>
    <xf numFmtId="0" fontId="39" fillId="5" borderId="28" xfId="13" applyFont="1" applyFill="1" applyBorder="1" applyAlignment="1">
      <alignment horizontal="center" vertical="center"/>
    </xf>
    <xf numFmtId="0" fontId="39" fillId="5" borderId="37" xfId="13" applyFont="1" applyFill="1" applyBorder="1" applyAlignment="1">
      <alignment horizontal="center" vertical="center"/>
    </xf>
    <xf numFmtId="0" fontId="41" fillId="11" borderId="120" xfId="38" applyFont="1" applyFill="1" applyBorder="1" applyAlignment="1">
      <alignment horizontal="center" vertical="center" wrapText="1"/>
    </xf>
    <xf numFmtId="0" fontId="41" fillId="11" borderId="72" xfId="38" applyFont="1" applyFill="1" applyBorder="1" applyAlignment="1">
      <alignment horizontal="center" vertical="center" wrapText="1"/>
    </xf>
    <xf numFmtId="0" fontId="41" fillId="11" borderId="74" xfId="38" applyFont="1" applyFill="1" applyBorder="1" applyAlignment="1">
      <alignment horizontal="center" vertical="center" wrapText="1"/>
    </xf>
    <xf numFmtId="0" fontId="41" fillId="11" borderId="32" xfId="38" applyFont="1" applyFill="1" applyBorder="1" applyAlignment="1">
      <alignment horizontal="center" vertical="center" wrapText="1"/>
    </xf>
    <xf numFmtId="0" fontId="41" fillId="11" borderId="27" xfId="38" applyFont="1" applyFill="1" applyBorder="1" applyAlignment="1">
      <alignment horizontal="center" vertical="center" wrapText="1"/>
    </xf>
    <xf numFmtId="0" fontId="41" fillId="11" borderId="33" xfId="38" applyFont="1" applyFill="1" applyBorder="1" applyAlignment="1">
      <alignment horizontal="center" vertical="center" wrapText="1"/>
    </xf>
    <xf numFmtId="0" fontId="41" fillId="11" borderId="59" xfId="13" applyFont="1" applyFill="1" applyBorder="1" applyAlignment="1">
      <alignment horizontal="center" vertical="center"/>
    </xf>
    <xf numFmtId="0" fontId="41" fillId="11" borderId="97" xfId="13" applyFont="1" applyFill="1" applyBorder="1" applyAlignment="1">
      <alignment horizontal="center" vertical="center"/>
    </xf>
    <xf numFmtId="0" fontId="41" fillId="11" borderId="119" xfId="13" applyFont="1" applyFill="1" applyBorder="1" applyAlignment="1">
      <alignment horizontal="center" vertical="center"/>
    </xf>
    <xf numFmtId="0" fontId="41" fillId="11" borderId="74" xfId="13" applyFont="1" applyFill="1" applyBorder="1" applyAlignment="1">
      <alignment horizontal="center" vertical="center"/>
    </xf>
    <xf numFmtId="0" fontId="41" fillId="11" borderId="67" xfId="13" applyFont="1" applyFill="1" applyBorder="1" applyAlignment="1">
      <alignment horizontal="center" vertical="center"/>
    </xf>
    <xf numFmtId="0" fontId="41" fillId="11" borderId="0" xfId="13" applyFont="1" applyFill="1" applyAlignment="1">
      <alignment horizontal="center" vertical="center"/>
    </xf>
    <xf numFmtId="0" fontId="41" fillId="11" borderId="38" xfId="13" applyFont="1" applyFill="1" applyBorder="1" applyAlignment="1">
      <alignment horizontal="center" vertical="center"/>
    </xf>
    <xf numFmtId="0" fontId="41" fillId="11" borderId="7" xfId="13" applyFont="1" applyFill="1" applyBorder="1" applyAlignment="1">
      <alignment horizontal="center" vertical="center"/>
    </xf>
    <xf numFmtId="0" fontId="41" fillId="11" borderId="8" xfId="13" applyFont="1" applyFill="1" applyBorder="1" applyAlignment="1">
      <alignment horizontal="center" vertical="center"/>
    </xf>
    <xf numFmtId="0" fontId="41" fillId="11" borderId="16" xfId="13" applyFont="1" applyFill="1" applyBorder="1" applyAlignment="1">
      <alignment horizontal="center" vertical="center"/>
    </xf>
    <xf numFmtId="0" fontId="41" fillId="11" borderId="6" xfId="13" applyFont="1" applyFill="1" applyBorder="1" applyAlignment="1">
      <alignment horizontal="center" vertical="center"/>
    </xf>
    <xf numFmtId="0" fontId="41" fillId="11" borderId="27" xfId="13" applyFont="1" applyFill="1" applyBorder="1" applyAlignment="1">
      <alignment horizontal="center" vertical="center"/>
    </xf>
    <xf numFmtId="0" fontId="41" fillId="11" borderId="33" xfId="13" applyFont="1" applyFill="1" applyBorder="1" applyAlignment="1">
      <alignment horizontal="center" vertical="center"/>
    </xf>
    <xf numFmtId="0" fontId="41" fillId="11" borderId="6" xfId="13" applyFont="1" applyFill="1" applyBorder="1" applyAlignment="1">
      <alignment horizontal="center" vertical="center" wrapText="1"/>
    </xf>
    <xf numFmtId="0" fontId="41" fillId="11" borderId="27" xfId="13" applyFont="1" applyFill="1" applyBorder="1" applyAlignment="1">
      <alignment horizontal="center" vertical="center" wrapText="1"/>
    </xf>
    <xf numFmtId="0" fontId="41" fillId="11" borderId="33" xfId="13" applyFont="1" applyFill="1" applyBorder="1" applyAlignment="1">
      <alignment horizontal="center" vertical="center" wrapText="1"/>
    </xf>
    <xf numFmtId="3" fontId="39" fillId="0" borderId="39" xfId="13" applyNumberFormat="1" applyFont="1" applyBorder="1" applyAlignment="1" applyProtection="1">
      <alignment horizontal="center" vertical="center"/>
      <protection locked="0"/>
    </xf>
    <xf numFmtId="3" fontId="39" fillId="0" borderId="40" xfId="13" applyNumberFormat="1" applyFont="1" applyBorder="1" applyAlignment="1" applyProtection="1">
      <alignment horizontal="center" vertical="center"/>
      <protection locked="0"/>
    </xf>
    <xf numFmtId="3" fontId="39" fillId="0" borderId="42" xfId="13" applyNumberFormat="1" applyFont="1" applyBorder="1" applyAlignment="1" applyProtection="1">
      <alignment horizontal="center" vertical="center"/>
      <protection locked="0"/>
    </xf>
    <xf numFmtId="3" fontId="39" fillId="0" borderId="41" xfId="13" applyNumberFormat="1" applyFont="1" applyBorder="1" applyAlignment="1" applyProtection="1">
      <alignment horizontal="center" vertical="center"/>
      <protection locked="0"/>
    </xf>
    <xf numFmtId="3" fontId="39" fillId="0" borderId="43" xfId="13" applyNumberFormat="1" applyFont="1" applyBorder="1" applyAlignment="1" applyProtection="1">
      <alignment horizontal="center" vertical="center"/>
      <protection locked="0"/>
    </xf>
    <xf numFmtId="0" fontId="41" fillId="11" borderId="46" xfId="13" applyFont="1" applyFill="1" applyBorder="1" applyAlignment="1">
      <alignment horizontal="center" vertical="center" wrapText="1"/>
    </xf>
    <xf numFmtId="0" fontId="41" fillId="11" borderId="47" xfId="13" applyFont="1" applyFill="1" applyBorder="1" applyAlignment="1">
      <alignment horizontal="center" vertical="center" wrapText="1"/>
    </xf>
    <xf numFmtId="0" fontId="41" fillId="11" borderId="52" xfId="13" applyFont="1" applyFill="1" applyBorder="1" applyAlignment="1">
      <alignment horizontal="center" vertical="center" wrapText="1"/>
    </xf>
    <xf numFmtId="3" fontId="39" fillId="0" borderId="45" xfId="13" applyNumberFormat="1" applyFont="1" applyBorder="1" applyAlignment="1" applyProtection="1">
      <alignment horizontal="center" vertical="center"/>
      <protection locked="0"/>
    </xf>
    <xf numFmtId="3" fontId="41" fillId="11" borderId="50" xfId="13" applyNumberFormat="1" applyFont="1" applyFill="1" applyBorder="1" applyAlignment="1">
      <alignment horizontal="center" vertical="center"/>
    </xf>
    <xf numFmtId="3" fontId="39" fillId="0" borderId="17" xfId="13" applyNumberFormat="1" applyFont="1" applyBorder="1" applyAlignment="1" applyProtection="1">
      <alignment horizontal="center" vertical="center"/>
      <protection locked="0"/>
    </xf>
    <xf numFmtId="3" fontId="39" fillId="0" borderId="10" xfId="13" applyNumberFormat="1" applyFont="1" applyBorder="1" applyAlignment="1" applyProtection="1">
      <alignment horizontal="center" vertical="center"/>
      <protection locked="0"/>
    </xf>
    <xf numFmtId="3" fontId="39" fillId="0" borderId="11" xfId="13" applyNumberFormat="1" applyFont="1" applyBorder="1" applyAlignment="1" applyProtection="1">
      <alignment horizontal="center" vertical="center"/>
      <protection locked="0"/>
    </xf>
    <xf numFmtId="3" fontId="41" fillId="11" borderId="10" xfId="13" applyNumberFormat="1" applyFont="1" applyFill="1" applyBorder="1" applyAlignment="1">
      <alignment horizontal="center" vertical="center"/>
    </xf>
    <xf numFmtId="3" fontId="41" fillId="11" borderId="11" xfId="13" applyNumberFormat="1" applyFont="1" applyFill="1" applyBorder="1" applyAlignment="1">
      <alignment horizontal="center" vertical="center"/>
    </xf>
    <xf numFmtId="0" fontId="41" fillId="11" borderId="75" xfId="13" applyFont="1" applyFill="1" applyBorder="1" applyAlignment="1">
      <alignment horizontal="center" vertical="center"/>
    </xf>
    <xf numFmtId="0" fontId="41" fillId="11" borderId="31" xfId="13" applyFont="1" applyFill="1" applyBorder="1" applyAlignment="1">
      <alignment horizontal="center" vertical="center"/>
    </xf>
    <xf numFmtId="3" fontId="39" fillId="0" borderId="19" xfId="13" applyNumberFormat="1" applyFont="1" applyBorder="1" applyAlignment="1" applyProtection="1">
      <alignment horizontal="center" vertical="center"/>
      <protection locked="0"/>
    </xf>
    <xf numFmtId="3" fontId="39" fillId="0" borderId="22" xfId="13" applyNumberFormat="1" applyFont="1" applyBorder="1" applyAlignment="1" applyProtection="1">
      <alignment horizontal="center" vertical="center"/>
      <protection locked="0"/>
    </xf>
    <xf numFmtId="3" fontId="39" fillId="0" borderId="20" xfId="13" applyNumberFormat="1" applyFont="1" applyBorder="1" applyAlignment="1" applyProtection="1">
      <alignment horizontal="center" vertical="center"/>
      <protection locked="0"/>
    </xf>
    <xf numFmtId="3" fontId="41" fillId="11" borderId="19" xfId="13" applyNumberFormat="1" applyFont="1" applyFill="1" applyBorder="1" applyAlignment="1">
      <alignment horizontal="center" vertical="center"/>
    </xf>
    <xf numFmtId="3" fontId="41" fillId="11" borderId="22" xfId="13" applyNumberFormat="1" applyFont="1" applyFill="1" applyBorder="1" applyAlignment="1">
      <alignment horizontal="center" vertical="center"/>
    </xf>
    <xf numFmtId="3" fontId="41" fillId="11" borderId="21" xfId="13" applyNumberFormat="1" applyFont="1" applyFill="1" applyBorder="1" applyAlignment="1">
      <alignment horizontal="center" vertical="center"/>
    </xf>
    <xf numFmtId="0" fontId="39" fillId="5" borderId="17" xfId="13" applyFont="1" applyFill="1" applyBorder="1" applyAlignment="1">
      <alignment horizontal="center" vertical="center"/>
    </xf>
    <xf numFmtId="0" fontId="39" fillId="5" borderId="10" xfId="13" applyFont="1" applyFill="1" applyBorder="1" applyAlignment="1">
      <alignment horizontal="center" vertical="center"/>
    </xf>
    <xf numFmtId="0" fontId="39" fillId="5" borderId="22" xfId="13" applyFont="1" applyFill="1" applyBorder="1" applyAlignment="1">
      <alignment horizontal="center" vertical="center"/>
    </xf>
    <xf numFmtId="3" fontId="39" fillId="0" borderId="36" xfId="13" applyNumberFormat="1" applyFont="1" applyBorder="1" applyAlignment="1" applyProtection="1">
      <alignment horizontal="center" vertical="center"/>
      <protection locked="0"/>
    </xf>
    <xf numFmtId="0" fontId="39" fillId="5" borderId="7" xfId="13" applyFont="1" applyFill="1" applyBorder="1" applyAlignment="1">
      <alignment horizontal="center" vertical="center"/>
    </xf>
    <xf numFmtId="0" fontId="39" fillId="5" borderId="8" xfId="13" applyFont="1" applyFill="1" applyBorder="1" applyAlignment="1">
      <alignment horizontal="center" vertical="center"/>
    </xf>
    <xf numFmtId="0" fontId="39" fillId="5" borderId="9" xfId="13" applyFont="1" applyFill="1" applyBorder="1" applyAlignment="1">
      <alignment horizontal="center" vertical="center"/>
    </xf>
    <xf numFmtId="0" fontId="39" fillId="5" borderId="13" xfId="13" applyFont="1" applyFill="1" applyBorder="1" applyAlignment="1">
      <alignment horizontal="center" vertical="center"/>
    </xf>
    <xf numFmtId="0" fontId="39" fillId="5" borderId="14" xfId="13" applyFont="1" applyFill="1" applyBorder="1" applyAlignment="1">
      <alignment horizontal="center" vertical="center"/>
    </xf>
    <xf numFmtId="0" fontId="39" fillId="5" borderId="15" xfId="13" applyFont="1" applyFill="1" applyBorder="1" applyAlignment="1">
      <alignment horizontal="center" vertical="center"/>
    </xf>
    <xf numFmtId="0" fontId="39" fillId="5" borderId="16" xfId="13" applyFont="1" applyFill="1" applyBorder="1" applyAlignment="1">
      <alignment horizontal="center" vertical="center"/>
    </xf>
    <xf numFmtId="3" fontId="39" fillId="0" borderId="7" xfId="13" applyNumberFormat="1" applyFont="1" applyBorder="1" applyAlignment="1" applyProtection="1">
      <alignment horizontal="center" vertical="center"/>
      <protection locked="0"/>
    </xf>
    <xf numFmtId="3" fontId="39" fillId="0" borderId="8" xfId="13" applyNumberFormat="1" applyFont="1" applyBorder="1" applyAlignment="1" applyProtection="1">
      <alignment horizontal="center" vertical="center"/>
      <protection locked="0"/>
    </xf>
    <xf numFmtId="3" fontId="39" fillId="0" borderId="16" xfId="13" applyNumberFormat="1" applyFont="1" applyBorder="1" applyAlignment="1" applyProtection="1">
      <alignment horizontal="center" vertical="center"/>
      <protection locked="0"/>
    </xf>
    <xf numFmtId="3" fontId="41" fillId="11" borderId="122" xfId="13" applyNumberFormat="1" applyFont="1" applyFill="1" applyBorder="1" applyAlignment="1">
      <alignment horizontal="center" vertical="center"/>
    </xf>
    <xf numFmtId="3" fontId="41" fillId="11" borderId="124" xfId="13" applyNumberFormat="1" applyFont="1" applyFill="1" applyBorder="1" applyAlignment="1">
      <alignment horizontal="center" vertical="center"/>
    </xf>
    <xf numFmtId="3" fontId="41" fillId="11" borderId="125" xfId="13" applyNumberFormat="1" applyFont="1" applyFill="1" applyBorder="1" applyAlignment="1">
      <alignment horizontal="center" vertical="center"/>
    </xf>
    <xf numFmtId="3" fontId="41" fillId="11" borderId="123" xfId="13" applyNumberFormat="1" applyFont="1" applyFill="1" applyBorder="1" applyAlignment="1">
      <alignment horizontal="center" vertical="center"/>
    </xf>
    <xf numFmtId="3" fontId="39" fillId="0" borderId="121" xfId="13" applyNumberFormat="1" applyFont="1" applyBorder="1" applyAlignment="1" applyProtection="1">
      <alignment horizontal="center" vertical="center"/>
      <protection locked="0"/>
    </xf>
    <xf numFmtId="3" fontId="39" fillId="0" borderId="124" xfId="13" applyNumberFormat="1" applyFont="1" applyBorder="1" applyAlignment="1" applyProtection="1">
      <alignment horizontal="center" vertical="center"/>
      <protection locked="0"/>
    </xf>
    <xf numFmtId="3" fontId="39" fillId="0" borderId="125" xfId="13" applyNumberFormat="1" applyFont="1" applyBorder="1" applyAlignment="1" applyProtection="1">
      <alignment horizontal="center" vertical="center"/>
      <protection locked="0"/>
    </xf>
    <xf numFmtId="3" fontId="39" fillId="0" borderId="123" xfId="13" applyNumberFormat="1" applyFont="1" applyBorder="1" applyAlignment="1" applyProtection="1">
      <alignment horizontal="center" vertical="center"/>
      <protection locked="0"/>
    </xf>
    <xf numFmtId="0" fontId="41" fillId="11" borderId="75" xfId="13" applyFont="1" applyFill="1" applyBorder="1" applyAlignment="1">
      <alignment horizontal="center" vertical="center" wrapText="1"/>
    </xf>
    <xf numFmtId="0" fontId="41" fillId="11" borderId="31" xfId="13" applyFont="1" applyFill="1" applyBorder="1" applyAlignment="1">
      <alignment horizontal="center" vertical="center" wrapText="1"/>
    </xf>
    <xf numFmtId="3" fontId="39" fillId="0" borderId="126" xfId="13" applyNumberFormat="1" applyFont="1" applyBorder="1" applyAlignment="1" applyProtection="1">
      <alignment horizontal="center" vertical="center"/>
      <protection locked="0"/>
    </xf>
    <xf numFmtId="0" fontId="39" fillId="11" borderId="71" xfId="26" applyFill="1" applyBorder="1" applyAlignment="1">
      <alignment horizontal="center" vertical="center" wrapText="1"/>
    </xf>
    <xf numFmtId="0" fontId="39" fillId="11" borderId="72" xfId="26" applyFill="1" applyBorder="1" applyAlignment="1">
      <alignment horizontal="center" vertical="center" wrapText="1"/>
    </xf>
    <xf numFmtId="0" fontId="39" fillId="11" borderId="74" xfId="26" applyFill="1" applyBorder="1" applyAlignment="1">
      <alignment horizontal="center" vertical="center" wrapText="1"/>
    </xf>
    <xf numFmtId="0" fontId="39" fillId="11" borderId="7" xfId="26" applyFill="1" applyBorder="1" applyAlignment="1">
      <alignment horizontal="center" vertical="center" wrapText="1"/>
    </xf>
    <xf numFmtId="0" fontId="39" fillId="11" borderId="8" xfId="26" applyFill="1" applyBorder="1" applyAlignment="1">
      <alignment horizontal="center" vertical="center" wrapText="1"/>
    </xf>
    <xf numFmtId="0" fontId="39" fillId="11" borderId="16" xfId="26" applyFill="1" applyBorder="1" applyAlignment="1">
      <alignment horizontal="center" vertical="center" wrapText="1"/>
    </xf>
    <xf numFmtId="0" fontId="39" fillId="11" borderId="71" xfId="13" applyFont="1" applyFill="1" applyBorder="1" applyAlignment="1">
      <alignment horizontal="center" vertical="center" wrapText="1"/>
    </xf>
    <xf numFmtId="0" fontId="39" fillId="11" borderId="72" xfId="13" applyFont="1" applyFill="1" applyBorder="1" applyAlignment="1">
      <alignment horizontal="center" vertical="center" wrapText="1"/>
    </xf>
    <xf numFmtId="0" fontId="39" fillId="11" borderId="74" xfId="13" applyFont="1" applyFill="1" applyBorder="1" applyAlignment="1">
      <alignment horizontal="center" vertical="center" wrapText="1"/>
    </xf>
    <xf numFmtId="0" fontId="39" fillId="11" borderId="7" xfId="13" applyFont="1" applyFill="1" applyBorder="1" applyAlignment="1">
      <alignment horizontal="center" vertical="center" wrapText="1"/>
    </xf>
    <xf numFmtId="0" fontId="39" fillId="11" borderId="8" xfId="13" applyFont="1" applyFill="1" applyBorder="1" applyAlignment="1">
      <alignment horizontal="center" vertical="center" wrapText="1"/>
    </xf>
    <xf numFmtId="0" fontId="39" fillId="11" borderId="16" xfId="13" applyFont="1" applyFill="1" applyBorder="1" applyAlignment="1">
      <alignment horizontal="center" vertical="center" wrapText="1"/>
    </xf>
    <xf numFmtId="0" fontId="39" fillId="11" borderId="17" xfId="26" applyFill="1" applyBorder="1" applyAlignment="1">
      <alignment horizontal="left" vertical="center" indent="2"/>
    </xf>
    <xf numFmtId="0" fontId="39" fillId="11" borderId="10" xfId="26" applyFill="1" applyBorder="1" applyAlignment="1">
      <alignment horizontal="left" vertical="center" indent="2"/>
    </xf>
    <xf numFmtId="0" fontId="39" fillId="11" borderId="22" xfId="26" applyFill="1" applyBorder="1" applyAlignment="1">
      <alignment horizontal="left" vertical="center" indent="2"/>
    </xf>
    <xf numFmtId="0" fontId="39" fillId="0" borderId="17" xfId="13" applyFont="1" applyBorder="1" applyAlignment="1" applyProtection="1">
      <alignment horizontal="center" vertical="center"/>
      <protection locked="0"/>
    </xf>
    <xf numFmtId="0" fontId="39" fillId="0" borderId="10" xfId="13" applyFont="1" applyBorder="1" applyAlignment="1" applyProtection="1">
      <alignment horizontal="center" vertical="center"/>
      <protection locked="0"/>
    </xf>
    <xf numFmtId="0" fontId="39" fillId="0" borderId="22" xfId="13" applyFont="1" applyBorder="1" applyAlignment="1" applyProtection="1">
      <alignment horizontal="center" vertical="center"/>
      <protection locked="0"/>
    </xf>
    <xf numFmtId="0" fontId="39" fillId="11" borderId="4" xfId="26" applyFill="1" applyBorder="1" applyAlignment="1">
      <alignment horizontal="left" vertical="center" indent="2"/>
    </xf>
    <xf numFmtId="0" fontId="39" fillId="11" borderId="5" xfId="26" applyFill="1" applyBorder="1" applyAlignment="1">
      <alignment horizontal="left" vertical="center" indent="2"/>
    </xf>
    <xf numFmtId="0" fontId="39" fillId="11" borderId="28" xfId="26" applyFill="1" applyBorder="1" applyAlignment="1">
      <alignment horizontal="left" vertical="center" indent="2"/>
    </xf>
    <xf numFmtId="0" fontId="39" fillId="0" borderId="4" xfId="13" applyFont="1" applyBorder="1" applyAlignment="1" applyProtection="1">
      <alignment horizontal="center" vertical="center"/>
      <protection locked="0"/>
    </xf>
    <xf numFmtId="0" fontId="39" fillId="0" borderId="5" xfId="13" applyFont="1" applyBorder="1" applyAlignment="1" applyProtection="1">
      <alignment horizontal="center" vertical="center"/>
      <protection locked="0"/>
    </xf>
    <xf numFmtId="0" fontId="39" fillId="0" borderId="28" xfId="13" applyFont="1" applyBorder="1" applyAlignment="1" applyProtection="1">
      <alignment horizontal="center" vertical="center"/>
      <protection locked="0"/>
    </xf>
    <xf numFmtId="0" fontId="39" fillId="11" borderId="77" xfId="26" applyFill="1" applyBorder="1" applyAlignment="1">
      <alignment horizontal="left" vertical="center" indent="2"/>
    </xf>
    <xf numFmtId="0" fontId="39" fillId="11" borderId="26" xfId="26" applyFill="1" applyBorder="1" applyAlignment="1">
      <alignment horizontal="left" vertical="center" indent="2"/>
    </xf>
    <xf numFmtId="0" fontId="39" fillId="0" borderId="5" xfId="26" applyBorder="1" applyAlignment="1" applyProtection="1">
      <alignment horizontal="center" vertical="center"/>
      <protection locked="0"/>
    </xf>
    <xf numFmtId="0" fontId="39" fillId="0" borderId="28" xfId="26" applyBorder="1" applyAlignment="1" applyProtection="1">
      <alignment horizontal="center" vertical="center"/>
      <protection locked="0"/>
    </xf>
    <xf numFmtId="0" fontId="39" fillId="0" borderId="77" xfId="13" applyFont="1" applyBorder="1" applyAlignment="1" applyProtection="1">
      <alignment horizontal="center" vertical="center"/>
      <protection locked="0"/>
    </xf>
    <xf numFmtId="0" fontId="39" fillId="0" borderId="26" xfId="13" applyFont="1" applyBorder="1" applyAlignment="1" applyProtection="1">
      <alignment horizontal="center" vertical="center"/>
      <protection locked="0"/>
    </xf>
    <xf numFmtId="0" fontId="39" fillId="0" borderId="78" xfId="13" applyFont="1" applyBorder="1" applyAlignment="1" applyProtection="1">
      <alignment horizontal="center" vertical="center"/>
      <protection locked="0"/>
    </xf>
    <xf numFmtId="0" fontId="39" fillId="11" borderId="7" xfId="13" applyFont="1" applyFill="1" applyBorder="1" applyAlignment="1">
      <alignment horizontal="center" vertical="center"/>
    </xf>
    <xf numFmtId="0" fontId="39" fillId="11" borderId="8" xfId="13" applyFont="1" applyFill="1" applyBorder="1" applyAlignment="1">
      <alignment horizontal="center" vertical="center"/>
    </xf>
    <xf numFmtId="0" fontId="39" fillId="11" borderId="16" xfId="13" applyFont="1" applyFill="1" applyBorder="1" applyAlignment="1">
      <alignment horizontal="center" vertical="center"/>
    </xf>
    <xf numFmtId="0" fontId="41" fillId="11" borderId="119" xfId="35" applyFont="1" applyFill="1" applyBorder="1" applyAlignment="1">
      <alignment horizontal="center" vertical="center" wrapText="1"/>
    </xf>
    <xf numFmtId="0" fontId="41" fillId="11" borderId="94" xfId="35" applyFont="1" applyFill="1" applyBorder="1" applyAlignment="1">
      <alignment horizontal="center" vertical="center" wrapText="1"/>
    </xf>
    <xf numFmtId="0" fontId="41" fillId="11" borderId="140" xfId="35" applyFont="1" applyFill="1" applyBorder="1" applyAlignment="1">
      <alignment horizontal="center" vertical="center" wrapText="1"/>
    </xf>
    <xf numFmtId="0" fontId="39" fillId="0" borderId="17" xfId="35" applyBorder="1" applyAlignment="1" applyProtection="1">
      <alignment horizontal="center" vertical="center" wrapText="1"/>
      <protection locked="0"/>
    </xf>
    <xf numFmtId="0" fontId="39" fillId="0" borderId="10" xfId="35" applyBorder="1" applyAlignment="1" applyProtection="1">
      <alignment horizontal="center" vertical="center" wrapText="1"/>
      <protection locked="0"/>
    </xf>
    <xf numFmtId="0" fontId="39" fillId="0" borderId="11" xfId="35" applyBorder="1" applyAlignment="1" applyProtection="1">
      <alignment horizontal="center" vertical="center" wrapText="1"/>
      <protection locked="0"/>
    </xf>
    <xf numFmtId="0" fontId="39" fillId="0" borderId="96" xfId="35" applyBorder="1" applyAlignment="1" applyProtection="1">
      <alignment horizontal="center" vertical="center" wrapText="1"/>
      <protection locked="0"/>
    </xf>
    <xf numFmtId="0" fontId="39" fillId="0" borderId="94" xfId="35" applyBorder="1" applyAlignment="1" applyProtection="1">
      <alignment horizontal="center" vertical="center" wrapText="1"/>
      <protection locked="0"/>
    </xf>
    <xf numFmtId="0" fontId="39" fillId="0" borderId="118" xfId="35" applyBorder="1" applyAlignment="1" applyProtection="1">
      <alignment horizontal="center" vertical="center" wrapText="1"/>
      <protection locked="0"/>
    </xf>
    <xf numFmtId="0" fontId="39" fillId="0" borderId="19" xfId="35" applyBorder="1" applyAlignment="1" applyProtection="1">
      <alignment horizontal="center" vertical="center" wrapText="1"/>
      <protection locked="0"/>
    </xf>
    <xf numFmtId="0" fontId="39" fillId="0" borderId="22" xfId="35" applyBorder="1" applyAlignment="1" applyProtection="1">
      <alignment horizontal="center" vertical="center" wrapText="1"/>
      <protection locked="0"/>
    </xf>
    <xf numFmtId="0" fontId="39" fillId="0" borderId="59" xfId="35" applyBorder="1" applyAlignment="1" applyProtection="1">
      <alignment horizontal="center" vertical="center" wrapText="1"/>
      <protection locked="0"/>
    </xf>
    <xf numFmtId="0" fontId="39" fillId="0" borderId="97" xfId="35" applyBorder="1" applyAlignment="1" applyProtection="1">
      <alignment horizontal="center" vertical="center" wrapText="1"/>
      <protection locked="0"/>
    </xf>
    <xf numFmtId="0" fontId="53" fillId="11" borderId="0" xfId="11" applyFont="1" applyFill="1" applyAlignment="1">
      <alignment horizontal="justify"/>
    </xf>
    <xf numFmtId="0" fontId="41" fillId="11" borderId="71" xfId="35" applyFont="1" applyFill="1" applyBorder="1" applyAlignment="1">
      <alignment horizontal="center" vertical="center" wrapText="1"/>
    </xf>
    <xf numFmtId="0" fontId="41" fillId="11" borderId="72" xfId="35" applyFont="1" applyFill="1" applyBorder="1" applyAlignment="1">
      <alignment horizontal="center" vertical="center" wrapText="1"/>
    </xf>
    <xf numFmtId="0" fontId="41" fillId="11" borderId="74" xfId="35" applyFont="1" applyFill="1" applyBorder="1" applyAlignment="1">
      <alignment horizontal="center" vertical="center" wrapText="1"/>
    </xf>
    <xf numFmtId="0" fontId="41" fillId="11" borderId="7" xfId="35" applyFont="1" applyFill="1" applyBorder="1" applyAlignment="1">
      <alignment horizontal="center" vertical="center" wrapText="1"/>
    </xf>
    <xf numFmtId="0" fontId="41" fillId="11" borderId="8" xfId="35" applyFont="1" applyFill="1" applyBorder="1" applyAlignment="1">
      <alignment horizontal="center" vertical="center" wrapText="1"/>
    </xf>
    <xf numFmtId="0" fontId="41" fillId="11" borderId="16" xfId="35" applyFont="1" applyFill="1" applyBorder="1" applyAlignment="1">
      <alignment horizontal="center" vertical="center" wrapText="1"/>
    </xf>
    <xf numFmtId="0" fontId="41" fillId="11" borderId="17" xfId="35" applyFont="1" applyFill="1" applyBorder="1" applyAlignment="1">
      <alignment horizontal="center" vertical="center" wrapText="1"/>
    </xf>
    <xf numFmtId="0" fontId="41" fillId="11" borderId="10" xfId="35" applyFont="1" applyFill="1" applyBorder="1" applyAlignment="1">
      <alignment horizontal="center" vertical="center" wrapText="1"/>
    </xf>
    <xf numFmtId="0" fontId="41" fillId="11" borderId="22" xfId="35" applyFont="1" applyFill="1" applyBorder="1" applyAlignment="1">
      <alignment horizontal="center" vertical="center" wrapText="1"/>
    </xf>
    <xf numFmtId="0" fontId="41" fillId="11" borderId="178" xfId="35" applyFont="1" applyFill="1" applyBorder="1" applyAlignment="1">
      <alignment horizontal="center" vertical="center" wrapText="1"/>
    </xf>
    <xf numFmtId="0" fontId="41" fillId="11" borderId="179" xfId="35" applyFont="1" applyFill="1" applyBorder="1" applyAlignment="1">
      <alignment horizontal="center" vertical="center" wrapText="1"/>
    </xf>
    <xf numFmtId="0" fontId="41" fillId="11" borderId="98" xfId="35" applyFont="1" applyFill="1" applyBorder="1" applyAlignment="1">
      <alignment horizontal="center" vertical="center" wrapText="1"/>
    </xf>
    <xf numFmtId="0" fontId="41" fillId="11" borderId="167" xfId="35" applyFont="1" applyFill="1" applyBorder="1" applyAlignment="1">
      <alignment horizontal="center" vertical="center" wrapText="1"/>
    </xf>
    <xf numFmtId="0" fontId="41" fillId="11" borderId="53" xfId="35" applyFont="1" applyFill="1" applyBorder="1" applyAlignment="1">
      <alignment horizontal="center" vertical="center" wrapText="1"/>
    </xf>
    <xf numFmtId="0" fontId="41" fillId="11" borderId="13" xfId="35" applyFont="1" applyFill="1" applyBorder="1" applyAlignment="1">
      <alignment horizontal="center" vertical="center" wrapText="1"/>
    </xf>
    <xf numFmtId="0" fontId="41" fillId="11" borderId="217" xfId="35" applyFont="1" applyFill="1" applyBorder="1" applyAlignment="1">
      <alignment horizontal="center" vertical="center" wrapText="1"/>
    </xf>
    <xf numFmtId="0" fontId="41" fillId="11" borderId="215" xfId="35" applyFont="1" applyFill="1" applyBorder="1" applyAlignment="1">
      <alignment horizontal="center" vertical="center" wrapText="1"/>
    </xf>
    <xf numFmtId="0" fontId="41" fillId="11" borderId="191" xfId="35" applyFont="1" applyFill="1" applyBorder="1" applyAlignment="1">
      <alignment horizontal="center" vertical="center" wrapText="1"/>
    </xf>
    <xf numFmtId="0" fontId="41" fillId="11" borderId="216" xfId="35" applyFont="1" applyFill="1" applyBorder="1" applyAlignment="1">
      <alignment horizontal="center" vertical="center" wrapText="1"/>
    </xf>
    <xf numFmtId="0" fontId="41" fillId="11" borderId="96" xfId="35" applyFont="1" applyFill="1" applyBorder="1" applyAlignment="1">
      <alignment horizontal="center" vertical="center" wrapText="1"/>
    </xf>
    <xf numFmtId="0" fontId="41" fillId="11" borderId="118" xfId="35" applyFont="1" applyFill="1" applyBorder="1" applyAlignment="1">
      <alignment horizontal="center" vertical="center" wrapText="1"/>
    </xf>
    <xf numFmtId="0" fontId="39" fillId="0" borderId="27" xfId="35" applyBorder="1" applyAlignment="1" applyProtection="1">
      <alignment horizontal="center"/>
      <protection locked="0"/>
    </xf>
    <xf numFmtId="49" fontId="39" fillId="0" borderId="27" xfId="13" applyNumberFormat="1" applyFont="1" applyBorder="1" applyAlignment="1" applyProtection="1">
      <alignment horizontal="center"/>
      <protection locked="0"/>
    </xf>
    <xf numFmtId="0" fontId="41" fillId="11" borderId="59" xfId="35" applyFont="1" applyFill="1" applyBorder="1" applyAlignment="1">
      <alignment horizontal="center" vertical="center" wrapText="1"/>
    </xf>
    <xf numFmtId="0" fontId="41" fillId="11" borderId="97" xfId="35" applyFont="1" applyFill="1" applyBorder="1" applyAlignment="1">
      <alignment horizontal="center" vertical="center" wrapText="1"/>
    </xf>
    <xf numFmtId="0" fontId="39" fillId="11" borderId="17" xfId="35" applyFill="1" applyBorder="1" applyAlignment="1">
      <alignment horizontal="left" vertical="center" indent="2"/>
    </xf>
    <xf numFmtId="0" fontId="39" fillId="11" borderId="10" xfId="35" applyFill="1" applyBorder="1" applyAlignment="1">
      <alignment horizontal="left" vertical="center" indent="2"/>
    </xf>
    <xf numFmtId="0" fontId="39" fillId="11" borderId="27" xfId="35" applyFill="1" applyBorder="1" applyAlignment="1">
      <alignment horizontal="left" vertical="center" indent="2"/>
    </xf>
    <xf numFmtId="0" fontId="39" fillId="11" borderId="33" xfId="35" applyFill="1" applyBorder="1" applyAlignment="1">
      <alignment horizontal="left" vertical="center" indent="2"/>
    </xf>
    <xf numFmtId="0" fontId="39" fillId="11" borderId="96" xfId="35" applyFill="1" applyBorder="1" applyAlignment="1">
      <alignment horizontal="left" vertical="center" indent="2"/>
    </xf>
    <xf numFmtId="0" fontId="39" fillId="11" borderId="94" xfId="35" applyFill="1" applyBorder="1" applyAlignment="1">
      <alignment horizontal="left" vertical="center" indent="2"/>
    </xf>
    <xf numFmtId="0" fontId="39" fillId="11" borderId="97" xfId="35" applyFill="1" applyBorder="1" applyAlignment="1">
      <alignment horizontal="left" vertical="center" indent="2"/>
    </xf>
    <xf numFmtId="0" fontId="39" fillId="0" borderId="20" xfId="35" applyBorder="1" applyAlignment="1" applyProtection="1">
      <alignment horizontal="center" vertical="center" wrapText="1"/>
      <protection locked="0"/>
    </xf>
    <xf numFmtId="0" fontId="39" fillId="0" borderId="140" xfId="35" applyBorder="1" applyAlignment="1" applyProtection="1">
      <alignment horizontal="center" vertical="center" wrapText="1"/>
      <protection locked="0"/>
    </xf>
    <xf numFmtId="0" fontId="39" fillId="0" borderId="21" xfId="35" applyBorder="1" applyAlignment="1" applyProtection="1">
      <alignment horizontal="center" vertical="center" wrapText="1"/>
      <protection locked="0"/>
    </xf>
    <xf numFmtId="0" fontId="39" fillId="0" borderId="119" xfId="35" applyBorder="1" applyAlignment="1" applyProtection="1">
      <alignment horizontal="center" vertical="center" wrapText="1"/>
      <protection locked="0"/>
    </xf>
    <xf numFmtId="0" fontId="41" fillId="11" borderId="21" xfId="35" applyFont="1" applyFill="1" applyBorder="1" applyAlignment="1">
      <alignment horizontal="center" vertical="center" wrapText="1"/>
    </xf>
    <xf numFmtId="0" fontId="41" fillId="11" borderId="20" xfId="35" applyFont="1" applyFill="1" applyBorder="1" applyAlignment="1">
      <alignment horizontal="center" vertical="center" wrapText="1"/>
    </xf>
    <xf numFmtId="3" fontId="39" fillId="0" borderId="39" xfId="26" applyNumberFormat="1" applyBorder="1" applyAlignment="1" applyProtection="1">
      <alignment horizontal="center" vertical="center"/>
      <protection locked="0"/>
    </xf>
    <xf numFmtId="3" fontId="39" fillId="0" borderId="42" xfId="26" applyNumberFormat="1" applyBorder="1" applyAlignment="1" applyProtection="1">
      <alignment horizontal="center" vertical="center"/>
      <protection locked="0"/>
    </xf>
    <xf numFmtId="3" fontId="39" fillId="0" borderId="362" xfId="26" applyNumberFormat="1" applyBorder="1" applyAlignment="1" applyProtection="1">
      <alignment horizontal="center" vertical="center"/>
      <protection locked="0"/>
    </xf>
    <xf numFmtId="3" fontId="39" fillId="0" borderId="363" xfId="26" applyNumberFormat="1" applyBorder="1" applyAlignment="1" applyProtection="1">
      <alignment horizontal="center" vertical="center"/>
      <protection locked="0"/>
    </xf>
    <xf numFmtId="3" fontId="39" fillId="0" borderId="263" xfId="26" applyNumberFormat="1" applyBorder="1" applyAlignment="1" applyProtection="1">
      <alignment horizontal="center" vertical="center"/>
      <protection locked="0"/>
    </xf>
    <xf numFmtId="3" fontId="39" fillId="0" borderId="264" xfId="26" applyNumberFormat="1" applyBorder="1" applyAlignment="1" applyProtection="1">
      <alignment horizontal="center" vertical="center"/>
      <protection locked="0"/>
    </xf>
    <xf numFmtId="3" fontId="39" fillId="0" borderId="265" xfId="26" applyNumberFormat="1" applyBorder="1" applyAlignment="1" applyProtection="1">
      <alignment horizontal="center" vertical="center"/>
      <protection locked="0"/>
    </xf>
    <xf numFmtId="3" fontId="39" fillId="0" borderId="361" xfId="26" applyNumberFormat="1" applyBorder="1" applyAlignment="1" applyProtection="1">
      <alignment horizontal="center" vertical="center"/>
      <protection locked="0"/>
    </xf>
    <xf numFmtId="3" fontId="39" fillId="0" borderId="41" xfId="26" applyNumberFormat="1" applyBorder="1" applyAlignment="1" applyProtection="1">
      <alignment horizontal="center" vertical="center"/>
      <protection locked="0"/>
    </xf>
    <xf numFmtId="3" fontId="39" fillId="0" borderId="45" xfId="26" applyNumberFormat="1" applyBorder="1" applyAlignment="1" applyProtection="1">
      <alignment horizontal="center" vertical="center"/>
      <protection locked="0"/>
    </xf>
    <xf numFmtId="3" fontId="41" fillId="11" borderId="47" xfId="26" applyNumberFormat="1" applyFont="1" applyFill="1" applyBorder="1" applyAlignment="1">
      <alignment horizontal="center" vertical="center"/>
    </xf>
    <xf numFmtId="3" fontId="41" fillId="11" borderId="52" xfId="26" applyNumberFormat="1" applyFont="1" applyFill="1" applyBorder="1" applyAlignment="1">
      <alignment horizontal="center" vertical="center"/>
    </xf>
    <xf numFmtId="3" fontId="41" fillId="11" borderId="46" xfId="26" applyNumberFormat="1" applyFont="1" applyFill="1" applyBorder="1" applyAlignment="1">
      <alignment horizontal="center" vertical="center"/>
    </xf>
    <xf numFmtId="3" fontId="41" fillId="11" borderId="49" xfId="26" applyNumberFormat="1" applyFont="1" applyFill="1" applyBorder="1" applyAlignment="1">
      <alignment horizontal="center" vertical="center"/>
    </xf>
    <xf numFmtId="3" fontId="41" fillId="11" borderId="48" xfId="26" applyNumberFormat="1" applyFont="1" applyFill="1" applyBorder="1" applyAlignment="1">
      <alignment horizontal="center" vertical="center"/>
    </xf>
    <xf numFmtId="3" fontId="41" fillId="11" borderId="169" xfId="26" applyNumberFormat="1" applyFont="1" applyFill="1" applyBorder="1" applyAlignment="1">
      <alignment horizontal="center" vertical="center"/>
    </xf>
    <xf numFmtId="3" fontId="41" fillId="11" borderId="200" xfId="26" applyNumberFormat="1" applyFont="1" applyFill="1" applyBorder="1" applyAlignment="1">
      <alignment horizontal="center" vertical="center"/>
    </xf>
    <xf numFmtId="0" fontId="41" fillId="11" borderId="46" xfId="26" applyFont="1" applyFill="1" applyBorder="1" applyAlignment="1">
      <alignment horizontal="center" vertical="center" wrapText="1"/>
    </xf>
    <xf numFmtId="0" fontId="41" fillId="11" borderId="47" xfId="26" applyFont="1" applyFill="1" applyBorder="1" applyAlignment="1">
      <alignment horizontal="center" vertical="center" wrapText="1"/>
    </xf>
    <xf numFmtId="0" fontId="41" fillId="11" borderId="52" xfId="26" applyFont="1" applyFill="1" applyBorder="1" applyAlignment="1">
      <alignment horizontal="center" vertical="center" wrapText="1"/>
    </xf>
    <xf numFmtId="3" fontId="39" fillId="0" borderId="19" xfId="26" applyNumberFormat="1" applyBorder="1" applyAlignment="1" applyProtection="1">
      <alignment horizontal="center" vertical="center"/>
      <protection locked="0"/>
    </xf>
    <xf numFmtId="3" fontId="39" fillId="0" borderId="11" xfId="26" applyNumberFormat="1" applyBorder="1" applyAlignment="1" applyProtection="1">
      <alignment horizontal="center" vertical="center"/>
      <protection locked="0"/>
    </xf>
    <xf numFmtId="3" fontId="39" fillId="0" borderId="10" xfId="26" applyNumberFormat="1" applyBorder="1" applyAlignment="1" applyProtection="1">
      <alignment horizontal="center" vertical="center"/>
      <protection locked="0"/>
    </xf>
    <xf numFmtId="3" fontId="39" fillId="0" borderId="22" xfId="26" applyNumberFormat="1" applyBorder="1" applyAlignment="1" applyProtection="1">
      <alignment horizontal="center" vertical="center"/>
      <protection locked="0"/>
    </xf>
    <xf numFmtId="3" fontId="39" fillId="0" borderId="40" xfId="26" applyNumberFormat="1" applyBorder="1" applyAlignment="1" applyProtection="1">
      <alignment horizontal="center" vertical="center"/>
      <protection locked="0"/>
    </xf>
    <xf numFmtId="3" fontId="39" fillId="0" borderId="17" xfId="26" applyNumberFormat="1" applyBorder="1" applyAlignment="1" applyProtection="1">
      <alignment horizontal="center" vertical="center"/>
      <protection locked="0"/>
    </xf>
    <xf numFmtId="0" fontId="41" fillId="11" borderId="121" xfId="26" applyFont="1" applyFill="1" applyBorder="1" applyAlignment="1">
      <alignment horizontal="center" vertical="center"/>
    </xf>
    <xf numFmtId="0" fontId="41" fillId="11" borderId="124" xfId="26" applyFont="1" applyFill="1" applyBorder="1" applyAlignment="1">
      <alignment horizontal="center" vertical="center"/>
    </xf>
    <xf numFmtId="0" fontId="41" fillId="11" borderId="167" xfId="26" applyFont="1" applyFill="1" applyBorder="1" applyAlignment="1">
      <alignment horizontal="center" vertical="center"/>
    </xf>
    <xf numFmtId="0" fontId="41" fillId="11" borderId="53" xfId="26" applyFont="1" applyFill="1" applyBorder="1" applyAlignment="1">
      <alignment horizontal="center" vertical="center"/>
    </xf>
    <xf numFmtId="0" fontId="41" fillId="11" borderId="161" xfId="26" applyFont="1" applyFill="1" applyBorder="1" applyAlignment="1">
      <alignment horizontal="center" vertical="center"/>
    </xf>
    <xf numFmtId="0" fontId="41" fillId="11" borderId="8" xfId="26" applyFont="1" applyFill="1" applyBorder="1" applyAlignment="1">
      <alignment horizontal="center" vertical="center"/>
    </xf>
    <xf numFmtId="0" fontId="39" fillId="11" borderId="39" xfId="26" applyFill="1" applyBorder="1" applyAlignment="1">
      <alignment horizontal="left" vertical="center" wrapText="1" indent="1"/>
    </xf>
    <xf numFmtId="0" fontId="39" fillId="11" borderId="40" xfId="26" applyFill="1" applyBorder="1" applyAlignment="1">
      <alignment horizontal="left" vertical="center" wrapText="1" indent="1"/>
    </xf>
    <xf numFmtId="0" fontId="39" fillId="11" borderId="45" xfId="26" applyFill="1" applyBorder="1" applyAlignment="1">
      <alignment horizontal="left" vertical="center" wrapText="1" indent="1"/>
    </xf>
    <xf numFmtId="0" fontId="39" fillId="11" borderId="17" xfId="26" applyFill="1" applyBorder="1" applyAlignment="1">
      <alignment horizontal="left" vertical="center" wrapText="1" indent="1"/>
    </xf>
    <xf numFmtId="0" fontId="39" fillId="11" borderId="10" xfId="26" applyFill="1" applyBorder="1" applyAlignment="1">
      <alignment horizontal="left" vertical="center" wrapText="1" indent="1"/>
    </xf>
    <xf numFmtId="0" fontId="39" fillId="11" borderId="22" xfId="26" applyFill="1" applyBorder="1" applyAlignment="1">
      <alignment horizontal="left" vertical="center" wrapText="1" indent="1"/>
    </xf>
    <xf numFmtId="0" fontId="41" fillId="11" borderId="165" xfId="26" applyFont="1" applyFill="1" applyBorder="1" applyAlignment="1">
      <alignment horizontal="center" vertical="center"/>
    </xf>
    <xf numFmtId="0" fontId="41" fillId="11" borderId="16" xfId="26" applyFont="1" applyFill="1" applyBorder="1" applyAlignment="1">
      <alignment horizontal="center" vertical="center"/>
    </xf>
    <xf numFmtId="0" fontId="41" fillId="11" borderId="13" xfId="26" applyFont="1" applyFill="1" applyBorder="1" applyAlignment="1">
      <alignment horizontal="center" vertical="center"/>
    </xf>
    <xf numFmtId="0" fontId="41" fillId="11" borderId="7" xfId="26" applyFont="1" applyFill="1" applyBorder="1" applyAlignment="1">
      <alignment horizontal="center" vertical="center"/>
    </xf>
    <xf numFmtId="0" fontId="41" fillId="11" borderId="9" xfId="26" applyFont="1" applyFill="1" applyBorder="1" applyAlignment="1">
      <alignment horizontal="center" vertical="center"/>
    </xf>
    <xf numFmtId="0" fontId="41" fillId="11" borderId="17" xfId="26" applyFont="1" applyFill="1" applyBorder="1" applyAlignment="1">
      <alignment horizontal="center" vertical="center" wrapText="1"/>
    </xf>
    <xf numFmtId="0" fontId="41" fillId="11" borderId="10" xfId="26" applyFont="1" applyFill="1" applyBorder="1" applyAlignment="1">
      <alignment horizontal="center" vertical="center" wrapText="1"/>
    </xf>
    <xf numFmtId="0" fontId="41" fillId="11" borderId="22" xfId="26" applyFont="1" applyFill="1" applyBorder="1" applyAlignment="1">
      <alignment horizontal="center" vertical="center" wrapText="1"/>
    </xf>
    <xf numFmtId="0" fontId="41" fillId="11" borderId="4" xfId="26" applyFont="1" applyFill="1" applyBorder="1" applyAlignment="1">
      <alignment horizontal="center" vertical="center"/>
    </xf>
    <xf numFmtId="0" fontId="41" fillId="11" borderId="5" xfId="26" applyFont="1" applyFill="1" applyBorder="1" applyAlignment="1">
      <alignment horizontal="center" vertical="center"/>
    </xf>
    <xf numFmtId="0" fontId="41" fillId="11" borderId="28" xfId="26" applyFont="1" applyFill="1" applyBorder="1" applyAlignment="1">
      <alignment horizontal="center" vertical="center"/>
    </xf>
    <xf numFmtId="0" fontId="41" fillId="11" borderId="96" xfId="26" applyFont="1" applyFill="1" applyBorder="1" applyAlignment="1">
      <alignment horizontal="center" vertical="center"/>
    </xf>
    <xf numFmtId="0" fontId="41" fillId="11" borderId="94" xfId="26" applyFont="1" applyFill="1" applyBorder="1" applyAlignment="1">
      <alignment horizontal="center" vertical="center"/>
    </xf>
    <xf numFmtId="0" fontId="41" fillId="11" borderId="97" xfId="26" applyFont="1" applyFill="1" applyBorder="1" applyAlignment="1">
      <alignment horizontal="center" vertical="center"/>
    </xf>
    <xf numFmtId="0" fontId="41" fillId="11" borderId="171" xfId="26" applyFont="1" applyFill="1" applyBorder="1" applyAlignment="1">
      <alignment horizontal="center" vertical="center" wrapText="1"/>
    </xf>
    <xf numFmtId="0" fontId="41" fillId="11" borderId="160" xfId="26" applyFont="1" applyFill="1" applyBorder="1" applyAlignment="1">
      <alignment horizontal="center" vertical="center" wrapText="1"/>
    </xf>
    <xf numFmtId="0" fontId="41" fillId="11" borderId="187" xfId="26" applyFont="1" applyFill="1" applyBorder="1" applyAlignment="1">
      <alignment horizontal="center" vertical="center" wrapText="1"/>
    </xf>
    <xf numFmtId="0" fontId="41" fillId="11" borderId="96" xfId="26" applyFont="1" applyFill="1" applyBorder="1" applyAlignment="1">
      <alignment horizontal="center" vertical="center" wrapText="1"/>
    </xf>
    <xf numFmtId="0" fontId="41" fillId="11" borderId="94" xfId="26" applyFont="1" applyFill="1" applyBorder="1" applyAlignment="1">
      <alignment horizontal="center" vertical="center" wrapText="1"/>
    </xf>
    <xf numFmtId="0" fontId="41" fillId="11" borderId="97" xfId="26" applyFont="1" applyFill="1" applyBorder="1" applyAlignment="1">
      <alignment horizontal="center" vertical="center" wrapText="1"/>
    </xf>
    <xf numFmtId="0" fontId="39" fillId="11" borderId="96" xfId="13" applyFont="1" applyFill="1" applyBorder="1" applyAlignment="1">
      <alignment horizontal="left" vertical="center" wrapText="1" indent="1"/>
    </xf>
    <xf numFmtId="0" fontId="39" fillId="11" borderId="94" xfId="13" applyFont="1" applyFill="1" applyBorder="1" applyAlignment="1">
      <alignment horizontal="left" vertical="center" wrapText="1" indent="1"/>
    </xf>
    <xf numFmtId="0" fontId="39" fillId="11" borderId="97" xfId="13" applyFont="1" applyFill="1" applyBorder="1" applyAlignment="1">
      <alignment horizontal="left" vertical="center" wrapText="1" indent="1"/>
    </xf>
    <xf numFmtId="3" fontId="39" fillId="0" borderId="96" xfId="13" applyNumberFormat="1" applyFont="1" applyBorder="1" applyAlignment="1" applyProtection="1">
      <alignment horizontal="center" vertical="center"/>
      <protection locked="0"/>
    </xf>
    <xf numFmtId="3" fontId="39" fillId="0" borderId="94" xfId="13" applyNumberFormat="1" applyFont="1" applyBorder="1" applyAlignment="1" applyProtection="1">
      <alignment horizontal="center" vertical="center"/>
      <protection locked="0"/>
    </xf>
    <xf numFmtId="3" fontId="39" fillId="0" borderId="97" xfId="13" applyNumberFormat="1" applyFont="1" applyBorder="1" applyAlignment="1" applyProtection="1">
      <alignment horizontal="center" vertical="center"/>
      <protection locked="0"/>
    </xf>
    <xf numFmtId="3" fontId="39" fillId="0" borderId="140" xfId="13" applyNumberFormat="1" applyFont="1" applyBorder="1" applyAlignment="1" applyProtection="1">
      <alignment horizontal="center" vertical="center"/>
      <protection locked="0"/>
    </xf>
    <xf numFmtId="3" fontId="41" fillId="11" borderId="94" xfId="13" applyNumberFormat="1" applyFont="1" applyFill="1" applyBorder="1" applyAlignment="1">
      <alignment horizontal="center" vertical="center"/>
    </xf>
    <xf numFmtId="3" fontId="41" fillId="11" borderId="97" xfId="13" applyNumberFormat="1" applyFont="1" applyFill="1" applyBorder="1" applyAlignment="1">
      <alignment horizontal="center" vertical="center"/>
    </xf>
    <xf numFmtId="0" fontId="41" fillId="11" borderId="125" xfId="26" applyFont="1" applyFill="1" applyBorder="1" applyAlignment="1">
      <alignment horizontal="center" vertical="center"/>
    </xf>
    <xf numFmtId="0" fontId="41" fillId="11" borderId="123" xfId="26" applyFont="1" applyFill="1" applyBorder="1" applyAlignment="1">
      <alignment horizontal="center" vertical="center"/>
    </xf>
    <xf numFmtId="0" fontId="41" fillId="11" borderId="149" xfId="26" applyFont="1" applyFill="1" applyBorder="1" applyAlignment="1">
      <alignment horizontal="center" vertical="center"/>
    </xf>
    <xf numFmtId="0" fontId="41" fillId="11" borderId="71" xfId="26" applyFont="1" applyFill="1" applyBorder="1" applyAlignment="1">
      <alignment horizontal="center" vertical="center" wrapText="1"/>
    </xf>
    <xf numFmtId="0" fontId="41" fillId="11" borderId="72" xfId="26" applyFont="1" applyFill="1" applyBorder="1" applyAlignment="1">
      <alignment horizontal="center" vertical="center" wrapText="1"/>
    </xf>
    <xf numFmtId="0" fontId="41" fillId="11" borderId="74" xfId="26" applyFont="1" applyFill="1" applyBorder="1" applyAlignment="1">
      <alignment horizontal="center" vertical="center" wrapText="1"/>
    </xf>
    <xf numFmtId="0" fontId="41" fillId="11" borderId="67" xfId="26" applyFont="1" applyFill="1" applyBorder="1" applyAlignment="1">
      <alignment horizontal="center" vertical="center" wrapText="1"/>
    </xf>
    <xf numFmtId="0" fontId="41" fillId="11" borderId="0" xfId="26" applyFont="1" applyFill="1" applyAlignment="1">
      <alignment horizontal="center" vertical="center" wrapText="1"/>
    </xf>
    <xf numFmtId="0" fontId="41" fillId="11" borderId="38" xfId="26" applyFont="1" applyFill="1" applyBorder="1" applyAlignment="1">
      <alignment horizontal="center" vertical="center" wrapText="1"/>
    </xf>
    <xf numFmtId="0" fontId="41" fillId="11" borderId="7" xfId="26" applyFont="1" applyFill="1" applyBorder="1" applyAlignment="1">
      <alignment horizontal="center" vertical="center" wrapText="1"/>
    </xf>
    <xf numFmtId="0" fontId="41" fillId="11" borderId="8" xfId="26" applyFont="1" applyFill="1" applyBorder="1" applyAlignment="1">
      <alignment horizontal="center" vertical="center" wrapText="1"/>
    </xf>
    <xf numFmtId="0" fontId="41" fillId="11" borderId="16" xfId="26" applyFont="1" applyFill="1" applyBorder="1" applyAlignment="1">
      <alignment horizontal="center" vertical="center" wrapText="1"/>
    </xf>
    <xf numFmtId="0" fontId="39" fillId="11" borderId="4" xfId="13" applyFont="1" applyFill="1" applyBorder="1" applyAlignment="1">
      <alignment horizontal="left" vertical="center" wrapText="1" indent="1"/>
    </xf>
    <xf numFmtId="0" fontId="39" fillId="11" borderId="5" xfId="13" applyFont="1" applyFill="1" applyBorder="1" applyAlignment="1">
      <alignment horizontal="left" vertical="center" wrapText="1" indent="1"/>
    </xf>
    <xf numFmtId="0" fontId="39" fillId="11" borderId="28" xfId="13" applyFont="1" applyFill="1" applyBorder="1" applyAlignment="1">
      <alignment horizontal="left" vertical="center" wrapText="1" indent="1"/>
    </xf>
    <xf numFmtId="0" fontId="39" fillId="11" borderId="17" xfId="13" applyFont="1" applyFill="1" applyBorder="1" applyAlignment="1">
      <alignment horizontal="left" vertical="center" wrapText="1" indent="1"/>
    </xf>
    <xf numFmtId="0" fontId="39" fillId="11" borderId="10" xfId="13" applyFont="1" applyFill="1" applyBorder="1" applyAlignment="1">
      <alignment horizontal="left" vertical="center" wrapText="1" indent="1"/>
    </xf>
    <xf numFmtId="0" fontId="39" fillId="11" borderId="22" xfId="13" applyFont="1" applyFill="1" applyBorder="1" applyAlignment="1">
      <alignment horizontal="left" vertical="center" wrapText="1" indent="1"/>
    </xf>
    <xf numFmtId="0" fontId="43" fillId="11" borderId="71" xfId="13" applyFont="1" applyFill="1" applyBorder="1" applyAlignment="1">
      <alignment horizontal="center" vertical="center" wrapText="1"/>
    </xf>
    <xf numFmtId="0" fontId="43" fillId="11" borderId="72" xfId="13" applyFont="1" applyFill="1" applyBorder="1" applyAlignment="1">
      <alignment horizontal="center" vertical="center" wrapText="1"/>
    </xf>
    <xf numFmtId="0" fontId="43" fillId="11" borderId="74" xfId="13" applyFont="1" applyFill="1" applyBorder="1" applyAlignment="1">
      <alignment horizontal="center" vertical="center" wrapText="1"/>
    </xf>
    <xf numFmtId="0" fontId="43" fillId="11" borderId="7" xfId="13" applyFont="1" applyFill="1" applyBorder="1" applyAlignment="1">
      <alignment horizontal="center" vertical="center" wrapText="1"/>
    </xf>
    <xf numFmtId="0" fontId="43" fillId="11" borderId="8" xfId="13" applyFont="1" applyFill="1" applyBorder="1" applyAlignment="1">
      <alignment horizontal="center" vertical="center" wrapText="1"/>
    </xf>
    <xf numFmtId="0" fontId="43" fillId="11" borderId="16" xfId="13" applyFont="1" applyFill="1" applyBorder="1" applyAlignment="1">
      <alignment horizontal="center" vertical="center" wrapText="1"/>
    </xf>
    <xf numFmtId="0" fontId="41" fillId="11" borderId="14" xfId="13" applyFont="1" applyFill="1" applyBorder="1" applyAlignment="1">
      <alignment horizontal="center" vertical="center"/>
    </xf>
    <xf numFmtId="0" fontId="41" fillId="11" borderId="15" xfId="38" applyFont="1" applyFill="1" applyBorder="1" applyAlignment="1">
      <alignment horizontal="center" vertical="center" wrapText="1"/>
    </xf>
    <xf numFmtId="0" fontId="41" fillId="11" borderId="8" xfId="38" applyFont="1" applyFill="1" applyBorder="1" applyAlignment="1">
      <alignment horizontal="center" vertical="center" wrapText="1"/>
    </xf>
    <xf numFmtId="0" fontId="41" fillId="11" borderId="16" xfId="38" applyFont="1" applyFill="1" applyBorder="1" applyAlignment="1">
      <alignment horizontal="center" vertical="center" wrapText="1"/>
    </xf>
    <xf numFmtId="0" fontId="39" fillId="5" borderId="96" xfId="13" applyFont="1" applyFill="1" applyBorder="1" applyAlignment="1">
      <alignment horizontal="center" vertical="center"/>
    </xf>
    <xf numFmtId="0" fontId="39" fillId="5" borderId="94" xfId="13" applyFont="1" applyFill="1" applyBorder="1" applyAlignment="1">
      <alignment horizontal="center" vertical="center"/>
    </xf>
    <xf numFmtId="0" fontId="39" fillId="5" borderId="97" xfId="13" applyFont="1" applyFill="1" applyBorder="1" applyAlignment="1">
      <alignment horizontal="center" vertical="center"/>
    </xf>
    <xf numFmtId="0" fontId="39" fillId="5" borderId="140" xfId="13" applyFont="1" applyFill="1" applyBorder="1" applyAlignment="1">
      <alignment horizontal="center" vertical="center"/>
    </xf>
    <xf numFmtId="0" fontId="39" fillId="11" borderId="4" xfId="13" applyFont="1" applyFill="1" applyBorder="1" applyAlignment="1">
      <alignment horizontal="left" vertical="center" wrapText="1" indent="6"/>
    </xf>
    <xf numFmtId="0" fontId="39" fillId="11" borderId="5" xfId="13" applyFont="1" applyFill="1" applyBorder="1" applyAlignment="1">
      <alignment horizontal="left" vertical="center" wrapText="1" indent="6"/>
    </xf>
    <xf numFmtId="0" fontId="39" fillId="11" borderId="28" xfId="13" applyFont="1" applyFill="1" applyBorder="1" applyAlignment="1">
      <alignment horizontal="left" vertical="center" wrapText="1" indent="6"/>
    </xf>
    <xf numFmtId="3" fontId="39" fillId="5" borderId="4" xfId="13" applyNumberFormat="1" applyFont="1" applyFill="1" applyBorder="1" applyAlignment="1">
      <alignment horizontal="center" vertical="center"/>
    </xf>
    <xf numFmtId="3" fontId="39" fillId="5" borderId="5" xfId="13" applyNumberFormat="1" applyFont="1" applyFill="1" applyBorder="1" applyAlignment="1">
      <alignment horizontal="center" vertical="center"/>
    </xf>
    <xf numFmtId="3" fontId="39" fillId="5" borderId="36" xfId="13" applyNumberFormat="1" applyFont="1" applyFill="1" applyBorder="1" applyAlignment="1">
      <alignment horizontal="center" vertical="center"/>
    </xf>
    <xf numFmtId="3" fontId="39" fillId="5" borderId="37" xfId="13" applyNumberFormat="1" applyFont="1" applyFill="1" applyBorder="1" applyAlignment="1">
      <alignment horizontal="center" vertical="center"/>
    </xf>
    <xf numFmtId="3" fontId="39" fillId="5" borderId="28" xfId="13" applyNumberFormat="1" applyFont="1" applyFill="1" applyBorder="1" applyAlignment="1">
      <alignment horizontal="center" vertical="center"/>
    </xf>
    <xf numFmtId="0" fontId="39" fillId="5" borderId="36" xfId="13" applyFont="1" applyFill="1" applyBorder="1" applyAlignment="1">
      <alignment horizontal="center" vertical="center"/>
    </xf>
    <xf numFmtId="3" fontId="41" fillId="11" borderId="201" xfId="26" applyNumberFormat="1" applyFont="1" applyFill="1" applyBorder="1" applyAlignment="1">
      <alignment horizontal="center" vertical="center"/>
    </xf>
    <xf numFmtId="3" fontId="39" fillId="0" borderId="77" xfId="26" applyNumberFormat="1" applyBorder="1" applyAlignment="1" applyProtection="1">
      <alignment horizontal="center" vertical="center"/>
      <protection locked="0"/>
    </xf>
    <xf numFmtId="3" fontId="39" fillId="0" borderId="26" xfId="26" applyNumberFormat="1" applyBorder="1" applyAlignment="1" applyProtection="1">
      <alignment horizontal="center" vertical="center"/>
      <protection locked="0"/>
    </xf>
    <xf numFmtId="3" fontId="39" fillId="0" borderId="78" xfId="26" applyNumberFormat="1" applyBorder="1" applyAlignment="1" applyProtection="1">
      <alignment horizontal="center" vertical="center"/>
      <protection locked="0"/>
    </xf>
    <xf numFmtId="3" fontId="39" fillId="0" borderId="4" xfId="26" applyNumberFormat="1" applyBorder="1" applyAlignment="1" applyProtection="1">
      <alignment horizontal="center" vertical="center"/>
      <protection locked="0"/>
    </xf>
    <xf numFmtId="3" fontId="39" fillId="0" borderId="5" xfId="26" applyNumberFormat="1" applyBorder="1" applyAlignment="1" applyProtection="1">
      <alignment horizontal="center" vertical="center"/>
      <protection locked="0"/>
    </xf>
    <xf numFmtId="3" fontId="39" fillId="0" borderId="28" xfId="26" applyNumberFormat="1" applyBorder="1" applyAlignment="1" applyProtection="1">
      <alignment horizontal="center" vertical="center"/>
      <protection locked="0"/>
    </xf>
    <xf numFmtId="3" fontId="39" fillId="0" borderId="17" xfId="26" applyNumberFormat="1" applyBorder="1" applyAlignment="1" applyProtection="1">
      <alignment horizontal="center" vertical="center" wrapText="1"/>
      <protection locked="0"/>
    </xf>
    <xf numFmtId="3" fontId="39" fillId="0" borderId="10" xfId="26" applyNumberFormat="1" applyBorder="1" applyAlignment="1" applyProtection="1">
      <alignment horizontal="center" vertical="center" wrapText="1"/>
      <protection locked="0"/>
    </xf>
    <xf numFmtId="3" fontId="39" fillId="0" borderId="22" xfId="26" applyNumberFormat="1" applyBorder="1" applyAlignment="1" applyProtection="1">
      <alignment horizontal="center" vertical="center" wrapText="1"/>
      <protection locked="0"/>
    </xf>
    <xf numFmtId="0" fontId="39" fillId="11" borderId="0" xfId="26" applyFill="1" applyAlignment="1">
      <alignment horizontal="justify" wrapText="1"/>
    </xf>
    <xf numFmtId="0" fontId="41" fillId="11" borderId="122" xfId="26" applyFont="1" applyFill="1" applyBorder="1" applyAlignment="1">
      <alignment horizontal="center" vertical="center"/>
    </xf>
    <xf numFmtId="0" fontId="41" fillId="11" borderId="121" xfId="26" applyFont="1" applyFill="1" applyBorder="1" applyAlignment="1">
      <alignment horizontal="center" vertical="center" wrapText="1"/>
    </xf>
    <xf numFmtId="0" fontId="41" fillId="11" borderId="122" xfId="26" applyFont="1" applyFill="1" applyBorder="1" applyAlignment="1">
      <alignment horizontal="center" vertical="center" wrapText="1"/>
    </xf>
    <xf numFmtId="0" fontId="41" fillId="11" borderId="123" xfId="26" applyFont="1" applyFill="1" applyBorder="1" applyAlignment="1">
      <alignment horizontal="center" vertical="center" wrapText="1"/>
    </xf>
    <xf numFmtId="3" fontId="39" fillId="0" borderId="39" xfId="26" applyNumberFormat="1" applyBorder="1" applyAlignment="1" applyProtection="1">
      <alignment horizontal="center" vertical="center" wrapText="1"/>
      <protection locked="0"/>
    </xf>
    <xf numFmtId="3" fontId="39" fillId="0" borderId="40" xfId="26" applyNumberFormat="1" applyBorder="1" applyAlignment="1" applyProtection="1">
      <alignment horizontal="center" vertical="center" wrapText="1"/>
      <protection locked="0"/>
    </xf>
    <xf numFmtId="3" fontId="39" fillId="0" borderId="45" xfId="26" applyNumberFormat="1" applyBorder="1" applyAlignment="1" applyProtection="1">
      <alignment horizontal="center" vertical="center" wrapText="1"/>
      <protection locked="0"/>
    </xf>
    <xf numFmtId="3" fontId="39" fillId="0" borderId="4" xfId="26" applyNumberFormat="1" applyBorder="1" applyAlignment="1" applyProtection="1">
      <alignment horizontal="center" vertical="center" wrapText="1"/>
      <protection locked="0"/>
    </xf>
    <xf numFmtId="3" fontId="39" fillId="0" borderId="5" xfId="26" applyNumberFormat="1" applyBorder="1" applyAlignment="1" applyProtection="1">
      <alignment horizontal="center" vertical="center" wrapText="1"/>
      <protection locked="0"/>
    </xf>
    <xf numFmtId="3" fontId="39" fillId="0" borderId="28" xfId="26" applyNumberFormat="1" applyBorder="1" applyAlignment="1" applyProtection="1">
      <alignment horizontal="center" vertical="center" wrapText="1"/>
      <protection locked="0"/>
    </xf>
    <xf numFmtId="0" fontId="41" fillId="11" borderId="0" xfId="35" applyFont="1" applyFill="1" applyAlignment="1">
      <alignment horizontal="center" vertical="center"/>
    </xf>
    <xf numFmtId="0" fontId="39" fillId="0" borderId="17" xfId="26" applyBorder="1" applyAlignment="1" applyProtection="1">
      <alignment horizontal="center" vertical="center"/>
      <protection locked="0"/>
    </xf>
    <xf numFmtId="0" fontId="39" fillId="0" borderId="10" xfId="26" applyBorder="1" applyAlignment="1" applyProtection="1">
      <alignment horizontal="center" vertical="center"/>
      <protection locked="0"/>
    </xf>
    <xf numFmtId="0" fontId="39" fillId="0" borderId="22" xfId="26" applyBorder="1" applyAlignment="1" applyProtection="1">
      <alignment horizontal="center" vertical="center"/>
      <protection locked="0"/>
    </xf>
    <xf numFmtId="0" fontId="39" fillId="0" borderId="4" xfId="26" applyBorder="1" applyAlignment="1" applyProtection="1">
      <alignment horizontal="center" vertical="center"/>
      <protection locked="0"/>
    </xf>
    <xf numFmtId="0" fontId="39" fillId="0" borderId="39" xfId="26" applyBorder="1" applyAlignment="1" applyProtection="1">
      <alignment horizontal="center" vertical="center"/>
      <protection locked="0"/>
    </xf>
    <xf numFmtId="0" fontId="39" fillId="0" borderId="40" xfId="26" applyBorder="1" applyAlignment="1" applyProtection="1">
      <alignment horizontal="center" vertical="center"/>
      <protection locked="0"/>
    </xf>
    <xf numFmtId="0" fontId="39" fillId="0" borderId="45" xfId="26" applyBorder="1" applyAlignment="1" applyProtection="1">
      <alignment horizontal="center" vertical="center"/>
      <protection locked="0"/>
    </xf>
    <xf numFmtId="0" fontId="53" fillId="11" borderId="0" xfId="35" applyFont="1" applyFill="1" applyAlignment="1">
      <alignment horizontal="justify" wrapText="1"/>
    </xf>
    <xf numFmtId="0" fontId="53" fillId="11" borderId="0" xfId="35" applyFont="1" applyFill="1" applyAlignment="1">
      <alignment horizontal="justify" vertical="center" wrapText="1"/>
    </xf>
    <xf numFmtId="0" fontId="53" fillId="11" borderId="0" xfId="35" applyFont="1" applyFill="1" applyAlignment="1">
      <alignment horizontal="justify" vertical="top" wrapText="1"/>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5" xfId="26" applyFill="1" applyBorder="1" applyAlignment="1">
      <alignment horizontal="left" vertical="center" indent="1"/>
    </xf>
    <xf numFmtId="3" fontId="41" fillId="11" borderId="7" xfId="26" applyNumberFormat="1" applyFont="1" applyFill="1" applyBorder="1" applyAlignment="1">
      <alignment horizontal="center" vertical="center"/>
    </xf>
    <xf numFmtId="3" fontId="41" fillId="11" borderId="8" xfId="26" applyNumberFormat="1" applyFont="1" applyFill="1" applyBorder="1" applyAlignment="1">
      <alignment horizontal="center" vertical="center"/>
    </xf>
    <xf numFmtId="3" fontId="41" fillId="11" borderId="16" xfId="26" applyNumberFormat="1" applyFont="1" applyFill="1" applyBorder="1" applyAlignment="1">
      <alignment horizontal="center" vertical="center"/>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28" xfId="26" applyFill="1" applyBorder="1" applyAlignment="1">
      <alignment horizontal="left" vertical="center" indent="1"/>
    </xf>
    <xf numFmtId="0" fontId="41" fillId="11" borderId="71" xfId="26" applyFont="1" applyFill="1" applyBorder="1" applyAlignment="1">
      <alignment horizontal="center" vertical="center"/>
    </xf>
    <xf numFmtId="0" fontId="41" fillId="11" borderId="72" xfId="26" applyFont="1" applyFill="1" applyBorder="1" applyAlignment="1">
      <alignment horizontal="center" vertical="center"/>
    </xf>
    <xf numFmtId="0" fontId="41" fillId="11" borderId="74" xfId="26" applyFont="1" applyFill="1" applyBorder="1" applyAlignment="1">
      <alignment horizontal="center" vertical="center"/>
    </xf>
    <xf numFmtId="0" fontId="41" fillId="11" borderId="67" xfId="26" applyFont="1" applyFill="1" applyBorder="1" applyAlignment="1">
      <alignment horizontal="center" vertical="center"/>
    </xf>
    <xf numFmtId="0" fontId="41" fillId="11" borderId="0" xfId="26" applyFont="1" applyFill="1" applyAlignment="1">
      <alignment horizontal="center" vertical="center"/>
    </xf>
    <xf numFmtId="0" fontId="41" fillId="11" borderId="38" xfId="26" applyFont="1" applyFill="1" applyBorder="1" applyAlignment="1">
      <alignment horizontal="center" vertical="center"/>
    </xf>
    <xf numFmtId="0" fontId="41" fillId="11" borderId="17" xfId="26" applyFont="1" applyFill="1" applyBorder="1" applyAlignment="1">
      <alignment horizontal="center" vertical="center"/>
    </xf>
    <xf numFmtId="0" fontId="41" fillId="11" borderId="10" xfId="26" applyFont="1" applyFill="1" applyBorder="1" applyAlignment="1">
      <alignment horizontal="center" vertical="center"/>
    </xf>
    <xf numFmtId="0" fontId="41" fillId="11" borderId="22" xfId="26" applyFont="1" applyFill="1" applyBorder="1" applyAlignment="1">
      <alignment horizontal="center" vertical="center"/>
    </xf>
    <xf numFmtId="0" fontId="41" fillId="11" borderId="77" xfId="26" applyFont="1" applyFill="1" applyBorder="1" applyAlignment="1">
      <alignment horizontal="center" vertical="center"/>
    </xf>
    <xf numFmtId="0" fontId="41" fillId="11" borderId="26" xfId="26" applyFont="1" applyFill="1" applyBorder="1" applyAlignment="1">
      <alignment horizontal="center" vertical="center"/>
    </xf>
    <xf numFmtId="0" fontId="41" fillId="11" borderId="78" xfId="26" applyFont="1" applyFill="1" applyBorder="1" applyAlignment="1">
      <alignment horizontal="center" vertical="center"/>
    </xf>
    <xf numFmtId="0" fontId="41" fillId="11" borderId="46" xfId="26" applyFont="1" applyFill="1" applyBorder="1" applyAlignment="1">
      <alignment horizontal="center" vertical="center"/>
    </xf>
    <xf numFmtId="0" fontId="41" fillId="11" borderId="47" xfId="26" applyFont="1" applyFill="1" applyBorder="1" applyAlignment="1">
      <alignment horizontal="center" vertical="center"/>
    </xf>
    <xf numFmtId="0" fontId="41" fillId="11" borderId="52" xfId="26" applyFont="1" applyFill="1" applyBorder="1" applyAlignment="1">
      <alignment horizontal="center" vertical="center"/>
    </xf>
    <xf numFmtId="0" fontId="39" fillId="11" borderId="4" xfId="26" applyFill="1" applyBorder="1" applyAlignment="1">
      <alignment horizontal="center" vertical="center"/>
    </xf>
    <xf numFmtId="0" fontId="39" fillId="11" borderId="5" xfId="26" applyFill="1" applyBorder="1" applyAlignment="1">
      <alignment horizontal="center" vertical="center"/>
    </xf>
    <xf numFmtId="0" fontId="39" fillId="11" borderId="28" xfId="26" applyFill="1" applyBorder="1" applyAlignment="1">
      <alignment horizontal="center" vertical="center"/>
    </xf>
    <xf numFmtId="0" fontId="39" fillId="11" borderId="39" xfId="26" applyFill="1" applyBorder="1" applyAlignment="1">
      <alignment horizontal="center" vertical="center"/>
    </xf>
    <xf numFmtId="0" fontId="39" fillId="11" borderId="40" xfId="26" applyFill="1" applyBorder="1" applyAlignment="1">
      <alignment horizontal="center" vertical="center"/>
    </xf>
    <xf numFmtId="0" fontId="39" fillId="11" borderId="45" xfId="26" applyFill="1" applyBorder="1" applyAlignment="1">
      <alignment horizontal="center" vertical="center"/>
    </xf>
    <xf numFmtId="0" fontId="39" fillId="11" borderId="17" xfId="26" applyFill="1" applyBorder="1" applyAlignment="1">
      <alignment horizontal="center" vertical="center"/>
    </xf>
    <xf numFmtId="0" fontId="39" fillId="11" borderId="10" xfId="26" applyFill="1" applyBorder="1" applyAlignment="1">
      <alignment horizontal="center" vertical="center"/>
    </xf>
    <xf numFmtId="0" fontId="39" fillId="11" borderId="22" xfId="26" applyFill="1" applyBorder="1" applyAlignment="1">
      <alignment horizontal="center" vertical="center"/>
    </xf>
    <xf numFmtId="0" fontId="39" fillId="0" borderId="17" xfId="26" applyBorder="1" applyAlignment="1" applyProtection="1">
      <alignment horizontal="center" vertical="center" wrapText="1"/>
      <protection locked="0"/>
    </xf>
    <xf numFmtId="0" fontId="39" fillId="0" borderId="10" xfId="26" applyBorder="1" applyAlignment="1" applyProtection="1">
      <alignment horizontal="center" vertical="center" wrapText="1"/>
      <protection locked="0"/>
    </xf>
    <xf numFmtId="0" fontId="39" fillId="0" borderId="22" xfId="26" applyBorder="1" applyAlignment="1" applyProtection="1">
      <alignment horizontal="center" vertical="center" wrapText="1"/>
      <protection locked="0"/>
    </xf>
    <xf numFmtId="0" fontId="41" fillId="11" borderId="77" xfId="26" applyFont="1" applyFill="1" applyBorder="1" applyAlignment="1">
      <alignment horizontal="center" vertical="center" wrapText="1"/>
    </xf>
    <xf numFmtId="0" fontId="41" fillId="11" borderId="26" xfId="26" applyFont="1" applyFill="1" applyBorder="1" applyAlignment="1">
      <alignment horizontal="center" vertical="center" wrapText="1"/>
    </xf>
    <xf numFmtId="0" fontId="41" fillId="11" borderId="78" xfId="26" applyFont="1" applyFill="1" applyBorder="1" applyAlignment="1">
      <alignment horizontal="center" vertical="center" wrapText="1"/>
    </xf>
    <xf numFmtId="0" fontId="39" fillId="11" borderId="0" xfId="26" applyFill="1" applyAlignment="1">
      <alignment wrapText="1"/>
    </xf>
    <xf numFmtId="14" fontId="39" fillId="0" borderId="10" xfId="13" applyNumberFormat="1" applyFont="1" applyBorder="1" applyAlignment="1" applyProtection="1">
      <alignment horizontal="center" vertical="center"/>
      <protection locked="0"/>
    </xf>
    <xf numFmtId="14" fontId="39" fillId="0" borderId="27" xfId="13" applyNumberFormat="1" applyFont="1" applyBorder="1" applyAlignment="1" applyProtection="1">
      <alignment horizontal="center" vertical="center"/>
      <protection locked="0"/>
    </xf>
    <xf numFmtId="0" fontId="41" fillId="11" borderId="121" xfId="26" applyFont="1" applyFill="1" applyBorder="1" applyAlignment="1">
      <alignment horizontal="center" vertical="top"/>
    </xf>
    <xf numFmtId="0" fontId="41" fillId="11" borderId="122" xfId="26" applyFont="1" applyFill="1" applyBorder="1" applyAlignment="1">
      <alignment horizontal="center" vertical="top"/>
    </xf>
    <xf numFmtId="0" fontId="41" fillId="11" borderId="123" xfId="26" applyFont="1" applyFill="1" applyBorder="1" applyAlignment="1">
      <alignment horizontal="center" vertical="top"/>
    </xf>
    <xf numFmtId="0" fontId="68" fillId="11" borderId="0" xfId="11" applyFont="1" applyFill="1" applyAlignment="1">
      <alignment horizontal="left" vertical="top"/>
    </xf>
    <xf numFmtId="3" fontId="39" fillId="0" borderId="36" xfId="26" applyNumberFormat="1" applyBorder="1" applyAlignment="1" applyProtection="1">
      <alignment horizontal="center" vertical="center"/>
      <protection locked="0"/>
    </xf>
    <xf numFmtId="3" fontId="41" fillId="11" borderId="5" xfId="26" applyNumberFormat="1" applyFont="1" applyFill="1" applyBorder="1" applyAlignment="1">
      <alignment horizontal="center" vertical="center"/>
    </xf>
    <xf numFmtId="3" fontId="41" fillId="11" borderId="28" xfId="26" applyNumberFormat="1" applyFont="1" applyFill="1" applyBorder="1" applyAlignment="1">
      <alignment horizontal="center" vertical="center"/>
    </xf>
    <xf numFmtId="3" fontId="39" fillId="0" borderId="81" xfId="26" applyNumberFormat="1" applyBorder="1" applyAlignment="1" applyProtection="1">
      <alignment horizontal="center" vertical="center"/>
      <protection locked="0"/>
    </xf>
    <xf numFmtId="3" fontId="41" fillId="11" borderId="26" xfId="26" applyNumberFormat="1" applyFont="1" applyFill="1" applyBorder="1" applyAlignment="1">
      <alignment horizontal="center" vertical="center"/>
    </xf>
    <xf numFmtId="3" fontId="41" fillId="11" borderId="78" xfId="26" applyNumberFormat="1" applyFont="1" applyFill="1" applyBorder="1" applyAlignment="1">
      <alignment horizontal="center" vertical="center"/>
    </xf>
    <xf numFmtId="3" fontId="41" fillId="11" borderId="50" xfId="26" applyNumberFormat="1" applyFont="1" applyFill="1" applyBorder="1" applyAlignment="1">
      <alignment horizontal="center" vertical="center"/>
    </xf>
    <xf numFmtId="0" fontId="41" fillId="11" borderId="126" xfId="26" applyFont="1" applyFill="1" applyBorder="1" applyAlignment="1">
      <alignment horizontal="center" vertical="center" wrapText="1"/>
    </xf>
    <xf numFmtId="0" fontId="41" fillId="11" borderId="193" xfId="26" applyFont="1" applyFill="1" applyBorder="1" applyAlignment="1">
      <alignment horizontal="center" vertical="center" wrapText="1"/>
    </xf>
    <xf numFmtId="3" fontId="39" fillId="0" borderId="20" xfId="26" applyNumberFormat="1" applyBorder="1" applyAlignment="1" applyProtection="1">
      <alignment horizontal="center" vertical="center"/>
      <protection locked="0"/>
    </xf>
    <xf numFmtId="3" fontId="41" fillId="11" borderId="10" xfId="26" applyNumberFormat="1" applyFont="1" applyFill="1" applyBorder="1" applyAlignment="1">
      <alignment horizontal="center" vertical="center"/>
    </xf>
    <xf numFmtId="3" fontId="41" fillId="11" borderId="22" xfId="26" applyNumberFormat="1" applyFont="1" applyFill="1" applyBorder="1" applyAlignment="1">
      <alignment horizontal="center" vertical="center"/>
    </xf>
    <xf numFmtId="0" fontId="48" fillId="11" borderId="96" xfId="26" applyFont="1" applyFill="1" applyBorder="1" applyAlignment="1">
      <alignment horizontal="center" vertical="center" wrapText="1"/>
    </xf>
    <xf numFmtId="0" fontId="48" fillId="11" borderId="94" xfId="26" applyFont="1" applyFill="1" applyBorder="1" applyAlignment="1">
      <alignment horizontal="center" vertical="center" wrapText="1"/>
    </xf>
    <xf numFmtId="0" fontId="48" fillId="11" borderId="97" xfId="26" applyFont="1" applyFill="1" applyBorder="1" applyAlignment="1">
      <alignment horizontal="center" vertical="center" wrapText="1"/>
    </xf>
    <xf numFmtId="0" fontId="48" fillId="11" borderId="140" xfId="26" applyFont="1" applyFill="1" applyBorder="1" applyAlignment="1">
      <alignment horizontal="center" vertical="center" wrapText="1"/>
    </xf>
    <xf numFmtId="0" fontId="52" fillId="0" borderId="27" xfId="14" applyFont="1" applyBorder="1" applyAlignment="1" applyProtection="1">
      <alignment horizontal="center" vertical="center"/>
      <protection locked="0"/>
    </xf>
    <xf numFmtId="3" fontId="52" fillId="0" borderId="27" xfId="14" applyNumberFormat="1" applyFont="1" applyBorder="1" applyAlignment="1" applyProtection="1">
      <alignment horizontal="center" vertical="center"/>
      <protection locked="0"/>
    </xf>
    <xf numFmtId="3" fontId="39" fillId="0" borderId="173" xfId="26" applyNumberFormat="1" applyBorder="1" applyAlignment="1" applyProtection="1">
      <alignment horizontal="center" vertical="center"/>
      <protection locked="0"/>
    </xf>
    <xf numFmtId="3" fontId="39" fillId="0" borderId="172" xfId="26" applyNumberFormat="1" applyBorder="1" applyAlignment="1" applyProtection="1">
      <alignment horizontal="center" vertical="center"/>
      <protection locked="0"/>
    </xf>
    <xf numFmtId="0" fontId="39" fillId="11" borderId="4" xfId="26" applyFill="1" applyBorder="1" applyAlignment="1">
      <alignment vertical="center"/>
    </xf>
    <xf numFmtId="0" fontId="39" fillId="11" borderId="5"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3" fontId="39" fillId="0" borderId="152" xfId="26" applyNumberFormat="1" applyBorder="1" applyAlignment="1" applyProtection="1">
      <alignment horizontal="center" vertical="center"/>
      <protection locked="0"/>
    </xf>
    <xf numFmtId="3" fontId="39" fillId="0" borderId="1" xfId="26" applyNumberFormat="1" applyBorder="1" applyAlignment="1" applyProtection="1">
      <alignment horizontal="center" vertical="center"/>
      <protection locked="0"/>
    </xf>
    <xf numFmtId="3" fontId="39" fillId="0" borderId="221" xfId="26" applyNumberFormat="1" applyBorder="1" applyAlignment="1" applyProtection="1">
      <alignment horizontal="center" vertical="center"/>
      <protection locked="0"/>
    </xf>
    <xf numFmtId="0" fontId="39" fillId="11" borderId="6" xfId="26" applyFill="1" applyBorder="1" applyAlignment="1">
      <alignment vertical="center" wrapText="1"/>
    </xf>
    <xf numFmtId="0" fontId="39" fillId="11" borderId="27" xfId="26" applyFill="1" applyBorder="1" applyAlignment="1">
      <alignment vertical="center" wrapText="1"/>
    </xf>
    <xf numFmtId="3" fontId="41" fillId="11" borderId="37" xfId="26" applyNumberFormat="1" applyFont="1" applyFill="1" applyBorder="1" applyAlignment="1">
      <alignment horizontal="center" vertical="center"/>
    </xf>
    <xf numFmtId="0" fontId="48" fillId="11" borderId="119" xfId="26" applyFont="1" applyFill="1" applyBorder="1" applyAlignment="1">
      <alignment horizontal="center" vertical="center" wrapText="1"/>
    </xf>
    <xf numFmtId="3" fontId="41" fillId="11" borderId="21" xfId="26" applyNumberFormat="1" applyFont="1" applyFill="1" applyBorder="1" applyAlignment="1">
      <alignment horizontal="center" vertical="center"/>
    </xf>
    <xf numFmtId="3" fontId="39" fillId="0" borderId="222" xfId="26" applyNumberFormat="1" applyBorder="1" applyAlignment="1" applyProtection="1">
      <alignment horizontal="center" vertical="center"/>
      <protection locked="0"/>
    </xf>
    <xf numFmtId="3" fontId="41" fillId="11" borderId="223" xfId="26" applyNumberFormat="1" applyFont="1" applyFill="1" applyBorder="1" applyAlignment="1">
      <alignment horizontal="center" vertical="center"/>
    </xf>
    <xf numFmtId="3" fontId="41" fillId="11" borderId="80" xfId="26" applyNumberFormat="1" applyFont="1" applyFill="1" applyBorder="1" applyAlignment="1">
      <alignment horizontal="center" vertical="center"/>
    </xf>
    <xf numFmtId="3" fontId="41" fillId="11" borderId="164" xfId="26" applyNumberFormat="1" applyFont="1" applyFill="1" applyBorder="1" applyAlignment="1">
      <alignment horizontal="center" vertical="center"/>
    </xf>
    <xf numFmtId="3" fontId="41" fillId="11" borderId="168" xfId="26" applyNumberFormat="1" applyFont="1" applyFill="1" applyBorder="1" applyAlignment="1">
      <alignment horizontal="center" vertical="center"/>
    </xf>
    <xf numFmtId="3" fontId="41" fillId="11" borderId="29" xfId="26" applyNumberFormat="1" applyFont="1" applyFill="1" applyBorder="1" applyAlignment="1">
      <alignment horizontal="center" vertical="center"/>
    </xf>
    <xf numFmtId="3" fontId="41" fillId="11" borderId="172" xfId="26" applyNumberFormat="1" applyFont="1" applyFill="1" applyBorder="1" applyAlignment="1">
      <alignment horizontal="center" vertical="center"/>
    </xf>
    <xf numFmtId="3" fontId="41" fillId="11" borderId="174" xfId="26" applyNumberFormat="1" applyFont="1" applyFill="1" applyBorder="1" applyAlignment="1">
      <alignment horizontal="center" vertical="center"/>
    </xf>
    <xf numFmtId="3" fontId="41" fillId="11" borderId="34" xfId="26" applyNumberFormat="1" applyFont="1" applyFill="1" applyBorder="1" applyAlignment="1">
      <alignment horizontal="center" vertical="center"/>
    </xf>
    <xf numFmtId="3" fontId="41" fillId="11" borderId="1" xfId="26" applyNumberFormat="1" applyFont="1" applyFill="1" applyBorder="1" applyAlignment="1">
      <alignment horizontal="center" vertical="center"/>
    </xf>
    <xf numFmtId="3" fontId="41" fillId="11" borderId="153" xfId="26" applyNumberFormat="1" applyFont="1" applyFill="1" applyBorder="1" applyAlignment="1">
      <alignment horizontal="center" vertical="center"/>
    </xf>
    <xf numFmtId="0" fontId="41" fillId="11" borderId="75" xfId="26" applyFont="1" applyFill="1" applyBorder="1" applyAlignment="1">
      <alignment horizontal="center" vertical="center"/>
    </xf>
    <xf numFmtId="0" fontId="41" fillId="11" borderId="14" xfId="26" applyFont="1" applyFill="1" applyBorder="1" applyAlignment="1">
      <alignment horizontal="center" vertical="center"/>
    </xf>
    <xf numFmtId="0" fontId="41" fillId="11" borderId="120" xfId="26" applyFont="1" applyFill="1" applyBorder="1" applyAlignment="1">
      <alignment horizontal="center" vertical="center" wrapText="1"/>
    </xf>
    <xf numFmtId="0" fontId="41" fillId="11" borderId="15" xfId="26" applyFont="1" applyFill="1" applyBorder="1" applyAlignment="1">
      <alignment horizontal="center" vertical="center" wrapText="1"/>
    </xf>
    <xf numFmtId="0" fontId="68" fillId="11" borderId="122" xfId="13" applyFont="1" applyFill="1" applyBorder="1" applyAlignment="1">
      <alignment horizontal="center" vertical="center" wrapText="1"/>
    </xf>
    <xf numFmtId="0" fontId="68" fillId="11" borderId="124" xfId="13" applyFont="1" applyFill="1" applyBorder="1" applyAlignment="1">
      <alignment horizontal="center" vertical="center" wrapText="1"/>
    </xf>
    <xf numFmtId="0" fontId="68" fillId="11" borderId="125" xfId="13" applyFont="1" applyFill="1" applyBorder="1" applyAlignment="1">
      <alignment horizontal="center" vertical="center" wrapText="1"/>
    </xf>
    <xf numFmtId="0" fontId="68" fillId="11" borderId="123" xfId="13" applyFont="1" applyFill="1" applyBorder="1" applyAlignment="1">
      <alignment horizontal="center" vertical="center" wrapText="1"/>
    </xf>
    <xf numFmtId="3" fontId="39" fillId="0" borderId="21" xfId="13" applyNumberFormat="1" applyFont="1" applyBorder="1" applyAlignment="1" applyProtection="1">
      <alignment horizontal="center" vertical="center"/>
      <protection locked="0"/>
    </xf>
    <xf numFmtId="0" fontId="68" fillId="11" borderId="121" xfId="13" applyFont="1" applyFill="1" applyBorder="1" applyAlignment="1">
      <alignment horizontal="center" vertical="center" wrapText="1"/>
    </xf>
    <xf numFmtId="0" fontId="68" fillId="11" borderId="126" xfId="13" applyFont="1" applyFill="1" applyBorder="1" applyAlignment="1">
      <alignment horizontal="center" vertical="center" wrapText="1"/>
    </xf>
    <xf numFmtId="0" fontId="68" fillId="11" borderId="193" xfId="13" applyFont="1" applyFill="1" applyBorder="1" applyAlignment="1">
      <alignment horizontal="center" vertical="center" wrapText="1"/>
    </xf>
    <xf numFmtId="3" fontId="39" fillId="0" borderId="37" xfId="13" applyNumberFormat="1" applyFont="1" applyBorder="1" applyAlignment="1" applyProtection="1">
      <alignment horizontal="center" vertical="center"/>
      <protection locked="0"/>
    </xf>
    <xf numFmtId="3" fontId="39" fillId="0" borderId="107" xfId="13" applyNumberFormat="1" applyFont="1" applyBorder="1" applyAlignment="1" applyProtection="1">
      <alignment horizontal="center" vertical="center"/>
      <protection locked="0"/>
    </xf>
    <xf numFmtId="3" fontId="39" fillId="0" borderId="84" xfId="13" applyNumberFormat="1" applyFont="1" applyBorder="1" applyAlignment="1" applyProtection="1">
      <alignment horizontal="center" vertical="center"/>
      <protection locked="0"/>
    </xf>
    <xf numFmtId="3" fontId="39" fillId="0" borderId="104" xfId="13" applyNumberFormat="1" applyFont="1" applyBorder="1" applyAlignment="1" applyProtection="1">
      <alignment horizontal="center" vertical="center"/>
      <protection locked="0"/>
    </xf>
    <xf numFmtId="3" fontId="39" fillId="0" borderId="105" xfId="13" applyNumberFormat="1" applyFont="1" applyBorder="1" applyAlignment="1" applyProtection="1">
      <alignment horizontal="center" vertical="center"/>
      <protection locked="0"/>
    </xf>
    <xf numFmtId="3" fontId="39" fillId="0" borderId="103" xfId="13" applyNumberFormat="1" applyFont="1" applyBorder="1" applyAlignment="1" applyProtection="1">
      <alignment horizontal="center" vertical="center"/>
      <protection locked="0"/>
    </xf>
    <xf numFmtId="0" fontId="39" fillId="11" borderId="0" xfId="22" applyFill="1" applyAlignment="1">
      <alignment horizontal="justify" wrapText="1"/>
    </xf>
    <xf numFmtId="0" fontId="45" fillId="11" borderId="0" xfId="22" applyFont="1" applyFill="1" applyAlignment="1">
      <alignment horizontal="left" wrapText="1"/>
    </xf>
    <xf numFmtId="0" fontId="41" fillId="11" borderId="121" xfId="13" applyFont="1" applyFill="1" applyBorder="1" applyAlignment="1">
      <alignment horizontal="center" vertical="center" wrapText="1"/>
    </xf>
    <xf numFmtId="0" fontId="41" fillId="11" borderId="122" xfId="13" applyFont="1" applyFill="1" applyBorder="1" applyAlignment="1">
      <alignment horizontal="center" vertical="center" wrapText="1"/>
    </xf>
    <xf numFmtId="0" fontId="41" fillId="11" borderId="126" xfId="13" applyFont="1" applyFill="1" applyBorder="1" applyAlignment="1">
      <alignment horizontal="center" vertical="center" wrapText="1"/>
    </xf>
    <xf numFmtId="0" fontId="41" fillId="11" borderId="193" xfId="13" applyFont="1" applyFill="1" applyBorder="1" applyAlignment="1">
      <alignment horizontal="center" vertical="center" wrapText="1"/>
    </xf>
    <xf numFmtId="0" fontId="41" fillId="11" borderId="124" xfId="13" applyFont="1" applyFill="1" applyBorder="1" applyAlignment="1">
      <alignment horizontal="center" vertical="center" wrapText="1"/>
    </xf>
    <xf numFmtId="0" fontId="41" fillId="11" borderId="125" xfId="13" applyFont="1" applyFill="1" applyBorder="1" applyAlignment="1">
      <alignment horizontal="center" vertical="center" wrapText="1"/>
    </xf>
    <xf numFmtId="0" fontId="41" fillId="11" borderId="123" xfId="13" applyFont="1" applyFill="1" applyBorder="1" applyAlignment="1">
      <alignment horizontal="center" vertical="center" wrapText="1"/>
    </xf>
    <xf numFmtId="0" fontId="52" fillId="5" borderId="141" xfId="13" quotePrefix="1" applyFont="1" applyFill="1" applyBorder="1" applyAlignment="1">
      <alignment horizontal="center" vertical="center"/>
    </xf>
    <xf numFmtId="0" fontId="52" fillId="5" borderId="150" xfId="13" quotePrefix="1" applyFont="1" applyFill="1" applyBorder="1" applyAlignment="1">
      <alignment horizontal="center" vertical="center"/>
    </xf>
    <xf numFmtId="0" fontId="52" fillId="5" borderId="142" xfId="13" quotePrefix="1" applyFont="1" applyFill="1" applyBorder="1" applyAlignment="1">
      <alignment horizontal="center" vertical="center"/>
    </xf>
    <xf numFmtId="0" fontId="45" fillId="11" borderId="0" xfId="22" applyFont="1" applyFill="1" applyAlignment="1">
      <alignment horizontal="justify" wrapText="1"/>
    </xf>
    <xf numFmtId="0" fontId="153" fillId="0" borderId="91" xfId="13" applyFont="1" applyBorder="1" applyAlignment="1" applyProtection="1">
      <alignment horizontal="center" vertical="center"/>
      <protection locked="0"/>
    </xf>
    <xf numFmtId="0" fontId="153" fillId="0" borderId="57" xfId="13" applyFont="1" applyBorder="1" applyAlignment="1" applyProtection="1">
      <alignment horizontal="center" vertical="center"/>
      <protection locked="0"/>
    </xf>
    <xf numFmtId="0" fontId="153" fillId="0" borderId="89" xfId="13" applyFont="1" applyBorder="1" applyAlignment="1" applyProtection="1">
      <alignment horizontal="center" vertical="center"/>
      <protection locked="0"/>
    </xf>
    <xf numFmtId="0" fontId="153" fillId="0" borderId="62" xfId="13" applyFont="1" applyBorder="1" applyAlignment="1" applyProtection="1">
      <alignment horizontal="center" vertical="center"/>
      <protection locked="0"/>
    </xf>
    <xf numFmtId="0" fontId="153" fillId="0" borderId="56" xfId="13" applyFont="1" applyBorder="1" applyAlignment="1" applyProtection="1">
      <alignment horizontal="center" vertical="center"/>
      <protection locked="0"/>
    </xf>
    <xf numFmtId="0" fontId="153" fillId="0" borderId="93" xfId="13" applyFont="1" applyBorder="1" applyAlignment="1" applyProtection="1">
      <alignment horizontal="center" vertical="center"/>
      <protection locked="0"/>
    </xf>
    <xf numFmtId="0" fontId="153" fillId="0" borderId="58" xfId="13" applyFont="1" applyBorder="1" applyAlignment="1" applyProtection="1">
      <alignment horizontal="center" vertical="center"/>
      <protection locked="0"/>
    </xf>
    <xf numFmtId="0" fontId="153" fillId="0" borderId="66" xfId="13" applyFont="1" applyBorder="1" applyAlignment="1" applyProtection="1">
      <alignment horizontal="center" vertical="center"/>
      <protection locked="0"/>
    </xf>
    <xf numFmtId="0" fontId="153" fillId="0" borderId="64" xfId="13" applyFont="1" applyBorder="1" applyAlignment="1" applyProtection="1">
      <alignment horizontal="center" vertical="center"/>
      <protection locked="0"/>
    </xf>
    <xf numFmtId="0" fontId="153" fillId="0" borderId="55" xfId="13" applyFont="1" applyBorder="1" applyAlignment="1" applyProtection="1">
      <alignment horizontal="center" vertical="center"/>
      <protection locked="0"/>
    </xf>
    <xf numFmtId="0" fontId="153" fillId="0" borderId="219" xfId="13" applyFont="1" applyBorder="1" applyAlignment="1" applyProtection="1">
      <alignment horizontal="center" vertical="center"/>
      <protection locked="0"/>
    </xf>
    <xf numFmtId="0" fontId="153" fillId="0" borderId="150" xfId="13" applyFont="1" applyBorder="1" applyAlignment="1" applyProtection="1">
      <alignment horizontal="center" vertical="center"/>
      <protection locked="0"/>
    </xf>
    <xf numFmtId="0" fontId="153" fillId="0" borderId="157" xfId="13" applyFont="1" applyBorder="1" applyAlignment="1" applyProtection="1">
      <alignment horizontal="center" vertical="center"/>
      <protection locked="0"/>
    </xf>
    <xf numFmtId="0" fontId="153" fillId="0" borderId="156" xfId="13" applyFont="1" applyBorder="1" applyAlignment="1" applyProtection="1">
      <alignment horizontal="center" vertical="center"/>
      <protection locked="0"/>
    </xf>
    <xf numFmtId="0" fontId="153" fillId="0" borderId="142" xfId="13" applyFont="1" applyBorder="1" applyAlignment="1" applyProtection="1">
      <alignment horizontal="center" vertical="center"/>
      <protection locked="0"/>
    </xf>
    <xf numFmtId="0" fontId="160" fillId="11" borderId="274" xfId="13" applyFont="1" applyFill="1" applyBorder="1" applyAlignment="1">
      <alignment horizontal="left" vertical="top"/>
    </xf>
    <xf numFmtId="0" fontId="73" fillId="11" borderId="295" xfId="13" applyFont="1" applyFill="1" applyBorder="1" applyAlignment="1">
      <alignment horizontal="center" vertical="center"/>
    </xf>
    <xf numFmtId="0" fontId="73" fillId="11" borderId="293" xfId="13" applyFont="1" applyFill="1" applyBorder="1" applyAlignment="1">
      <alignment horizontal="center" vertical="center"/>
    </xf>
    <xf numFmtId="0" fontId="73" fillId="11" borderId="58" xfId="13" applyFont="1" applyFill="1" applyBorder="1" applyAlignment="1">
      <alignment horizontal="justify" vertical="center" wrapText="1"/>
    </xf>
    <xf numFmtId="0" fontId="73" fillId="0" borderId="64" xfId="13" applyFont="1" applyBorder="1" applyAlignment="1" applyProtection="1">
      <alignment horizontal="center" vertical="center"/>
      <protection locked="0"/>
    </xf>
    <xf numFmtId="0" fontId="73" fillId="0" borderId="66" xfId="13" applyFont="1" applyBorder="1" applyAlignment="1" applyProtection="1">
      <alignment horizontal="center" vertical="center"/>
      <protection locked="0"/>
    </xf>
    <xf numFmtId="0" fontId="73" fillId="0" borderId="2" xfId="13" applyFont="1" applyBorder="1" applyAlignment="1" applyProtection="1">
      <alignment horizontal="center" vertical="center"/>
      <protection locked="0"/>
    </xf>
    <xf numFmtId="0" fontId="73" fillId="0" borderId="58" xfId="13" applyFont="1" applyBorder="1" applyAlignment="1" applyProtection="1">
      <alignment horizontal="center" vertical="center"/>
      <protection locked="0"/>
    </xf>
    <xf numFmtId="0" fontId="73" fillId="0" borderId="68" xfId="13" applyFont="1" applyBorder="1" applyAlignment="1" applyProtection="1">
      <alignment horizontal="center" vertical="center"/>
      <protection locked="0"/>
    </xf>
    <xf numFmtId="0" fontId="73" fillId="0" borderId="280" xfId="13" applyFont="1" applyBorder="1" applyAlignment="1" applyProtection="1">
      <alignment horizontal="center" vertical="center"/>
      <protection locked="0"/>
    </xf>
    <xf numFmtId="0" fontId="52" fillId="11" borderId="27" xfId="164" applyFont="1" applyFill="1" applyBorder="1" applyAlignment="1">
      <alignment horizontal="center"/>
    </xf>
    <xf numFmtId="0" fontId="73" fillId="0" borderId="55" xfId="13" applyFont="1" applyBorder="1" applyAlignment="1" applyProtection="1">
      <alignment horizontal="center" vertical="center"/>
      <protection locked="0"/>
    </xf>
    <xf numFmtId="0" fontId="73" fillId="11" borderId="296" xfId="13" applyFont="1" applyFill="1" applyBorder="1" applyAlignment="1">
      <alignment horizontal="center" vertical="center"/>
    </xf>
    <xf numFmtId="0" fontId="73" fillId="11" borderId="297" xfId="13" applyFont="1" applyFill="1" applyBorder="1" applyAlignment="1">
      <alignment horizontal="center" vertical="center"/>
    </xf>
    <xf numFmtId="0" fontId="73" fillId="0" borderId="38" xfId="13" applyFont="1" applyBorder="1" applyAlignment="1" applyProtection="1">
      <alignment horizontal="center" vertical="center"/>
      <protection locked="0"/>
    </xf>
    <xf numFmtId="0" fontId="73" fillId="0" borderId="67" xfId="13" applyFont="1" applyBorder="1" applyAlignment="1" applyProtection="1">
      <alignment horizontal="center" vertical="center"/>
      <protection locked="0"/>
    </xf>
    <xf numFmtId="0" fontId="73" fillId="0" borderId="69" xfId="13" applyFont="1" applyBorder="1" applyAlignment="1" applyProtection="1">
      <alignment horizontal="center" vertical="center"/>
      <protection locked="0"/>
    </xf>
    <xf numFmtId="0" fontId="68" fillId="11" borderId="327" xfId="13" applyFont="1" applyFill="1" applyBorder="1" applyAlignment="1">
      <alignment horizontal="center" vertical="center"/>
    </xf>
    <xf numFmtId="0" fontId="68" fillId="11" borderId="328" xfId="13" applyFont="1" applyFill="1" applyBorder="1" applyAlignment="1">
      <alignment horizontal="center" vertical="center"/>
    </xf>
    <xf numFmtId="0" fontId="73" fillId="5" borderId="87" xfId="13" applyFont="1" applyFill="1" applyBorder="1" applyAlignment="1">
      <alignment horizontal="center"/>
    </xf>
    <xf numFmtId="0" fontId="73" fillId="5" borderId="85" xfId="13" applyFont="1" applyFill="1" applyBorder="1" applyAlignment="1">
      <alignment horizontal="center"/>
    </xf>
    <xf numFmtId="0" fontId="73" fillId="5" borderId="288" xfId="13" applyFont="1" applyFill="1" applyBorder="1" applyAlignment="1">
      <alignment horizontal="center"/>
    </xf>
    <xf numFmtId="0" fontId="68" fillId="11" borderId="296" xfId="13" applyFont="1" applyFill="1" applyBorder="1" applyAlignment="1">
      <alignment horizontal="center" vertical="center"/>
    </xf>
    <xf numFmtId="0" fontId="68" fillId="11" borderId="329" xfId="13" applyFont="1" applyFill="1" applyBorder="1" applyAlignment="1">
      <alignment horizontal="center" vertical="center"/>
    </xf>
    <xf numFmtId="0" fontId="73" fillId="0" borderId="325" xfId="13" applyFont="1" applyBorder="1" applyAlignment="1" applyProtection="1">
      <alignment horizontal="center" vertical="center"/>
      <protection locked="0"/>
    </xf>
    <xf numFmtId="0" fontId="73" fillId="5" borderId="2" xfId="13" applyFont="1" applyFill="1" applyBorder="1" applyAlignment="1">
      <alignment horizontal="center"/>
    </xf>
    <xf numFmtId="0" fontId="73" fillId="5" borderId="58" xfId="13" applyFont="1" applyFill="1" applyBorder="1" applyAlignment="1">
      <alignment horizontal="center"/>
    </xf>
    <xf numFmtId="0" fontId="73" fillId="5" borderId="325" xfId="13" applyFont="1" applyFill="1" applyBorder="1" applyAlignment="1">
      <alignment horizontal="center"/>
    </xf>
    <xf numFmtId="0" fontId="68" fillId="11" borderId="277" xfId="13" applyFont="1" applyFill="1" applyBorder="1" applyAlignment="1">
      <alignment horizontal="center" vertical="center"/>
    </xf>
    <xf numFmtId="0" fontId="68" fillId="11" borderId="278" xfId="13" applyFont="1" applyFill="1" applyBorder="1" applyAlignment="1">
      <alignment horizontal="center" vertical="center"/>
    </xf>
    <xf numFmtId="0" fontId="68" fillId="11" borderId="276" xfId="13" applyFont="1" applyFill="1" applyBorder="1" applyAlignment="1">
      <alignment horizontal="center" vertical="center"/>
    </xf>
    <xf numFmtId="0" fontId="68" fillId="11" borderId="311" xfId="13" applyFont="1" applyFill="1" applyBorder="1" applyAlignment="1">
      <alignment horizontal="center" vertical="center"/>
    </xf>
    <xf numFmtId="0" fontId="68" fillId="11" borderId="273" xfId="13" applyFont="1" applyFill="1" applyBorder="1" applyAlignment="1">
      <alignment horizontal="center" vertical="center"/>
    </xf>
    <xf numFmtId="0" fontId="68" fillId="11" borderId="274" xfId="13" applyFont="1" applyFill="1" applyBorder="1" applyAlignment="1">
      <alignment horizontal="center" vertical="center"/>
    </xf>
    <xf numFmtId="0" fontId="68" fillId="11" borderId="275" xfId="13" applyFont="1" applyFill="1" applyBorder="1" applyAlignment="1">
      <alignment horizontal="center" vertical="center"/>
    </xf>
    <xf numFmtId="0" fontId="68" fillId="11" borderId="291" xfId="13" applyFont="1" applyFill="1" applyBorder="1" applyAlignment="1">
      <alignment horizontal="center" vertical="center"/>
    </xf>
    <xf numFmtId="0" fontId="68" fillId="11" borderId="292" xfId="13" applyFont="1" applyFill="1" applyBorder="1" applyAlignment="1">
      <alignment horizontal="center" vertical="center"/>
    </xf>
    <xf numFmtId="0" fontId="68" fillId="11" borderId="293" xfId="13" applyFont="1" applyFill="1" applyBorder="1" applyAlignment="1">
      <alignment horizontal="center" vertical="center"/>
    </xf>
    <xf numFmtId="0" fontId="68" fillId="11" borderId="326" xfId="13" applyFont="1" applyFill="1" applyBorder="1" applyAlignment="1">
      <alignment horizontal="center" vertical="center"/>
    </xf>
    <xf numFmtId="0" fontId="73" fillId="11" borderId="292" xfId="13" applyFont="1" applyFill="1" applyBorder="1" applyAlignment="1">
      <alignment horizontal="center" vertical="center"/>
    </xf>
    <xf numFmtId="0" fontId="73" fillId="11" borderId="292" xfId="13" applyFont="1" applyFill="1" applyBorder="1" applyAlignment="1">
      <alignment horizontal="justify" vertical="center" wrapText="1"/>
    </xf>
    <xf numFmtId="0" fontId="73" fillId="11" borderId="294" xfId="13" applyFont="1" applyFill="1" applyBorder="1" applyAlignment="1">
      <alignment horizontal="center" vertical="center"/>
    </xf>
    <xf numFmtId="0" fontId="73" fillId="11" borderId="0" xfId="13" applyFont="1" applyFill="1" applyAlignment="1">
      <alignment horizontal="justify" vertical="top" wrapText="1"/>
    </xf>
    <xf numFmtId="0" fontId="52" fillId="0" borderId="27" xfId="164" applyFont="1" applyBorder="1" applyAlignment="1" applyProtection="1">
      <alignment horizontal="center"/>
      <protection locked="0"/>
    </xf>
    <xf numFmtId="0" fontId="73" fillId="0" borderId="27" xfId="13" applyFont="1" applyBorder="1" applyAlignment="1" applyProtection="1">
      <alignment horizontal="center" vertical="center" wrapText="1"/>
      <protection locked="0"/>
    </xf>
    <xf numFmtId="0" fontId="54" fillId="11" borderId="0" xfId="13" applyFont="1" applyFill="1" applyAlignment="1">
      <alignment horizontal="left" vertical="top" wrapText="1"/>
    </xf>
    <xf numFmtId="0" fontId="116" fillId="5" borderId="72" xfId="13" applyFont="1" applyFill="1" applyBorder="1" applyAlignment="1">
      <alignment vertical="center"/>
    </xf>
    <xf numFmtId="0" fontId="116" fillId="5" borderId="74" xfId="13" applyFont="1" applyFill="1" applyBorder="1" applyAlignment="1">
      <alignment vertical="center"/>
    </xf>
    <xf numFmtId="0" fontId="116" fillId="5" borderId="27" xfId="13" applyFont="1" applyFill="1" applyBorder="1" applyAlignment="1">
      <alignment horizontal="justify" vertical="center"/>
    </xf>
    <xf numFmtId="0" fontId="116" fillId="5" borderId="33" xfId="13" applyFont="1" applyFill="1" applyBorder="1" applyAlignment="1">
      <alignment horizontal="justify" vertical="center"/>
    </xf>
    <xf numFmtId="0" fontId="73" fillId="0" borderId="77" xfId="13" applyFont="1" applyBorder="1" applyAlignment="1" applyProtection="1">
      <alignment horizontal="center" vertical="center"/>
      <protection locked="0"/>
    </xf>
    <xf numFmtId="0" fontId="73" fillId="0" borderId="26" xfId="13" applyFont="1" applyBorder="1" applyAlignment="1" applyProtection="1">
      <alignment horizontal="center" vertical="center"/>
      <protection locked="0"/>
    </xf>
    <xf numFmtId="0" fontId="68" fillId="11" borderId="71" xfId="13" applyFont="1" applyFill="1" applyBorder="1" applyAlignment="1">
      <alignment horizontal="center" vertical="center"/>
    </xf>
    <xf numFmtId="0" fontId="68" fillId="11" borderId="72" xfId="13" applyFont="1" applyFill="1" applyBorder="1" applyAlignment="1">
      <alignment horizontal="center" vertical="center"/>
    </xf>
    <xf numFmtId="0" fontId="68" fillId="11" borderId="74" xfId="13" applyFont="1" applyFill="1" applyBorder="1" applyAlignment="1">
      <alignment horizontal="center" vertical="center"/>
    </xf>
    <xf numFmtId="0" fontId="68" fillId="11" borderId="7" xfId="13" applyFont="1" applyFill="1" applyBorder="1" applyAlignment="1">
      <alignment horizontal="center" vertical="center"/>
    </xf>
    <xf numFmtId="0" fontId="68" fillId="11" borderId="8" xfId="13" applyFont="1" applyFill="1" applyBorder="1" applyAlignment="1">
      <alignment horizontal="center" vertical="center"/>
    </xf>
    <xf numFmtId="0" fontId="68" fillId="11" borderId="16" xfId="13" applyFont="1" applyFill="1" applyBorder="1" applyAlignment="1">
      <alignment horizontal="center" vertical="center"/>
    </xf>
    <xf numFmtId="0" fontId="68" fillId="11" borderId="17" xfId="13" applyFont="1" applyFill="1" applyBorder="1" applyAlignment="1">
      <alignment horizontal="center" vertical="center"/>
    </xf>
    <xf numFmtId="0" fontId="68" fillId="11" borderId="10" xfId="13" applyFont="1" applyFill="1" applyBorder="1" applyAlignment="1">
      <alignment horizontal="center" vertical="center"/>
    </xf>
    <xf numFmtId="0" fontId="68" fillId="11" borderId="22" xfId="13" applyFont="1" applyFill="1" applyBorder="1" applyAlignment="1">
      <alignment horizontal="center" vertical="center"/>
    </xf>
    <xf numFmtId="0" fontId="68" fillId="11" borderId="167" xfId="13" applyFont="1" applyFill="1" applyBorder="1" applyAlignment="1">
      <alignment horizontal="center" vertical="center"/>
    </xf>
    <xf numFmtId="0" fontId="68" fillId="11" borderId="53" xfId="13" applyFont="1" applyFill="1" applyBorder="1" applyAlignment="1">
      <alignment horizontal="center" vertical="center"/>
    </xf>
    <xf numFmtId="0" fontId="68" fillId="11" borderId="165" xfId="13" applyFont="1" applyFill="1" applyBorder="1" applyAlignment="1">
      <alignment horizontal="center" vertical="center"/>
    </xf>
    <xf numFmtId="0" fontId="68" fillId="11" borderId="9" xfId="13" applyFont="1" applyFill="1" applyBorder="1" applyAlignment="1">
      <alignment horizontal="center" vertical="center"/>
    </xf>
    <xf numFmtId="0" fontId="73" fillId="0" borderId="79" xfId="13" applyFont="1" applyBorder="1" applyAlignment="1" applyProtection="1">
      <alignment horizontal="center" vertical="center"/>
      <protection locked="0"/>
    </xf>
    <xf numFmtId="0" fontId="73" fillId="0" borderId="80" xfId="13" applyFont="1" applyBorder="1" applyAlignment="1" applyProtection="1">
      <alignment horizontal="center" vertical="center"/>
      <protection locked="0"/>
    </xf>
    <xf numFmtId="0" fontId="73" fillId="0" borderId="78" xfId="13" applyFont="1" applyBorder="1" applyAlignment="1" applyProtection="1">
      <alignment horizontal="center" vertical="center"/>
      <protection locked="0"/>
    </xf>
    <xf numFmtId="0" fontId="116" fillId="5" borderId="99" xfId="13" applyFont="1" applyFill="1" applyBorder="1" applyAlignment="1">
      <alignment horizontal="justify" vertical="center"/>
    </xf>
    <xf numFmtId="0" fontId="116" fillId="5" borderId="100" xfId="13" applyFont="1" applyFill="1" applyBorder="1" applyAlignment="1">
      <alignment horizontal="justify" vertical="center"/>
    </xf>
    <xf numFmtId="0" fontId="116" fillId="5" borderId="85" xfId="13" applyFont="1" applyFill="1" applyBorder="1" applyAlignment="1">
      <alignment horizontal="center" vertical="center"/>
    </xf>
    <xf numFmtId="0" fontId="116" fillId="5" borderId="86" xfId="13" applyFont="1" applyFill="1" applyBorder="1" applyAlignment="1">
      <alignment horizontal="center" vertical="center"/>
    </xf>
    <xf numFmtId="0" fontId="73" fillId="0" borderId="102" xfId="13" applyFont="1" applyBorder="1" applyAlignment="1" applyProtection="1">
      <alignment horizontal="center" vertical="center"/>
      <protection locked="0"/>
    </xf>
    <xf numFmtId="0" fontId="73" fillId="0" borderId="101" xfId="13" applyFont="1" applyBorder="1" applyAlignment="1" applyProtection="1">
      <alignment horizontal="center" vertical="center"/>
      <protection locked="0"/>
    </xf>
    <xf numFmtId="0" fontId="73" fillId="0" borderId="63" xfId="13" applyFont="1" applyBorder="1" applyAlignment="1" applyProtection="1">
      <alignment horizontal="center" vertical="center"/>
      <protection locked="0"/>
    </xf>
    <xf numFmtId="0" fontId="73" fillId="0" borderId="65" xfId="13" applyFont="1" applyBorder="1" applyAlignment="1" applyProtection="1">
      <alignment horizontal="center" vertical="center"/>
      <protection locked="0"/>
    </xf>
    <xf numFmtId="0" fontId="73" fillId="0" borderId="100" xfId="13" applyFont="1" applyBorder="1" applyAlignment="1" applyProtection="1">
      <alignment horizontal="center" vertical="center"/>
      <protection locked="0"/>
    </xf>
    <xf numFmtId="0" fontId="73" fillId="0" borderId="86" xfId="13" applyFont="1" applyBorder="1" applyAlignment="1" applyProtection="1">
      <alignment horizontal="center" vertical="center"/>
      <protection locked="0"/>
    </xf>
    <xf numFmtId="0" fontId="73" fillId="0" borderId="95" xfId="13" applyFont="1" applyBorder="1" applyAlignment="1" applyProtection="1">
      <alignment horizontal="center" vertical="center"/>
      <protection locked="0"/>
    </xf>
    <xf numFmtId="0" fontId="73" fillId="0" borderId="87" xfId="13" applyFont="1" applyBorder="1" applyAlignment="1" applyProtection="1">
      <alignment horizontal="center" vertical="center"/>
      <protection locked="0"/>
    </xf>
    <xf numFmtId="0" fontId="160" fillId="11" borderId="0" xfId="13" applyFont="1" applyFill="1" applyAlignment="1">
      <alignment horizontal="justify" vertical="top" wrapText="1"/>
    </xf>
    <xf numFmtId="0" fontId="73" fillId="11" borderId="58" xfId="13" applyFont="1" applyFill="1" applyBorder="1" applyAlignment="1">
      <alignment horizontal="justify" vertical="center"/>
    </xf>
    <xf numFmtId="0" fontId="73" fillId="11" borderId="99" xfId="13" applyFont="1" applyFill="1" applyBorder="1" applyAlignment="1">
      <alignment horizontal="justify" vertical="center" wrapText="1"/>
    </xf>
    <xf numFmtId="0" fontId="116" fillId="5" borderId="58" xfId="13" applyFont="1" applyFill="1" applyBorder="1" applyAlignment="1">
      <alignment horizontal="center" vertical="center"/>
    </xf>
    <xf numFmtId="0" fontId="116" fillId="5" borderId="55" xfId="13" applyFont="1" applyFill="1" applyBorder="1" applyAlignment="1">
      <alignment horizontal="center" vertical="center"/>
    </xf>
    <xf numFmtId="0" fontId="73" fillId="0" borderId="85" xfId="13" applyFont="1" applyBorder="1" applyAlignment="1" applyProtection="1">
      <alignment horizontal="center" vertical="center"/>
      <protection locked="0"/>
    </xf>
    <xf numFmtId="0" fontId="116" fillId="5" borderId="99" xfId="13" applyFont="1" applyFill="1" applyBorder="1" applyAlignment="1">
      <alignment vertical="center"/>
    </xf>
    <xf numFmtId="0" fontId="116" fillId="5" borderId="100" xfId="13" applyFont="1" applyFill="1" applyBorder="1" applyAlignment="1">
      <alignment vertical="center"/>
    </xf>
    <xf numFmtId="0" fontId="116" fillId="5" borderId="85" xfId="13" applyFont="1" applyFill="1" applyBorder="1" applyAlignment="1">
      <alignment horizontal="justify" vertical="center"/>
    </xf>
    <xf numFmtId="0" fontId="116" fillId="5" borderId="86" xfId="13" applyFont="1" applyFill="1" applyBorder="1" applyAlignment="1">
      <alignment horizontal="justify" vertical="center"/>
    </xf>
    <xf numFmtId="0" fontId="73" fillId="11" borderId="85" xfId="13" applyFont="1" applyFill="1" applyBorder="1" applyAlignment="1">
      <alignment horizontal="justify" vertical="center"/>
    </xf>
    <xf numFmtId="0" fontId="73" fillId="0" borderId="156" xfId="13" applyFont="1" applyBorder="1" applyAlignment="1" applyProtection="1">
      <alignment horizontal="center" vertical="center"/>
      <protection locked="0"/>
    </xf>
    <xf numFmtId="0" fontId="73" fillId="0" borderId="157" xfId="13" applyFont="1" applyBorder="1" applyAlignment="1" applyProtection="1">
      <alignment horizontal="center" vertical="center"/>
      <protection locked="0"/>
    </xf>
    <xf numFmtId="0" fontId="73" fillId="0" borderId="142" xfId="13" applyFont="1" applyBorder="1" applyAlignment="1" applyProtection="1">
      <alignment horizontal="center" vertical="center"/>
      <protection locked="0"/>
    </xf>
    <xf numFmtId="0" fontId="73" fillId="11" borderId="150" xfId="13" applyFont="1" applyFill="1" applyBorder="1" applyAlignment="1">
      <alignment horizontal="justify" vertical="center"/>
    </xf>
    <xf numFmtId="0" fontId="73" fillId="0" borderId="141" xfId="13" applyFont="1" applyBorder="1" applyAlignment="1" applyProtection="1">
      <alignment horizontal="center" vertical="center"/>
      <protection locked="0"/>
    </xf>
    <xf numFmtId="0" fontId="73" fillId="0" borderId="150" xfId="13" applyFont="1" applyBorder="1" applyAlignment="1" applyProtection="1">
      <alignment horizontal="center" vertical="center"/>
      <protection locked="0"/>
    </xf>
    <xf numFmtId="0" fontId="45" fillId="11" borderId="0" xfId="69" applyFont="1" applyFill="1" applyAlignment="1">
      <alignment horizontal="justify" vertical="top" wrapText="1"/>
    </xf>
    <xf numFmtId="0" fontId="54" fillId="11" borderId="0" xfId="69" applyFont="1" applyFill="1" applyAlignment="1">
      <alignment horizontal="justify" vertical="top" wrapText="1"/>
    </xf>
    <xf numFmtId="0" fontId="73" fillId="11" borderId="57" xfId="13" applyFont="1" applyFill="1" applyBorder="1" applyAlignment="1">
      <alignment horizontal="justify" vertical="center" wrapText="1"/>
    </xf>
    <xf numFmtId="0" fontId="73" fillId="0" borderId="83" xfId="13" applyFont="1" applyBorder="1" applyAlignment="1" applyProtection="1">
      <alignment horizontal="center" vertical="center"/>
      <protection locked="0"/>
    </xf>
    <xf numFmtId="0" fontId="73" fillId="0" borderId="57" xfId="13" applyFont="1" applyBorder="1" applyAlignment="1" applyProtection="1">
      <alignment horizontal="center" vertical="center"/>
      <protection locked="0"/>
    </xf>
    <xf numFmtId="0" fontId="73" fillId="0" borderId="62" xfId="13" applyFont="1" applyBorder="1" applyAlignment="1" applyProtection="1">
      <alignment horizontal="center" vertical="center"/>
      <protection locked="0"/>
    </xf>
    <xf numFmtId="0" fontId="73" fillId="0" borderId="89" xfId="13" applyFont="1" applyBorder="1" applyAlignment="1" applyProtection="1">
      <alignment horizontal="center" vertical="center"/>
      <protection locked="0"/>
    </xf>
    <xf numFmtId="0" fontId="73" fillId="0" borderId="56" xfId="13" applyFont="1" applyBorder="1" applyAlignment="1" applyProtection="1">
      <alignment horizontal="center" vertical="center"/>
      <protection locked="0"/>
    </xf>
    <xf numFmtId="0" fontId="73" fillId="11" borderId="150" xfId="13" applyFont="1" applyFill="1" applyBorder="1" applyAlignment="1">
      <alignment horizontal="justify" vertical="center" wrapText="1"/>
    </xf>
    <xf numFmtId="0" fontId="0" fillId="11" borderId="0" xfId="168" applyFont="1" applyFill="1" applyAlignment="1">
      <alignment horizontal="justify" vertical="top" wrapText="1"/>
    </xf>
    <xf numFmtId="0" fontId="0" fillId="11" borderId="0" xfId="168" applyFont="1" applyFill="1" applyAlignment="1">
      <alignment horizontal="justify" vertical="center" wrapText="1"/>
    </xf>
    <xf numFmtId="0" fontId="41" fillId="11" borderId="332" xfId="168" applyFont="1" applyFill="1" applyBorder="1" applyAlignment="1">
      <alignment horizontal="center" vertical="center"/>
    </xf>
    <xf numFmtId="0" fontId="41" fillId="11" borderId="333" xfId="168" applyFont="1" applyFill="1" applyBorder="1" applyAlignment="1">
      <alignment horizontal="center" vertical="center"/>
    </xf>
    <xf numFmtId="0" fontId="41" fillId="11" borderId="332" xfId="168" applyFont="1" applyFill="1" applyBorder="1" applyAlignment="1">
      <alignment horizontal="center" vertical="center" wrapText="1"/>
    </xf>
    <xf numFmtId="0" fontId="41" fillId="11" borderId="334" xfId="168" applyFont="1" applyFill="1" applyBorder="1" applyAlignment="1">
      <alignment horizontal="center" vertical="center" wrapText="1"/>
    </xf>
    <xf numFmtId="0" fontId="0" fillId="11" borderId="5" xfId="168" applyFont="1" applyFill="1" applyBorder="1" applyAlignment="1">
      <alignment horizontal="justify" vertical="center" wrapText="1"/>
    </xf>
    <xf numFmtId="0" fontId="129" fillId="11" borderId="273" xfId="22" applyFont="1" applyFill="1" applyBorder="1" applyAlignment="1">
      <alignment horizontal="center" vertical="center" wrapText="1"/>
    </xf>
    <xf numFmtId="0" fontId="129" fillId="11" borderId="274" xfId="22" applyFont="1" applyFill="1" applyBorder="1" applyAlignment="1">
      <alignment horizontal="center" vertical="center" wrapText="1"/>
    </xf>
    <xf numFmtId="0" fontId="129" fillId="11" borderId="301" xfId="22" applyFont="1" applyFill="1" applyBorder="1" applyAlignment="1">
      <alignment horizontal="center" vertical="center" wrapText="1"/>
    </xf>
    <xf numFmtId="0" fontId="129" fillId="11" borderId="275" xfId="22" applyFont="1" applyFill="1" applyBorder="1" applyAlignment="1">
      <alignment horizontal="center" vertical="center" wrapText="1"/>
    </xf>
    <xf numFmtId="0" fontId="129" fillId="11" borderId="302" xfId="22" applyFont="1" applyFill="1" applyBorder="1" applyAlignment="1">
      <alignment horizontal="center" vertical="center" wrapText="1"/>
    </xf>
    <xf numFmtId="0" fontId="129" fillId="11" borderId="330" xfId="22" applyFont="1" applyFill="1" applyBorder="1" applyAlignment="1">
      <alignment horizontal="center" vertical="center"/>
    </xf>
    <xf numFmtId="0" fontId="129" fillId="11" borderId="313" xfId="22" applyFont="1" applyFill="1" applyBorder="1" applyAlignment="1">
      <alignment horizontal="center" vertical="center"/>
    </xf>
    <xf numFmtId="0" fontId="129" fillId="11" borderId="314" xfId="22" applyFont="1" applyFill="1" applyBorder="1" applyAlignment="1">
      <alignment horizontal="center" vertical="center"/>
    </xf>
    <xf numFmtId="0" fontId="129" fillId="11" borderId="312" xfId="22" applyFont="1" applyFill="1" applyBorder="1" applyAlignment="1">
      <alignment horizontal="center" vertical="center"/>
    </xf>
    <xf numFmtId="0" fontId="129" fillId="11" borderId="316" xfId="22" applyFont="1" applyFill="1" applyBorder="1" applyAlignment="1">
      <alignment horizontal="center" vertical="center"/>
    </xf>
    <xf numFmtId="0" fontId="129" fillId="11" borderId="315" xfId="22" applyFont="1" applyFill="1" applyBorder="1" applyAlignment="1">
      <alignment horizontal="center" vertical="center"/>
    </xf>
    <xf numFmtId="0" fontId="129" fillId="11" borderId="317" xfId="22" applyFont="1" applyFill="1" applyBorder="1" applyAlignment="1">
      <alignment horizontal="center" vertical="center"/>
    </xf>
    <xf numFmtId="3" fontId="140" fillId="6" borderId="291" xfId="22" applyNumberFormat="1" applyFont="1" applyFill="1" applyBorder="1" applyAlignment="1" applyProtection="1">
      <alignment horizontal="center" vertical="center" wrapText="1"/>
      <protection locked="0"/>
    </xf>
    <xf numFmtId="3" fontId="140" fillId="6" borderId="292" xfId="22" applyNumberFormat="1" applyFont="1" applyFill="1" applyBorder="1" applyAlignment="1" applyProtection="1">
      <alignment horizontal="center" vertical="center" wrapText="1"/>
      <protection locked="0"/>
    </xf>
    <xf numFmtId="3" fontId="140" fillId="6" borderId="296" xfId="22" applyNumberFormat="1" applyFont="1" applyFill="1" applyBorder="1" applyAlignment="1" applyProtection="1">
      <alignment horizontal="center" vertical="center" wrapText="1"/>
      <protection locked="0"/>
    </xf>
    <xf numFmtId="3" fontId="140" fillId="6" borderId="295" xfId="22" applyNumberFormat="1" applyFont="1" applyFill="1" applyBorder="1" applyAlignment="1" applyProtection="1">
      <alignment horizontal="center" vertical="center"/>
      <protection locked="0"/>
    </xf>
    <xf numFmtId="3" fontId="140" fillId="6" borderId="292" xfId="22" applyNumberFormat="1" applyFont="1" applyFill="1" applyBorder="1" applyAlignment="1" applyProtection="1">
      <alignment horizontal="center" vertical="center"/>
      <protection locked="0"/>
    </xf>
    <xf numFmtId="3" fontId="140" fillId="6" borderId="294" xfId="22" applyNumberFormat="1" applyFont="1" applyFill="1" applyBorder="1" applyAlignment="1" applyProtection="1">
      <alignment horizontal="center" vertical="center" wrapText="1"/>
      <protection locked="0"/>
    </xf>
    <xf numFmtId="3" fontId="140" fillId="6" borderId="293" xfId="22" applyNumberFormat="1" applyFont="1" applyFill="1" applyBorder="1" applyAlignment="1" applyProtection="1">
      <alignment horizontal="center" vertical="center"/>
      <protection locked="0"/>
    </xf>
    <xf numFmtId="3" fontId="140" fillId="6" borderId="297" xfId="22" applyNumberFormat="1" applyFont="1" applyFill="1" applyBorder="1" applyAlignment="1" applyProtection="1">
      <alignment horizontal="center" vertical="center"/>
      <protection locked="0"/>
    </xf>
    <xf numFmtId="0" fontId="45" fillId="11" borderId="0" xfId="11" applyFont="1" applyFill="1" applyAlignment="1">
      <alignment horizontal="justify" vertical="center"/>
    </xf>
    <xf numFmtId="0" fontId="127" fillId="11" borderId="0" xfId="22" applyFont="1" applyFill="1" applyAlignment="1">
      <alignment horizontal="justify" vertical="top" wrapText="1"/>
    </xf>
    <xf numFmtId="0" fontId="0" fillId="11" borderId="0" xfId="168" applyFont="1" applyFill="1" applyAlignment="1">
      <alignment vertical="top" wrapText="1"/>
    </xf>
    <xf numFmtId="0" fontId="129" fillId="11" borderId="331" xfId="22" applyFont="1" applyFill="1" applyBorder="1" applyAlignment="1">
      <alignment horizontal="center" vertical="center" wrapText="1"/>
    </xf>
    <xf numFmtId="0" fontId="129" fillId="11" borderId="332" xfId="22" applyFont="1" applyFill="1" applyBorder="1" applyAlignment="1">
      <alignment horizontal="center" vertical="center" wrapText="1"/>
    </xf>
    <xf numFmtId="0" fontId="129" fillId="11" borderId="335" xfId="22" applyFont="1" applyFill="1" applyBorder="1" applyAlignment="1">
      <alignment horizontal="center" vertical="center" wrapText="1"/>
    </xf>
    <xf numFmtId="0" fontId="129" fillId="11" borderId="336" xfId="22" applyFont="1" applyFill="1" applyBorder="1" applyAlignment="1">
      <alignment horizontal="center" vertical="center" wrapText="1"/>
    </xf>
    <xf numFmtId="0" fontId="129" fillId="11" borderId="337" xfId="22" applyFont="1" applyFill="1" applyBorder="1" applyAlignment="1">
      <alignment horizontal="center" vertical="center" wrapText="1"/>
    </xf>
    <xf numFmtId="0" fontId="129" fillId="11" borderId="338" xfId="22" applyFont="1" applyFill="1" applyBorder="1" applyAlignment="1">
      <alignment horizontal="center" vertical="center" wrapText="1"/>
    </xf>
    <xf numFmtId="0" fontId="129" fillId="11" borderId="339" xfId="22" applyFont="1" applyFill="1" applyBorder="1" applyAlignment="1">
      <alignment horizontal="center" vertical="center" wrapText="1"/>
    </xf>
    <xf numFmtId="0" fontId="129" fillId="11" borderId="334" xfId="22" applyFont="1" applyFill="1" applyBorder="1" applyAlignment="1">
      <alignment horizontal="center" vertical="center" wrapText="1"/>
    </xf>
    <xf numFmtId="0" fontId="140" fillId="6" borderId="291" xfId="22" applyFont="1" applyFill="1" applyBorder="1" applyAlignment="1" applyProtection="1">
      <alignment horizontal="center" vertical="center" wrapText="1"/>
      <protection locked="0"/>
    </xf>
    <xf numFmtId="0" fontId="140" fillId="6" borderId="292" xfId="22" applyFont="1" applyFill="1" applyBorder="1" applyAlignment="1" applyProtection="1">
      <alignment horizontal="center" vertical="center" wrapText="1"/>
      <protection locked="0"/>
    </xf>
    <xf numFmtId="0" fontId="140" fillId="6" borderId="326" xfId="22" applyFont="1" applyFill="1" applyBorder="1" applyAlignment="1" applyProtection="1">
      <alignment horizontal="center" vertical="center" wrapText="1"/>
      <protection locked="0"/>
    </xf>
    <xf numFmtId="0" fontId="140" fillId="6" borderId="327" xfId="22" applyFont="1" applyFill="1" applyBorder="1" applyAlignment="1" applyProtection="1">
      <alignment horizontal="center" vertical="center" wrapText="1"/>
      <protection locked="0"/>
    </xf>
    <xf numFmtId="0" fontId="140" fillId="6" borderId="328" xfId="22" applyFont="1" applyFill="1" applyBorder="1" applyAlignment="1" applyProtection="1">
      <alignment horizontal="center" vertical="center" wrapText="1"/>
      <protection locked="0"/>
    </xf>
    <xf numFmtId="0" fontId="140" fillId="6" borderId="296" xfId="22" applyFont="1" applyFill="1" applyBorder="1" applyAlignment="1" applyProtection="1">
      <alignment horizontal="center" vertical="center" wrapText="1"/>
      <protection locked="0"/>
    </xf>
    <xf numFmtId="0" fontId="140" fillId="6" borderId="295" xfId="22" applyFont="1" applyFill="1" applyBorder="1" applyAlignment="1" applyProtection="1">
      <alignment horizontal="center" vertical="center" wrapText="1"/>
      <protection locked="0"/>
    </xf>
    <xf numFmtId="0" fontId="140" fillId="6" borderId="297" xfId="22" applyFont="1" applyFill="1" applyBorder="1" applyAlignment="1" applyProtection="1">
      <alignment horizontal="center" vertical="center" wrapText="1"/>
      <protection locked="0"/>
    </xf>
    <xf numFmtId="0" fontId="0" fillId="11" borderId="0" xfId="170" applyFont="1" applyFill="1" applyAlignment="1">
      <alignment horizontal="justify" vertical="center"/>
    </xf>
    <xf numFmtId="0" fontId="129" fillId="11" borderId="300" xfId="22" applyFont="1" applyFill="1" applyBorder="1" applyAlignment="1">
      <alignment horizontal="center" vertical="center" wrapText="1"/>
    </xf>
    <xf numFmtId="0" fontId="129" fillId="11" borderId="277" xfId="22" applyFont="1" applyFill="1" applyBorder="1" applyAlignment="1">
      <alignment horizontal="center" vertical="center" wrapText="1"/>
    </xf>
    <xf numFmtId="0" fontId="129" fillId="11" borderId="311" xfId="22" applyFont="1" applyFill="1" applyBorder="1" applyAlignment="1">
      <alignment horizontal="center" vertical="center" wrapText="1"/>
    </xf>
    <xf numFmtId="0" fontId="129" fillId="11" borderId="276" xfId="22" applyFont="1" applyFill="1" applyBorder="1" applyAlignment="1">
      <alignment horizontal="center" vertical="center" wrapText="1"/>
    </xf>
    <xf numFmtId="0" fontId="129" fillId="11" borderId="278" xfId="22" applyFont="1" applyFill="1" applyBorder="1" applyAlignment="1">
      <alignment horizontal="center" vertical="center" wrapText="1"/>
    </xf>
    <xf numFmtId="0" fontId="121" fillId="11" borderId="313" xfId="22" applyFont="1" applyFill="1" applyBorder="1" applyAlignment="1">
      <alignment horizontal="center" vertical="center" wrapText="1"/>
    </xf>
    <xf numFmtId="0" fontId="121" fillId="11" borderId="314" xfId="22" applyFont="1" applyFill="1" applyBorder="1" applyAlignment="1">
      <alignment horizontal="center" vertical="center" wrapText="1"/>
    </xf>
    <xf numFmtId="0" fontId="121" fillId="11" borderId="315" xfId="22" applyFont="1" applyFill="1" applyBorder="1" applyAlignment="1">
      <alignment horizontal="center" vertical="center" wrapText="1"/>
    </xf>
    <xf numFmtId="0" fontId="125" fillId="11" borderId="315" xfId="22" applyFont="1" applyFill="1" applyBorder="1" applyAlignment="1">
      <alignment horizontal="center" vertical="center" wrapText="1"/>
    </xf>
    <xf numFmtId="0" fontId="125" fillId="11" borderId="313" xfId="22" applyFont="1" applyFill="1" applyBorder="1" applyAlignment="1">
      <alignment horizontal="center" vertical="center" wrapText="1"/>
    </xf>
    <xf numFmtId="0" fontId="125" fillId="11" borderId="317" xfId="22" applyFont="1" applyFill="1" applyBorder="1" applyAlignment="1">
      <alignment horizontal="center" vertical="center" wrapText="1"/>
    </xf>
    <xf numFmtId="4" fontId="140" fillId="6" borderId="295" xfId="22" applyNumberFormat="1" applyFont="1" applyFill="1" applyBorder="1" applyAlignment="1" applyProtection="1">
      <alignment horizontal="center" vertical="center"/>
      <protection locked="0"/>
    </xf>
    <xf numFmtId="4" fontId="140" fillId="6" borderId="292" xfId="22" applyNumberFormat="1" applyFont="1" applyFill="1" applyBorder="1" applyAlignment="1" applyProtection="1">
      <alignment horizontal="center" vertical="center"/>
      <protection locked="0"/>
    </xf>
    <xf numFmtId="4" fontId="140" fillId="6" borderId="296" xfId="22" applyNumberFormat="1" applyFont="1" applyFill="1" applyBorder="1" applyAlignment="1" applyProtection="1">
      <alignment horizontal="center" vertical="center"/>
      <protection locked="0"/>
    </xf>
    <xf numFmtId="10" fontId="140" fillId="6" borderId="295" xfId="174" applyNumberFormat="1" applyFont="1" applyFill="1" applyBorder="1" applyAlignment="1" applyProtection="1">
      <alignment horizontal="center" vertical="center" wrapText="1"/>
      <protection locked="0"/>
    </xf>
    <xf numFmtId="10" fontId="140" fillId="6" borderId="292" xfId="174" applyNumberFormat="1" applyFont="1" applyFill="1" applyBorder="1" applyAlignment="1" applyProtection="1">
      <alignment horizontal="center" vertical="center" wrapText="1"/>
      <protection locked="0"/>
    </xf>
    <xf numFmtId="10" fontId="140" fillId="6" borderId="293" xfId="174" applyNumberFormat="1" applyFont="1" applyFill="1" applyBorder="1" applyAlignment="1" applyProtection="1">
      <alignment horizontal="center" vertical="center" wrapText="1"/>
      <protection locked="0"/>
    </xf>
    <xf numFmtId="0" fontId="140" fillId="6" borderId="294" xfId="22" applyFont="1" applyFill="1" applyBorder="1" applyAlignment="1" applyProtection="1">
      <alignment horizontal="center" vertical="center"/>
      <protection locked="0"/>
    </xf>
    <xf numFmtId="0" fontId="140" fillId="6" borderId="292" xfId="22" applyFont="1" applyFill="1" applyBorder="1" applyAlignment="1" applyProtection="1">
      <alignment horizontal="center" vertical="center"/>
      <protection locked="0"/>
    </xf>
    <xf numFmtId="0" fontId="140" fillId="6" borderId="296" xfId="22" applyFont="1" applyFill="1" applyBorder="1" applyAlignment="1" applyProtection="1">
      <alignment horizontal="center" vertical="center"/>
      <protection locked="0"/>
    </xf>
    <xf numFmtId="4" fontId="140" fillId="6" borderId="295" xfId="22" applyNumberFormat="1" applyFont="1" applyFill="1" applyBorder="1" applyAlignment="1" applyProtection="1">
      <alignment horizontal="center" vertical="center" wrapText="1"/>
      <protection locked="0"/>
    </xf>
    <xf numFmtId="4" fontId="140" fillId="6" borderId="292" xfId="22" applyNumberFormat="1" applyFont="1" applyFill="1" applyBorder="1" applyAlignment="1" applyProtection="1">
      <alignment horizontal="center" vertical="center" wrapText="1"/>
      <protection locked="0"/>
    </xf>
    <xf numFmtId="4" fontId="140" fillId="6" borderId="296" xfId="22" applyNumberFormat="1" applyFont="1" applyFill="1" applyBorder="1" applyAlignment="1" applyProtection="1">
      <alignment horizontal="center" vertical="center" wrapText="1"/>
      <protection locked="0"/>
    </xf>
    <xf numFmtId="10" fontId="140" fillId="6" borderId="292" xfId="22" applyNumberFormat="1" applyFont="1" applyFill="1" applyBorder="1" applyAlignment="1" applyProtection="1">
      <alignment horizontal="center" vertical="center"/>
      <protection locked="0"/>
    </xf>
    <xf numFmtId="10" fontId="140" fillId="6" borderId="293" xfId="22" applyNumberFormat="1" applyFont="1" applyFill="1" applyBorder="1" applyAlignment="1" applyProtection="1">
      <alignment horizontal="center" vertical="center"/>
      <protection locked="0"/>
    </xf>
    <xf numFmtId="0" fontId="121" fillId="11" borderId="330" xfId="22" applyFont="1" applyFill="1" applyBorder="1" applyAlignment="1">
      <alignment horizontal="center" vertical="center" wrapText="1"/>
    </xf>
    <xf numFmtId="0" fontId="125" fillId="11" borderId="316" xfId="22" applyFont="1" applyFill="1" applyBorder="1" applyAlignment="1">
      <alignment horizontal="center" vertical="center" wrapText="1"/>
    </xf>
    <xf numFmtId="0" fontId="121" fillId="11" borderId="312" xfId="22" applyFont="1" applyFill="1" applyBorder="1" applyAlignment="1">
      <alignment horizontal="center" vertical="center" wrapText="1"/>
    </xf>
    <xf numFmtId="0" fontId="0" fillId="6" borderId="121" xfId="168" applyFont="1" applyFill="1" applyBorder="1" applyAlignment="1" applyProtection="1">
      <alignment horizontal="center" vertical="center" wrapText="1"/>
      <protection locked="0"/>
    </xf>
    <xf numFmtId="0" fontId="0" fillId="6" borderId="122" xfId="168" applyFont="1" applyFill="1" applyBorder="1" applyAlignment="1" applyProtection="1">
      <alignment horizontal="center" vertical="center" wrapText="1"/>
      <protection locked="0"/>
    </xf>
    <xf numFmtId="0" fontId="0" fillId="6" borderId="123" xfId="168" applyFont="1" applyFill="1" applyBorder="1" applyAlignment="1" applyProtection="1">
      <alignment horizontal="center" vertical="center" wrapText="1"/>
      <protection locked="0"/>
    </xf>
    <xf numFmtId="10" fontId="140" fillId="6" borderId="292" xfId="174" applyNumberFormat="1" applyFont="1" applyFill="1" applyBorder="1" applyAlignment="1" applyProtection="1">
      <alignment horizontal="center" vertical="center"/>
      <protection locked="0"/>
    </xf>
    <xf numFmtId="10" fontId="140" fillId="6" borderId="297" xfId="174" applyNumberFormat="1" applyFont="1" applyFill="1" applyBorder="1" applyAlignment="1" applyProtection="1">
      <alignment horizontal="center" vertical="center"/>
      <protection locked="0"/>
    </xf>
    <xf numFmtId="0" fontId="140" fillId="6" borderId="295" xfId="22" applyFont="1" applyFill="1" applyBorder="1" applyAlignment="1" applyProtection="1">
      <alignment horizontal="center" vertical="center"/>
      <protection locked="0"/>
    </xf>
    <xf numFmtId="0" fontId="140" fillId="6" borderId="293" xfId="22" applyFont="1" applyFill="1" applyBorder="1" applyAlignment="1" applyProtection="1">
      <alignment horizontal="center" vertical="center"/>
      <protection locked="0"/>
    </xf>
    <xf numFmtId="0" fontId="140" fillId="6" borderId="297" xfId="22" applyFont="1" applyFill="1" applyBorder="1" applyAlignment="1" applyProtection="1">
      <alignment horizontal="center" vertical="center"/>
      <protection locked="0"/>
    </xf>
    <xf numFmtId="0" fontId="0" fillId="11" borderId="0" xfId="170" applyFont="1" applyFill="1" applyAlignment="1">
      <alignment vertical="center" wrapText="1"/>
    </xf>
    <xf numFmtId="0" fontId="129" fillId="11" borderId="291" xfId="22" applyFont="1" applyFill="1" applyBorder="1" applyAlignment="1">
      <alignment horizontal="center" vertical="center" wrapText="1"/>
    </xf>
    <xf numFmtId="0" fontId="129" fillId="11" borderId="292" xfId="22" applyFont="1" applyFill="1" applyBorder="1" applyAlignment="1">
      <alignment horizontal="center" vertical="center" wrapText="1"/>
    </xf>
    <xf numFmtId="0" fontId="129" fillId="11" borderId="297" xfId="22" applyFont="1" applyFill="1" applyBorder="1" applyAlignment="1">
      <alignment horizontal="center" vertical="center" wrapText="1"/>
    </xf>
    <xf numFmtId="0" fontId="129" fillId="11" borderId="333" xfId="22" applyFont="1" applyFill="1" applyBorder="1" applyAlignment="1">
      <alignment horizontal="center" vertical="center" wrapText="1"/>
    </xf>
    <xf numFmtId="0" fontId="129" fillId="11" borderId="0" xfId="22" applyFont="1" applyFill="1" applyAlignment="1">
      <alignment horizontal="center" vertical="center" wrapText="1"/>
    </xf>
    <xf numFmtId="0" fontId="140" fillId="6" borderId="293" xfId="22" applyFont="1" applyFill="1" applyBorder="1" applyAlignment="1" applyProtection="1">
      <alignment horizontal="center" vertical="center" wrapText="1"/>
      <protection locked="0"/>
    </xf>
    <xf numFmtId="0" fontId="140" fillId="11" borderId="0" xfId="22" applyFont="1" applyFill="1" applyAlignment="1">
      <alignment horizontal="center" wrapText="1"/>
    </xf>
    <xf numFmtId="0" fontId="53" fillId="11" borderId="0" xfId="168" applyFont="1" applyFill="1" applyAlignment="1">
      <alignment horizontal="justify" vertical="top" wrapText="1"/>
    </xf>
    <xf numFmtId="0" fontId="140" fillId="11" borderId="0" xfId="22" applyFont="1" applyFill="1" applyAlignment="1">
      <alignment horizontal="center"/>
    </xf>
    <xf numFmtId="3" fontId="0" fillId="6" borderId="121" xfId="168" applyNumberFormat="1" applyFont="1" applyFill="1" applyBorder="1" applyAlignment="1" applyProtection="1">
      <alignment horizontal="center" vertical="center" wrapText="1"/>
      <protection locked="0"/>
    </xf>
    <xf numFmtId="3" fontId="0" fillId="6" borderId="122" xfId="168" applyNumberFormat="1" applyFont="1" applyFill="1" applyBorder="1" applyAlignment="1" applyProtection="1">
      <alignment horizontal="center" vertical="center" wrapText="1"/>
      <protection locked="0"/>
    </xf>
    <xf numFmtId="3" fontId="0" fillId="6" borderId="123" xfId="168" applyNumberFormat="1" applyFont="1" applyFill="1" applyBorder="1" applyAlignment="1" applyProtection="1">
      <alignment horizontal="center" vertical="center" wrapText="1"/>
      <protection locked="0"/>
    </xf>
    <xf numFmtId="0" fontId="140" fillId="11" borderId="322" xfId="22" applyFont="1" applyFill="1" applyBorder="1" applyAlignment="1">
      <alignment horizontal="left" vertical="center" wrapText="1" indent="1"/>
    </xf>
    <xf numFmtId="0" fontId="140" fillId="11" borderId="304" xfId="22" applyFont="1" applyFill="1" applyBorder="1" applyAlignment="1">
      <alignment horizontal="left" vertical="center" wrapText="1" indent="1"/>
    </xf>
    <xf numFmtId="0" fontId="140" fillId="11" borderId="305" xfId="22" applyFont="1" applyFill="1" applyBorder="1" applyAlignment="1">
      <alignment horizontal="left" vertical="center" wrapText="1" indent="1"/>
    </xf>
    <xf numFmtId="0" fontId="140" fillId="11" borderId="291" xfId="22" applyFont="1" applyFill="1" applyBorder="1" applyAlignment="1">
      <alignment horizontal="left" vertical="center" wrapText="1" indent="1"/>
    </xf>
    <xf numFmtId="0" fontId="140" fillId="11" borderId="292" xfId="22" applyFont="1" applyFill="1" applyBorder="1" applyAlignment="1">
      <alignment horizontal="left" vertical="center" wrapText="1" indent="1"/>
    </xf>
    <xf numFmtId="0" fontId="140" fillId="11" borderId="297" xfId="22" applyFont="1" applyFill="1" applyBorder="1" applyAlignment="1">
      <alignment horizontal="left" vertical="center" wrapText="1" indent="1"/>
    </xf>
    <xf numFmtId="3" fontId="140" fillId="6" borderId="293" xfId="22" applyNumberFormat="1" applyFont="1" applyFill="1" applyBorder="1" applyAlignment="1" applyProtection="1">
      <alignment horizontal="center" vertical="center" wrapText="1"/>
      <protection locked="0"/>
    </xf>
    <xf numFmtId="3" fontId="140" fillId="6" borderId="297" xfId="22" applyNumberFormat="1" applyFont="1" applyFill="1" applyBorder="1" applyAlignment="1" applyProtection="1">
      <alignment horizontal="center" vertical="center" wrapText="1"/>
      <protection locked="0"/>
    </xf>
    <xf numFmtId="3" fontId="140" fillId="6" borderId="322" xfId="22" applyNumberFormat="1" applyFont="1" applyFill="1" applyBorder="1" applyAlignment="1" applyProtection="1">
      <alignment horizontal="center" vertical="center" wrapText="1"/>
      <protection locked="0"/>
    </xf>
    <xf numFmtId="3" fontId="140" fillId="6" borderId="304" xfId="22" applyNumberFormat="1" applyFont="1" applyFill="1" applyBorder="1" applyAlignment="1" applyProtection="1">
      <alignment horizontal="center" vertical="center" wrapText="1"/>
      <protection locked="0"/>
    </xf>
    <xf numFmtId="3" fontId="140" fillId="6" borderId="319" xfId="22" applyNumberFormat="1" applyFont="1" applyFill="1" applyBorder="1" applyAlignment="1" applyProtection="1">
      <alignment horizontal="center" vertical="center" wrapText="1"/>
      <protection locked="0"/>
    </xf>
    <xf numFmtId="3" fontId="140" fillId="6" borderId="303" xfId="22" applyNumberFormat="1" applyFont="1" applyFill="1" applyBorder="1" applyAlignment="1" applyProtection="1">
      <alignment horizontal="center" vertical="center" wrapText="1"/>
      <protection locked="0"/>
    </xf>
    <xf numFmtId="3" fontId="140" fillId="6" borderId="305" xfId="22" applyNumberFormat="1" applyFont="1" applyFill="1" applyBorder="1" applyAlignment="1" applyProtection="1">
      <alignment horizontal="center" vertical="center" wrapText="1"/>
      <protection locked="0"/>
    </xf>
    <xf numFmtId="0" fontId="39" fillId="6" borderId="27" xfId="169" applyFont="1" applyFill="1" applyBorder="1" applyAlignment="1" applyProtection="1">
      <alignment horizontal="center" vertical="center"/>
      <protection locked="0"/>
    </xf>
    <xf numFmtId="0" fontId="129" fillId="11" borderId="279" xfId="22" applyFont="1" applyFill="1" applyBorder="1" applyAlignment="1">
      <alignment horizontal="center" vertical="center" wrapText="1"/>
    </xf>
    <xf numFmtId="0" fontId="129" fillId="11" borderId="280" xfId="22" applyFont="1" applyFill="1" applyBorder="1" applyAlignment="1">
      <alignment horizontal="center" vertical="center" wrapText="1"/>
    </xf>
    <xf numFmtId="0" fontId="129" fillId="11" borderId="274" xfId="22" applyFont="1" applyFill="1" applyBorder="1" applyAlignment="1">
      <alignment horizontal="center" vertical="center" shrinkToFit="1"/>
    </xf>
    <xf numFmtId="0" fontId="129" fillId="11" borderId="301" xfId="22" applyFont="1" applyFill="1" applyBorder="1" applyAlignment="1">
      <alignment horizontal="center" vertical="center" shrinkToFit="1"/>
    </xf>
    <xf numFmtId="0" fontId="129" fillId="11" borderId="275" xfId="22" applyFont="1" applyFill="1" applyBorder="1" applyAlignment="1">
      <alignment horizontal="center" vertical="center" shrinkToFit="1"/>
    </xf>
    <xf numFmtId="0" fontId="129" fillId="11" borderId="302" xfId="22" applyFont="1" applyFill="1" applyBorder="1" applyAlignment="1">
      <alignment horizontal="center" vertical="center" shrinkToFit="1"/>
    </xf>
    <xf numFmtId="0" fontId="157" fillId="6" borderId="0" xfId="13" applyFont="1" applyFill="1" applyAlignment="1" applyProtection="1">
      <alignment horizontal="center" vertical="top"/>
      <protection locked="0"/>
    </xf>
    <xf numFmtId="0" fontId="157" fillId="6" borderId="67" xfId="13" applyFont="1" applyFill="1" applyBorder="1" applyAlignment="1" applyProtection="1">
      <alignment horizontal="center" vertical="top"/>
      <protection locked="0"/>
    </xf>
    <xf numFmtId="0" fontId="157" fillId="6" borderId="38" xfId="13" applyFont="1" applyFill="1" applyBorder="1" applyAlignment="1" applyProtection="1">
      <alignment horizontal="center" vertical="top"/>
      <protection locked="0"/>
    </xf>
    <xf numFmtId="0" fontId="157" fillId="6" borderId="280" xfId="13" applyFont="1" applyFill="1" applyBorder="1" applyAlignment="1" applyProtection="1">
      <alignment horizontal="center" vertical="top"/>
      <protection locked="0"/>
    </xf>
    <xf numFmtId="0" fontId="129" fillId="11" borderId="0" xfId="22" applyFont="1" applyFill="1" applyAlignment="1">
      <alignment horizontal="center" vertical="center" shrinkToFit="1"/>
    </xf>
    <xf numFmtId="0" fontId="129" fillId="11" borderId="280" xfId="22" applyFont="1" applyFill="1" applyBorder="1" applyAlignment="1">
      <alignment horizontal="center" vertical="center" shrinkToFit="1"/>
    </xf>
    <xf numFmtId="0" fontId="157" fillId="6" borderId="292" xfId="13" applyFont="1" applyFill="1" applyBorder="1" applyAlignment="1" applyProtection="1">
      <alignment horizontal="center" vertical="top"/>
      <protection locked="0"/>
    </xf>
    <xf numFmtId="0" fontId="157" fillId="6" borderId="297" xfId="13" applyFont="1" applyFill="1" applyBorder="1" applyAlignment="1" applyProtection="1">
      <alignment horizontal="center" vertical="top"/>
      <protection locked="0"/>
    </xf>
    <xf numFmtId="0" fontId="129" fillId="11" borderId="67" xfId="22" applyFont="1" applyFill="1" applyBorder="1" applyAlignment="1">
      <alignment horizontal="center" vertical="center" shrinkToFit="1"/>
    </xf>
    <xf numFmtId="0" fontId="129" fillId="11" borderId="38" xfId="22" applyFont="1" applyFill="1" applyBorder="1" applyAlignment="1">
      <alignment horizontal="center" vertical="center" shrinkToFit="1"/>
    </xf>
    <xf numFmtId="0" fontId="157" fillId="6" borderId="294" xfId="13" applyFont="1" applyFill="1" applyBorder="1" applyAlignment="1" applyProtection="1">
      <alignment horizontal="center" vertical="top"/>
      <protection locked="0"/>
    </xf>
    <xf numFmtId="0" fontId="157" fillId="6" borderId="293" xfId="13" applyFont="1" applyFill="1" applyBorder="1" applyAlignment="1" applyProtection="1">
      <alignment horizontal="center" vertical="top"/>
      <protection locked="0"/>
    </xf>
    <xf numFmtId="0" fontId="129" fillId="11" borderId="300" xfId="22" applyFont="1" applyFill="1" applyBorder="1" applyAlignment="1">
      <alignment horizontal="left" vertical="center" indent="1"/>
    </xf>
    <xf numFmtId="0" fontId="129" fillId="11" borderId="277" xfId="22" applyFont="1" applyFill="1" applyBorder="1" applyAlignment="1">
      <alignment horizontal="left" vertical="center" indent="1"/>
    </xf>
    <xf numFmtId="0" fontId="129" fillId="11" borderId="278" xfId="22" applyFont="1" applyFill="1" applyBorder="1" applyAlignment="1">
      <alignment horizontal="left" vertical="center" indent="1"/>
    </xf>
    <xf numFmtId="0" fontId="129" fillId="9" borderId="300" xfId="22" applyFont="1" applyFill="1" applyBorder="1" applyAlignment="1">
      <alignment horizontal="center" vertical="center" wrapText="1"/>
    </xf>
    <xf numFmtId="0" fontId="129" fillId="9" borderId="277" xfId="22" applyFont="1" applyFill="1" applyBorder="1" applyAlignment="1">
      <alignment horizontal="center" vertical="center" wrapText="1"/>
    </xf>
    <xf numFmtId="0" fontId="129" fillId="9" borderId="278" xfId="22" applyFont="1" applyFill="1" applyBorder="1" applyAlignment="1">
      <alignment horizontal="center" vertical="center" wrapText="1"/>
    </xf>
    <xf numFmtId="0" fontId="140" fillId="11" borderId="286" xfId="22" applyFont="1" applyFill="1" applyBorder="1" applyAlignment="1">
      <alignment horizontal="left" vertical="center" wrapText="1" indent="2"/>
    </xf>
    <xf numFmtId="0" fontId="140" fillId="11" borderId="27" xfId="22" applyFont="1" applyFill="1" applyBorder="1" applyAlignment="1">
      <alignment horizontal="left" vertical="center" wrapText="1" indent="2"/>
    </xf>
    <xf numFmtId="0" fontId="140" fillId="11" borderId="281" xfId="22" applyFont="1" applyFill="1" applyBorder="1" applyAlignment="1">
      <alignment horizontal="left" vertical="center" wrapText="1" indent="2"/>
    </xf>
    <xf numFmtId="3" fontId="140" fillId="6" borderId="27" xfId="22" applyNumberFormat="1" applyFont="1" applyFill="1" applyBorder="1" applyAlignment="1" applyProtection="1">
      <alignment horizontal="center" vertical="center" wrapText="1"/>
      <protection locked="0"/>
    </xf>
    <xf numFmtId="3" fontId="140" fillId="6" borderId="173" xfId="22" applyNumberFormat="1" applyFont="1" applyFill="1" applyBorder="1" applyAlignment="1" applyProtection="1">
      <alignment horizontal="center" vertical="center" wrapText="1"/>
      <protection locked="0"/>
    </xf>
    <xf numFmtId="3" fontId="140" fillId="6" borderId="172" xfId="22" applyNumberFormat="1" applyFont="1" applyFill="1" applyBorder="1" applyAlignment="1" applyProtection="1">
      <alignment horizontal="center" vertical="center" wrapText="1"/>
      <protection locked="0"/>
    </xf>
    <xf numFmtId="3" fontId="140" fillId="6" borderId="174" xfId="22" applyNumberFormat="1" applyFont="1" applyFill="1" applyBorder="1" applyAlignment="1" applyProtection="1">
      <alignment horizontal="center" vertical="center" wrapText="1"/>
      <protection locked="0"/>
    </xf>
    <xf numFmtId="3" fontId="140" fillId="6" borderId="281" xfId="22" applyNumberFormat="1" applyFont="1" applyFill="1" applyBorder="1" applyAlignment="1" applyProtection="1">
      <alignment horizontal="center" vertical="center" wrapText="1"/>
      <protection locked="0"/>
    </xf>
    <xf numFmtId="0" fontId="140" fillId="11" borderId="291" xfId="22" applyFont="1" applyFill="1" applyBorder="1" applyAlignment="1">
      <alignment horizontal="left" vertical="center" wrapText="1" indent="2"/>
    </xf>
    <xf numFmtId="0" fontId="140" fillId="11" borderId="292" xfId="22" applyFont="1" applyFill="1" applyBorder="1" applyAlignment="1">
      <alignment horizontal="left" vertical="center" wrapText="1" indent="2"/>
    </xf>
    <xf numFmtId="0" fontId="140" fillId="11" borderId="297" xfId="22" applyFont="1" applyFill="1" applyBorder="1" applyAlignment="1">
      <alignment horizontal="left" vertical="center" wrapText="1" indent="2"/>
    </xf>
    <xf numFmtId="3" fontId="140" fillId="6" borderId="326" xfId="22" applyNumberFormat="1" applyFont="1" applyFill="1" applyBorder="1" applyAlignment="1" applyProtection="1">
      <alignment horizontal="center" vertical="center" wrapText="1"/>
      <protection locked="0"/>
    </xf>
    <xf numFmtId="3" fontId="140" fillId="6" borderId="327" xfId="22" applyNumberFormat="1" applyFont="1" applyFill="1" applyBorder="1" applyAlignment="1" applyProtection="1">
      <alignment horizontal="center" vertical="center" wrapText="1"/>
      <protection locked="0"/>
    </xf>
    <xf numFmtId="3" fontId="140" fillId="6" borderId="328" xfId="22" applyNumberFormat="1" applyFont="1" applyFill="1" applyBorder="1" applyAlignment="1" applyProtection="1">
      <alignment horizontal="center" vertical="center" wrapText="1"/>
      <protection locked="0"/>
    </xf>
    <xf numFmtId="0" fontId="0" fillId="11" borderId="0" xfId="169" applyFont="1" applyFill="1" applyAlignment="1">
      <alignment vertical="top" wrapText="1"/>
    </xf>
    <xf numFmtId="0" fontId="0" fillId="11" borderId="0" xfId="169" applyFont="1" applyFill="1" applyAlignment="1">
      <alignment vertical="center" wrapText="1"/>
    </xf>
    <xf numFmtId="0" fontId="0" fillId="11" borderId="0" xfId="170" applyFont="1" applyFill="1" applyAlignment="1">
      <alignment horizontal="justify" vertical="center" wrapText="1"/>
    </xf>
    <xf numFmtId="0" fontId="0" fillId="11" borderId="0" xfId="168" applyFont="1" applyFill="1" applyAlignment="1">
      <alignment vertical="center" wrapText="1"/>
    </xf>
    <xf numFmtId="0" fontId="72" fillId="11" borderId="0" xfId="11" applyFont="1" applyFill="1" applyAlignment="1">
      <alignment horizontal="justify" vertical="center"/>
    </xf>
    <xf numFmtId="0" fontId="53" fillId="11" borderId="0" xfId="15" applyFont="1" applyFill="1" applyAlignment="1">
      <alignment horizontal="center"/>
    </xf>
    <xf numFmtId="0" fontId="53" fillId="11" borderId="27" xfId="15" applyFont="1" applyFill="1" applyBorder="1" applyAlignment="1">
      <alignment horizontal="center"/>
    </xf>
    <xf numFmtId="0" fontId="129" fillId="11" borderId="274" xfId="22" applyFont="1" applyFill="1" applyBorder="1" applyAlignment="1">
      <alignment horizontal="left" vertical="center" wrapText="1"/>
    </xf>
    <xf numFmtId="0" fontId="140" fillId="11" borderId="289" xfId="22" applyFont="1" applyFill="1" applyBorder="1" applyAlignment="1">
      <alignment horizontal="left" vertical="center" wrapText="1" indent="1"/>
    </xf>
    <xf numFmtId="0" fontId="140" fillId="11" borderId="5" xfId="22" applyFont="1" applyFill="1" applyBorder="1" applyAlignment="1">
      <alignment horizontal="left" vertical="center" wrapText="1" indent="1"/>
    </xf>
    <xf numFmtId="0" fontId="140" fillId="6" borderId="289" xfId="22" applyFont="1" applyFill="1" applyBorder="1" applyAlignment="1" applyProtection="1">
      <alignment horizontal="center" vertical="center" wrapText="1"/>
      <protection locked="0"/>
    </xf>
    <xf numFmtId="0" fontId="140" fillId="6" borderId="5" xfId="22" applyFont="1" applyFill="1" applyBorder="1" applyAlignment="1" applyProtection="1">
      <alignment horizontal="center" vertical="center" wrapText="1"/>
      <protection locked="0"/>
    </xf>
    <xf numFmtId="0" fontId="140" fillId="6" borderId="28" xfId="22" applyFont="1" applyFill="1" applyBorder="1" applyAlignment="1" applyProtection="1">
      <alignment horizontal="center" vertical="center" wrapText="1"/>
      <protection locked="0"/>
    </xf>
    <xf numFmtId="0" fontId="140" fillId="6" borderId="290" xfId="22" applyFont="1" applyFill="1" applyBorder="1" applyAlignment="1" applyProtection="1">
      <alignment horizontal="center" vertical="center" wrapText="1"/>
      <protection locked="0"/>
    </xf>
    <xf numFmtId="0" fontId="140" fillId="6" borderId="322" xfId="22" applyFont="1" applyFill="1" applyBorder="1" applyAlignment="1" applyProtection="1">
      <alignment horizontal="center" vertical="center" wrapText="1"/>
      <protection locked="0"/>
    </xf>
    <xf numFmtId="0" fontId="140" fillId="6" borderId="304" xfId="22" applyFont="1" applyFill="1" applyBorder="1" applyAlignment="1" applyProtection="1">
      <alignment horizontal="center" vertical="center" wrapText="1"/>
      <protection locked="0"/>
    </xf>
    <xf numFmtId="0" fontId="140" fillId="6" borderId="319" xfId="22" applyFont="1" applyFill="1" applyBorder="1" applyAlignment="1" applyProtection="1">
      <alignment horizontal="center" vertical="center" wrapText="1"/>
      <protection locked="0"/>
    </xf>
    <xf numFmtId="0" fontId="140" fillId="6" borderId="305" xfId="22" applyFont="1" applyFill="1" applyBorder="1" applyAlignment="1" applyProtection="1">
      <alignment horizontal="center" vertical="center" wrapText="1"/>
      <protection locked="0"/>
    </xf>
    <xf numFmtId="3" fontId="140" fillId="6" borderId="289" xfId="22" applyNumberFormat="1" applyFont="1" applyFill="1" applyBorder="1" applyAlignment="1" applyProtection="1">
      <alignment horizontal="center" vertical="center" wrapText="1"/>
      <protection locked="0"/>
    </xf>
    <xf numFmtId="3" fontId="140" fillId="6" borderId="5" xfId="22" applyNumberFormat="1" applyFont="1" applyFill="1" applyBorder="1" applyAlignment="1" applyProtection="1">
      <alignment horizontal="center" vertical="center" wrapText="1"/>
      <protection locked="0"/>
    </xf>
    <xf numFmtId="3" fontId="140" fillId="6" borderId="28" xfId="22" applyNumberFormat="1" applyFont="1" applyFill="1" applyBorder="1" applyAlignment="1" applyProtection="1">
      <alignment horizontal="center" vertical="center" wrapText="1"/>
      <protection locked="0"/>
    </xf>
    <xf numFmtId="3" fontId="140" fillId="6" borderId="290" xfId="22" applyNumberFormat="1" applyFont="1" applyFill="1" applyBorder="1" applyAlignment="1" applyProtection="1">
      <alignment horizontal="center" vertical="center" wrapText="1"/>
      <protection locked="0"/>
    </xf>
    <xf numFmtId="0" fontId="73" fillId="11" borderId="0" xfId="169" applyFont="1" applyFill="1" applyAlignment="1">
      <alignment horizontal="justify" vertical="top" wrapText="1"/>
    </xf>
    <xf numFmtId="0" fontId="68" fillId="11" borderId="331" xfId="169" applyFont="1" applyFill="1" applyBorder="1" applyAlignment="1">
      <alignment horizontal="center" vertical="center" wrapText="1"/>
    </xf>
    <xf numFmtId="0" fontId="68" fillId="11" borderId="332" xfId="169" applyFont="1" applyFill="1" applyBorder="1" applyAlignment="1">
      <alignment horizontal="center" vertical="center" wrapText="1"/>
    </xf>
    <xf numFmtId="0" fontId="68" fillId="11" borderId="334" xfId="169" applyFont="1" applyFill="1" applyBorder="1" applyAlignment="1">
      <alignment horizontal="center" vertical="center" wrapText="1"/>
    </xf>
    <xf numFmtId="0" fontId="68" fillId="11" borderId="338" xfId="13" applyFont="1" applyFill="1" applyBorder="1" applyAlignment="1">
      <alignment horizontal="center" vertical="center"/>
    </xf>
    <xf numFmtId="0" fontId="68" fillId="11" borderId="339" xfId="13" applyFont="1" applyFill="1" applyBorder="1" applyAlignment="1">
      <alignment horizontal="center" vertical="center"/>
    </xf>
    <xf numFmtId="0" fontId="68" fillId="11" borderId="335" xfId="13" applyFont="1" applyFill="1" applyBorder="1" applyAlignment="1">
      <alignment horizontal="center" vertical="center"/>
    </xf>
    <xf numFmtId="0" fontId="68" fillId="11" borderId="337" xfId="13" applyFont="1" applyFill="1" applyBorder="1" applyAlignment="1">
      <alignment horizontal="center" vertical="center"/>
    </xf>
    <xf numFmtId="0" fontId="68" fillId="11" borderId="340" xfId="13" applyFont="1" applyFill="1" applyBorder="1" applyAlignment="1">
      <alignment horizontal="center" vertical="center"/>
    </xf>
    <xf numFmtId="0" fontId="73" fillId="11" borderId="286" xfId="169" applyFont="1" applyFill="1" applyBorder="1" applyAlignment="1">
      <alignment horizontal="left" vertical="center" indent="2"/>
    </xf>
    <xf numFmtId="0" fontId="73" fillId="11" borderId="27" xfId="169" applyFont="1" applyFill="1" applyBorder="1" applyAlignment="1">
      <alignment horizontal="left" vertical="center" indent="2"/>
    </xf>
    <xf numFmtId="0" fontId="73" fillId="11" borderId="281" xfId="169" applyFont="1" applyFill="1" applyBorder="1" applyAlignment="1">
      <alignment horizontal="left" vertical="center" indent="2"/>
    </xf>
    <xf numFmtId="0" fontId="39" fillId="6" borderId="29" xfId="169" applyFont="1" applyFill="1" applyBorder="1" applyAlignment="1" applyProtection="1">
      <alignment horizontal="center" vertical="center" wrapText="1"/>
      <protection locked="0"/>
    </xf>
    <xf numFmtId="0" fontId="39" fillId="6" borderId="30" xfId="169" applyFont="1" applyFill="1" applyBorder="1" applyAlignment="1" applyProtection="1">
      <alignment horizontal="center" vertical="center" wrapText="1"/>
      <protection locked="0"/>
    </xf>
    <xf numFmtId="0" fontId="39" fillId="6" borderId="173" xfId="169" applyFont="1" applyFill="1" applyBorder="1" applyAlignment="1" applyProtection="1">
      <alignment horizontal="center" vertical="center" wrapText="1"/>
      <protection locked="0"/>
    </xf>
    <xf numFmtId="0" fontId="39" fillId="6" borderId="174" xfId="169" applyFont="1" applyFill="1" applyBorder="1" applyAlignment="1" applyProtection="1">
      <alignment horizontal="center" vertical="center" wrapText="1"/>
      <protection locked="0"/>
    </xf>
    <xf numFmtId="0" fontId="39" fillId="6" borderId="341" xfId="169" applyFont="1" applyFill="1" applyBorder="1" applyAlignment="1" applyProtection="1">
      <alignment horizontal="center" vertical="center" wrapText="1"/>
      <protection locked="0"/>
    </xf>
    <xf numFmtId="0" fontId="73" fillId="11" borderId="289" xfId="169" applyFont="1" applyFill="1" applyBorder="1" applyAlignment="1">
      <alignment horizontal="left" vertical="center" indent="2"/>
    </xf>
    <xf numFmtId="0" fontId="73" fillId="11" borderId="5" xfId="169" applyFont="1" applyFill="1" applyBorder="1" applyAlignment="1">
      <alignment horizontal="left" vertical="center" indent="2"/>
    </xf>
    <xf numFmtId="0" fontId="73" fillId="11" borderId="290" xfId="169" applyFont="1" applyFill="1" applyBorder="1" applyAlignment="1">
      <alignment horizontal="left" vertical="center" indent="2"/>
    </xf>
    <xf numFmtId="0" fontId="39" fillId="6" borderId="34" xfId="169" applyFont="1" applyFill="1" applyBorder="1" applyAlignment="1" applyProtection="1">
      <alignment horizontal="center" vertical="center" wrapText="1"/>
      <protection locked="0"/>
    </xf>
    <xf numFmtId="0" fontId="39" fillId="6" borderId="35" xfId="169" applyFont="1" applyFill="1" applyBorder="1" applyAlignment="1" applyProtection="1">
      <alignment horizontal="center" vertical="center" wrapText="1"/>
      <protection locked="0"/>
    </xf>
    <xf numFmtId="0" fontId="39" fillId="6" borderId="152" xfId="169" applyFont="1" applyFill="1" applyBorder="1" applyAlignment="1" applyProtection="1">
      <alignment horizontal="center" vertical="center" wrapText="1"/>
      <protection locked="0"/>
    </xf>
    <xf numFmtId="0" fontId="39" fillId="6" borderId="153" xfId="169" applyFont="1" applyFill="1" applyBorder="1" applyAlignment="1" applyProtection="1">
      <alignment horizontal="center" vertical="center" wrapText="1"/>
      <protection locked="0"/>
    </xf>
    <xf numFmtId="0" fontId="39" fillId="6" borderId="342" xfId="169" applyFont="1" applyFill="1" applyBorder="1" applyAlignment="1" applyProtection="1">
      <alignment horizontal="center" vertical="center" wrapText="1"/>
      <protection locked="0"/>
    </xf>
    <xf numFmtId="0" fontId="39" fillId="6" borderId="343" xfId="169" applyFont="1" applyFill="1" applyBorder="1" applyAlignment="1" applyProtection="1">
      <alignment horizontal="center" vertical="center" wrapText="1"/>
      <protection locked="0"/>
    </xf>
    <xf numFmtId="0" fontId="39" fillId="6" borderId="344" xfId="169" applyFont="1" applyFill="1" applyBorder="1" applyAlignment="1" applyProtection="1">
      <alignment horizontal="center" vertical="center" wrapText="1"/>
      <protection locked="0"/>
    </xf>
    <xf numFmtId="0" fontId="39" fillId="6" borderId="309" xfId="169" applyFont="1" applyFill="1" applyBorder="1" applyAlignment="1" applyProtection="1">
      <alignment horizontal="center" vertical="center" wrapText="1"/>
      <protection locked="0"/>
    </xf>
    <xf numFmtId="0" fontId="39" fillId="6" borderId="345" xfId="169" applyFont="1" applyFill="1" applyBorder="1" applyAlignment="1" applyProtection="1">
      <alignment horizontal="center" vertical="center" wrapText="1"/>
      <protection locked="0"/>
    </xf>
    <xf numFmtId="0" fontId="73" fillId="11" borderId="323" xfId="169" applyFont="1" applyFill="1" applyBorder="1" applyAlignment="1">
      <alignment horizontal="left" vertical="center" indent="2"/>
    </xf>
    <xf numFmtId="0" fontId="73" fillId="11" borderId="306" xfId="169" applyFont="1" applyFill="1" applyBorder="1" applyAlignment="1">
      <alignment horizontal="left" vertical="center" indent="2"/>
    </xf>
    <xf numFmtId="0" fontId="73" fillId="11" borderId="307" xfId="169" applyFont="1" applyFill="1" applyBorder="1" applyAlignment="1">
      <alignment horizontal="left" vertical="center" indent="2"/>
    </xf>
    <xf numFmtId="0" fontId="39" fillId="6" borderId="310" xfId="169" applyFont="1" applyFill="1" applyBorder="1" applyAlignment="1" applyProtection="1">
      <alignment horizontal="center" vertical="center" wrapText="1"/>
      <protection locked="0"/>
    </xf>
    <xf numFmtId="0" fontId="52" fillId="11" borderId="0" xfId="15" applyFont="1" applyFill="1" applyAlignment="1">
      <alignment horizontal="center" wrapText="1"/>
    </xf>
    <xf numFmtId="0" fontId="52" fillId="11" borderId="27" xfId="15" applyFont="1" applyFill="1" applyBorder="1" applyAlignment="1">
      <alignment horizontal="center" wrapText="1"/>
    </xf>
    <xf numFmtId="0" fontId="39" fillId="11" borderId="0" xfId="170" applyFont="1" applyFill="1" applyAlignment="1">
      <alignment horizontal="justify" vertical="center"/>
    </xf>
    <xf numFmtId="0" fontId="0" fillId="0" borderId="121" xfId="168" applyFont="1" applyBorder="1" applyAlignment="1" applyProtection="1">
      <alignment horizontal="center" vertical="center" wrapText="1"/>
      <protection locked="0"/>
    </xf>
    <xf numFmtId="0" fontId="0" fillId="0" borderId="122" xfId="168" applyFont="1" applyBorder="1" applyAlignment="1" applyProtection="1">
      <alignment horizontal="center" vertical="center" wrapText="1"/>
      <protection locked="0"/>
    </xf>
    <xf numFmtId="0" fontId="0" fillId="0" borderId="123" xfId="168" applyFont="1" applyBorder="1" applyAlignment="1" applyProtection="1">
      <alignment horizontal="center" vertical="center" wrapText="1"/>
      <protection locked="0"/>
    </xf>
    <xf numFmtId="0" fontId="140" fillId="11" borderId="290" xfId="22" applyFont="1" applyFill="1" applyBorder="1" applyAlignment="1">
      <alignment horizontal="left" vertical="center" wrapText="1" indent="1"/>
    </xf>
    <xf numFmtId="0" fontId="140" fillId="0" borderId="289" xfId="22" applyFont="1" applyBorder="1" applyAlignment="1" applyProtection="1">
      <alignment horizontal="center" vertical="center" wrapText="1"/>
      <protection locked="0"/>
    </xf>
    <xf numFmtId="0" fontId="140" fillId="0" borderId="5" xfId="22" applyFont="1" applyBorder="1" applyAlignment="1" applyProtection="1">
      <alignment horizontal="center" vertical="center" wrapText="1"/>
      <protection locked="0"/>
    </xf>
    <xf numFmtId="0" fontId="140" fillId="0" borderId="28" xfId="22" applyFont="1" applyBorder="1" applyAlignment="1" applyProtection="1">
      <alignment horizontal="center" vertical="center" wrapText="1"/>
      <protection locked="0"/>
    </xf>
    <xf numFmtId="175" fontId="140" fillId="0" borderId="5" xfId="22" applyNumberFormat="1" applyFont="1" applyBorder="1" applyAlignment="1" applyProtection="1">
      <alignment horizontal="center" vertical="center" wrapText="1"/>
      <protection locked="0"/>
    </xf>
    <xf numFmtId="175" fontId="140" fillId="0" borderId="290" xfId="22" applyNumberFormat="1" applyFont="1" applyBorder="1" applyAlignment="1" applyProtection="1">
      <alignment horizontal="center" vertical="center" wrapText="1"/>
      <protection locked="0"/>
    </xf>
    <xf numFmtId="0" fontId="140" fillId="0" borderId="290" xfId="22" applyFont="1" applyBorder="1" applyAlignment="1" applyProtection="1">
      <alignment horizontal="center" vertical="center" wrapText="1"/>
      <protection locked="0"/>
    </xf>
    <xf numFmtId="3" fontId="140" fillId="0" borderId="5" xfId="22" applyNumberFormat="1" applyFont="1" applyBorder="1" applyAlignment="1" applyProtection="1">
      <alignment horizontal="center" vertical="center" wrapText="1"/>
      <protection locked="0"/>
    </xf>
    <xf numFmtId="3" fontId="140" fillId="0" borderId="290" xfId="22" applyNumberFormat="1" applyFont="1" applyBorder="1" applyAlignment="1" applyProtection="1">
      <alignment horizontal="center" vertical="center" wrapText="1"/>
      <protection locked="0"/>
    </xf>
    <xf numFmtId="0" fontId="140" fillId="0" borderId="322" xfId="22" applyFont="1" applyBorder="1" applyAlignment="1" applyProtection="1">
      <alignment horizontal="center" vertical="center" wrapText="1"/>
      <protection locked="0"/>
    </xf>
    <xf numFmtId="0" fontId="140" fillId="0" borderId="304" xfId="22" applyFont="1" applyBorder="1" applyAlignment="1" applyProtection="1">
      <alignment horizontal="center" vertical="center" wrapText="1"/>
      <protection locked="0"/>
    </xf>
    <xf numFmtId="0" fontId="140" fillId="0" borderId="319" xfId="22" applyFont="1" applyBorder="1" applyAlignment="1" applyProtection="1">
      <alignment horizontal="center" vertical="center" wrapText="1"/>
      <protection locked="0"/>
    </xf>
    <xf numFmtId="175" fontId="140" fillId="0" borderId="304" xfId="22" applyNumberFormat="1" applyFont="1" applyBorder="1" applyAlignment="1" applyProtection="1">
      <alignment horizontal="center" vertical="center" wrapText="1"/>
      <protection locked="0"/>
    </xf>
    <xf numFmtId="175" fontId="140" fillId="0" borderId="305" xfId="22" applyNumberFormat="1" applyFont="1" applyBorder="1" applyAlignment="1" applyProtection="1">
      <alignment horizontal="center" vertical="center" wrapText="1"/>
      <protection locked="0"/>
    </xf>
    <xf numFmtId="0" fontId="140" fillId="0" borderId="305" xfId="22" applyFont="1" applyBorder="1" applyAlignment="1" applyProtection="1">
      <alignment horizontal="center" vertical="center" wrapText="1"/>
      <protection locked="0"/>
    </xf>
    <xf numFmtId="0" fontId="140" fillId="0" borderId="292" xfId="22" applyFont="1" applyBorder="1" applyAlignment="1" applyProtection="1">
      <alignment horizontal="center" vertical="center" wrapText="1"/>
      <protection locked="0"/>
    </xf>
    <xf numFmtId="0" fontId="140" fillId="0" borderId="297" xfId="22" applyFont="1" applyBorder="1" applyAlignment="1" applyProtection="1">
      <alignment horizontal="center" vertical="center" wrapText="1"/>
      <protection locked="0"/>
    </xf>
    <xf numFmtId="0" fontId="140" fillId="11" borderId="279" xfId="22" applyFont="1" applyFill="1" applyBorder="1" applyAlignment="1">
      <alignment horizontal="left" vertical="center" wrapText="1" indent="1"/>
    </xf>
    <xf numFmtId="0" fontId="140" fillId="11" borderId="0" xfId="22" applyFont="1" applyFill="1" applyAlignment="1">
      <alignment horizontal="left" vertical="center" wrapText="1" indent="1"/>
    </xf>
    <xf numFmtId="0" fontId="140" fillId="11" borderId="280" xfId="22" applyFont="1" applyFill="1" applyBorder="1" applyAlignment="1">
      <alignment horizontal="left" vertical="center" wrapText="1" indent="1"/>
    </xf>
    <xf numFmtId="0" fontId="140" fillId="0" borderId="279" xfId="22" applyFont="1" applyBorder="1" applyAlignment="1" applyProtection="1">
      <alignment horizontal="center" vertical="center" wrapText="1"/>
      <protection locked="0"/>
    </xf>
    <xf numFmtId="0" fontId="140" fillId="0" borderId="0" xfId="22" applyFont="1" applyAlignment="1" applyProtection="1">
      <alignment horizontal="center" vertical="center" wrapText="1"/>
      <protection locked="0"/>
    </xf>
    <xf numFmtId="0" fontId="140" fillId="0" borderId="38" xfId="22" applyFont="1" applyBorder="1" applyAlignment="1" applyProtection="1">
      <alignment horizontal="center" vertical="center" wrapText="1"/>
      <protection locked="0"/>
    </xf>
    <xf numFmtId="0" fontId="140" fillId="0" borderId="291" xfId="22" applyFont="1" applyBorder="1" applyAlignment="1" applyProtection="1">
      <alignment horizontal="center" vertical="center" wrapText="1"/>
      <protection locked="0"/>
    </xf>
    <xf numFmtId="0" fontId="140" fillId="0" borderId="293" xfId="22" applyFont="1" applyBorder="1" applyAlignment="1" applyProtection="1">
      <alignment horizontal="center" vertical="center" wrapText="1"/>
      <protection locked="0"/>
    </xf>
    <xf numFmtId="175" fontId="140" fillId="0" borderId="0" xfId="22" applyNumberFormat="1" applyFont="1" applyAlignment="1" applyProtection="1">
      <alignment horizontal="center" vertical="center" wrapText="1"/>
      <protection locked="0"/>
    </xf>
    <xf numFmtId="175" fontId="140" fillId="0" borderId="280" xfId="22" applyNumberFormat="1" applyFont="1" applyBorder="1" applyAlignment="1" applyProtection="1">
      <alignment horizontal="center" vertical="center" wrapText="1"/>
      <protection locked="0"/>
    </xf>
    <xf numFmtId="175" fontId="140" fillId="0" borderId="292" xfId="22" applyNumberFormat="1" applyFont="1" applyBorder="1" applyAlignment="1" applyProtection="1">
      <alignment horizontal="center" vertical="center" wrapText="1"/>
      <protection locked="0"/>
    </xf>
    <xf numFmtId="175" fontId="140" fillId="0" borderId="297" xfId="22" applyNumberFormat="1" applyFont="1" applyBorder="1" applyAlignment="1" applyProtection="1">
      <alignment horizontal="center" vertical="center" wrapText="1"/>
      <protection locked="0"/>
    </xf>
    <xf numFmtId="3" fontId="140" fillId="0" borderId="289" xfId="22" applyNumberFormat="1" applyFont="1" applyBorder="1" applyAlignment="1" applyProtection="1">
      <alignment horizontal="center" vertical="center" wrapText="1"/>
      <protection locked="0"/>
    </xf>
    <xf numFmtId="3" fontId="140" fillId="0" borderId="28" xfId="22" applyNumberFormat="1" applyFont="1" applyBorder="1" applyAlignment="1" applyProtection="1">
      <alignment horizontal="center" vertical="center" wrapText="1"/>
      <protection locked="0"/>
    </xf>
    <xf numFmtId="0" fontId="39" fillId="11" borderId="306" xfId="164" quotePrefix="1" applyFill="1" applyBorder="1" applyAlignment="1">
      <alignment vertical="top" wrapText="1"/>
    </xf>
    <xf numFmtId="0" fontId="39" fillId="11" borderId="307" xfId="164" quotePrefix="1" applyFill="1" applyBorder="1" applyAlignment="1">
      <alignment vertical="top" wrapText="1"/>
    </xf>
    <xf numFmtId="0" fontId="39" fillId="0" borderId="323" xfId="164" applyBorder="1" applyAlignment="1" applyProtection="1">
      <alignment horizontal="center" vertical="center"/>
      <protection locked="0"/>
    </xf>
    <xf numFmtId="0" fontId="39" fillId="0" borderId="306" xfId="164" applyBorder="1" applyAlignment="1" applyProtection="1">
      <alignment horizontal="center" vertical="center"/>
      <protection locked="0"/>
    </xf>
    <xf numFmtId="0" fontId="39" fillId="0" borderId="309" xfId="164" applyBorder="1" applyAlignment="1" applyProtection="1">
      <alignment horizontal="center" vertical="center"/>
      <protection locked="0"/>
    </xf>
    <xf numFmtId="0" fontId="39" fillId="0" borderId="310" xfId="164" applyBorder="1" applyAlignment="1" applyProtection="1">
      <alignment horizontal="center" vertical="center"/>
      <protection locked="0"/>
    </xf>
    <xf numFmtId="0" fontId="39" fillId="0" borderId="307" xfId="164" applyBorder="1" applyAlignment="1" applyProtection="1">
      <alignment horizontal="center" vertical="center"/>
      <protection locked="0"/>
    </xf>
    <xf numFmtId="0" fontId="0" fillId="11" borderId="0" xfId="168" applyFont="1" applyFill="1" applyAlignment="1">
      <alignment wrapText="1"/>
    </xf>
    <xf numFmtId="0" fontId="41" fillId="11" borderId="273" xfId="164" applyFont="1" applyFill="1" applyBorder="1" applyAlignment="1">
      <alignment horizontal="center" vertical="center" wrapText="1"/>
    </xf>
    <xf numFmtId="0" fontId="41" fillId="11" borderId="274" xfId="164" applyFont="1" applyFill="1" applyBorder="1" applyAlignment="1">
      <alignment horizontal="center" vertical="center" wrapText="1"/>
    </xf>
    <xf numFmtId="0" fontId="41" fillId="11" borderId="302" xfId="164" applyFont="1" applyFill="1" applyBorder="1" applyAlignment="1">
      <alignment horizontal="center" vertical="center" wrapText="1"/>
    </xf>
    <xf numFmtId="0" fontId="41" fillId="11" borderId="291" xfId="164" applyFont="1" applyFill="1" applyBorder="1" applyAlignment="1">
      <alignment horizontal="center" vertical="center" wrapText="1"/>
    </xf>
    <xf numFmtId="0" fontId="41" fillId="11" borderId="292" xfId="164" applyFont="1" applyFill="1" applyBorder="1" applyAlignment="1">
      <alignment horizontal="center" vertical="center" wrapText="1"/>
    </xf>
    <xf numFmtId="0" fontId="41" fillId="11" borderId="297" xfId="164" applyFont="1" applyFill="1" applyBorder="1" applyAlignment="1">
      <alignment horizontal="center" vertical="center" wrapText="1"/>
    </xf>
    <xf numFmtId="0" fontId="41" fillId="11" borderId="296" xfId="164" applyFont="1" applyFill="1" applyBorder="1" applyAlignment="1">
      <alignment horizontal="center" vertical="center" wrapText="1"/>
    </xf>
    <xf numFmtId="0" fontId="41" fillId="11" borderId="295" xfId="164" applyFont="1" applyFill="1" applyBorder="1" applyAlignment="1">
      <alignment horizontal="center" vertical="center" wrapText="1"/>
    </xf>
    <xf numFmtId="0" fontId="39" fillId="11" borderId="5" xfId="164" quotePrefix="1" applyFill="1" applyBorder="1" applyAlignment="1">
      <alignment vertical="top" wrapText="1"/>
    </xf>
    <xf numFmtId="0" fontId="39" fillId="11" borderId="290" xfId="164" quotePrefix="1" applyFill="1" applyBorder="1" applyAlignment="1">
      <alignment vertical="top" wrapText="1"/>
    </xf>
    <xf numFmtId="0" fontId="39" fillId="0" borderId="289" xfId="164" applyBorder="1" applyAlignment="1" applyProtection="1">
      <alignment horizontal="center" vertical="center"/>
      <protection locked="0"/>
    </xf>
    <xf numFmtId="0" fontId="39" fillId="0" borderId="5" xfId="164" applyBorder="1" applyAlignment="1" applyProtection="1">
      <alignment horizontal="center" vertical="center"/>
      <protection locked="0"/>
    </xf>
    <xf numFmtId="0" fontId="39" fillId="0" borderId="34" xfId="164" applyBorder="1" applyAlignment="1" applyProtection="1">
      <alignment horizontal="center" vertical="center"/>
      <protection locked="0"/>
    </xf>
    <xf numFmtId="0" fontId="39" fillId="0" borderId="35" xfId="164" applyBorder="1" applyAlignment="1" applyProtection="1">
      <alignment horizontal="center" vertical="center"/>
      <protection locked="0"/>
    </xf>
    <xf numFmtId="0" fontId="39" fillId="0" borderId="290" xfId="164" applyBorder="1" applyAlignment="1" applyProtection="1">
      <alignment horizontal="center" vertical="center"/>
      <protection locked="0"/>
    </xf>
    <xf numFmtId="0" fontId="140" fillId="11" borderId="5" xfId="22" applyFont="1" applyFill="1" applyBorder="1" applyAlignment="1">
      <alignment vertical="center" wrapText="1"/>
    </xf>
    <xf numFmtId="0" fontId="140" fillId="11" borderId="304" xfId="22" applyFont="1" applyFill="1" applyBorder="1" applyAlignment="1">
      <alignment vertical="center" wrapText="1"/>
    </xf>
    <xf numFmtId="0" fontId="140" fillId="11" borderId="0" xfId="22" applyFont="1" applyFill="1" applyAlignment="1">
      <alignment vertical="center" wrapText="1"/>
    </xf>
    <xf numFmtId="0" fontId="140" fillId="11" borderId="292" xfId="22" applyFont="1" applyFill="1" applyBorder="1" applyAlignment="1">
      <alignment vertical="center" wrapText="1"/>
    </xf>
    <xf numFmtId="0" fontId="140" fillId="0" borderId="280" xfId="22" applyFont="1" applyBorder="1" applyAlignment="1" applyProtection="1">
      <alignment horizontal="center" vertical="center" wrapText="1"/>
      <protection locked="0"/>
    </xf>
    <xf numFmtId="0" fontId="41" fillId="11" borderId="293" xfId="164" applyFont="1" applyFill="1" applyBorder="1" applyAlignment="1">
      <alignment horizontal="center" vertical="center" wrapText="1"/>
    </xf>
    <xf numFmtId="0" fontId="41" fillId="11" borderId="294" xfId="164" applyFont="1" applyFill="1" applyBorder="1" applyAlignment="1">
      <alignment horizontal="center" vertical="center" wrapText="1"/>
    </xf>
    <xf numFmtId="0" fontId="39" fillId="11" borderId="304" xfId="164" quotePrefix="1" applyFill="1" applyBorder="1" applyAlignment="1">
      <alignment vertical="top" wrapText="1"/>
    </xf>
    <xf numFmtId="0" fontId="39" fillId="11" borderId="305" xfId="164" quotePrefix="1" applyFill="1" applyBorder="1" applyAlignment="1">
      <alignment vertical="top" wrapText="1"/>
    </xf>
    <xf numFmtId="3" fontId="39" fillId="0" borderId="286" xfId="164" applyNumberFormat="1" applyBorder="1" applyAlignment="1" applyProtection="1">
      <alignment horizontal="center" vertical="center"/>
      <protection locked="0"/>
    </xf>
    <xf numFmtId="3" fontId="39" fillId="0" borderId="27" xfId="164" applyNumberFormat="1" applyBorder="1" applyAlignment="1" applyProtection="1">
      <alignment horizontal="center" vertical="center"/>
      <protection locked="0"/>
    </xf>
    <xf numFmtId="3" fontId="39" fillId="0" borderId="29" xfId="164" applyNumberFormat="1" applyBorder="1" applyAlignment="1" applyProtection="1">
      <alignment horizontal="center" vertical="center"/>
      <protection locked="0"/>
    </xf>
    <xf numFmtId="3" fontId="39" fillId="0" borderId="30" xfId="164" applyNumberFormat="1" applyBorder="1" applyAlignment="1" applyProtection="1">
      <alignment horizontal="center" vertical="center"/>
      <protection locked="0"/>
    </xf>
    <xf numFmtId="3" fontId="39" fillId="0" borderId="33" xfId="164" applyNumberFormat="1" applyBorder="1" applyAlignment="1" applyProtection="1">
      <alignment horizontal="center" vertical="center"/>
      <protection locked="0"/>
    </xf>
    <xf numFmtId="3" fontId="39" fillId="0" borderId="6" xfId="164" applyNumberFormat="1" applyBorder="1" applyAlignment="1" applyProtection="1">
      <alignment horizontal="center" vertical="center"/>
      <protection locked="0"/>
    </xf>
    <xf numFmtId="3" fontId="39" fillId="0" borderId="281" xfId="164" applyNumberFormat="1" applyBorder="1" applyAlignment="1" applyProtection="1">
      <alignment horizontal="center" vertical="center"/>
      <protection locked="0"/>
    </xf>
    <xf numFmtId="3" fontId="39" fillId="0" borderId="289" xfId="164" applyNumberFormat="1" applyBorder="1" applyAlignment="1" applyProtection="1">
      <alignment horizontal="center" vertical="center"/>
      <protection locked="0"/>
    </xf>
    <xf numFmtId="3" fontId="39" fillId="0" borderId="5" xfId="164" applyNumberFormat="1" applyBorder="1" applyAlignment="1" applyProtection="1">
      <alignment horizontal="center" vertical="center"/>
      <protection locked="0"/>
    </xf>
    <xf numFmtId="3" fontId="39" fillId="0" borderId="34" xfId="164" applyNumberFormat="1" applyBorder="1" applyAlignment="1" applyProtection="1">
      <alignment horizontal="center" vertical="center"/>
      <protection locked="0"/>
    </xf>
    <xf numFmtId="3" fontId="39" fillId="0" borderId="35" xfId="164" applyNumberFormat="1" applyBorder="1" applyAlignment="1" applyProtection="1">
      <alignment horizontal="center" vertical="center"/>
      <protection locked="0"/>
    </xf>
    <xf numFmtId="3" fontId="39" fillId="0" borderId="28" xfId="164" applyNumberFormat="1" applyBorder="1" applyAlignment="1" applyProtection="1">
      <alignment horizontal="center" vertical="center"/>
      <protection locked="0"/>
    </xf>
    <xf numFmtId="3" fontId="39" fillId="0" borderId="4" xfId="164" applyNumberFormat="1" applyBorder="1" applyAlignment="1" applyProtection="1">
      <alignment horizontal="center" vertical="center"/>
      <protection locked="0"/>
    </xf>
    <xf numFmtId="3" fontId="39" fillId="0" borderId="290" xfId="164" applyNumberFormat="1" applyBorder="1" applyAlignment="1" applyProtection="1">
      <alignment horizontal="center" vertical="center"/>
      <protection locked="0"/>
    </xf>
    <xf numFmtId="3" fontId="39" fillId="0" borderId="323" xfId="164" applyNumberFormat="1" applyBorder="1" applyAlignment="1" applyProtection="1">
      <alignment horizontal="center" vertical="center"/>
      <protection locked="0"/>
    </xf>
    <xf numFmtId="3" fontId="39" fillId="0" borderId="306" xfId="164" applyNumberFormat="1" applyBorder="1" applyAlignment="1" applyProtection="1">
      <alignment horizontal="center" vertical="center"/>
      <protection locked="0"/>
    </xf>
    <xf numFmtId="3" fontId="39" fillId="0" borderId="309" xfId="164" applyNumberFormat="1" applyBorder="1" applyAlignment="1" applyProtection="1">
      <alignment horizontal="center" vertical="center"/>
      <protection locked="0"/>
    </xf>
    <xf numFmtId="3" fontId="39" fillId="0" borderId="310" xfId="164" applyNumberFormat="1" applyBorder="1" applyAlignment="1" applyProtection="1">
      <alignment horizontal="center" vertical="center"/>
      <protection locked="0"/>
    </xf>
    <xf numFmtId="3" fontId="39" fillId="0" borderId="318" xfId="164" applyNumberFormat="1" applyBorder="1" applyAlignment="1" applyProtection="1">
      <alignment horizontal="center" vertical="center"/>
      <protection locked="0"/>
    </xf>
    <xf numFmtId="3" fontId="39" fillId="0" borderId="308" xfId="164" applyNumberFormat="1" applyBorder="1" applyAlignment="1" applyProtection="1">
      <alignment horizontal="center" vertical="center"/>
      <protection locked="0"/>
    </xf>
    <xf numFmtId="3" fontId="39" fillId="0" borderId="307" xfId="164" applyNumberFormat="1" applyBorder="1" applyAlignment="1" applyProtection="1">
      <alignment horizontal="center" vertical="center"/>
      <protection locked="0"/>
    </xf>
    <xf numFmtId="0" fontId="0" fillId="11" borderId="0" xfId="171" applyFont="1" applyFill="1" applyAlignment="1">
      <alignment vertical="top"/>
    </xf>
    <xf numFmtId="0" fontId="0" fillId="11" borderId="0" xfId="171" applyFont="1" applyFill="1" applyAlignment="1">
      <alignment vertical="center" wrapText="1"/>
    </xf>
    <xf numFmtId="0" fontId="0" fillId="6" borderId="71" xfId="171" applyFont="1" applyFill="1" applyBorder="1" applyAlignment="1" applyProtection="1">
      <alignment horizontal="center" vertical="center" wrapText="1"/>
      <protection locked="0"/>
    </xf>
    <xf numFmtId="0" fontId="0" fillId="6" borderId="72" xfId="171" applyFont="1" applyFill="1" applyBorder="1" applyAlignment="1" applyProtection="1">
      <alignment horizontal="center" vertical="center" wrapText="1"/>
      <protection locked="0"/>
    </xf>
    <xf numFmtId="0" fontId="0" fillId="6" borderId="74" xfId="171" applyFont="1" applyFill="1" applyBorder="1" applyAlignment="1" applyProtection="1">
      <alignment horizontal="center" vertical="center" wrapText="1"/>
      <protection locked="0"/>
    </xf>
    <xf numFmtId="0" fontId="0" fillId="6" borderId="7" xfId="171" applyFont="1" applyFill="1" applyBorder="1" applyAlignment="1" applyProtection="1">
      <alignment horizontal="center" vertical="center" wrapText="1"/>
      <protection locked="0"/>
    </xf>
    <xf numFmtId="0" fontId="0" fillId="6" borderId="8" xfId="171" applyFont="1" applyFill="1" applyBorder="1" applyAlignment="1" applyProtection="1">
      <alignment horizontal="center" vertical="center" wrapText="1"/>
      <protection locked="0"/>
    </xf>
    <xf numFmtId="0" fontId="0" fillId="6" borderId="16" xfId="171" applyFont="1" applyFill="1" applyBorder="1" applyAlignment="1" applyProtection="1">
      <alignment horizontal="center" vertical="center" wrapText="1"/>
      <protection locked="0"/>
    </xf>
    <xf numFmtId="0" fontId="41" fillId="11" borderId="279" xfId="164" applyFont="1" applyFill="1" applyBorder="1" applyAlignment="1">
      <alignment horizontal="center" vertical="center" wrapText="1"/>
    </xf>
    <xf numFmtId="0" fontId="41" fillId="11" borderId="0" xfId="164" applyFont="1" applyFill="1" applyAlignment="1">
      <alignment horizontal="center" vertical="center" wrapText="1"/>
    </xf>
    <xf numFmtId="0" fontId="41" fillId="11" borderId="280" xfId="164" applyFont="1" applyFill="1" applyBorder="1" applyAlignment="1">
      <alignment horizontal="center" vertical="center" wrapText="1"/>
    </xf>
    <xf numFmtId="0" fontId="129" fillId="11" borderId="38" xfId="22" applyFont="1" applyFill="1" applyBorder="1" applyAlignment="1">
      <alignment horizontal="center" vertical="center" wrapText="1"/>
    </xf>
    <xf numFmtId="0" fontId="129" fillId="11" borderId="283" xfId="22" applyFont="1" applyFill="1" applyBorder="1" applyAlignment="1">
      <alignment horizontal="center" vertical="center" wrapText="1"/>
    </xf>
    <xf numFmtId="0" fontId="129" fillId="11" borderId="8" xfId="22" applyFont="1" applyFill="1" applyBorder="1" applyAlignment="1">
      <alignment horizontal="center" vertical="center" wrapText="1"/>
    </xf>
    <xf numFmtId="0" fontId="129" fillId="11" borderId="16" xfId="22" applyFont="1" applyFill="1" applyBorder="1" applyAlignment="1">
      <alignment horizontal="center" vertical="center" wrapText="1"/>
    </xf>
    <xf numFmtId="0" fontId="129" fillId="11" borderId="67" xfId="22" applyFont="1" applyFill="1" applyBorder="1" applyAlignment="1">
      <alignment horizontal="center" vertical="center" wrapText="1"/>
    </xf>
    <xf numFmtId="0" fontId="129" fillId="11" borderId="7" xfId="22" applyFont="1" applyFill="1" applyBorder="1" applyAlignment="1">
      <alignment horizontal="center" vertical="center" wrapText="1"/>
    </xf>
    <xf numFmtId="0" fontId="129" fillId="11" borderId="284" xfId="22" applyFont="1" applyFill="1" applyBorder="1" applyAlignment="1">
      <alignment horizontal="center" vertical="center" wrapText="1"/>
    </xf>
    <xf numFmtId="0" fontId="41" fillId="11" borderId="330" xfId="164" applyFont="1" applyFill="1" applyBorder="1" applyAlignment="1">
      <alignment horizontal="center" vertical="center" wrapText="1"/>
    </xf>
    <xf numFmtId="0" fontId="41" fillId="11" borderId="313" xfId="164" applyFont="1" applyFill="1" applyBorder="1" applyAlignment="1">
      <alignment horizontal="center" vertical="center" wrapText="1"/>
    </xf>
    <xf numFmtId="0" fontId="41" fillId="11" borderId="314" xfId="164" applyFont="1" applyFill="1" applyBorder="1" applyAlignment="1">
      <alignment horizontal="center" vertical="center" wrapText="1"/>
    </xf>
    <xf numFmtId="0" fontId="41" fillId="11" borderId="315" xfId="164" applyFont="1" applyFill="1" applyBorder="1" applyAlignment="1">
      <alignment horizontal="center" vertical="center" wrapText="1"/>
    </xf>
    <xf numFmtId="0" fontId="41" fillId="11" borderId="316" xfId="164" applyFont="1" applyFill="1" applyBorder="1" applyAlignment="1">
      <alignment horizontal="center" vertical="center" wrapText="1"/>
    </xf>
    <xf numFmtId="0" fontId="41" fillId="11" borderId="312" xfId="164" applyFont="1" applyFill="1" applyBorder="1" applyAlignment="1">
      <alignment horizontal="center" vertical="center" wrapText="1"/>
    </xf>
    <xf numFmtId="0" fontId="41" fillId="11" borderId="317" xfId="164" applyFont="1" applyFill="1" applyBorder="1" applyAlignment="1">
      <alignment horizontal="center" vertical="center" wrapText="1"/>
    </xf>
    <xf numFmtId="0" fontId="39" fillId="11" borderId="273"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86" xfId="164" quotePrefix="1" applyFill="1" applyBorder="1" applyAlignment="1">
      <alignment horizontal="right" vertical="top" wrapText="1"/>
    </xf>
    <xf numFmtId="0" fontId="39" fillId="11" borderId="274" xfId="164" quotePrefix="1" applyFill="1" applyBorder="1" applyAlignment="1">
      <alignment vertical="top" wrapText="1"/>
    </xf>
    <xf numFmtId="0" fontId="39" fillId="11" borderId="302" xfId="164" quotePrefix="1" applyFill="1" applyBorder="1" applyAlignment="1">
      <alignment vertical="top" wrapText="1"/>
    </xf>
    <xf numFmtId="0" fontId="39" fillId="11" borderId="0" xfId="164" quotePrefix="1" applyFill="1" applyAlignment="1">
      <alignment vertical="top" wrapText="1"/>
    </xf>
    <xf numFmtId="0" fontId="39" fillId="11" borderId="280" xfId="164" quotePrefix="1" applyFill="1" applyBorder="1" applyAlignment="1">
      <alignment vertical="top" wrapText="1"/>
    </xf>
    <xf numFmtId="0" fontId="39" fillId="11" borderId="27" xfId="164" quotePrefix="1" applyFill="1" applyBorder="1" applyAlignment="1">
      <alignment vertical="top" wrapText="1"/>
    </xf>
    <xf numFmtId="0" fontId="39" fillId="11" borderId="281" xfId="164" quotePrefix="1" applyFill="1" applyBorder="1" applyAlignment="1">
      <alignment vertical="top" wrapText="1"/>
    </xf>
    <xf numFmtId="0" fontId="39" fillId="6" borderId="273" xfId="164" applyFill="1" applyBorder="1" applyAlignment="1" applyProtection="1">
      <alignment horizontal="center" vertical="center" wrapText="1"/>
      <protection locked="0"/>
    </xf>
    <xf numFmtId="0" fontId="39" fillId="6" borderId="274" xfId="164" applyFill="1" applyBorder="1" applyAlignment="1" applyProtection="1">
      <alignment horizontal="center" vertical="center" wrapText="1"/>
      <protection locked="0"/>
    </xf>
    <xf numFmtId="0" fontId="39" fillId="6" borderId="346" xfId="164" applyFill="1" applyBorder="1" applyAlignment="1" applyProtection="1">
      <alignment horizontal="center" vertical="center" wrapText="1"/>
      <protection locked="0"/>
    </xf>
    <xf numFmtId="0" fontId="39" fillId="6" borderId="279" xfId="164" applyFill="1" applyBorder="1" applyAlignment="1" applyProtection="1">
      <alignment horizontal="center" vertical="center" wrapText="1"/>
      <protection locked="0"/>
    </xf>
    <xf numFmtId="0" fontId="39" fillId="6" borderId="0" xfId="164" applyFill="1" applyAlignment="1" applyProtection="1">
      <alignment horizontal="center" vertical="center" wrapText="1"/>
      <protection locked="0"/>
    </xf>
    <xf numFmtId="0" fontId="39" fillId="6" borderId="69" xfId="164" applyFill="1" applyBorder="1" applyAlignment="1" applyProtection="1">
      <alignment horizontal="center" vertical="center" wrapText="1"/>
      <protection locked="0"/>
    </xf>
    <xf numFmtId="0" fontId="39" fillId="6" borderId="286" xfId="164" applyFill="1" applyBorder="1" applyAlignment="1" applyProtection="1">
      <alignment horizontal="center" vertical="center" wrapText="1"/>
      <protection locked="0"/>
    </xf>
    <xf numFmtId="0" fontId="39" fillId="6" borderId="27" xfId="164" applyFill="1" applyBorder="1" applyAlignment="1" applyProtection="1">
      <alignment horizontal="center" vertical="center" wrapText="1"/>
      <protection locked="0"/>
    </xf>
    <xf numFmtId="0" fontId="39" fillId="6" borderId="29" xfId="164" applyFill="1" applyBorder="1" applyAlignment="1" applyProtection="1">
      <alignment horizontal="center" vertical="center" wrapText="1"/>
      <protection locked="0"/>
    </xf>
    <xf numFmtId="0" fontId="39" fillId="6" borderId="347" xfId="164" applyFill="1" applyBorder="1" applyAlignment="1" applyProtection="1">
      <alignment horizontal="center" vertical="center" wrapText="1"/>
      <protection locked="0"/>
    </xf>
    <xf numFmtId="0" fontId="39" fillId="6" borderId="275" xfId="164" applyFill="1" applyBorder="1" applyAlignment="1" applyProtection="1">
      <alignment horizontal="center" vertical="center" wrapText="1"/>
      <protection locked="0"/>
    </xf>
    <xf numFmtId="0" fontId="39" fillId="6" borderId="68" xfId="164" applyFill="1" applyBorder="1" applyAlignment="1" applyProtection="1">
      <alignment horizontal="center" vertical="center" wrapText="1"/>
      <protection locked="0"/>
    </xf>
    <xf numFmtId="0" fontId="39" fillId="6" borderId="38" xfId="164" applyFill="1" applyBorder="1" applyAlignment="1" applyProtection="1">
      <alignment horizontal="center" vertical="center" wrapText="1"/>
      <protection locked="0"/>
    </xf>
    <xf numFmtId="0" fontId="39" fillId="6" borderId="30" xfId="164" applyFill="1" applyBorder="1" applyAlignment="1" applyProtection="1">
      <alignment horizontal="center" vertical="center" wrapText="1"/>
      <protection locked="0"/>
    </xf>
    <xf numFmtId="0" fontId="39" fillId="6" borderId="33" xfId="164" applyFill="1" applyBorder="1" applyAlignment="1" applyProtection="1">
      <alignment horizontal="center" vertical="center" wrapText="1"/>
      <protection locked="0"/>
    </xf>
    <xf numFmtId="0" fontId="39" fillId="6" borderId="301" xfId="164" applyFill="1" applyBorder="1" applyAlignment="1" applyProtection="1">
      <alignment horizontal="center" vertical="center" wrapText="1"/>
      <protection locked="0"/>
    </xf>
    <xf numFmtId="0" fontId="39" fillId="6" borderId="67" xfId="164" applyFill="1" applyBorder="1" applyAlignment="1" applyProtection="1">
      <alignment horizontal="center" vertical="center" wrapText="1"/>
      <protection locked="0"/>
    </xf>
    <xf numFmtId="0" fontId="39" fillId="6" borderId="6" xfId="164" applyFill="1" applyBorder="1" applyAlignment="1" applyProtection="1">
      <alignment horizontal="center" vertical="center" wrapText="1"/>
      <protection locked="0"/>
    </xf>
    <xf numFmtId="0" fontId="39" fillId="6" borderId="302" xfId="164" applyFill="1" applyBorder="1" applyAlignment="1" applyProtection="1">
      <alignment horizontal="center" vertical="center" wrapText="1"/>
      <protection locked="0"/>
    </xf>
    <xf numFmtId="0" fontId="39" fillId="6" borderId="280" xfId="164" applyFill="1" applyBorder="1" applyAlignment="1" applyProtection="1">
      <alignment horizontal="center" vertical="center" wrapText="1"/>
      <protection locked="0"/>
    </xf>
    <xf numFmtId="0" fontId="39" fillId="6" borderId="281" xfId="164" applyFill="1" applyBorder="1" applyAlignment="1" applyProtection="1">
      <alignment horizontal="center" vertical="center" wrapText="1"/>
      <protection locked="0"/>
    </xf>
    <xf numFmtId="0" fontId="0" fillId="11" borderId="0" xfId="172" applyFont="1" applyFill="1" applyAlignment="1">
      <alignment vertical="center" wrapText="1"/>
    </xf>
    <xf numFmtId="0" fontId="39" fillId="11" borderId="26" xfId="164" quotePrefix="1" applyFill="1" applyBorder="1" applyAlignment="1">
      <alignment vertical="top" wrapText="1"/>
    </xf>
    <xf numFmtId="0" fontId="39" fillId="11" borderId="282" xfId="164" quotePrefix="1" applyFill="1" applyBorder="1" applyAlignment="1">
      <alignment vertical="top" wrapText="1"/>
    </xf>
    <xf numFmtId="0" fontId="39" fillId="6" borderId="285" xfId="164" applyFill="1" applyBorder="1" applyAlignment="1" applyProtection="1">
      <alignment horizontal="center" vertical="center"/>
      <protection locked="0"/>
    </xf>
    <xf numFmtId="0" fontId="39" fillId="6" borderId="26" xfId="164" applyFill="1" applyBorder="1" applyAlignment="1" applyProtection="1">
      <alignment horizontal="center" vertical="center"/>
      <protection locked="0"/>
    </xf>
    <xf numFmtId="0" fontId="39" fillId="6" borderId="80" xfId="164" applyFill="1" applyBorder="1" applyAlignment="1" applyProtection="1">
      <alignment horizontal="center" vertical="center"/>
      <protection locked="0"/>
    </xf>
    <xf numFmtId="0" fontId="39" fillId="6" borderId="279" xfId="164" applyFill="1" applyBorder="1" applyAlignment="1" applyProtection="1">
      <alignment horizontal="center" vertical="center"/>
      <protection locked="0"/>
    </xf>
    <xf numFmtId="0" fontId="39" fillId="6" borderId="0" xfId="164" applyFill="1" applyAlignment="1" applyProtection="1">
      <alignment horizontal="center" vertical="center"/>
      <protection locked="0"/>
    </xf>
    <xf numFmtId="0" fontId="39" fillId="6" borderId="69" xfId="164" applyFill="1" applyBorder="1" applyAlignment="1" applyProtection="1">
      <alignment horizontal="center" vertical="center"/>
      <protection locked="0"/>
    </xf>
    <xf numFmtId="0" fontId="39" fillId="6" borderId="286" xfId="164" applyFill="1" applyBorder="1" applyAlignment="1" applyProtection="1">
      <alignment horizontal="center" vertical="center"/>
      <protection locked="0"/>
    </xf>
    <xf numFmtId="0" fontId="39" fillId="6" borderId="27" xfId="164" applyFill="1" applyBorder="1" applyAlignment="1" applyProtection="1">
      <alignment horizontal="center" vertical="center"/>
      <protection locked="0"/>
    </xf>
    <xf numFmtId="0" fontId="39" fillId="6" borderId="29" xfId="164" applyFill="1" applyBorder="1" applyAlignment="1" applyProtection="1">
      <alignment horizontal="center" vertical="center"/>
      <protection locked="0"/>
    </xf>
    <xf numFmtId="0" fontId="39" fillId="6" borderId="79" xfId="164" applyFill="1" applyBorder="1" applyAlignment="1" applyProtection="1">
      <alignment horizontal="center" vertical="center"/>
      <protection locked="0"/>
    </xf>
    <xf numFmtId="0" fontId="39" fillId="6" borderId="78" xfId="164" applyFill="1" applyBorder="1" applyAlignment="1" applyProtection="1">
      <alignment horizontal="center" vertical="center"/>
      <protection locked="0"/>
    </xf>
    <xf numFmtId="0" fontId="39" fillId="6" borderId="68" xfId="164" applyFill="1" applyBorder="1" applyAlignment="1" applyProtection="1">
      <alignment horizontal="center" vertical="center"/>
      <protection locked="0"/>
    </xf>
    <xf numFmtId="0" fontId="39" fillId="6" borderId="38" xfId="164" applyFill="1" applyBorder="1" applyAlignment="1" applyProtection="1">
      <alignment horizontal="center" vertical="center"/>
      <protection locked="0"/>
    </xf>
    <xf numFmtId="0" fontId="39" fillId="6" borderId="30" xfId="164" applyFill="1" applyBorder="1" applyAlignment="1" applyProtection="1">
      <alignment horizontal="center" vertical="center"/>
      <protection locked="0"/>
    </xf>
    <xf numFmtId="0" fontId="39" fillId="6" borderId="33" xfId="164" applyFill="1" applyBorder="1" applyAlignment="1" applyProtection="1">
      <alignment horizontal="center" vertical="center"/>
      <protection locked="0"/>
    </xf>
    <xf numFmtId="0" fontId="39" fillId="6" borderId="77" xfId="164" applyFill="1" applyBorder="1" applyAlignment="1" applyProtection="1">
      <alignment horizontal="center" vertical="center"/>
      <protection locked="0"/>
    </xf>
    <xf numFmtId="0" fontId="39" fillId="6" borderId="67" xfId="164" applyFill="1" applyBorder="1" applyAlignment="1" applyProtection="1">
      <alignment horizontal="center" vertical="center"/>
      <protection locked="0"/>
    </xf>
    <xf numFmtId="0" fontId="39" fillId="6" borderId="6" xfId="164" applyFill="1" applyBorder="1" applyAlignment="1" applyProtection="1">
      <alignment horizontal="center" vertical="center"/>
      <protection locked="0"/>
    </xf>
    <xf numFmtId="0" fontId="39" fillId="6" borderId="282" xfId="164" applyFill="1" applyBorder="1" applyAlignment="1" applyProtection="1">
      <alignment horizontal="center" vertical="center"/>
      <protection locked="0"/>
    </xf>
    <xf numFmtId="0" fontId="39" fillId="6" borderId="280" xfId="164" applyFill="1" applyBorder="1" applyAlignment="1" applyProtection="1">
      <alignment horizontal="center" vertical="center"/>
      <protection locked="0"/>
    </xf>
    <xf numFmtId="0" fontId="39" fillId="6" borderId="281" xfId="164" applyFill="1" applyBorder="1" applyAlignment="1" applyProtection="1">
      <alignment horizontal="center" vertical="center"/>
      <protection locked="0"/>
    </xf>
    <xf numFmtId="0" fontId="39" fillId="11" borderId="292" xfId="164" quotePrefix="1" applyFill="1" applyBorder="1" applyAlignment="1">
      <alignment vertical="top" wrapText="1"/>
    </xf>
    <xf numFmtId="0" fontId="39" fillId="11" borderId="297" xfId="164" quotePrefix="1" applyFill="1" applyBorder="1" applyAlignment="1">
      <alignment vertical="top" wrapText="1"/>
    </xf>
    <xf numFmtId="0" fontId="39" fillId="6" borderId="291" xfId="164" applyFill="1" applyBorder="1" applyAlignment="1" applyProtection="1">
      <alignment horizontal="center" vertical="center"/>
      <protection locked="0"/>
    </xf>
    <xf numFmtId="0" fontId="39" fillId="6" borderId="292" xfId="164" applyFill="1" applyBorder="1" applyAlignment="1" applyProtection="1">
      <alignment horizontal="center" vertical="center"/>
      <protection locked="0"/>
    </xf>
    <xf numFmtId="0" fontId="39" fillId="6" borderId="296" xfId="164" applyFill="1" applyBorder="1" applyAlignment="1" applyProtection="1">
      <alignment horizontal="center" vertical="center"/>
      <protection locked="0"/>
    </xf>
    <xf numFmtId="0" fontId="45" fillId="11" borderId="0" xfId="173" applyFont="1" applyFill="1" applyAlignment="1">
      <alignment horizontal="justify" vertical="top" wrapText="1"/>
    </xf>
    <xf numFmtId="0" fontId="39" fillId="6" borderId="295" xfId="164" applyFill="1" applyBorder="1" applyAlignment="1" applyProtection="1">
      <alignment horizontal="center" vertical="center"/>
      <protection locked="0"/>
    </xf>
    <xf numFmtId="0" fontId="39" fillId="6" borderId="294" xfId="164" applyFill="1" applyBorder="1" applyAlignment="1" applyProtection="1">
      <alignment horizontal="center" vertical="center"/>
      <protection locked="0"/>
    </xf>
    <xf numFmtId="0" fontId="39" fillId="6" borderId="297" xfId="164" applyFill="1" applyBorder="1" applyAlignment="1" applyProtection="1">
      <alignment horizontal="center" vertical="center"/>
      <protection locked="0"/>
    </xf>
    <xf numFmtId="0" fontId="0" fillId="6" borderId="0" xfId="172" applyFont="1" applyFill="1" applyAlignment="1">
      <alignment vertical="center" wrapText="1"/>
    </xf>
    <xf numFmtId="0" fontId="45" fillId="11" borderId="274" xfId="11" applyFont="1" applyFill="1" applyBorder="1" applyAlignment="1">
      <alignment horizontal="center" vertical="top"/>
    </xf>
    <xf numFmtId="0" fontId="45" fillId="11" borderId="0" xfId="11" applyFont="1" applyFill="1" applyAlignment="1">
      <alignment horizontal="center" vertical="top"/>
    </xf>
    <xf numFmtId="0" fontId="45" fillId="11" borderId="274" xfId="164" quotePrefix="1" applyFont="1" applyFill="1" applyBorder="1" applyAlignment="1">
      <alignment horizontal="justify" vertical="top" wrapText="1"/>
    </xf>
    <xf numFmtId="0" fontId="45" fillId="11" borderId="0" xfId="164" quotePrefix="1" applyFont="1" applyFill="1" applyAlignment="1">
      <alignment horizontal="justify" vertical="top" wrapText="1"/>
    </xf>
    <xf numFmtId="0" fontId="43" fillId="11" borderId="17" xfId="96" applyFont="1" applyFill="1" applyBorder="1" applyAlignment="1">
      <alignment horizontal="center" vertical="center" wrapText="1"/>
    </xf>
    <xf numFmtId="0" fontId="43" fillId="11" borderId="10" xfId="96" applyFont="1" applyFill="1" applyBorder="1" applyAlignment="1">
      <alignment horizontal="center" vertical="center"/>
    </xf>
    <xf numFmtId="0" fontId="43" fillId="11" borderId="22" xfId="96" applyFont="1" applyFill="1" applyBorder="1" applyAlignment="1">
      <alignment horizontal="center" vertical="center"/>
    </xf>
    <xf numFmtId="3" fontId="39" fillId="6" borderId="59" xfId="96" applyNumberFormat="1" applyFont="1" applyFill="1" applyBorder="1" applyAlignment="1" applyProtection="1">
      <alignment horizontal="center" vertical="center"/>
      <protection locked="0"/>
    </xf>
    <xf numFmtId="3" fontId="39" fillId="6" borderId="97" xfId="96" applyNumberFormat="1" applyFont="1" applyFill="1" applyBorder="1" applyAlignment="1" applyProtection="1">
      <alignment horizontal="center" vertical="center"/>
      <protection locked="0"/>
    </xf>
    <xf numFmtId="3" fontId="39" fillId="6" borderId="96" xfId="96" applyNumberFormat="1" applyFont="1" applyFill="1" applyBorder="1" applyAlignment="1" applyProtection="1">
      <alignment horizontal="center" vertical="center"/>
      <protection locked="0"/>
    </xf>
    <xf numFmtId="3" fontId="39" fillId="6" borderId="118" xfId="96" applyNumberFormat="1" applyFont="1" applyFill="1" applyBorder="1" applyAlignment="1" applyProtection="1">
      <alignment horizontal="center" vertical="center"/>
      <protection locked="0"/>
    </xf>
    <xf numFmtId="0" fontId="39" fillId="6" borderId="121" xfId="96" applyFont="1" applyFill="1" applyBorder="1" applyAlignment="1" applyProtection="1">
      <alignment horizontal="center" vertical="center"/>
      <protection locked="0"/>
    </xf>
    <xf numFmtId="0" fontId="39" fillId="6" borderId="124" xfId="96" applyFont="1" applyFill="1" applyBorder="1" applyAlignment="1" applyProtection="1">
      <alignment horizontal="center" vertical="center"/>
      <protection locked="0"/>
    </xf>
    <xf numFmtId="0" fontId="39" fillId="6" borderId="122" xfId="96" applyFont="1" applyFill="1" applyBorder="1" applyAlignment="1" applyProtection="1">
      <alignment horizontal="center" vertical="center"/>
      <protection locked="0"/>
    </xf>
    <xf numFmtId="0" fontId="39" fillId="6" borderId="123" xfId="96" applyFont="1" applyFill="1" applyBorder="1" applyAlignment="1" applyProtection="1">
      <alignment horizontal="center" vertical="center"/>
      <protection locked="0"/>
    </xf>
    <xf numFmtId="0" fontId="39" fillId="11" borderId="8" xfId="96" applyFont="1" applyFill="1" applyBorder="1" applyAlignment="1">
      <alignment horizontal="left" wrapText="1"/>
    </xf>
    <xf numFmtId="0" fontId="44" fillId="11" borderId="173" xfId="96" applyFont="1" applyFill="1" applyBorder="1" applyAlignment="1">
      <alignment horizontal="left" vertical="center"/>
    </xf>
    <xf numFmtId="0" fontId="44" fillId="11" borderId="172" xfId="96" applyFont="1" applyFill="1" applyBorder="1" applyAlignment="1">
      <alignment horizontal="left" vertical="center"/>
    </xf>
    <xf numFmtId="0" fontId="44" fillId="11" borderId="30" xfId="96" applyFont="1" applyFill="1" applyBorder="1" applyAlignment="1">
      <alignment horizontal="left" vertical="center"/>
    </xf>
    <xf numFmtId="0" fontId="44" fillId="11" borderId="152" xfId="96" applyFont="1" applyFill="1" applyBorder="1" applyAlignment="1">
      <alignment horizontal="left" vertical="center" wrapText="1"/>
    </xf>
    <xf numFmtId="0" fontId="44" fillId="11" borderId="1" xfId="96" applyFont="1" applyFill="1" applyBorder="1" applyAlignment="1">
      <alignment horizontal="left" vertical="center" wrapText="1"/>
    </xf>
    <xf numFmtId="0" fontId="44" fillId="11" borderId="35" xfId="96" applyFont="1" applyFill="1" applyBorder="1" applyAlignment="1">
      <alignment horizontal="left" vertical="center" wrapText="1"/>
    </xf>
    <xf numFmtId="0" fontId="48" fillId="11" borderId="71" xfId="96" applyFont="1" applyFill="1" applyBorder="1" applyAlignment="1">
      <alignment horizontal="center" vertical="center"/>
    </xf>
    <xf numFmtId="0" fontId="48" fillId="11" borderId="72" xfId="96" applyFont="1" applyFill="1" applyBorder="1" applyAlignment="1">
      <alignment horizontal="center" vertical="center"/>
    </xf>
    <xf numFmtId="0" fontId="48" fillId="11" borderId="7" xfId="96" applyFont="1" applyFill="1" applyBorder="1" applyAlignment="1">
      <alignment horizontal="center" vertical="center"/>
    </xf>
    <xf numFmtId="0" fontId="48" fillId="11" borderId="8" xfId="96" applyFont="1" applyFill="1" applyBorder="1" applyAlignment="1">
      <alignment horizontal="center" vertical="center"/>
    </xf>
    <xf numFmtId="0" fontId="41" fillId="11" borderId="17" xfId="96" applyFont="1" applyFill="1" applyBorder="1" applyAlignment="1">
      <alignment horizontal="center" vertical="center" wrapText="1"/>
    </xf>
    <xf numFmtId="0" fontId="41" fillId="11" borderId="10" xfId="96" applyFont="1" applyFill="1" applyBorder="1" applyAlignment="1">
      <alignment horizontal="center" vertical="center" wrapText="1"/>
    </xf>
    <xf numFmtId="0" fontId="41" fillId="11" borderId="22" xfId="96" applyFont="1" applyFill="1" applyBorder="1" applyAlignment="1">
      <alignment horizontal="center" vertical="center" wrapText="1"/>
    </xf>
    <xf numFmtId="3" fontId="39" fillId="6" borderId="59" xfId="96" applyNumberFormat="1" applyFont="1" applyFill="1" applyBorder="1" applyAlignment="1" applyProtection="1">
      <alignment horizontal="center" vertical="center" wrapText="1"/>
      <protection locked="0"/>
    </xf>
    <xf numFmtId="3" fontId="39" fillId="6" borderId="97" xfId="96" applyNumberFormat="1" applyFont="1" applyFill="1" applyBorder="1" applyAlignment="1" applyProtection="1">
      <alignment horizontal="center" vertical="center" wrapText="1"/>
      <protection locked="0"/>
    </xf>
    <xf numFmtId="0" fontId="44" fillId="11" borderId="171" xfId="96" applyFont="1" applyFill="1" applyBorder="1" applyAlignment="1">
      <alignment horizontal="left" vertical="center" wrapText="1"/>
    </xf>
    <xf numFmtId="0" fontId="44" fillId="11" borderId="160" xfId="96" applyFont="1" applyFill="1" applyBorder="1" applyAlignment="1">
      <alignment horizontal="left" vertical="center" wrapText="1"/>
    </xf>
    <xf numFmtId="0" fontId="44" fillId="11" borderId="59" xfId="96" applyFont="1" applyFill="1" applyBorder="1" applyAlignment="1">
      <alignment horizontal="left" vertical="center" wrapText="1"/>
    </xf>
    <xf numFmtId="0" fontId="141" fillId="11" borderId="17" xfId="159" quotePrefix="1" applyFont="1" applyFill="1" applyBorder="1" applyAlignment="1">
      <alignment horizontal="left" vertical="top" wrapText="1"/>
    </xf>
    <xf numFmtId="0" fontId="141" fillId="11" borderId="22" xfId="159" quotePrefix="1" applyFont="1" applyFill="1" applyBorder="1" applyAlignment="1">
      <alignment horizontal="left" vertical="top" wrapText="1"/>
    </xf>
    <xf numFmtId="0" fontId="39" fillId="11" borderId="4" xfId="159" quotePrefix="1" applyFill="1" applyBorder="1" applyAlignment="1">
      <alignment horizontal="left" vertical="top" wrapText="1"/>
    </xf>
    <xf numFmtId="0" fontId="39" fillId="11" borderId="28" xfId="159" quotePrefix="1" applyFill="1" applyBorder="1" applyAlignment="1">
      <alignment horizontal="left" vertical="top" wrapText="1"/>
    </xf>
    <xf numFmtId="0" fontId="141" fillId="11" borderId="4" xfId="159" quotePrefix="1" applyFont="1" applyFill="1" applyBorder="1" applyAlignment="1">
      <alignment horizontal="left" vertical="center" wrapText="1"/>
    </xf>
    <xf numFmtId="0" fontId="141" fillId="11" borderId="28" xfId="159" quotePrefix="1" applyFont="1" applyFill="1" applyBorder="1" applyAlignment="1">
      <alignment horizontal="left" vertical="center" wrapText="1"/>
    </xf>
    <xf numFmtId="0" fontId="39" fillId="11" borderId="7" xfId="159" quotePrefix="1" applyFill="1" applyBorder="1" applyAlignment="1">
      <alignment horizontal="left" vertical="center" wrapText="1"/>
    </xf>
    <xf numFmtId="0" fontId="39" fillId="11" borderId="16" xfId="159" quotePrefix="1" applyFill="1" applyBorder="1" applyAlignment="1">
      <alignment horizontal="left" vertical="center" wrapText="1"/>
    </xf>
    <xf numFmtId="0" fontId="43" fillId="11" borderId="96" xfId="96" applyFont="1" applyFill="1" applyBorder="1" applyAlignment="1">
      <alignment horizontal="center" vertical="center"/>
    </xf>
    <xf numFmtId="0" fontId="43" fillId="11" borderId="118" xfId="96" applyFont="1" applyFill="1" applyBorder="1" applyAlignment="1">
      <alignment horizontal="center" vertical="center"/>
    </xf>
    <xf numFmtId="0" fontId="43" fillId="11" borderId="94" xfId="96" applyFont="1" applyFill="1" applyBorder="1" applyAlignment="1">
      <alignment horizontal="center" vertical="center"/>
    </xf>
    <xf numFmtId="0" fontId="43" fillId="11" borderId="97" xfId="96" applyFont="1" applyFill="1" applyBorder="1" applyAlignment="1">
      <alignment horizontal="center" vertical="center"/>
    </xf>
    <xf numFmtId="0" fontId="48" fillId="11" borderId="17" xfId="96" applyFont="1" applyFill="1" applyBorder="1" applyAlignment="1">
      <alignment horizontal="center" vertical="center"/>
    </xf>
    <xf numFmtId="0" fontId="48" fillId="11" borderId="10" xfId="96" applyFont="1" applyFill="1" applyBorder="1" applyAlignment="1">
      <alignment horizontal="center" vertical="center"/>
    </xf>
    <xf numFmtId="0" fontId="48" fillId="11" borderId="22" xfId="96" applyFont="1" applyFill="1" applyBorder="1" applyAlignment="1">
      <alignment horizontal="center" vertical="center"/>
    </xf>
    <xf numFmtId="0" fontId="43" fillId="11" borderId="17" xfId="96" applyFont="1" applyFill="1" applyBorder="1" applyAlignment="1">
      <alignment horizontal="center" vertical="center"/>
    </xf>
    <xf numFmtId="0" fontId="44" fillId="11" borderId="27" xfId="0" applyFont="1" applyFill="1" applyBorder="1" applyAlignment="1">
      <alignment horizontal="center"/>
    </xf>
    <xf numFmtId="0" fontId="43" fillId="11" borderId="59" xfId="96" applyFont="1" applyFill="1" applyBorder="1" applyAlignment="1">
      <alignment horizontal="center" vertical="center"/>
    </xf>
    <xf numFmtId="3" fontId="39" fillId="6" borderId="19" xfId="96" applyNumberFormat="1" applyFont="1" applyFill="1" applyBorder="1" applyAlignment="1" applyProtection="1">
      <alignment horizontal="center" vertical="center"/>
      <protection locked="0"/>
    </xf>
    <xf numFmtId="3" fontId="39" fillId="6" borderId="22" xfId="96" applyNumberFormat="1" applyFont="1" applyFill="1" applyBorder="1" applyAlignment="1" applyProtection="1">
      <alignment horizontal="center" vertical="center"/>
      <protection locked="0"/>
    </xf>
    <xf numFmtId="3" fontId="39" fillId="6" borderId="17" xfId="96" applyNumberFormat="1" applyFont="1" applyFill="1" applyBorder="1" applyAlignment="1" applyProtection="1">
      <alignment horizontal="center" vertical="center"/>
      <protection locked="0"/>
    </xf>
    <xf numFmtId="3" fontId="39" fillId="6" borderId="11" xfId="96" applyNumberFormat="1" applyFont="1" applyFill="1" applyBorder="1" applyAlignment="1" applyProtection="1">
      <alignment horizontal="center" vertical="center"/>
      <protection locked="0"/>
    </xf>
    <xf numFmtId="3" fontId="39" fillId="6" borderId="19" xfId="96" applyNumberFormat="1" applyFont="1" applyFill="1" applyBorder="1" applyAlignment="1" applyProtection="1">
      <alignment horizontal="center" vertical="center" wrapText="1"/>
      <protection locked="0"/>
    </xf>
    <xf numFmtId="3" fontId="39" fillId="6" borderId="22" xfId="96" applyNumberFormat="1" applyFont="1" applyFill="1" applyBorder="1" applyAlignment="1" applyProtection="1">
      <alignment horizontal="center" vertical="center" wrapText="1"/>
      <protection locked="0"/>
    </xf>
    <xf numFmtId="3" fontId="39" fillId="6" borderId="35" xfId="96" applyNumberFormat="1" applyFont="1" applyFill="1" applyBorder="1" applyAlignment="1" applyProtection="1">
      <alignment horizontal="center" vertical="center"/>
      <protection locked="0"/>
    </xf>
    <xf numFmtId="3" fontId="39" fillId="6" borderId="28" xfId="96" applyNumberFormat="1" applyFont="1" applyFill="1" applyBorder="1" applyAlignment="1" applyProtection="1">
      <alignment horizontal="center" vertical="center"/>
      <protection locked="0"/>
    </xf>
    <xf numFmtId="3" fontId="39" fillId="6" borderId="4" xfId="96" applyNumberFormat="1" applyFont="1" applyFill="1" applyBorder="1" applyAlignment="1" applyProtection="1">
      <alignment horizontal="center" vertical="center"/>
      <protection locked="0"/>
    </xf>
    <xf numFmtId="3" fontId="39" fillId="6" borderId="34" xfId="96" applyNumberFormat="1" applyFont="1" applyFill="1" applyBorder="1" applyAlignment="1" applyProtection="1">
      <alignment horizontal="center" vertical="center"/>
      <protection locked="0"/>
    </xf>
    <xf numFmtId="3" fontId="39" fillId="6" borderId="35" xfId="96" applyNumberFormat="1" applyFont="1" applyFill="1" applyBorder="1" applyAlignment="1" applyProtection="1">
      <alignment horizontal="center" vertical="center" wrapText="1"/>
      <protection locked="0"/>
    </xf>
    <xf numFmtId="3" fontId="39" fillId="6" borderId="28" xfId="96" applyNumberFormat="1" applyFont="1" applyFill="1" applyBorder="1" applyAlignment="1" applyProtection="1">
      <alignment horizontal="center" vertical="center" wrapText="1"/>
      <protection locked="0"/>
    </xf>
    <xf numFmtId="0" fontId="48" fillId="11" borderId="17" xfId="96" applyFont="1" applyFill="1" applyBorder="1" applyAlignment="1">
      <alignment horizontal="center" vertical="center" wrapText="1"/>
    </xf>
    <xf numFmtId="0" fontId="43" fillId="11" borderId="8" xfId="96" applyFont="1" applyFill="1" applyBorder="1" applyAlignment="1">
      <alignment horizontal="center" vertical="center"/>
    </xf>
    <xf numFmtId="0" fontId="43" fillId="11" borderId="16" xfId="96" applyFont="1" applyFill="1" applyBorder="1" applyAlignment="1">
      <alignment horizontal="center" vertical="center"/>
    </xf>
    <xf numFmtId="0" fontId="39" fillId="6" borderId="71" xfId="96" applyFont="1" applyFill="1" applyBorder="1" applyAlignment="1" applyProtection="1">
      <alignment horizontal="center"/>
      <protection locked="0"/>
    </xf>
    <xf numFmtId="0" fontId="39" fillId="6" borderId="72" xfId="96" applyFont="1" applyFill="1" applyBorder="1" applyAlignment="1" applyProtection="1">
      <alignment horizontal="center"/>
      <protection locked="0"/>
    </xf>
    <xf numFmtId="0" fontId="39" fillId="6" borderId="74" xfId="96" applyFont="1" applyFill="1" applyBorder="1" applyAlignment="1" applyProtection="1">
      <alignment horizontal="center"/>
      <protection locked="0"/>
    </xf>
    <xf numFmtId="0" fontId="39" fillId="6" borderId="4" xfId="96" applyFont="1" applyFill="1" applyBorder="1" applyAlignment="1" applyProtection="1">
      <alignment horizontal="center"/>
      <protection locked="0"/>
    </xf>
    <xf numFmtId="0" fontId="39" fillId="6" borderId="5" xfId="96" applyFont="1" applyFill="1" applyBorder="1" applyAlignment="1" applyProtection="1">
      <alignment horizontal="center"/>
      <protection locked="0"/>
    </xf>
    <xf numFmtId="0" fontId="39" fillId="6" borderId="28" xfId="96" applyFont="1" applyFill="1" applyBorder="1" applyAlignment="1" applyProtection="1">
      <alignment horizontal="center"/>
      <protection locked="0"/>
    </xf>
    <xf numFmtId="0" fontId="39" fillId="6" borderId="7" xfId="96" applyFont="1" applyFill="1" applyBorder="1" applyAlignment="1" applyProtection="1">
      <alignment horizontal="center"/>
      <protection locked="0"/>
    </xf>
    <xf numFmtId="0" fontId="39" fillId="6" borderId="8" xfId="96" applyFont="1" applyFill="1" applyBorder="1" applyAlignment="1" applyProtection="1">
      <alignment horizontal="center"/>
      <protection locked="0"/>
    </xf>
    <xf numFmtId="0" fontId="39" fillId="6" borderId="16" xfId="96" applyFont="1" applyFill="1" applyBorder="1" applyAlignment="1" applyProtection="1">
      <alignment horizontal="center"/>
      <protection locked="0"/>
    </xf>
    <xf numFmtId="0" fontId="41" fillId="11" borderId="71" xfId="157" applyFont="1" applyFill="1" applyBorder="1" applyAlignment="1">
      <alignment horizontal="center" vertical="center" wrapText="1"/>
    </xf>
    <xf numFmtId="0" fontId="41" fillId="11" borderId="74" xfId="157" applyFont="1" applyFill="1" applyBorder="1" applyAlignment="1">
      <alignment horizontal="center" vertical="center" wrapText="1"/>
    </xf>
    <xf numFmtId="0" fontId="41" fillId="11" borderId="7" xfId="157" applyFont="1" applyFill="1" applyBorder="1" applyAlignment="1">
      <alignment horizontal="center" vertical="center" wrapText="1"/>
    </xf>
    <xf numFmtId="0" fontId="41" fillId="11" borderId="16" xfId="157" applyFont="1" applyFill="1" applyBorder="1" applyAlignment="1">
      <alignment horizontal="center" vertical="center" wrapText="1"/>
    </xf>
    <xf numFmtId="0" fontId="39" fillId="11" borderId="6" xfId="157" applyFill="1" applyBorder="1" applyAlignment="1">
      <alignment horizontal="left" vertical="center"/>
    </xf>
    <xf numFmtId="0" fontId="39" fillId="11" borderId="33" xfId="157" applyFill="1" applyBorder="1" applyAlignment="1">
      <alignment horizontal="left" vertical="center"/>
    </xf>
    <xf numFmtId="0" fontId="39" fillId="11" borderId="4" xfId="157" applyFill="1" applyBorder="1" applyAlignment="1">
      <alignment horizontal="left" vertical="center"/>
    </xf>
    <xf numFmtId="0" fontId="39" fillId="11" borderId="28" xfId="157" applyFill="1" applyBorder="1" applyAlignment="1">
      <alignment horizontal="left" vertical="center"/>
    </xf>
    <xf numFmtId="0" fontId="39" fillId="11" borderId="96" xfId="157" applyFill="1" applyBorder="1" applyAlignment="1">
      <alignment horizontal="left" vertical="center"/>
    </xf>
    <xf numFmtId="0" fontId="39" fillId="11" borderId="97" xfId="157" applyFill="1" applyBorder="1" applyAlignment="1">
      <alignment horizontal="left" vertical="center"/>
    </xf>
    <xf numFmtId="0" fontId="41" fillId="11" borderId="59" xfId="157" applyFont="1" applyFill="1" applyBorder="1" applyAlignment="1">
      <alignment horizontal="center" vertical="center" wrapText="1"/>
    </xf>
    <xf numFmtId="0" fontId="41" fillId="11" borderId="118" xfId="157" applyFont="1" applyFill="1" applyBorder="1" applyAlignment="1">
      <alignment horizontal="center" vertical="center" wrapText="1"/>
    </xf>
    <xf numFmtId="0" fontId="41" fillId="11" borderId="97" xfId="157" applyFont="1" applyFill="1" applyBorder="1" applyAlignment="1">
      <alignment horizontal="center" vertical="center" wrapText="1"/>
    </xf>
    <xf numFmtId="0" fontId="41" fillId="11" borderId="17" xfId="157" applyFont="1" applyFill="1" applyBorder="1" applyAlignment="1">
      <alignment horizontal="center" vertical="center" wrapText="1"/>
    </xf>
    <xf numFmtId="0" fontId="41" fillId="11" borderId="10" xfId="157" applyFont="1" applyFill="1" applyBorder="1" applyAlignment="1">
      <alignment horizontal="center" vertical="center" wrapText="1"/>
    </xf>
    <xf numFmtId="0" fontId="41" fillId="11" borderId="22" xfId="157" applyFont="1" applyFill="1" applyBorder="1" applyAlignment="1">
      <alignment horizontal="center" vertical="center" wrapText="1"/>
    </xf>
    <xf numFmtId="0" fontId="39" fillId="6" borderId="7" xfId="96" applyFont="1" applyFill="1" applyBorder="1" applyAlignment="1" applyProtection="1">
      <alignment horizontal="center" vertical="center"/>
      <protection locked="0"/>
    </xf>
    <xf numFmtId="0" fontId="39" fillId="6" borderId="8" xfId="96" applyFont="1" applyFill="1" applyBorder="1" applyAlignment="1" applyProtection="1">
      <alignment horizontal="center" vertical="center"/>
      <protection locked="0"/>
    </xf>
    <xf numFmtId="0" fontId="39" fillId="6" borderId="9" xfId="96" applyFont="1" applyFill="1" applyBorder="1" applyAlignment="1" applyProtection="1">
      <alignment horizontal="center" vertical="center"/>
      <protection locked="0"/>
    </xf>
    <xf numFmtId="0" fontId="43" fillId="11" borderId="71" xfId="96" applyFont="1" applyFill="1" applyBorder="1" applyAlignment="1">
      <alignment horizontal="center" vertical="center" wrapText="1"/>
    </xf>
    <xf numFmtId="0" fontId="43" fillId="11" borderId="72" xfId="96" applyFont="1" applyFill="1" applyBorder="1" applyAlignment="1">
      <alignment horizontal="center" vertical="center" wrapText="1"/>
    </xf>
    <xf numFmtId="0" fontId="43" fillId="11" borderId="74" xfId="96" applyFont="1" applyFill="1" applyBorder="1" applyAlignment="1">
      <alignment horizontal="center" vertical="center" wrapText="1"/>
    </xf>
    <xf numFmtId="0" fontId="43" fillId="11" borderId="7" xfId="96" applyFont="1" applyFill="1" applyBorder="1" applyAlignment="1">
      <alignment horizontal="center" vertical="center" wrapText="1"/>
    </xf>
    <xf numFmtId="0" fontId="43" fillId="11" borderId="8" xfId="96" applyFont="1" applyFill="1" applyBorder="1" applyAlignment="1">
      <alignment horizontal="center" vertical="center" wrapText="1"/>
    </xf>
    <xf numFmtId="0" fontId="43" fillId="11" borderId="16" xfId="96" applyFont="1" applyFill="1" applyBorder="1" applyAlignment="1">
      <alignment horizontal="center" vertical="center" wrapText="1"/>
    </xf>
    <xf numFmtId="0" fontId="39" fillId="6" borderId="71" xfId="96" applyFont="1" applyFill="1" applyBorder="1" applyAlignment="1" applyProtection="1">
      <alignment horizontal="center" vertical="center"/>
      <protection locked="0"/>
    </xf>
    <xf numFmtId="0" fontId="39" fillId="6" borderId="72" xfId="96" applyFont="1" applyFill="1" applyBorder="1" applyAlignment="1" applyProtection="1">
      <alignment horizontal="center" vertical="center"/>
      <protection locked="0"/>
    </xf>
    <xf numFmtId="0" fontId="39" fillId="6" borderId="73" xfId="96" applyFont="1" applyFill="1" applyBorder="1" applyAlignment="1" applyProtection="1">
      <alignment horizontal="center" vertical="center"/>
      <protection locked="0"/>
    </xf>
    <xf numFmtId="0" fontId="39" fillId="6" borderId="59" xfId="157" applyFill="1" applyBorder="1" applyAlignment="1" applyProtection="1">
      <alignment horizontal="center" vertical="center"/>
      <protection locked="0"/>
    </xf>
    <xf numFmtId="0" fontId="39" fillId="6" borderId="97" xfId="157" applyFill="1" applyBorder="1" applyAlignment="1" applyProtection="1">
      <alignment horizontal="center" vertical="center"/>
      <protection locked="0"/>
    </xf>
    <xf numFmtId="0" fontId="39" fillId="6" borderId="118" xfId="157" applyFill="1" applyBorder="1" applyAlignment="1" applyProtection="1">
      <alignment horizontal="center" vertical="center"/>
      <protection locked="0"/>
    </xf>
    <xf numFmtId="0" fontId="41" fillId="11" borderId="0" xfId="96" applyFont="1" applyFill="1" applyAlignment="1">
      <alignment horizontal="center" vertical="center" wrapText="1"/>
    </xf>
    <xf numFmtId="0" fontId="39" fillId="6" borderId="4" xfId="96" applyFont="1" applyFill="1" applyBorder="1" applyAlignment="1" applyProtection="1">
      <alignment horizontal="center" vertical="center"/>
      <protection locked="0"/>
    </xf>
    <xf numFmtId="0" fontId="39" fillId="6" borderId="5" xfId="96" applyFont="1" applyFill="1" applyBorder="1" applyAlignment="1" applyProtection="1">
      <alignment horizontal="center" vertical="center"/>
      <protection locked="0"/>
    </xf>
    <xf numFmtId="0" fontId="39" fillId="6" borderId="34" xfId="96" applyFont="1" applyFill="1" applyBorder="1" applyAlignment="1" applyProtection="1">
      <alignment horizontal="center" vertical="center"/>
      <protection locked="0"/>
    </xf>
    <xf numFmtId="0" fontId="39" fillId="6" borderId="19" xfId="157" applyFill="1" applyBorder="1" applyAlignment="1" applyProtection="1">
      <alignment horizontal="center" vertical="center"/>
      <protection locked="0"/>
    </xf>
    <xf numFmtId="0" fontId="39" fillId="6" borderId="11" xfId="157" applyFill="1" applyBorder="1" applyAlignment="1" applyProtection="1">
      <alignment horizontal="center" vertical="center"/>
      <protection locked="0"/>
    </xf>
    <xf numFmtId="0" fontId="39" fillId="6" borderId="22" xfId="157" applyFill="1" applyBorder="1" applyAlignment="1" applyProtection="1">
      <alignment horizontal="center" vertical="center"/>
      <protection locked="0"/>
    </xf>
    <xf numFmtId="0" fontId="39" fillId="6" borderId="35" xfId="157" applyFill="1" applyBorder="1" applyAlignment="1" applyProtection="1">
      <alignment horizontal="center" vertical="center"/>
      <protection locked="0"/>
    </xf>
    <xf numFmtId="0" fontId="39" fillId="6" borderId="34" xfId="157" applyFill="1" applyBorder="1" applyAlignment="1" applyProtection="1">
      <alignment horizontal="center" vertical="center"/>
      <protection locked="0"/>
    </xf>
    <xf numFmtId="0" fontId="39" fillId="6" borderId="28" xfId="157" applyFill="1" applyBorder="1" applyAlignment="1" applyProtection="1">
      <alignment horizontal="center" vertical="center"/>
      <protection locked="0"/>
    </xf>
    <xf numFmtId="0" fontId="39" fillId="11" borderId="0" xfId="96" applyFont="1" applyFill="1" applyAlignment="1">
      <alignment horizontal="left" vertical="top" wrapText="1"/>
    </xf>
    <xf numFmtId="0" fontId="43" fillId="11" borderId="96" xfId="96" applyFont="1" applyFill="1" applyBorder="1" applyAlignment="1">
      <alignment horizontal="center" vertical="center" wrapText="1"/>
    </xf>
    <xf numFmtId="0" fontId="43" fillId="11" borderId="94" xfId="96" applyFont="1" applyFill="1" applyBorder="1" applyAlignment="1">
      <alignment horizontal="center" vertical="center" wrapText="1"/>
    </xf>
    <xf numFmtId="0" fontId="43" fillId="11" borderId="118" xfId="96" applyFont="1" applyFill="1" applyBorder="1" applyAlignment="1">
      <alignment horizontal="center" vertical="center" wrapText="1"/>
    </xf>
    <xf numFmtId="0" fontId="129" fillId="11" borderId="348" xfId="22" applyFont="1" applyFill="1" applyBorder="1" applyAlignment="1">
      <alignment horizontal="center" vertical="center" wrapText="1"/>
    </xf>
    <xf numFmtId="0" fontId="129" fillId="11" borderId="349" xfId="22" applyFont="1" applyFill="1" applyBorder="1" applyAlignment="1">
      <alignment horizontal="center" vertical="center" wrapText="1"/>
    </xf>
    <xf numFmtId="0" fontId="129" fillId="11" borderId="350" xfId="22" applyFont="1" applyFill="1" applyBorder="1" applyAlignment="1">
      <alignment horizontal="center" vertical="center" wrapText="1"/>
    </xf>
    <xf numFmtId="0" fontId="129" fillId="11" borderId="346" xfId="22" applyFont="1" applyFill="1" applyBorder="1" applyAlignment="1">
      <alignment horizontal="center" vertical="center" wrapText="1"/>
    </xf>
    <xf numFmtId="0" fontId="129" fillId="11" borderId="347" xfId="22" applyFont="1" applyFill="1" applyBorder="1" applyAlignment="1">
      <alignment horizontal="center" vertical="center" wrapText="1"/>
    </xf>
    <xf numFmtId="0" fontId="41" fillId="11" borderId="273" xfId="164" applyFont="1" applyFill="1" applyBorder="1" applyAlignment="1">
      <alignment horizontal="center" vertical="center"/>
    </xf>
    <xf numFmtId="0" fontId="41" fillId="11" borderId="274" xfId="164" applyFont="1" applyFill="1" applyBorder="1" applyAlignment="1">
      <alignment horizontal="center" vertical="center"/>
    </xf>
    <xf numFmtId="0" fontId="41" fillId="11" borderId="302" xfId="164" applyFont="1" applyFill="1" applyBorder="1" applyAlignment="1">
      <alignment horizontal="center" vertical="center"/>
    </xf>
    <xf numFmtId="0" fontId="41" fillId="11" borderId="291" xfId="164" applyFont="1" applyFill="1" applyBorder="1" applyAlignment="1">
      <alignment horizontal="center" vertical="center"/>
    </xf>
    <xf numFmtId="0" fontId="41" fillId="11" borderId="292" xfId="164" applyFont="1" applyFill="1" applyBorder="1" applyAlignment="1">
      <alignment horizontal="center" vertical="center"/>
    </xf>
    <xf numFmtId="0" fontId="41" fillId="11" borderId="297" xfId="164" applyFont="1" applyFill="1" applyBorder="1" applyAlignment="1">
      <alignment horizontal="center" vertical="center"/>
    </xf>
    <xf numFmtId="0" fontId="41" fillId="11" borderId="300" xfId="164" applyFont="1" applyFill="1" applyBorder="1" applyAlignment="1">
      <alignment horizontal="center" vertical="center" wrapText="1"/>
    </xf>
    <xf numFmtId="0" fontId="41" fillId="11" borderId="277" xfId="164" applyFont="1" applyFill="1" applyBorder="1" applyAlignment="1">
      <alignment horizontal="center" vertical="center" wrapText="1"/>
    </xf>
    <xf numFmtId="0" fontId="41" fillId="11" borderId="276" xfId="164" applyFont="1" applyFill="1" applyBorder="1" applyAlignment="1">
      <alignment horizontal="center" vertical="center" wrapText="1"/>
    </xf>
    <xf numFmtId="0" fontId="41" fillId="11" borderId="278" xfId="164" applyFont="1" applyFill="1" applyBorder="1" applyAlignment="1">
      <alignment horizontal="center" vertical="center" wrapText="1"/>
    </xf>
    <xf numFmtId="0" fontId="41" fillId="11" borderId="69" xfId="164" applyFont="1" applyFill="1" applyBorder="1" applyAlignment="1">
      <alignment horizontal="center" vertical="center" wrapText="1"/>
    </xf>
    <xf numFmtId="0" fontId="41" fillId="11" borderId="68" xfId="164" applyFont="1" applyFill="1" applyBorder="1" applyAlignment="1">
      <alignment horizontal="center" vertical="center" wrapText="1"/>
    </xf>
    <xf numFmtId="0" fontId="41" fillId="11" borderId="38" xfId="164" applyFont="1" applyFill="1" applyBorder="1" applyAlignment="1">
      <alignment horizontal="center" vertical="center" wrapText="1"/>
    </xf>
    <xf numFmtId="0" fontId="41" fillId="11" borderId="67" xfId="164" applyFont="1" applyFill="1" applyBorder="1" applyAlignment="1">
      <alignment horizontal="center" vertical="center" wrapText="1"/>
    </xf>
    <xf numFmtId="0" fontId="140" fillId="6" borderId="331" xfId="22" applyFont="1" applyFill="1" applyBorder="1" applyAlignment="1" applyProtection="1">
      <alignment horizontal="center" vertical="center" wrapText="1"/>
      <protection locked="0"/>
    </xf>
    <xf numFmtId="0" fontId="140" fillId="6" borderId="332" xfId="22" applyFont="1" applyFill="1" applyBorder="1" applyAlignment="1" applyProtection="1">
      <alignment horizontal="center" vertical="center" wrapText="1"/>
      <protection locked="0"/>
    </xf>
    <xf numFmtId="0" fontId="140" fillId="6" borderId="335" xfId="22" applyFont="1" applyFill="1" applyBorder="1" applyAlignment="1" applyProtection="1">
      <alignment horizontal="center" vertical="center" wrapText="1"/>
      <protection locked="0"/>
    </xf>
    <xf numFmtId="0" fontId="140" fillId="6" borderId="336" xfId="22" applyFont="1" applyFill="1" applyBorder="1" applyAlignment="1" applyProtection="1">
      <alignment horizontal="center" vertical="center" wrapText="1"/>
      <protection locked="0"/>
    </xf>
    <xf numFmtId="0" fontId="140" fillId="6" borderId="337" xfId="22" applyFont="1" applyFill="1" applyBorder="1" applyAlignment="1" applyProtection="1">
      <alignment horizontal="center" vertical="center" wrapText="1"/>
      <protection locked="0"/>
    </xf>
    <xf numFmtId="0" fontId="140" fillId="6" borderId="338" xfId="22" applyFont="1" applyFill="1" applyBorder="1" applyAlignment="1" applyProtection="1">
      <alignment horizontal="center" vertical="center" wrapText="1"/>
      <protection locked="0"/>
    </xf>
    <xf numFmtId="0" fontId="140" fillId="6" borderId="339" xfId="22" applyFont="1" applyFill="1" applyBorder="1" applyAlignment="1" applyProtection="1">
      <alignment horizontal="center" vertical="center" wrapText="1"/>
      <protection locked="0"/>
    </xf>
    <xf numFmtId="0" fontId="140" fillId="6" borderId="334" xfId="22" applyFont="1" applyFill="1" applyBorder="1" applyAlignment="1" applyProtection="1">
      <alignment horizontal="center" vertical="center" wrapText="1"/>
      <protection locked="0"/>
    </xf>
    <xf numFmtId="0" fontId="39" fillId="11" borderId="27" xfId="164" applyFill="1" applyBorder="1" applyAlignment="1">
      <alignment vertical="center" wrapText="1"/>
    </xf>
    <xf numFmtId="0" fontId="39" fillId="11" borderId="5" xfId="164" applyFill="1" applyBorder="1" applyAlignment="1">
      <alignment vertical="center" wrapText="1"/>
    </xf>
    <xf numFmtId="0" fontId="39" fillId="6" borderId="5" xfId="164" applyFill="1" applyBorder="1" applyAlignment="1" applyProtection="1">
      <alignment horizontal="center" vertical="center"/>
      <protection locked="0"/>
    </xf>
    <xf numFmtId="0" fontId="39" fillId="6" borderId="34" xfId="164" applyFill="1" applyBorder="1" applyAlignment="1" applyProtection="1">
      <alignment horizontal="center" vertical="center"/>
      <protection locked="0"/>
    </xf>
    <xf numFmtId="0" fontId="39" fillId="6" borderId="35" xfId="164" applyFill="1" applyBorder="1" applyAlignment="1" applyProtection="1">
      <alignment horizontal="center" vertical="center"/>
      <protection locked="0"/>
    </xf>
    <xf numFmtId="0" fontId="39" fillId="6" borderId="28" xfId="164" applyFill="1" applyBorder="1" applyAlignment="1" applyProtection="1">
      <alignment horizontal="center" vertical="center"/>
      <protection locked="0"/>
    </xf>
    <xf numFmtId="0" fontId="39" fillId="6" borderId="4" xfId="164" applyFill="1" applyBorder="1" applyAlignment="1" applyProtection="1">
      <alignment horizontal="center" vertical="center"/>
      <protection locked="0"/>
    </xf>
    <xf numFmtId="0" fontId="39" fillId="6" borderId="290" xfId="164" applyFill="1" applyBorder="1" applyAlignment="1" applyProtection="1">
      <alignment horizontal="center" vertical="center"/>
      <protection locked="0"/>
    </xf>
    <xf numFmtId="0" fontId="39" fillId="11" borderId="5" xfId="164" applyFill="1" applyBorder="1" applyAlignment="1">
      <alignment vertical="center"/>
    </xf>
    <xf numFmtId="0" fontId="39" fillId="6" borderId="8" xfId="164" applyFill="1" applyBorder="1" applyAlignment="1" applyProtection="1">
      <alignment horizontal="center" vertical="center"/>
      <protection locked="0"/>
    </xf>
    <xf numFmtId="0" fontId="39" fillId="6" borderId="9" xfId="164" applyFill="1" applyBorder="1" applyAlignment="1" applyProtection="1">
      <alignment horizontal="center" vertical="center"/>
      <protection locked="0"/>
    </xf>
    <xf numFmtId="0" fontId="39" fillId="6" borderId="13" xfId="164" applyFill="1" applyBorder="1" applyAlignment="1" applyProtection="1">
      <alignment horizontal="center" vertical="center"/>
      <protection locked="0"/>
    </xf>
    <xf numFmtId="0" fontId="39" fillId="6" borderId="16" xfId="164" applyFill="1" applyBorder="1" applyAlignment="1" applyProtection="1">
      <alignment horizontal="center" vertical="center"/>
      <protection locked="0"/>
    </xf>
    <xf numFmtId="0" fontId="39" fillId="6" borderId="7" xfId="164" applyFill="1" applyBorder="1" applyAlignment="1" applyProtection="1">
      <alignment horizontal="center" vertical="center"/>
      <protection locked="0"/>
    </xf>
    <xf numFmtId="0" fontId="39" fillId="6" borderId="284" xfId="164" applyFill="1" applyBorder="1" applyAlignment="1" applyProtection="1">
      <alignment horizontal="center" vertical="center"/>
      <protection locked="0"/>
    </xf>
    <xf numFmtId="0" fontId="160" fillId="11" borderId="306" xfId="164" applyFont="1" applyFill="1" applyBorder="1" applyAlignment="1">
      <alignment horizontal="left"/>
    </xf>
    <xf numFmtId="0" fontId="39" fillId="11" borderId="27" xfId="164" applyFill="1" applyBorder="1" applyAlignment="1">
      <alignment vertical="center"/>
    </xf>
    <xf numFmtId="0" fontId="160" fillId="11" borderId="306" xfId="164" applyFont="1" applyFill="1" applyBorder="1" applyAlignment="1">
      <alignment horizontal="left" vertical="top" wrapText="1"/>
    </xf>
    <xf numFmtId="0" fontId="39" fillId="6" borderId="293" xfId="164" applyFill="1" applyBorder="1" applyAlignment="1" applyProtection="1">
      <alignment horizontal="center" vertical="center"/>
      <protection locked="0"/>
    </xf>
    <xf numFmtId="0" fontId="160" fillId="11" borderId="306" xfId="164" applyFont="1" applyFill="1" applyBorder="1" applyAlignment="1">
      <alignment horizontal="left" vertical="top"/>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39" fillId="11" borderId="286" xfId="164" quotePrefix="1" applyFill="1" applyBorder="1" applyAlignment="1">
      <alignment horizontal="left" vertical="center" wrapText="1" indent="1"/>
    </xf>
    <xf numFmtId="0" fontId="39" fillId="11" borderId="27" xfId="164" quotePrefix="1" applyFill="1" applyBorder="1" applyAlignment="1">
      <alignment horizontal="left" vertical="center" wrapText="1" indent="1"/>
    </xf>
    <xf numFmtId="3" fontId="39" fillId="6" borderId="286" xfId="164" applyNumberFormat="1" applyFill="1" applyBorder="1" applyAlignment="1" applyProtection="1">
      <alignment horizontal="center" vertical="center"/>
      <protection locked="0"/>
    </xf>
    <xf numFmtId="3" fontId="39" fillId="6" borderId="27" xfId="164" applyNumberFormat="1" applyFill="1" applyBorder="1" applyAlignment="1" applyProtection="1">
      <alignment horizontal="center" vertical="center"/>
      <protection locked="0"/>
    </xf>
    <xf numFmtId="3" fontId="39" fillId="6" borderId="29" xfId="164" applyNumberFormat="1" applyFill="1" applyBorder="1" applyAlignment="1" applyProtection="1">
      <alignment horizontal="center" vertical="center"/>
      <protection locked="0"/>
    </xf>
    <xf numFmtId="3" fontId="39" fillId="6" borderId="30" xfId="164" applyNumberFormat="1" applyFill="1" applyBorder="1" applyAlignment="1" applyProtection="1">
      <alignment horizontal="center" vertical="center"/>
      <protection locked="0"/>
    </xf>
    <xf numFmtId="3" fontId="39" fillId="6" borderId="33" xfId="164" applyNumberFormat="1" applyFill="1" applyBorder="1" applyAlignment="1" applyProtection="1">
      <alignment horizontal="center" vertical="center"/>
      <protection locked="0"/>
    </xf>
    <xf numFmtId="3" fontId="39" fillId="6" borderId="6" xfId="164" applyNumberFormat="1" applyFill="1" applyBorder="1" applyAlignment="1" applyProtection="1">
      <alignment horizontal="center" vertical="center"/>
      <protection locked="0"/>
    </xf>
    <xf numFmtId="3" fontId="39" fillId="6" borderId="281" xfId="164" applyNumberFormat="1" applyFill="1" applyBorder="1" applyAlignment="1" applyProtection="1">
      <alignment horizontal="center" vertical="center"/>
      <protection locked="0"/>
    </xf>
    <xf numFmtId="0" fontId="39" fillId="11" borderId="289" xfId="164" quotePrefix="1" applyFill="1" applyBorder="1" applyAlignment="1">
      <alignment horizontal="left" vertical="center" wrapText="1" indent="1"/>
    </xf>
    <xf numFmtId="0" fontId="39" fillId="11" borderId="5" xfId="164" quotePrefix="1" applyFill="1" applyBorder="1" applyAlignment="1">
      <alignment horizontal="left" vertical="center" wrapText="1" indent="1"/>
    </xf>
    <xf numFmtId="3" fontId="39" fillId="6" borderId="289" xfId="164" applyNumberFormat="1" applyFill="1" applyBorder="1" applyAlignment="1" applyProtection="1">
      <alignment horizontal="center" vertical="center"/>
      <protection locked="0"/>
    </xf>
    <xf numFmtId="3" fontId="39" fillId="6" borderId="5" xfId="164" applyNumberFormat="1" applyFill="1" applyBorder="1" applyAlignment="1" applyProtection="1">
      <alignment horizontal="center" vertical="center"/>
      <protection locked="0"/>
    </xf>
    <xf numFmtId="3" fontId="39" fillId="6" borderId="34" xfId="164" applyNumberFormat="1" applyFill="1" applyBorder="1" applyAlignment="1" applyProtection="1">
      <alignment horizontal="center" vertical="center"/>
      <protection locked="0"/>
    </xf>
    <xf numFmtId="3" fontId="39" fillId="6" borderId="35" xfId="164" applyNumberFormat="1" applyFill="1" applyBorder="1" applyAlignment="1" applyProtection="1">
      <alignment horizontal="center" vertical="center"/>
      <protection locked="0"/>
    </xf>
    <xf numFmtId="3" fontId="39" fillId="6" borderId="28" xfId="164" applyNumberFormat="1" applyFill="1" applyBorder="1" applyAlignment="1" applyProtection="1">
      <alignment horizontal="center" vertical="center"/>
      <protection locked="0"/>
    </xf>
    <xf numFmtId="3" fontId="39" fillId="6" borderId="4" xfId="164" applyNumberFormat="1" applyFill="1" applyBorder="1" applyAlignment="1" applyProtection="1">
      <alignment horizontal="center" vertical="center"/>
      <protection locked="0"/>
    </xf>
    <xf numFmtId="3" fontId="39" fillId="6" borderId="290" xfId="164" applyNumberFormat="1" applyFill="1" applyBorder="1" applyAlignment="1" applyProtection="1">
      <alignment horizontal="center" vertical="center"/>
      <protection locked="0"/>
    </xf>
    <xf numFmtId="0" fontId="39" fillId="11" borderId="285" xfId="164" quotePrefix="1" applyFill="1" applyBorder="1" applyAlignment="1">
      <alignment horizontal="left" vertical="center" indent="1"/>
    </xf>
    <xf numFmtId="0" fontId="39" fillId="11" borderId="26" xfId="164" quotePrefix="1" applyFill="1" applyBorder="1" applyAlignment="1">
      <alignment horizontal="left" vertical="center" indent="1"/>
    </xf>
    <xf numFmtId="3" fontId="39" fillId="6" borderId="285" xfId="164" applyNumberFormat="1" applyFill="1" applyBorder="1" applyAlignment="1" applyProtection="1">
      <alignment horizontal="center" vertical="center"/>
      <protection locked="0"/>
    </xf>
    <xf numFmtId="3" fontId="39" fillId="6" borderId="26" xfId="164" applyNumberFormat="1" applyFill="1" applyBorder="1" applyAlignment="1" applyProtection="1">
      <alignment horizontal="center" vertical="center"/>
      <protection locked="0"/>
    </xf>
    <xf numFmtId="3" fontId="39" fillId="6" borderId="80" xfId="164" applyNumberFormat="1" applyFill="1" applyBorder="1" applyAlignment="1" applyProtection="1">
      <alignment horizontal="center" vertical="center"/>
      <protection locked="0"/>
    </xf>
    <xf numFmtId="3" fontId="39" fillId="6" borderId="279" xfId="164" applyNumberFormat="1" applyFill="1" applyBorder="1" applyAlignment="1" applyProtection="1">
      <alignment horizontal="center" vertical="center"/>
      <protection locked="0"/>
    </xf>
    <xf numFmtId="3" fontId="39" fillId="6" borderId="0" xfId="164" applyNumberFormat="1" applyFill="1" applyAlignment="1" applyProtection="1">
      <alignment horizontal="center" vertical="center"/>
      <protection locked="0"/>
    </xf>
    <xf numFmtId="3" fontId="39" fillId="6" borderId="69" xfId="164" applyNumberFormat="1" applyFill="1" applyBorder="1" applyAlignment="1" applyProtection="1">
      <alignment horizontal="center" vertical="center"/>
      <protection locked="0"/>
    </xf>
    <xf numFmtId="3" fontId="39" fillId="6" borderId="283" xfId="164" applyNumberFormat="1" applyFill="1" applyBorder="1" applyAlignment="1" applyProtection="1">
      <alignment horizontal="center" vertical="center"/>
      <protection locked="0"/>
    </xf>
    <xf numFmtId="3" fontId="39" fillId="6" borderId="8" xfId="164" applyNumberFormat="1" applyFill="1" applyBorder="1" applyAlignment="1" applyProtection="1">
      <alignment horizontal="center" vertical="center"/>
      <protection locked="0"/>
    </xf>
    <xf numFmtId="3" fontId="39" fillId="6" borderId="9" xfId="164" applyNumberFormat="1" applyFill="1" applyBorder="1" applyAlignment="1" applyProtection="1">
      <alignment horizontal="center" vertical="center"/>
      <protection locked="0"/>
    </xf>
    <xf numFmtId="3" fontId="39" fillId="6" borderId="79" xfId="164" applyNumberFormat="1" applyFill="1" applyBorder="1" applyAlignment="1" applyProtection="1">
      <alignment horizontal="center" vertical="center"/>
      <protection locked="0"/>
    </xf>
    <xf numFmtId="3" fontId="39" fillId="6" borderId="78" xfId="164" applyNumberFormat="1" applyFill="1" applyBorder="1" applyAlignment="1" applyProtection="1">
      <alignment horizontal="center" vertical="center"/>
      <protection locked="0"/>
    </xf>
    <xf numFmtId="3" fontId="39" fillId="6" borderId="68" xfId="164" applyNumberFormat="1" applyFill="1" applyBorder="1" applyAlignment="1" applyProtection="1">
      <alignment horizontal="center" vertical="center"/>
      <protection locked="0"/>
    </xf>
    <xf numFmtId="3" fontId="39" fillId="6" borderId="38" xfId="164" applyNumberFormat="1" applyFill="1" applyBorder="1" applyAlignment="1" applyProtection="1">
      <alignment horizontal="center" vertical="center"/>
      <protection locked="0"/>
    </xf>
    <xf numFmtId="3" fontId="39" fillId="6" borderId="13" xfId="164" applyNumberFormat="1" applyFill="1" applyBorder="1" applyAlignment="1" applyProtection="1">
      <alignment horizontal="center" vertical="center"/>
      <protection locked="0"/>
    </xf>
    <xf numFmtId="3" fontId="39" fillId="6" borderId="16" xfId="164" applyNumberFormat="1" applyFill="1" applyBorder="1" applyAlignment="1" applyProtection="1">
      <alignment horizontal="center" vertical="center"/>
      <protection locked="0"/>
    </xf>
    <xf numFmtId="3" fontId="39" fillId="6" borderId="77" xfId="164" applyNumberFormat="1" applyFill="1" applyBorder="1" applyAlignment="1" applyProtection="1">
      <alignment horizontal="center" vertical="center"/>
      <protection locked="0"/>
    </xf>
    <xf numFmtId="3" fontId="39" fillId="6" borderId="67" xfId="164" applyNumberFormat="1" applyFill="1" applyBorder="1" applyAlignment="1" applyProtection="1">
      <alignment horizontal="center" vertical="center"/>
      <protection locked="0"/>
    </xf>
    <xf numFmtId="3" fontId="39" fillId="6" borderId="7" xfId="164" applyNumberFormat="1" applyFill="1" applyBorder="1" applyAlignment="1" applyProtection="1">
      <alignment horizontal="center" vertical="center"/>
      <protection locked="0"/>
    </xf>
    <xf numFmtId="3" fontId="39" fillId="6" borderId="282" xfId="164" applyNumberFormat="1" applyFill="1" applyBorder="1" applyAlignment="1" applyProtection="1">
      <alignment horizontal="center" vertical="center"/>
      <protection locked="0"/>
    </xf>
    <xf numFmtId="3" fontId="39" fillId="6" borderId="280" xfId="164" applyNumberFormat="1" applyFill="1" applyBorder="1" applyAlignment="1" applyProtection="1">
      <alignment horizontal="center" vertical="center"/>
      <protection locked="0"/>
    </xf>
    <xf numFmtId="3" fontId="39" fillId="6" borderId="284" xfId="164" applyNumberFormat="1" applyFill="1" applyBorder="1" applyAlignment="1" applyProtection="1">
      <alignment horizontal="center" vertical="center"/>
      <protection locked="0"/>
    </xf>
    <xf numFmtId="0" fontId="39" fillId="11" borderId="298" xfId="164" quotePrefix="1" applyFill="1" applyBorder="1" applyAlignment="1">
      <alignment horizontal="left" vertical="center" wrapText="1" indent="1"/>
    </xf>
    <xf numFmtId="0" fontId="39" fillId="11" borderId="10" xfId="164" quotePrefix="1" applyFill="1" applyBorder="1" applyAlignment="1">
      <alignment horizontal="left" vertical="center" wrapText="1" indent="1"/>
    </xf>
    <xf numFmtId="3" fontId="39" fillId="6" borderId="298" xfId="164" applyNumberFormat="1" applyFill="1" applyBorder="1" applyAlignment="1" applyProtection="1">
      <alignment horizontal="center" vertical="center"/>
      <protection locked="0"/>
    </xf>
    <xf numFmtId="3" fontId="39" fillId="6" borderId="10" xfId="164" applyNumberFormat="1" applyFill="1" applyBorder="1" applyAlignment="1" applyProtection="1">
      <alignment horizontal="center" vertical="center"/>
      <protection locked="0"/>
    </xf>
    <xf numFmtId="3" fontId="39" fillId="6" borderId="11" xfId="164" applyNumberFormat="1" applyFill="1" applyBorder="1" applyAlignment="1" applyProtection="1">
      <alignment horizontal="center" vertical="center"/>
      <protection locked="0"/>
    </xf>
    <xf numFmtId="3" fontId="39" fillId="6" borderId="19" xfId="164" applyNumberFormat="1" applyFill="1" applyBorder="1" applyAlignment="1" applyProtection="1">
      <alignment horizontal="center" vertical="center"/>
      <protection locked="0"/>
    </xf>
    <xf numFmtId="3" fontId="39" fillId="6" borderId="22" xfId="164" applyNumberFormat="1" applyFill="1" applyBorder="1" applyAlignment="1" applyProtection="1">
      <alignment horizontal="center" vertical="center"/>
      <protection locked="0"/>
    </xf>
    <xf numFmtId="3" fontId="39" fillId="6" borderId="17" xfId="164" applyNumberFormat="1" applyFill="1" applyBorder="1" applyAlignment="1" applyProtection="1">
      <alignment horizontal="center" vertical="center"/>
      <protection locked="0"/>
    </xf>
    <xf numFmtId="3" fontId="39" fillId="6" borderId="299" xfId="164" applyNumberFormat="1" applyFill="1" applyBorder="1" applyAlignment="1" applyProtection="1">
      <alignment horizontal="center" vertical="center"/>
      <protection locked="0"/>
    </xf>
    <xf numFmtId="3" fontId="39" fillId="6" borderId="295" xfId="164" applyNumberFormat="1" applyFill="1" applyBorder="1" applyAlignment="1" applyProtection="1">
      <alignment horizontal="center" vertical="center"/>
      <protection locked="0"/>
    </xf>
    <xf numFmtId="3" fontId="39" fillId="6" borderId="292" xfId="164" applyNumberFormat="1" applyFill="1" applyBorder="1" applyAlignment="1" applyProtection="1">
      <alignment horizontal="center" vertical="center"/>
      <protection locked="0"/>
    </xf>
    <xf numFmtId="3" fontId="39" fillId="6" borderId="297" xfId="164" applyNumberFormat="1" applyFill="1" applyBorder="1" applyAlignment="1" applyProtection="1">
      <alignment horizontal="center" vertical="center"/>
      <protection locked="0"/>
    </xf>
    <xf numFmtId="0" fontId="127" fillId="11" borderId="0" xfId="22" applyFont="1" applyFill="1" applyAlignment="1">
      <alignment vertical="top"/>
    </xf>
    <xf numFmtId="0" fontId="39" fillId="11" borderId="322" xfId="164" applyFill="1" applyBorder="1" applyAlignment="1">
      <alignment horizontal="left" vertical="center" indent="3"/>
    </xf>
    <xf numFmtId="0" fontId="39" fillId="11" borderId="304" xfId="164" applyFill="1" applyBorder="1" applyAlignment="1">
      <alignment horizontal="left" vertical="center" indent="3"/>
    </xf>
    <xf numFmtId="0" fontId="39" fillId="11" borderId="305" xfId="164" applyFill="1" applyBorder="1" applyAlignment="1">
      <alignment horizontal="left" vertical="center" indent="3"/>
    </xf>
    <xf numFmtId="0" fontId="39" fillId="6" borderId="304" xfId="164" applyFill="1" applyBorder="1" applyAlignment="1" applyProtection="1">
      <alignment horizontal="center" vertical="center"/>
      <protection locked="0"/>
    </xf>
    <xf numFmtId="0" fontId="39" fillId="6" borderId="305" xfId="164" applyFill="1" applyBorder="1" applyAlignment="1" applyProtection="1">
      <alignment horizontal="center" vertical="center"/>
      <protection locked="0"/>
    </xf>
    <xf numFmtId="3" fontId="39" fillId="6" borderId="291" xfId="164" applyNumberFormat="1" applyFill="1" applyBorder="1" applyAlignment="1" applyProtection="1">
      <alignment horizontal="center" vertical="center"/>
      <protection locked="0"/>
    </xf>
    <xf numFmtId="3" fontId="39" fillId="6" borderId="296" xfId="164" applyNumberFormat="1" applyFill="1" applyBorder="1" applyAlignment="1" applyProtection="1">
      <alignment horizontal="center" vertical="center"/>
      <protection locked="0"/>
    </xf>
    <xf numFmtId="3" fontId="39" fillId="6" borderId="293" xfId="164" applyNumberFormat="1" applyFill="1" applyBorder="1" applyAlignment="1" applyProtection="1">
      <alignment horizontal="center" vertical="center"/>
      <protection locked="0"/>
    </xf>
    <xf numFmtId="3" fontId="39" fillId="6" borderId="294" xfId="164" applyNumberFormat="1" applyFill="1" applyBorder="1" applyAlignment="1" applyProtection="1">
      <alignment horizontal="center" vertical="center"/>
      <protection locked="0"/>
    </xf>
    <xf numFmtId="0" fontId="39" fillId="11" borderId="289" xfId="164" applyFill="1" applyBorder="1" applyAlignment="1">
      <alignment horizontal="left" vertical="center" indent="3"/>
    </xf>
    <xf numFmtId="0" fontId="39" fillId="11" borderId="5" xfId="164" applyFill="1" applyBorder="1" applyAlignment="1">
      <alignment horizontal="left" vertical="center" indent="3"/>
    </xf>
    <xf numFmtId="0" fontId="39" fillId="11" borderId="290" xfId="164" applyFill="1" applyBorder="1" applyAlignment="1">
      <alignment horizontal="left" vertical="center" indent="3"/>
    </xf>
    <xf numFmtId="0" fontId="39" fillId="11" borderId="323" xfId="164" applyFill="1" applyBorder="1" applyAlignment="1">
      <alignment horizontal="left" vertical="center" indent="3"/>
    </xf>
    <xf numFmtId="0" fontId="39" fillId="11" borderId="306" xfId="164" applyFill="1" applyBorder="1" applyAlignment="1">
      <alignment horizontal="left" vertical="center" indent="3"/>
    </xf>
    <xf numFmtId="0" fontId="39" fillId="11" borderId="307" xfId="164" applyFill="1" applyBorder="1" applyAlignment="1">
      <alignment horizontal="left" vertical="center" indent="3"/>
    </xf>
    <xf numFmtId="0" fontId="39" fillId="6" borderId="306" xfId="164" applyFill="1" applyBorder="1" applyAlignment="1" applyProtection="1">
      <alignment horizontal="center" vertical="center"/>
      <protection locked="0"/>
    </xf>
    <xf numFmtId="0" fontId="39" fillId="6" borderId="307" xfId="164" applyFill="1" applyBorder="1" applyAlignment="1" applyProtection="1">
      <alignment horizontal="center" vertical="center"/>
      <protection locked="0"/>
    </xf>
    <xf numFmtId="0" fontId="0" fillId="11" borderId="0" xfId="171" applyFont="1" applyFill="1" applyAlignment="1">
      <alignment wrapText="1"/>
    </xf>
    <xf numFmtId="0" fontId="39" fillId="11" borderId="304" xfId="164" quotePrefix="1" applyFill="1" applyBorder="1" applyAlignment="1">
      <alignment vertical="center"/>
    </xf>
    <xf numFmtId="0" fontId="39" fillId="11" borderId="5" xfId="164" quotePrefix="1" applyFill="1" applyBorder="1" applyAlignment="1">
      <alignment vertical="center"/>
    </xf>
    <xf numFmtId="0" fontId="39" fillId="11" borderId="306" xfId="164" quotePrefix="1" applyFill="1" applyBorder="1" applyAlignment="1">
      <alignment vertical="center"/>
    </xf>
    <xf numFmtId="3" fontId="39" fillId="6" borderId="323" xfId="164" applyNumberFormat="1" applyFill="1" applyBorder="1" applyAlignment="1" applyProtection="1">
      <alignment horizontal="center" vertical="center"/>
      <protection locked="0"/>
    </xf>
    <xf numFmtId="3" fontId="39" fillId="6" borderId="306" xfId="164" applyNumberFormat="1" applyFill="1" applyBorder="1" applyAlignment="1" applyProtection="1">
      <alignment horizontal="center" vertical="center"/>
      <protection locked="0"/>
    </xf>
    <xf numFmtId="3" fontId="39" fillId="6" borderId="309" xfId="164" applyNumberFormat="1" applyFill="1" applyBorder="1" applyAlignment="1" applyProtection="1">
      <alignment horizontal="center" vertical="center"/>
      <protection locked="0"/>
    </xf>
    <xf numFmtId="3" fontId="39" fillId="6" borderId="310" xfId="164" applyNumberFormat="1" applyFill="1" applyBorder="1" applyAlignment="1" applyProtection="1">
      <alignment horizontal="center" vertical="center"/>
      <protection locked="0"/>
    </xf>
    <xf numFmtId="3" fontId="39" fillId="6" borderId="318" xfId="164" applyNumberFormat="1" applyFill="1" applyBorder="1" applyAlignment="1" applyProtection="1">
      <alignment horizontal="center" vertical="center"/>
      <protection locked="0"/>
    </xf>
    <xf numFmtId="3" fontId="39" fillId="6" borderId="308" xfId="164" applyNumberFormat="1" applyFill="1" applyBorder="1" applyAlignment="1" applyProtection="1">
      <alignment horizontal="center" vertical="center"/>
      <protection locked="0"/>
    </xf>
    <xf numFmtId="3" fontId="39" fillId="6" borderId="307" xfId="164" applyNumberFormat="1" applyFill="1" applyBorder="1" applyAlignment="1" applyProtection="1">
      <alignment horizontal="center" vertical="center"/>
      <protection locked="0"/>
    </xf>
    <xf numFmtId="0" fontId="41" fillId="11" borderId="279" xfId="164" applyFont="1" applyFill="1" applyBorder="1" applyAlignment="1">
      <alignment horizontal="center" vertical="center"/>
    </xf>
    <xf numFmtId="0" fontId="41" fillId="11" borderId="0" xfId="164" applyFont="1" applyFill="1" applyAlignment="1">
      <alignment horizontal="center" vertical="center"/>
    </xf>
    <xf numFmtId="0" fontId="41" fillId="11" borderId="280" xfId="164" applyFont="1" applyFill="1" applyBorder="1" applyAlignment="1">
      <alignment horizontal="center" vertical="center"/>
    </xf>
    <xf numFmtId="0" fontId="41" fillId="11" borderId="275" xfId="164" applyFont="1" applyFill="1" applyBorder="1" applyAlignment="1">
      <alignment horizontal="center" vertical="center"/>
    </xf>
    <xf numFmtId="0" fontId="41" fillId="11" borderId="283" xfId="164" applyFont="1" applyFill="1" applyBorder="1" applyAlignment="1">
      <alignment horizontal="center" vertical="center"/>
    </xf>
    <xf numFmtId="0" fontId="41" fillId="11" borderId="8" xfId="164" applyFont="1" applyFill="1" applyBorder="1" applyAlignment="1">
      <alignment horizontal="center" vertical="center"/>
    </xf>
    <xf numFmtId="0" fontId="41" fillId="11" borderId="16" xfId="164" applyFont="1" applyFill="1" applyBorder="1" applyAlignment="1">
      <alignment horizontal="center" vertical="center"/>
    </xf>
    <xf numFmtId="0" fontId="41" fillId="11" borderId="301" xfId="164" applyFont="1" applyFill="1" applyBorder="1" applyAlignment="1">
      <alignment horizontal="center" vertical="center" wrapText="1"/>
    </xf>
    <xf numFmtId="0" fontId="41" fillId="11" borderId="7" xfId="164" applyFont="1" applyFill="1" applyBorder="1" applyAlignment="1">
      <alignment horizontal="center" vertical="center" wrapText="1"/>
    </xf>
    <xf numFmtId="0" fontId="41" fillId="11" borderId="8" xfId="164" applyFont="1" applyFill="1" applyBorder="1" applyAlignment="1">
      <alignment horizontal="center" vertical="center" wrapText="1"/>
    </xf>
    <xf numFmtId="0" fontId="41" fillId="11" borderId="284" xfId="164" applyFont="1" applyFill="1" applyBorder="1" applyAlignment="1">
      <alignment horizontal="center" vertical="center" wrapText="1"/>
    </xf>
    <xf numFmtId="0" fontId="39" fillId="11" borderId="304" xfId="164" applyFill="1" applyBorder="1" applyAlignment="1">
      <alignment horizontal="justify" vertical="center" wrapText="1"/>
    </xf>
    <xf numFmtId="0" fontId="39" fillId="6" borderId="322" xfId="164" applyFill="1" applyBorder="1" applyAlignment="1" applyProtection="1">
      <alignment horizontal="center" vertical="center"/>
      <protection locked="0"/>
    </xf>
    <xf numFmtId="0" fontId="39" fillId="6" borderId="320" xfId="164" applyFill="1" applyBorder="1" applyAlignment="1" applyProtection="1">
      <alignment horizontal="center" vertical="center"/>
      <protection locked="0"/>
    </xf>
    <xf numFmtId="0" fontId="39" fillId="6" borderId="321" xfId="164" applyFill="1" applyBorder="1" applyAlignment="1" applyProtection="1">
      <alignment horizontal="center" vertical="center"/>
      <protection locked="0"/>
    </xf>
    <xf numFmtId="0" fontId="39" fillId="6" borderId="319" xfId="164" applyFill="1" applyBorder="1" applyAlignment="1" applyProtection="1">
      <alignment horizontal="center" vertical="center"/>
      <protection locked="0"/>
    </xf>
    <xf numFmtId="0" fontId="39" fillId="6" borderId="303" xfId="164" applyFill="1" applyBorder="1" applyAlignment="1" applyProtection="1">
      <alignment horizontal="center" vertical="center"/>
      <protection locked="0"/>
    </xf>
    <xf numFmtId="0" fontId="39" fillId="11" borderId="5" xfId="164" applyFill="1" applyBorder="1" applyAlignment="1">
      <alignment horizontal="justify" vertical="center" wrapText="1"/>
    </xf>
    <xf numFmtId="0" fontId="39" fillId="6" borderId="289" xfId="164" applyFill="1" applyBorder="1" applyAlignment="1" applyProtection="1">
      <alignment horizontal="center" vertical="center"/>
      <protection locked="0"/>
    </xf>
    <xf numFmtId="0" fontId="39" fillId="11" borderId="5" xfId="164" applyFill="1" applyBorder="1" applyAlignment="1">
      <alignment horizontal="justify" vertical="center"/>
    </xf>
    <xf numFmtId="0" fontId="39" fillId="11" borderId="26" xfId="164" quotePrefix="1" applyFill="1" applyBorder="1" applyAlignment="1">
      <alignment vertical="center"/>
    </xf>
    <xf numFmtId="0" fontId="39" fillId="6" borderId="289" xfId="171" applyFont="1" applyFill="1" applyBorder="1" applyAlignment="1" applyProtection="1">
      <alignment horizontal="center" vertical="center" wrapText="1"/>
      <protection locked="0"/>
    </xf>
    <xf numFmtId="0" fontId="39" fillId="6" borderId="5" xfId="171" applyFont="1" applyFill="1" applyBorder="1" applyAlignment="1" applyProtection="1">
      <alignment horizontal="center" vertical="center" wrapText="1"/>
      <protection locked="0"/>
    </xf>
    <xf numFmtId="0" fontId="39" fillId="6" borderId="34" xfId="171" applyFont="1" applyFill="1" applyBorder="1" applyAlignment="1" applyProtection="1">
      <alignment horizontal="center" vertical="center" wrapText="1"/>
      <protection locked="0"/>
    </xf>
    <xf numFmtId="0" fontId="39" fillId="6" borderId="323" xfId="171" applyFont="1" applyFill="1" applyBorder="1" applyAlignment="1" applyProtection="1">
      <alignment horizontal="center" vertical="center" wrapText="1"/>
      <protection locked="0"/>
    </xf>
    <xf numFmtId="0" fontId="39" fillId="6" borderId="306" xfId="171" applyFont="1" applyFill="1" applyBorder="1" applyAlignment="1" applyProtection="1">
      <alignment horizontal="center" vertical="center" wrapText="1"/>
      <protection locked="0"/>
    </xf>
    <xf numFmtId="0" fontId="39" fillId="6" borderId="309" xfId="171" applyFont="1" applyFill="1" applyBorder="1" applyAlignment="1" applyProtection="1">
      <alignment horizontal="center" vertical="center" wrapText="1"/>
      <protection locked="0"/>
    </xf>
    <xf numFmtId="0" fontId="39" fillId="6" borderId="35" xfId="171" applyFont="1" applyFill="1" applyBorder="1" applyAlignment="1" applyProtection="1">
      <alignment horizontal="center" vertical="center" wrapText="1"/>
      <protection locked="0"/>
    </xf>
    <xf numFmtId="0" fontId="39" fillId="6" borderId="28" xfId="171" applyFont="1" applyFill="1" applyBorder="1" applyAlignment="1" applyProtection="1">
      <alignment horizontal="center" vertical="center" wrapText="1"/>
      <protection locked="0"/>
    </xf>
    <xf numFmtId="0" fontId="39" fillId="6" borderId="310" xfId="171" applyFont="1" applyFill="1" applyBorder="1" applyAlignment="1" applyProtection="1">
      <alignment horizontal="center" vertical="center" wrapText="1"/>
      <protection locked="0"/>
    </xf>
    <xf numFmtId="0" fontId="39" fillId="6" borderId="318" xfId="171" applyFont="1" applyFill="1" applyBorder="1" applyAlignment="1" applyProtection="1">
      <alignment horizontal="center" vertical="center" wrapText="1"/>
      <protection locked="0"/>
    </xf>
    <xf numFmtId="0" fontId="39" fillId="6" borderId="4" xfId="171" applyFont="1" applyFill="1" applyBorder="1" applyAlignment="1" applyProtection="1">
      <alignment horizontal="center" vertical="center" wrapText="1"/>
      <protection locked="0"/>
    </xf>
    <xf numFmtId="0" fontId="39" fillId="6" borderId="308" xfId="171" applyFont="1" applyFill="1" applyBorder="1" applyAlignment="1" applyProtection="1">
      <alignment horizontal="center" vertical="center" wrapText="1"/>
      <protection locked="0"/>
    </xf>
    <xf numFmtId="0" fontId="39" fillId="6" borderId="290" xfId="171" applyFont="1" applyFill="1" applyBorder="1" applyAlignment="1" applyProtection="1">
      <alignment horizontal="center" vertical="center" wrapText="1"/>
      <protection locked="0"/>
    </xf>
    <xf numFmtId="0" fontId="39" fillId="6" borderId="307" xfId="171" applyFont="1" applyFill="1" applyBorder="1" applyAlignment="1" applyProtection="1">
      <alignment horizontal="center" vertical="center" wrapText="1"/>
      <protection locked="0"/>
    </xf>
    <xf numFmtId="0" fontId="0" fillId="11" borderId="0" xfId="171" applyFont="1" applyFill="1" applyAlignment="1">
      <alignment vertical="top" wrapText="1"/>
    </xf>
    <xf numFmtId="0" fontId="0" fillId="11" borderId="0" xfId="172" applyFont="1" applyFill="1" applyAlignment="1">
      <alignment vertical="center"/>
    </xf>
    <xf numFmtId="0" fontId="39" fillId="11" borderId="0" xfId="164" applyFill="1" applyAlignment="1">
      <alignment vertical="top" wrapText="1"/>
    </xf>
    <xf numFmtId="0" fontId="39" fillId="6" borderId="318" xfId="164" applyFill="1" applyBorder="1" applyAlignment="1" applyProtection="1">
      <alignment horizontal="center" vertical="center"/>
      <protection locked="0"/>
    </xf>
    <xf numFmtId="0" fontId="140" fillId="6" borderId="339" xfId="22" applyFont="1" applyFill="1" applyBorder="1" applyAlignment="1" applyProtection="1">
      <alignment horizontal="center" vertical="center"/>
      <protection locked="0"/>
    </xf>
    <xf numFmtId="0" fontId="140" fillId="6" borderId="332" xfId="22" applyFont="1" applyFill="1" applyBorder="1" applyAlignment="1" applyProtection="1">
      <alignment horizontal="center" vertical="center"/>
      <protection locked="0"/>
    </xf>
    <xf numFmtId="0" fontId="140" fillId="6" borderId="334" xfId="22" applyFont="1" applyFill="1" applyBorder="1" applyAlignment="1" applyProtection="1">
      <alignment horizontal="center" vertical="center"/>
      <protection locked="0"/>
    </xf>
    <xf numFmtId="0" fontId="39" fillId="6" borderId="308" xfId="164" applyFill="1" applyBorder="1" applyAlignment="1" applyProtection="1">
      <alignment horizontal="center" vertical="center"/>
      <protection locked="0"/>
    </xf>
    <xf numFmtId="0" fontId="140" fillId="6" borderId="333" xfId="22" applyFont="1" applyFill="1" applyBorder="1" applyAlignment="1" applyProtection="1">
      <alignment horizontal="center" vertical="center"/>
      <protection locked="0"/>
    </xf>
    <xf numFmtId="0" fontId="140" fillId="6" borderId="352" xfId="22" applyFont="1" applyFill="1" applyBorder="1" applyAlignment="1" applyProtection="1">
      <alignment horizontal="center" vertical="center" wrapText="1"/>
      <protection locked="0"/>
    </xf>
    <xf numFmtId="0" fontId="52" fillId="11" borderId="0" xfId="35" applyFont="1" applyFill="1" applyAlignment="1">
      <alignment horizontal="left" wrapText="1"/>
    </xf>
    <xf numFmtId="0" fontId="41" fillId="11" borderId="149" xfId="22" applyFont="1" applyFill="1" applyBorder="1" applyAlignment="1">
      <alignment horizontal="center" vertical="center"/>
    </xf>
    <xf numFmtId="0" fontId="41" fillId="11" borderId="161" xfId="22" applyFont="1" applyFill="1" applyBorder="1" applyAlignment="1">
      <alignment horizontal="center" vertical="center"/>
    </xf>
    <xf numFmtId="0" fontId="41" fillId="11" borderId="161" xfId="22" applyFont="1" applyFill="1" applyBorder="1" applyAlignment="1">
      <alignment horizontal="center" vertical="center" wrapText="1"/>
    </xf>
    <xf numFmtId="0" fontId="41" fillId="11" borderId="270" xfId="22" applyFont="1" applyFill="1" applyBorder="1" applyAlignment="1">
      <alignment horizontal="center" vertical="center" wrapText="1"/>
    </xf>
    <xf numFmtId="0" fontId="41" fillId="11" borderId="124" xfId="22" applyFont="1" applyFill="1" applyBorder="1" applyAlignment="1">
      <alignment horizontal="center" vertical="center" wrapText="1"/>
    </xf>
    <xf numFmtId="0" fontId="41" fillId="11" borderId="177" xfId="22" applyFont="1" applyFill="1" applyBorder="1" applyAlignment="1">
      <alignment horizontal="center" vertical="center" wrapText="1"/>
    </xf>
    <xf numFmtId="3" fontId="39" fillId="0" borderId="167" xfId="1" applyNumberFormat="1" applyFont="1" applyFill="1" applyBorder="1" applyAlignment="1" applyProtection="1">
      <alignment horizontal="center" vertical="center"/>
      <protection locked="0"/>
    </xf>
    <xf numFmtId="3" fontId="39" fillId="0" borderId="53" xfId="1" applyNumberFormat="1" applyFont="1" applyFill="1" applyBorder="1" applyAlignment="1" applyProtection="1">
      <alignment horizontal="center" vertical="center"/>
      <protection locked="0"/>
    </xf>
    <xf numFmtId="3" fontId="39" fillId="0" borderId="216" xfId="1" applyNumberFormat="1" applyFont="1" applyFill="1" applyBorder="1" applyAlignment="1" applyProtection="1">
      <alignment horizontal="center" vertical="center"/>
      <protection locked="0"/>
    </xf>
    <xf numFmtId="3" fontId="41" fillId="11" borderId="9" xfId="1" applyNumberFormat="1" applyFont="1" applyFill="1" applyBorder="1" applyAlignment="1">
      <alignment horizontal="center" vertical="center"/>
    </xf>
    <xf numFmtId="3" fontId="41" fillId="11" borderId="53" xfId="1" applyNumberFormat="1" applyFont="1" applyFill="1" applyBorder="1" applyAlignment="1">
      <alignment horizontal="center" vertical="center"/>
    </xf>
    <xf numFmtId="3" fontId="41" fillId="11" borderId="165" xfId="1" applyNumberFormat="1" applyFont="1" applyFill="1" applyBorder="1" applyAlignment="1">
      <alignment horizontal="center" vertical="center"/>
    </xf>
    <xf numFmtId="0" fontId="41" fillId="11" borderId="120" xfId="35" applyFont="1" applyFill="1" applyBorder="1" applyAlignment="1">
      <alignment horizontal="center" vertical="center" wrapText="1"/>
    </xf>
    <xf numFmtId="0" fontId="41" fillId="11" borderId="119" xfId="35" applyFont="1" applyFill="1" applyBorder="1" applyAlignment="1">
      <alignment horizontal="center" vertical="center"/>
    </xf>
    <xf numFmtId="0" fontId="41" fillId="11" borderId="94" xfId="35" applyFont="1" applyFill="1" applyBorder="1" applyAlignment="1">
      <alignment horizontal="center" vertical="center"/>
    </xf>
    <xf numFmtId="0" fontId="41" fillId="11" borderId="118" xfId="35" applyFont="1" applyFill="1" applyBorder="1" applyAlignment="1">
      <alignment horizontal="center" vertical="center"/>
    </xf>
    <xf numFmtId="0" fontId="41" fillId="11" borderId="97" xfId="35" applyFont="1" applyFill="1" applyBorder="1" applyAlignment="1">
      <alignment horizontal="center" vertical="center"/>
    </xf>
    <xf numFmtId="3" fontId="41" fillId="11" borderId="193" xfId="35" applyNumberFormat="1" applyFont="1" applyFill="1" applyBorder="1" applyAlignment="1">
      <alignment horizontal="center" vertical="center"/>
    </xf>
    <xf numFmtId="3" fontId="41" fillId="11" borderId="122" xfId="35" applyNumberFormat="1" applyFont="1" applyFill="1" applyBorder="1" applyAlignment="1">
      <alignment horizontal="center" vertical="center"/>
    </xf>
    <xf numFmtId="3" fontId="41" fillId="11" borderId="124" xfId="35" applyNumberFormat="1" applyFont="1" applyFill="1" applyBorder="1" applyAlignment="1">
      <alignment horizontal="center" vertical="center"/>
    </xf>
    <xf numFmtId="3" fontId="41" fillId="11" borderId="123" xfId="35" applyNumberFormat="1" applyFont="1" applyFill="1" applyBorder="1" applyAlignment="1">
      <alignment horizontal="center" vertical="center"/>
    </xf>
    <xf numFmtId="0" fontId="48" fillId="11" borderId="0" xfId="22" applyFont="1" applyFill="1" applyAlignment="1">
      <alignment horizontal="left" vertical="top" wrapText="1"/>
    </xf>
    <xf numFmtId="0" fontId="52" fillId="11" borderId="0" xfId="22" applyFont="1" applyFill="1" applyAlignment="1">
      <alignment horizontal="left" vertical="top" wrapText="1"/>
    </xf>
    <xf numFmtId="0" fontId="45" fillId="11" borderId="0" xfId="11" applyFont="1" applyFill="1" applyAlignment="1">
      <alignment horizontal="left" vertical="top" wrapText="1"/>
    </xf>
    <xf numFmtId="170" fontId="39" fillId="11" borderId="0" xfId="1" applyNumberFormat="1" applyFont="1" applyFill="1" applyBorder="1" applyAlignment="1">
      <alignment horizontal="center" vertical="center"/>
    </xf>
    <xf numFmtId="3" fontId="39" fillId="0" borderId="167" xfId="35" applyNumberFormat="1" applyBorder="1" applyAlignment="1" applyProtection="1">
      <alignment horizontal="center" vertical="center"/>
      <protection locked="0"/>
    </xf>
    <xf numFmtId="3" fontId="39" fillId="0" borderId="53" xfId="35" applyNumberFormat="1" applyBorder="1" applyAlignment="1" applyProtection="1">
      <alignment horizontal="center" vertical="center"/>
      <protection locked="0"/>
    </xf>
    <xf numFmtId="3" fontId="39" fillId="0" borderId="165" xfId="35" applyNumberFormat="1" applyBorder="1" applyAlignment="1" applyProtection="1">
      <alignment horizontal="center" vertical="center"/>
      <protection locked="0"/>
    </xf>
    <xf numFmtId="3" fontId="39" fillId="0" borderId="9" xfId="35" applyNumberFormat="1" applyBorder="1" applyAlignment="1" applyProtection="1">
      <alignment horizontal="center" vertical="center"/>
      <protection locked="0"/>
    </xf>
    <xf numFmtId="3" fontId="39" fillId="0" borderId="216" xfId="35" applyNumberFormat="1" applyBorder="1" applyAlignment="1" applyProtection="1">
      <alignment horizontal="center" vertical="center"/>
      <protection locked="0"/>
    </xf>
    <xf numFmtId="3" fontId="39" fillId="0" borderId="13" xfId="35" applyNumberFormat="1" applyBorder="1" applyAlignment="1" applyProtection="1">
      <alignment horizontal="center" vertical="center"/>
      <protection locked="0"/>
    </xf>
    <xf numFmtId="3" fontId="39" fillId="0" borderId="121" xfId="35" applyNumberFormat="1" applyBorder="1" applyAlignment="1" applyProtection="1">
      <alignment horizontal="center" vertical="center"/>
      <protection locked="0"/>
    </xf>
    <xf numFmtId="3" fontId="39" fillId="0" borderId="124" xfId="35" applyNumberFormat="1" applyBorder="1" applyAlignment="1" applyProtection="1">
      <alignment horizontal="center" vertical="center"/>
      <protection locked="0"/>
    </xf>
    <xf numFmtId="3" fontId="39" fillId="0" borderId="125" xfId="35" applyNumberFormat="1" applyBorder="1" applyAlignment="1" applyProtection="1">
      <alignment horizontal="center" vertical="center"/>
      <protection locked="0"/>
    </xf>
    <xf numFmtId="3" fontId="39" fillId="0" borderId="123" xfId="35" applyNumberFormat="1" applyBorder="1" applyAlignment="1" applyProtection="1">
      <alignment horizontal="center" vertical="center"/>
      <protection locked="0"/>
    </xf>
    <xf numFmtId="0" fontId="41" fillId="11" borderId="171" xfId="35" applyFont="1" applyFill="1" applyBorder="1" applyAlignment="1">
      <alignment horizontal="center" vertical="center"/>
    </xf>
    <xf numFmtId="0" fontId="41" fillId="11" borderId="160" xfId="35" applyFont="1" applyFill="1" applyBorder="1" applyAlignment="1">
      <alignment horizontal="center" vertical="center"/>
    </xf>
    <xf numFmtId="0" fontId="41" fillId="11" borderId="11" xfId="35" applyFont="1" applyFill="1" applyBorder="1" applyAlignment="1">
      <alignment horizontal="center" vertical="center"/>
    </xf>
    <xf numFmtId="0" fontId="41" fillId="11" borderId="264" xfId="35" applyFont="1" applyFill="1" applyBorder="1" applyAlignment="1">
      <alignment horizontal="center" vertical="center"/>
    </xf>
    <xf numFmtId="0" fontId="41" fillId="11" borderId="268" xfId="35" applyFont="1" applyFill="1" applyBorder="1" applyAlignment="1">
      <alignment horizontal="center" vertical="center"/>
    </xf>
    <xf numFmtId="0" fontId="41" fillId="11" borderId="59" xfId="35" applyFont="1" applyFill="1" applyBorder="1" applyAlignment="1">
      <alignment horizontal="center" vertical="center"/>
    </xf>
    <xf numFmtId="0" fontId="41" fillId="11" borderId="187" xfId="35" applyFont="1" applyFill="1" applyBorder="1" applyAlignment="1">
      <alignment horizontal="center" vertical="center"/>
    </xf>
    <xf numFmtId="0" fontId="41" fillId="11" borderId="96" xfId="35" applyFont="1" applyFill="1" applyBorder="1" applyAlignment="1">
      <alignment horizontal="center" vertical="center"/>
    </xf>
    <xf numFmtId="0" fontId="41" fillId="11" borderId="263" xfId="35" applyFont="1" applyFill="1" applyBorder="1" applyAlignment="1">
      <alignment horizontal="center" vertical="center"/>
    </xf>
    <xf numFmtId="0" fontId="41" fillId="11" borderId="19" xfId="35" applyFont="1" applyFill="1" applyBorder="1" applyAlignment="1">
      <alignment horizontal="center" vertical="center"/>
    </xf>
    <xf numFmtId="0" fontId="41" fillId="11" borderId="265" xfId="35" applyFont="1" applyFill="1" applyBorder="1" applyAlignment="1">
      <alignment horizontal="center" vertical="center"/>
    </xf>
    <xf numFmtId="0" fontId="41" fillId="11" borderId="269" xfId="35" applyFont="1" applyFill="1" applyBorder="1" applyAlignment="1">
      <alignment horizontal="center" vertical="center"/>
    </xf>
    <xf numFmtId="3" fontId="41" fillId="11" borderId="78" xfId="35" applyNumberFormat="1" applyFont="1" applyFill="1" applyBorder="1" applyAlignment="1">
      <alignment horizontal="center" vertical="center"/>
    </xf>
    <xf numFmtId="3" fontId="41" fillId="11" borderId="166" xfId="35" applyNumberFormat="1" applyFont="1" applyFill="1" applyBorder="1" applyAlignment="1">
      <alignment horizontal="center" vertical="center"/>
    </xf>
    <xf numFmtId="3" fontId="41" fillId="11" borderId="199" xfId="35" applyNumberFormat="1" applyFont="1" applyFill="1" applyBorder="1" applyAlignment="1">
      <alignment horizontal="center" vertical="center"/>
    </xf>
    <xf numFmtId="3" fontId="39" fillId="0" borderId="199" xfId="35" applyNumberFormat="1" applyBorder="1" applyAlignment="1" applyProtection="1">
      <alignment horizontal="center" vertical="center"/>
      <protection locked="0"/>
    </xf>
    <xf numFmtId="3" fontId="39" fillId="0" borderId="166" xfId="35" applyNumberFormat="1" applyBorder="1" applyAlignment="1" applyProtection="1">
      <alignment horizontal="center" vertical="center"/>
      <protection locked="0"/>
    </xf>
    <xf numFmtId="3" fontId="39" fillId="0" borderId="78" xfId="35" applyNumberFormat="1" applyBorder="1" applyAlignment="1" applyProtection="1">
      <alignment horizontal="center" vertical="center"/>
      <protection locked="0"/>
    </xf>
    <xf numFmtId="3" fontId="41" fillId="11" borderId="52" xfId="35" applyNumberFormat="1" applyFont="1" applyFill="1" applyBorder="1" applyAlignment="1">
      <alignment horizontal="center" vertical="center"/>
    </xf>
    <xf numFmtId="3" fontId="41" fillId="11" borderId="195" xfId="35" applyNumberFormat="1" applyFont="1" applyFill="1" applyBorder="1" applyAlignment="1">
      <alignment horizontal="center" vertical="center"/>
    </xf>
    <xf numFmtId="3" fontId="41" fillId="11" borderId="169" xfId="35" applyNumberFormat="1" applyFont="1" applyFill="1" applyBorder="1" applyAlignment="1">
      <alignment horizontal="center" vertical="center"/>
    </xf>
    <xf numFmtId="3" fontId="41" fillId="11" borderId="206" xfId="35" applyNumberFormat="1" applyFont="1" applyFill="1" applyBorder="1" applyAlignment="1">
      <alignment horizontal="center" vertical="center"/>
    </xf>
    <xf numFmtId="0" fontId="156" fillId="0" borderId="0" xfId="13" applyFont="1" applyAlignment="1" applyProtection="1">
      <alignment horizontal="left" vertical="top"/>
      <protection locked="0"/>
    </xf>
    <xf numFmtId="0" fontId="41" fillId="11" borderId="197" xfId="35" applyFont="1" applyFill="1" applyBorder="1" applyAlignment="1">
      <alignment horizontal="center" vertical="center"/>
    </xf>
    <xf numFmtId="0" fontId="41" fillId="11" borderId="203" xfId="35" applyFont="1" applyFill="1" applyBorder="1" applyAlignment="1">
      <alignment horizontal="center" vertical="center"/>
    </xf>
    <xf numFmtId="0" fontId="41" fillId="11" borderId="154" xfId="35" applyFont="1" applyFill="1" applyBorder="1" applyAlignment="1">
      <alignment horizontal="center" vertical="center"/>
    </xf>
    <xf numFmtId="0" fontId="41" fillId="11" borderId="181" xfId="35" applyFont="1" applyFill="1" applyBorder="1" applyAlignment="1">
      <alignment horizontal="center" vertical="center"/>
    </xf>
    <xf numFmtId="0" fontId="41" fillId="11" borderId="155" xfId="35" applyFont="1" applyFill="1" applyBorder="1" applyAlignment="1">
      <alignment horizontal="center" vertical="center"/>
    </xf>
    <xf numFmtId="0" fontId="41" fillId="11" borderId="196" xfId="35" applyFont="1" applyFill="1" applyBorder="1" applyAlignment="1">
      <alignment horizontal="center" vertical="center"/>
    </xf>
    <xf numFmtId="0" fontId="41" fillId="11" borderId="26" xfId="35" applyFont="1" applyFill="1" applyBorder="1" applyAlignment="1">
      <alignment horizontal="center" vertical="center" wrapText="1"/>
    </xf>
    <xf numFmtId="0" fontId="41" fillId="11" borderId="26" xfId="35" applyFont="1" applyFill="1" applyBorder="1" applyAlignment="1">
      <alignment horizontal="center" vertical="center"/>
    </xf>
    <xf numFmtId="0" fontId="41" fillId="11" borderId="78" xfId="35" applyFont="1" applyFill="1" applyBorder="1" applyAlignment="1">
      <alignment horizontal="center" vertical="center"/>
    </xf>
    <xf numFmtId="0" fontId="39" fillId="11" borderId="198" xfId="26" applyFill="1" applyBorder="1" applyAlignment="1">
      <alignment horizontal="center" vertical="center"/>
    </xf>
    <xf numFmtId="3" fontId="39" fillId="0" borderId="198" xfId="35" applyNumberFormat="1" applyBorder="1" applyAlignment="1" applyProtection="1">
      <alignment horizontal="center" vertical="center"/>
      <protection locked="0"/>
    </xf>
    <xf numFmtId="3" fontId="39" fillId="0" borderId="173" xfId="35" applyNumberFormat="1" applyBorder="1" applyAlignment="1" applyProtection="1">
      <alignment horizontal="center" vertical="center"/>
      <protection locked="0"/>
    </xf>
    <xf numFmtId="3" fontId="39" fillId="0" borderId="33" xfId="35" applyNumberFormat="1" applyBorder="1" applyAlignment="1" applyProtection="1">
      <alignment horizontal="center" vertical="center"/>
      <protection locked="0"/>
    </xf>
    <xf numFmtId="3" fontId="39" fillId="0" borderId="204" xfId="35" applyNumberFormat="1" applyBorder="1" applyAlignment="1" applyProtection="1">
      <alignment horizontal="center" vertical="center"/>
      <protection locked="0"/>
    </xf>
    <xf numFmtId="3" fontId="41" fillId="11" borderId="33" xfId="35" applyNumberFormat="1" applyFont="1" applyFill="1" applyBorder="1" applyAlignment="1">
      <alignment horizontal="center" vertical="center"/>
    </xf>
    <xf numFmtId="3" fontId="41" fillId="11" borderId="173" xfId="35" applyNumberFormat="1" applyFont="1" applyFill="1" applyBorder="1" applyAlignment="1">
      <alignment horizontal="center" vertical="center"/>
    </xf>
    <xf numFmtId="3" fontId="41" fillId="11" borderId="198" xfId="35" applyNumberFormat="1" applyFont="1" applyFill="1" applyBorder="1" applyAlignment="1">
      <alignment horizontal="center" vertical="center"/>
    </xf>
    <xf numFmtId="0" fontId="39" fillId="11" borderId="199" xfId="26" applyFill="1" applyBorder="1" applyAlignment="1">
      <alignment horizontal="center" vertical="center"/>
    </xf>
    <xf numFmtId="0" fontId="41" fillId="11" borderId="77" xfId="35" applyFont="1" applyFill="1" applyBorder="1" applyAlignment="1">
      <alignment horizontal="center" vertical="center"/>
    </xf>
    <xf numFmtId="0" fontId="41" fillId="11" borderId="81" xfId="35" applyFont="1" applyFill="1" applyBorder="1" applyAlignment="1">
      <alignment horizontal="center" vertical="center"/>
    </xf>
    <xf numFmtId="3" fontId="39" fillId="0" borderId="205" xfId="35" applyNumberFormat="1" applyBorder="1" applyAlignment="1" applyProtection="1">
      <alignment horizontal="center" vertical="center"/>
      <protection locked="0"/>
    </xf>
    <xf numFmtId="0" fontId="41" fillId="11" borderId="195" xfId="35" applyFont="1" applyFill="1" applyBorder="1" applyAlignment="1">
      <alignment horizontal="center" vertical="center"/>
    </xf>
  </cellXfs>
  <cellStyles count="176">
    <cellStyle name="Comma" xfId="1" builtinId="3"/>
    <cellStyle name="Currency" xfId="94" builtinId="4"/>
    <cellStyle name="Currency 2" xfId="27" xr:uid="{00000000-0005-0000-0000-000002000000}"/>
    <cellStyle name="Currency 3" xfId="33" xr:uid="{00000000-0005-0000-0000-000003000000}"/>
    <cellStyle name="Grey" xfId="2" xr:uid="{00000000-0005-0000-0000-000004000000}"/>
    <cellStyle name="Hyperlink" xfId="175" builtinId="8"/>
    <cellStyle name="Input [yellow]" xfId="3" xr:uid="{00000000-0005-0000-0000-000006000000}"/>
    <cellStyle name="Normal" xfId="0" builtinId="0"/>
    <cellStyle name="Normal - Style1" xfId="4" xr:uid="{00000000-0005-0000-0000-000008000000}"/>
    <cellStyle name="Normal 10" xfId="30" xr:uid="{00000000-0005-0000-0000-000009000000}"/>
    <cellStyle name="Normal 10 2" xfId="36" xr:uid="{00000000-0005-0000-0000-00000A000000}"/>
    <cellStyle name="Normal 10 2 2" xfId="39" xr:uid="{00000000-0005-0000-0000-00000B000000}"/>
    <cellStyle name="Normal 10 2 2 2" xfId="45" xr:uid="{00000000-0005-0000-0000-00000C000000}"/>
    <cellStyle name="Normal 10 2 2 2 2" xfId="67" xr:uid="{00000000-0005-0000-0000-00000D000000}"/>
    <cellStyle name="Normal 10 2 2 2 2 2" xfId="138" xr:uid="{00000000-0005-0000-0000-00000E000000}"/>
    <cellStyle name="Normal 10 2 2 2 3" xfId="126" xr:uid="{00000000-0005-0000-0000-00000F000000}"/>
    <cellStyle name="Normal 10 2 2 3" xfId="115" xr:uid="{00000000-0005-0000-0000-000010000000}"/>
    <cellStyle name="Normal 10 2 3" xfId="46" xr:uid="{00000000-0005-0000-0000-000011000000}"/>
    <cellStyle name="Normal 10 2 3 2" xfId="120" xr:uid="{00000000-0005-0000-0000-000012000000}"/>
    <cellStyle name="Normal 10 2 4" xfId="47" xr:uid="{00000000-0005-0000-0000-000013000000}"/>
    <cellStyle name="Normal 10 2 4 2" xfId="121" xr:uid="{00000000-0005-0000-0000-000014000000}"/>
    <cellStyle name="Normal 10 2 5" xfId="48" xr:uid="{00000000-0005-0000-0000-000015000000}"/>
    <cellStyle name="Normal 10 2 5 2" xfId="122" xr:uid="{00000000-0005-0000-0000-000016000000}"/>
    <cellStyle name="Normal 10 2 6" xfId="59" xr:uid="{00000000-0005-0000-0000-000017000000}"/>
    <cellStyle name="Normal 10 2 6 2" xfId="93" xr:uid="{00000000-0005-0000-0000-000018000000}"/>
    <cellStyle name="Normal 10 2 6 3" xfId="127" xr:uid="{00000000-0005-0000-0000-000019000000}"/>
    <cellStyle name="Normal 10 2 7" xfId="61" xr:uid="{00000000-0005-0000-0000-00001A000000}"/>
    <cellStyle name="Normal 10 2 7 2" xfId="68" xr:uid="{00000000-0005-0000-0000-00001B000000}"/>
    <cellStyle name="Normal 10 2 7 2 2" xfId="139" xr:uid="{00000000-0005-0000-0000-00001C000000}"/>
    <cellStyle name="Normal 10 2 7 3" xfId="128" xr:uid="{00000000-0005-0000-0000-00001D000000}"/>
    <cellStyle name="Normal 10 2 8" xfId="114" xr:uid="{00000000-0005-0000-0000-00001E000000}"/>
    <cellStyle name="Normal 10 3" xfId="102" xr:uid="{00000000-0005-0000-0000-00001F000000}"/>
    <cellStyle name="Normal 10 3 2" xfId="103" xr:uid="{00000000-0005-0000-0000-000020000000}"/>
    <cellStyle name="Normal 10 3 3" xfId="153" xr:uid="{00000000-0005-0000-0000-000021000000}"/>
    <cellStyle name="Normal 10 4" xfId="113" xr:uid="{00000000-0005-0000-0000-000022000000}"/>
    <cellStyle name="Normal 10 5" xfId="164" xr:uid="{00000000-0005-0000-0000-000023000000}"/>
    <cellStyle name="Normal 11" xfId="32" xr:uid="{00000000-0005-0000-0000-000024000000}"/>
    <cellStyle name="Normal 12" xfId="42" xr:uid="{00000000-0005-0000-0000-000025000000}"/>
    <cellStyle name="Normal 12 2" xfId="49" xr:uid="{00000000-0005-0000-0000-000026000000}"/>
    <cellStyle name="Normal 12 2 2" xfId="54" xr:uid="{00000000-0005-0000-0000-000027000000}"/>
    <cellStyle name="Normal 13" xfId="53" xr:uid="{00000000-0005-0000-0000-000028000000}"/>
    <cellStyle name="Normal 13 2" xfId="56" xr:uid="{00000000-0005-0000-0000-000029000000}"/>
    <cellStyle name="Normal 13 2 2" xfId="129" xr:uid="{00000000-0005-0000-0000-00002A000000}"/>
    <cellStyle name="Normal 13 3" xfId="91" xr:uid="{00000000-0005-0000-0000-00002B000000}"/>
    <cellStyle name="Normal 13 4" xfId="124" xr:uid="{00000000-0005-0000-0000-00002C000000}"/>
    <cellStyle name="Normal 14" xfId="57" xr:uid="{00000000-0005-0000-0000-00002D000000}"/>
    <cellStyle name="Normal 14 2" xfId="58" xr:uid="{00000000-0005-0000-0000-00002E000000}"/>
    <cellStyle name="Normal 14 2 2" xfId="83" xr:uid="{00000000-0005-0000-0000-00002F000000}"/>
    <cellStyle name="Normal 14 2 2 2" xfId="149" xr:uid="{00000000-0005-0000-0000-000030000000}"/>
    <cellStyle name="Normal 14 2 3" xfId="131" xr:uid="{00000000-0005-0000-0000-000031000000}"/>
    <cellStyle name="Normal 14 3" xfId="73" xr:uid="{00000000-0005-0000-0000-000032000000}"/>
    <cellStyle name="Normal 14 3 2" xfId="136" xr:uid="{00000000-0005-0000-0000-000033000000}"/>
    <cellStyle name="Normal 14 4" xfId="87" xr:uid="{00000000-0005-0000-0000-000034000000}"/>
    <cellStyle name="Normal 14 5" xfId="89" xr:uid="{00000000-0005-0000-0000-000035000000}"/>
    <cellStyle name="Normal 14 5 2" xfId="92" xr:uid="{00000000-0005-0000-0000-000036000000}"/>
    <cellStyle name="Normal 14 6" xfId="130" xr:uid="{00000000-0005-0000-0000-000037000000}"/>
    <cellStyle name="Normal 15" xfId="64" xr:uid="{00000000-0005-0000-0000-000038000000}"/>
    <cellStyle name="Normal 15 2" xfId="74" xr:uid="{00000000-0005-0000-0000-000039000000}"/>
    <cellStyle name="Normal 15 2 2" xfId="143" xr:uid="{00000000-0005-0000-0000-00003A000000}"/>
    <cellStyle name="Normal 15 3" xfId="140" xr:uid="{00000000-0005-0000-0000-00003B000000}"/>
    <cellStyle name="Normal 16" xfId="65" xr:uid="{00000000-0005-0000-0000-00003C000000}"/>
    <cellStyle name="Normal 16 2" xfId="69" xr:uid="{00000000-0005-0000-0000-00003D000000}"/>
    <cellStyle name="Normal 16 2 2" xfId="78" xr:uid="{00000000-0005-0000-0000-00003E000000}"/>
    <cellStyle name="Normal 16 2 2 2" xfId="150" xr:uid="{00000000-0005-0000-0000-00003F000000}"/>
    <cellStyle name="Normal 16 2 3" xfId="99" xr:uid="{00000000-0005-0000-0000-000040000000}"/>
    <cellStyle name="Normal 16 2 4" xfId="144" xr:uid="{00000000-0005-0000-0000-000041000000}"/>
    <cellStyle name="Normal 16 3" xfId="141" xr:uid="{00000000-0005-0000-0000-000042000000}"/>
    <cellStyle name="Normal 17" xfId="75" xr:uid="{00000000-0005-0000-0000-000043000000}"/>
    <cellStyle name="Normal 18" xfId="70" xr:uid="{00000000-0005-0000-0000-000044000000}"/>
    <cellStyle name="Normal 18 2" xfId="79" xr:uid="{00000000-0005-0000-0000-000045000000}"/>
    <cellStyle name="Normal 18 2 2" xfId="151" xr:uid="{00000000-0005-0000-0000-000046000000}"/>
    <cellStyle name="Normal 18 3" xfId="100" xr:uid="{00000000-0005-0000-0000-000047000000}"/>
    <cellStyle name="Normal 18 3 2" xfId="154" xr:uid="{00000000-0005-0000-0000-000048000000}"/>
    <cellStyle name="Normal 18 3 3" xfId="165" xr:uid="{00000000-0005-0000-0000-000049000000}"/>
    <cellStyle name="Normal 18 3 4" xfId="171" xr:uid="{00000000-0005-0000-0000-00004A000000}"/>
    <cellStyle name="Normal 18 4" xfId="107" xr:uid="{00000000-0005-0000-0000-00004B000000}"/>
    <cellStyle name="Normal 18 5" xfId="146" xr:uid="{00000000-0005-0000-0000-00004C000000}"/>
    <cellStyle name="Normal 18 6" xfId="163" xr:uid="{00000000-0005-0000-0000-00004D000000}"/>
    <cellStyle name="Normal 18 7" xfId="168" xr:uid="{00000000-0005-0000-0000-00004E000000}"/>
    <cellStyle name="Normal 19" xfId="71" xr:uid="{00000000-0005-0000-0000-00004F000000}"/>
    <cellStyle name="Normal 19 2" xfId="80" xr:uid="{00000000-0005-0000-0000-000050000000}"/>
    <cellStyle name="Normal 19 2 2" xfId="156" xr:uid="{00000000-0005-0000-0000-000051000000}"/>
    <cellStyle name="Normal 19 2 3" xfId="166" xr:uid="{00000000-0005-0000-0000-000052000000}"/>
    <cellStyle name="Normal 19 2 4" xfId="173" xr:uid="{00000000-0005-0000-0000-000053000000}"/>
    <cellStyle name="Normal 19 3" xfId="101" xr:uid="{00000000-0005-0000-0000-000054000000}"/>
    <cellStyle name="Normal 19 4" xfId="104" xr:uid="{00000000-0005-0000-0000-000055000000}"/>
    <cellStyle name="Normal 19 5" xfId="106" xr:uid="{00000000-0005-0000-0000-000056000000}"/>
    <cellStyle name="Normal 19 6" xfId="108" xr:uid="{00000000-0005-0000-0000-000057000000}"/>
    <cellStyle name="Normal 19 7" xfId="147" xr:uid="{00000000-0005-0000-0000-000058000000}"/>
    <cellStyle name="Normal 19 8" xfId="169" xr:uid="{00000000-0005-0000-0000-000059000000}"/>
    <cellStyle name="Normal 2" xfId="5" xr:uid="{00000000-0005-0000-0000-00005A000000}"/>
    <cellStyle name="Normal 2 2" xfId="22" xr:uid="{00000000-0005-0000-0000-00005B000000}"/>
    <cellStyle name="Normal 2 3" xfId="31" xr:uid="{00000000-0005-0000-0000-00005C000000}"/>
    <cellStyle name="Normal 2 3 2" xfId="37" xr:uid="{00000000-0005-0000-0000-00005D000000}"/>
    <cellStyle name="Normal 2 4" xfId="43" xr:uid="{00000000-0005-0000-0000-00005E000000}"/>
    <cellStyle name="Normal 2 4 2" xfId="51" xr:uid="{00000000-0005-0000-0000-00005F000000}"/>
    <cellStyle name="Normal 2 4 2 2" xfId="132" xr:uid="{00000000-0005-0000-0000-000060000000}"/>
    <cellStyle name="Normal 2 4 3" xfId="60" xr:uid="{00000000-0005-0000-0000-000061000000}"/>
    <cellStyle name="Normal 2 4 3 2" xfId="66" xr:uid="{00000000-0005-0000-0000-000062000000}"/>
    <cellStyle name="Normal 2 4 3 2 2" xfId="142" xr:uid="{00000000-0005-0000-0000-000063000000}"/>
    <cellStyle name="Normal 2 4 3 3" xfId="133" xr:uid="{00000000-0005-0000-0000-000064000000}"/>
    <cellStyle name="Normal 2 4 4" xfId="76" xr:uid="{00000000-0005-0000-0000-000065000000}"/>
    <cellStyle name="Normal 2 4 4 2" xfId="137" xr:uid="{00000000-0005-0000-0000-000066000000}"/>
    <cellStyle name="Normal 2 4 5" xfId="118" xr:uid="{00000000-0005-0000-0000-000067000000}"/>
    <cellStyle name="Normal 2 5" xfId="96" xr:uid="{00000000-0005-0000-0000-000068000000}"/>
    <cellStyle name="Normal 20" xfId="72" xr:uid="{00000000-0005-0000-0000-000069000000}"/>
    <cellStyle name="Normal 20 2" xfId="81" xr:uid="{00000000-0005-0000-0000-00006A000000}"/>
    <cellStyle name="Normal 20 2 2" xfId="155" xr:uid="{00000000-0005-0000-0000-00006B000000}"/>
    <cellStyle name="Normal 20 2 3" xfId="167" xr:uid="{00000000-0005-0000-0000-00006C000000}"/>
    <cellStyle name="Normal 20 2 4" xfId="172" xr:uid="{00000000-0005-0000-0000-00006D000000}"/>
    <cellStyle name="Normal 20 3" xfId="109" xr:uid="{00000000-0005-0000-0000-00006E000000}"/>
    <cellStyle name="Normal 20 4" xfId="148" xr:uid="{00000000-0005-0000-0000-00006F000000}"/>
    <cellStyle name="Normal 20 5" xfId="170" xr:uid="{00000000-0005-0000-0000-000070000000}"/>
    <cellStyle name="Normal 21" xfId="82" xr:uid="{00000000-0005-0000-0000-000071000000}"/>
    <cellStyle name="Normal 21 2" xfId="84" xr:uid="{00000000-0005-0000-0000-000072000000}"/>
    <cellStyle name="Normal 22" xfId="85" xr:uid="{00000000-0005-0000-0000-000073000000}"/>
    <cellStyle name="Normal 23" xfId="86" xr:uid="{00000000-0005-0000-0000-000074000000}"/>
    <cellStyle name="Normal 24" xfId="90" xr:uid="{00000000-0005-0000-0000-000075000000}"/>
    <cellStyle name="Normal 25" xfId="95" xr:uid="{00000000-0005-0000-0000-000076000000}"/>
    <cellStyle name="Normal 26" xfId="98" xr:uid="{00000000-0005-0000-0000-000077000000}"/>
    <cellStyle name="Normal 27" xfId="97" xr:uid="{00000000-0005-0000-0000-000078000000}"/>
    <cellStyle name="Normal 28" xfId="105" xr:uid="{00000000-0005-0000-0000-000079000000}"/>
    <cellStyle name="Normal 29" xfId="110" xr:uid="{00000000-0005-0000-0000-00007A000000}"/>
    <cellStyle name="Normal 3" xfId="6" xr:uid="{00000000-0005-0000-0000-00007B000000}"/>
    <cellStyle name="Normal 30" xfId="111" xr:uid="{00000000-0005-0000-0000-00007C000000}"/>
    <cellStyle name="Normal 31" xfId="157" xr:uid="{00000000-0005-0000-0000-00007D000000}"/>
    <cellStyle name="Normal 32" xfId="158" xr:uid="{00000000-0005-0000-0000-00007E000000}"/>
    <cellStyle name="Normal 33" xfId="160" xr:uid="{00000000-0005-0000-0000-00007F000000}"/>
    <cellStyle name="Normal 34" xfId="159" xr:uid="{00000000-0005-0000-0000-000080000000}"/>
    <cellStyle name="Normal 35" xfId="161" xr:uid="{00000000-0005-0000-0000-000081000000}"/>
    <cellStyle name="Normal 36" xfId="162" xr:uid="{00000000-0005-0000-0000-000082000000}"/>
    <cellStyle name="Normal 4" xfId="7" xr:uid="{00000000-0005-0000-0000-000083000000}"/>
    <cellStyle name="Normal 4 2" xfId="23" xr:uid="{00000000-0005-0000-0000-000084000000}"/>
    <cellStyle name="Normal 5" xfId="8" xr:uid="{00000000-0005-0000-0000-000085000000}"/>
    <cellStyle name="Normal 5 2" xfId="9" xr:uid="{00000000-0005-0000-0000-000086000000}"/>
    <cellStyle name="Normal 5 2 2" xfId="26" xr:uid="{00000000-0005-0000-0000-000087000000}"/>
    <cellStyle name="Normal 5 3" xfId="25" xr:uid="{00000000-0005-0000-0000-000088000000}"/>
    <cellStyle name="Normal 6" xfId="21" xr:uid="{00000000-0005-0000-0000-000089000000}"/>
    <cellStyle name="Normal 6 2" xfId="38" xr:uid="{00000000-0005-0000-0000-00008A000000}"/>
    <cellStyle name="Normal 7" xfId="24" xr:uid="{00000000-0005-0000-0000-00008B000000}"/>
    <cellStyle name="Normal 8" xfId="28" xr:uid="{00000000-0005-0000-0000-00008C000000}"/>
    <cellStyle name="Normal 9" xfId="29" xr:uid="{00000000-0005-0000-0000-00008D000000}"/>
    <cellStyle name="Normal 9 2" xfId="34" xr:uid="{00000000-0005-0000-0000-00008E000000}"/>
    <cellStyle name="Normal 9 2 2" xfId="40" xr:uid="{00000000-0005-0000-0000-00008F000000}"/>
    <cellStyle name="Normal 9 2 2 2" xfId="44" xr:uid="{00000000-0005-0000-0000-000090000000}"/>
    <cellStyle name="Normal 9 2 2 2 2" xfId="52" xr:uid="{00000000-0005-0000-0000-000091000000}"/>
    <cellStyle name="Normal 9 2 2 2 2 2" xfId="62" xr:uid="{00000000-0005-0000-0000-000092000000}"/>
    <cellStyle name="Normal 9 2 2 2 2 2 2" xfId="134" xr:uid="{00000000-0005-0000-0000-000093000000}"/>
    <cellStyle name="Normal 9 2 2 2 2 3" xfId="119" xr:uid="{00000000-0005-0000-0000-000094000000}"/>
    <cellStyle name="Normal 9 2 2 2 3" xfId="55" xr:uid="{00000000-0005-0000-0000-000095000000}"/>
    <cellStyle name="Normal 9 2 2 2 3 2" xfId="63" xr:uid="{00000000-0005-0000-0000-000096000000}"/>
    <cellStyle name="Normal 9 2 2 2 3 2 2" xfId="77" xr:uid="{00000000-0005-0000-0000-000097000000}"/>
    <cellStyle name="Normal 9 2 2 2 3 2 2 2" xfId="145" xr:uid="{00000000-0005-0000-0000-000098000000}"/>
    <cellStyle name="Normal 9 2 2 2 3 2 3" xfId="125" xr:uid="{00000000-0005-0000-0000-000099000000}"/>
    <cellStyle name="Normal 9 2 2 2 3 3" xfId="135" xr:uid="{00000000-0005-0000-0000-00009A000000}"/>
    <cellStyle name="Normal 9 2 2 2 4" xfId="88" xr:uid="{00000000-0005-0000-0000-00009B000000}"/>
    <cellStyle name="Normal 9 2 2 2 4 2" xfId="152" xr:uid="{00000000-0005-0000-0000-00009C000000}"/>
    <cellStyle name="Normal 9 2 2 2 5" xfId="117" xr:uid="{00000000-0005-0000-0000-00009D000000}"/>
    <cellStyle name="Normal 9 2 2 3" xfId="116" xr:uid="{00000000-0005-0000-0000-00009E000000}"/>
    <cellStyle name="Normal 9 2 3" xfId="50" xr:uid="{00000000-0005-0000-0000-00009F000000}"/>
    <cellStyle name="Normal 9 2 3 2" xfId="123" xr:uid="{00000000-0005-0000-0000-0000A0000000}"/>
    <cellStyle name="Normal 9 2 4" xfId="112" xr:uid="{00000000-0005-0000-0000-0000A1000000}"/>
    <cellStyle name="Normal 9 3" xfId="35" xr:uid="{00000000-0005-0000-0000-0000A2000000}"/>
    <cellStyle name="Normal_GESP" xfId="10" xr:uid="{00000000-0005-0000-0000-0000A3000000}"/>
    <cellStyle name="Normal_GESP-revised" xfId="11" xr:uid="{00000000-0005-0000-0000-0000A4000000}"/>
    <cellStyle name="Normal_GESP-revised 2" xfId="12" xr:uid="{00000000-0005-0000-0000-0000A5000000}"/>
    <cellStyle name="Normal_ICTSurvey 2010" xfId="13" xr:uid="{00000000-0005-0000-0000-0000A6000000}"/>
    <cellStyle name="Normal_ICTSurvey 2010 2" xfId="14" xr:uid="{00000000-0005-0000-0000-0000A7000000}"/>
    <cellStyle name="Normal_UNIFIED PROFILES" xfId="15" xr:uid="{00000000-0005-0000-0000-0000A8000000}"/>
    <cellStyle name="Percent" xfId="174" builtinId="5"/>
    <cellStyle name="Percent [2]" xfId="16" xr:uid="{00000000-0005-0000-0000-0000AA000000}"/>
    <cellStyle name="Percent 2" xfId="41" xr:uid="{00000000-0005-0000-0000-0000AB000000}"/>
    <cellStyle name="Tusental (0)_pldt" xfId="17" xr:uid="{00000000-0005-0000-0000-0000AC000000}"/>
    <cellStyle name="Tusental_pldt" xfId="18" xr:uid="{00000000-0005-0000-0000-0000AD000000}"/>
    <cellStyle name="Valuta (0)_pldt" xfId="19" xr:uid="{00000000-0005-0000-0000-0000AE000000}"/>
    <cellStyle name="Valuta_pldt" xfId="20" xr:uid="{00000000-0005-0000-0000-0000AF000000}"/>
  </cellStyles>
  <dxfs count="29">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val="0"/>
        <i val="0"/>
        <u val="none"/>
        <color auto="1"/>
      </font>
    </dxf>
    <dxf>
      <font>
        <b/>
        <i val="0"/>
        <u val="none"/>
        <color rgb="FFFF0000"/>
      </font>
    </dxf>
    <dxf>
      <font>
        <b/>
        <i val="0"/>
        <u val="none"/>
        <color rgb="FFFF0000"/>
      </font>
    </dxf>
    <dxf>
      <font>
        <b/>
        <i val="0"/>
        <u val="none"/>
        <color rgb="FFFF0000"/>
      </font>
    </dxf>
    <dxf>
      <font>
        <b/>
        <i val="0"/>
        <u val="none"/>
        <color rgb="FFFF0000"/>
      </font>
    </dxf>
    <dxf>
      <font>
        <b/>
        <i val="0"/>
        <color rgb="FFFF0000"/>
      </font>
    </dxf>
    <dxf>
      <font>
        <b/>
        <i/>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CC65"/>
      <color rgb="FF00FF99"/>
      <color rgb="FF66FF99"/>
      <color rgb="FF33CC33"/>
      <color rgb="FF009900"/>
      <color rgb="FF0000FF"/>
      <color rgb="FF351BA5"/>
      <color rgb="FFCC66FF"/>
      <color rgb="FFE020BB"/>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trlProps/ctrlProp1.xml><?xml version="1.0" encoding="utf-8"?>
<formControlPr xmlns="http://schemas.microsoft.com/office/spreadsheetml/2009/9/main" objectType="CheckBox" checked="Checked" fmlaLink="$C$32" noThreeD="1"/>
</file>

<file path=xl/ctrlProps/ctrlProp2.xml><?xml version="1.0" encoding="utf-8"?>
<formControlPr xmlns="http://schemas.microsoft.com/office/spreadsheetml/2009/9/main" objectType="CheckBox" fmlaLink="#REF!" lockText="1" noThreeD="1"/>
</file>

<file path=xl/ctrlProps/ctrlProp3.xml><?xml version="1.0" encoding="utf-8"?>
<formControlPr xmlns="http://schemas.microsoft.com/office/spreadsheetml/2009/9/main" objectType="CheckBox" fmlaLink="$C$33" lockText="1" noThreeD="1"/>
</file>

<file path=xl/ctrlProps/ctrlProp4.xml><?xml version="1.0" encoding="utf-8"?>
<formControlPr xmlns="http://schemas.microsoft.com/office/spreadsheetml/2009/9/main" objectType="CheckBox" checked="Checked" fmlaLink="$C$34" lockText="1" noThreeD="1"/>
</file>

<file path=xl/ctrlProps/ctrlProp5.xml><?xml version="1.0" encoding="utf-8"?>
<formControlPr xmlns="http://schemas.microsoft.com/office/spreadsheetml/2009/9/main" objectType="CheckBox" fmlaLink="$C$35" lockText="1" noThreeD="1"/>
</file>

<file path=xl/ctrlProps/ctrlProp6.xml><?xml version="1.0" encoding="utf-8"?>
<formControlPr xmlns="http://schemas.microsoft.com/office/spreadsheetml/2009/9/main" objectType="CheckBox" checked="Checked" fmlaLink="$AB$33" lockText="1" noThreeD="1"/>
</file>

<file path=xl/ctrlProps/ctrlProp7.xml><?xml version="1.0" encoding="utf-8"?>
<formControlPr xmlns="http://schemas.microsoft.com/office/spreadsheetml/2009/9/main" objectType="CheckBox" checked="Checked" fmlaLink="$AB$34" lockText="1" noThreeD="1"/>
</file>

<file path=xl/ctrlProps/ctrlProp8.xml><?xml version="1.0" encoding="utf-8"?>
<formControlPr xmlns="http://schemas.microsoft.com/office/spreadsheetml/2009/9/main" objectType="CheckBox" fmlaLink="$C$33" lockText="1" noThreeD="1"/>
</file>

<file path=xl/ctrlProps/ctrlProp9.xml><?xml version="1.0" encoding="utf-8"?>
<formControlPr xmlns="http://schemas.microsoft.com/office/spreadsheetml/2009/9/main" objectType="CheckBox" fmlaLink="$C$33" lockText="1" noThreeD="1"/>
</file>

<file path=xl/ctrlProps/ctrlProp10.xml><?xml version="1.0" encoding="utf-8"?>
<formControlPr xmlns="http://schemas.microsoft.com/office/spreadsheetml/2009/9/main" objectType="CheckBox" checked="Checked" fmlaLink="$R$17" lockText="1" noThreeD="1"/>
</file>

<file path=xl/ctrlProps/ctrlProp11.xml><?xml version="1.0" encoding="utf-8"?>
<formControlPr xmlns="http://schemas.microsoft.com/office/spreadsheetml/2009/9/main" objectType="CheckBox" fmlaLink="$W$17" lockText="1" noThreeD="1"/>
</file>

<file path=xl/ctrlProps/ctrlProp12.xml><?xml version="1.0" encoding="utf-8"?>
<formControlPr xmlns="http://schemas.microsoft.com/office/spreadsheetml/2009/9/main" objectType="CheckBox" checked="Checked" fmlaLink="$R$26" lockText="1" noThreeD="1"/>
</file>

<file path=xl/ctrlProps/ctrlProp13.xml><?xml version="1.0" encoding="utf-8"?>
<formControlPr xmlns="http://schemas.microsoft.com/office/spreadsheetml/2009/9/main" objectType="CheckBox" fmlaLink="$W$26" noThreeD="1"/>
</file>

<file path=xl/ctrlProps/ctrlProp14.xml><?xml version="1.0" encoding="utf-8"?>
<formControlPr xmlns="http://schemas.microsoft.com/office/spreadsheetml/2009/9/main" objectType="CheckBox" checked="Checked" fmlaLink="$AA$5" lockText="1" noThreeD="1"/>
</file>

<file path=xl/ctrlProps/ctrlProp15.xml><?xml version="1.0" encoding="utf-8"?>
<formControlPr xmlns="http://schemas.microsoft.com/office/spreadsheetml/2009/9/main" objectType="CheckBox" checked="Checked" fmlaLink="$AA$6" lockText="1" noThreeD="1"/>
</file>

<file path=xl/ctrlProps/ctrlProp16.xml><?xml version="1.0" encoding="utf-8"?>
<formControlPr xmlns="http://schemas.microsoft.com/office/spreadsheetml/2009/9/main" objectType="CheckBox" fmlaLink="$AF$5" lockText="1" noThreeD="1"/>
</file>

<file path=xl/ctrlProps/ctrlProp17.xml><?xml version="1.0" encoding="utf-8"?>
<formControlPr xmlns="http://schemas.microsoft.com/office/spreadsheetml/2009/9/main" objectType="CheckBox" fmlaLink="$AF$6" lockText="1" noThreeD="1"/>
</file>

<file path=xl/ctrlProps/ctrlProp18.xml><?xml version="1.0" encoding="utf-8"?>
<formControlPr xmlns="http://schemas.microsoft.com/office/spreadsheetml/2009/9/main" objectType="CheckBox" fmlaLink="$G$9" lockText="1" noThreeD="1"/>
</file>

<file path=xl/ctrlProps/ctrlProp19.xml><?xml version="1.0" encoding="utf-8"?>
<formControlPr xmlns="http://schemas.microsoft.com/office/spreadsheetml/2009/9/main" objectType="CheckBox" fmlaLink="$G$10" lockText="1" noThreeD="1"/>
</file>

<file path=xl/ctrlProps/ctrlProp20.xml><?xml version="1.0" encoding="utf-8"?>
<formControlPr xmlns="http://schemas.microsoft.com/office/spreadsheetml/2009/9/main" objectType="CheckBox" fmlaLink="$Q$9" lockText="1" noThreeD="1"/>
</file>

<file path=xl/ctrlProps/ctrlProp21.xml><?xml version="1.0" encoding="utf-8"?>
<formControlPr xmlns="http://schemas.microsoft.com/office/spreadsheetml/2009/9/main" objectType="CheckBox" fmlaLink="$Q$10" lockText="1" noThreeD="1"/>
</file>

<file path=xl/ctrlProps/ctrlProp22.xml><?xml version="1.0" encoding="utf-8"?>
<formControlPr xmlns="http://schemas.microsoft.com/office/spreadsheetml/2009/9/main" objectType="CheckBox" checked="Checked" fmlaLink="$AA$9" lockText="1" noThreeD="1"/>
</file>

<file path=xl/ctrlProps/ctrlProp23.xml><?xml version="1.0" encoding="utf-8"?>
<formControlPr xmlns="http://schemas.microsoft.com/office/spreadsheetml/2009/9/main" objectType="CheckBox" fmlaLink="$AA$12" lockText="1" noThreeD="1"/>
</file>

<file path=xl/ctrlProps/ctrlProp24.xml><?xml version="1.0" encoding="utf-8"?>
<formControlPr xmlns="http://schemas.microsoft.com/office/spreadsheetml/2009/9/main" objectType="CheckBox" checked="Checked" fmlaLink="$Q$12" lockText="1" noThreeD="1"/>
</file>

<file path=xl/ctrlProps/ctrlProp25.xml><?xml version="1.0" encoding="utf-8"?>
<formControlPr xmlns="http://schemas.microsoft.com/office/spreadsheetml/2009/9/main" objectType="CheckBox" fmlaLink="$Q$13" lockText="1" noThreeD="1"/>
</file>

<file path=xl/ctrlProps/ctrlProp26.xml><?xml version="1.0" encoding="utf-8"?>
<formControlPr xmlns="http://schemas.microsoft.com/office/spreadsheetml/2009/9/main" objectType="CheckBox" fmlaLink="$G$12" lockText="1" noThreeD="1"/>
</file>

<file path=xl/ctrlProps/ctrlProp27.xml><?xml version="1.0" encoding="utf-8"?>
<formControlPr xmlns="http://schemas.microsoft.com/office/spreadsheetml/2009/9/main" objectType="CheckBox" fmlaLink="$G$13" lockText="1" noThreeD="1"/>
</file>

<file path=xl/ctrlProps/ctrlProp28.xml><?xml version="1.0" encoding="utf-8"?>
<formControlPr xmlns="http://schemas.microsoft.com/office/spreadsheetml/2009/9/main" objectType="CheckBox" checked="Checked" fmlaLink="$AA$14" lockText="1" noThreeD="1"/>
</file>

<file path=xl/ctrlProps/ctrlProp29.xml><?xml version="1.0" encoding="utf-8"?>
<formControlPr xmlns="http://schemas.microsoft.com/office/spreadsheetml/2009/9/main" objectType="CheckBox" fmlaLink="$AA$15" lockText="1" noThreeD="1"/>
</file>

<file path=xl/ctrlProps/ctrlProp30.xml><?xml version="1.0" encoding="utf-8"?>
<formControlPr xmlns="http://schemas.microsoft.com/office/spreadsheetml/2009/9/main" objectType="CheckBox" checked="Checked" fmlaLink="$AA$16" lockText="1" noThreeD="1"/>
</file>

<file path=xl/ctrlProps/ctrlProp31.xml><?xml version="1.0" encoding="utf-8"?>
<formControlPr xmlns="http://schemas.microsoft.com/office/spreadsheetml/2009/9/main" objectType="CheckBox" fmlaLink="$AA$17" lockText="1" noThreeD="1"/>
</file>

<file path=xl/ctrlProps/ctrlProp32.xml><?xml version="1.0" encoding="utf-8"?>
<formControlPr xmlns="http://schemas.microsoft.com/office/spreadsheetml/2009/9/main" objectType="CheckBox" checked="Checked" fmlaLink="$AA$18" lockText="1" noThreeD="1"/>
</file>

<file path=xl/ctrlProps/ctrlProp33.xml><?xml version="1.0" encoding="utf-8"?>
<formControlPr xmlns="http://schemas.microsoft.com/office/spreadsheetml/2009/9/main" objectType="CheckBox" fmlaLink="$AA$19" lockText="1" noThreeD="1"/>
</file>

<file path=xl/ctrlProps/ctrlProp34.xml><?xml version="1.0" encoding="utf-8"?>
<formControlPr xmlns="http://schemas.microsoft.com/office/spreadsheetml/2009/9/main" objectType="CheckBox" fmlaLink="$AA$21" lockText="1" noThreeD="1"/>
</file>

<file path=xl/ctrlProps/ctrlProp35.xml><?xml version="1.0" encoding="utf-8"?>
<formControlPr xmlns="http://schemas.microsoft.com/office/spreadsheetml/2009/9/main" objectType="CheckBox" checked="Checked" fmlaLink="$AF$21" lockText="1" noThreeD="1"/>
</file>

<file path=xl/ctrlProps/ctrlProp36.xml><?xml version="1.0" encoding="utf-8"?>
<formControlPr xmlns="http://schemas.microsoft.com/office/spreadsheetml/2009/9/main" objectType="CheckBox" checked="Checked" fmlaLink="$AF$19" lockText="1" noThreeD="1"/>
</file>

<file path=xl/ctrlProps/ctrlProp37.xml><?xml version="1.0" encoding="utf-8"?>
<formControlPr xmlns="http://schemas.microsoft.com/office/spreadsheetml/2009/9/main" objectType="CheckBox" fmlaLink="$AF$18" lockText="1" noThreeD="1"/>
</file>

<file path=xl/ctrlProps/ctrlProp38.xml><?xml version="1.0" encoding="utf-8"?>
<formControlPr xmlns="http://schemas.microsoft.com/office/spreadsheetml/2009/9/main" objectType="CheckBox" checked="Checked" fmlaLink="$AF$17" lockText="1" noThreeD="1"/>
</file>

<file path=xl/ctrlProps/ctrlProp39.xml><?xml version="1.0" encoding="utf-8"?>
<formControlPr xmlns="http://schemas.microsoft.com/office/spreadsheetml/2009/9/main" objectType="CheckBox" fmlaLink="$AF$16" lockText="1" noThreeD="1"/>
</file>

<file path=xl/ctrlProps/ctrlProp40.xml><?xml version="1.0" encoding="utf-8"?>
<formControlPr xmlns="http://schemas.microsoft.com/office/spreadsheetml/2009/9/main" objectType="CheckBox" checked="Checked" fmlaLink="$AF$15" lockText="1" noThreeD="1"/>
</file>

<file path=xl/ctrlProps/ctrlProp41.xml><?xml version="1.0" encoding="utf-8"?>
<formControlPr xmlns="http://schemas.microsoft.com/office/spreadsheetml/2009/9/main" objectType="CheckBox" fmlaLink="$AF$14" lockText="1" noThreeD="1"/>
</file>

<file path=xl/ctrlProps/ctrlProp42.xml><?xml version="1.0" encoding="utf-8"?>
<formControlPr xmlns="http://schemas.microsoft.com/office/spreadsheetml/2009/9/main" objectType="CheckBox" fmlaLink="$AE$28" lockText="1" noThreeD="1"/>
</file>

<file path=xl/ctrlProps/ctrlProp43.xml><?xml version="1.0" encoding="utf-8"?>
<formControlPr xmlns="http://schemas.microsoft.com/office/spreadsheetml/2009/9/main" objectType="CheckBox" fmlaLink="$AE$29" lockText="1" noThreeD="1"/>
</file>

<file path=xl/ctrlProps/ctrlProp44.xml><?xml version="1.0" encoding="utf-8"?>
<formControlPr xmlns="http://schemas.microsoft.com/office/spreadsheetml/2009/9/main" objectType="CheckBox" fmlaLink="$AE$30" lockText="1" noThreeD="1"/>
</file>

<file path=xl/ctrlProps/ctrlProp45.xml><?xml version="1.0" encoding="utf-8"?>
<formControlPr xmlns="http://schemas.microsoft.com/office/spreadsheetml/2009/9/main" objectType="CheckBox" fmlaLink="$AE$31" lockText="1" noThreeD="1"/>
</file>

<file path=xl/ctrlProps/ctrlProp46.xml><?xml version="1.0" encoding="utf-8"?>
<formControlPr xmlns="http://schemas.microsoft.com/office/spreadsheetml/2009/9/main" objectType="CheckBox" fmlaLink="$AE$32" lockText="1" noThreeD="1"/>
</file>

<file path=xl/ctrlProps/ctrlProp47.xml><?xml version="1.0" encoding="utf-8"?>
<formControlPr xmlns="http://schemas.microsoft.com/office/spreadsheetml/2009/9/main" objectType="CheckBox" fmlaLink="$AE$33" lockText="1" noThreeD="1"/>
</file>

<file path=xl/ctrlProps/ctrlProp48.xml><?xml version="1.0" encoding="utf-8"?>
<formControlPr xmlns="http://schemas.microsoft.com/office/spreadsheetml/2009/9/main" objectType="CheckBox" fmlaLink="$AE$34" lockText="1" noThreeD="1"/>
</file>

<file path=xl/ctrlProps/ctrlProp49.xml><?xml version="1.0" encoding="utf-8"?>
<formControlPr xmlns="http://schemas.microsoft.com/office/spreadsheetml/2009/9/main" objectType="CheckBox" fmlaLink="$AE$35" lockText="1" noThreeD="1"/>
</file>

<file path=xl/ctrlProps/ctrlProp50.xml><?xml version="1.0" encoding="utf-8"?>
<formControlPr xmlns="http://schemas.microsoft.com/office/spreadsheetml/2009/9/main" objectType="CheckBox" checked="Checked" fmlaLink="$AE$36" lockText="1" noThreeD="1"/>
</file>

<file path=xl/ctrlProps/ctrlProp51.xml><?xml version="1.0" encoding="utf-8"?>
<formControlPr xmlns="http://schemas.microsoft.com/office/spreadsheetml/2009/9/main" objectType="CheckBox" fmlaLink="$AE$37" lockText="1" noThreeD="1"/>
</file>

<file path=xl/ctrlProps/ctrlProp52.xml><?xml version="1.0" encoding="utf-8"?>
<formControlPr xmlns="http://schemas.microsoft.com/office/spreadsheetml/2009/9/main" objectType="CheckBox" checked="Checked" fmlaLink="$AJ$37" lockText="1" noThreeD="1"/>
</file>

<file path=xl/ctrlProps/ctrlProp53.xml><?xml version="1.0" encoding="utf-8"?>
<formControlPr xmlns="http://schemas.microsoft.com/office/spreadsheetml/2009/9/main" objectType="CheckBox" fmlaLink="$AJ$36" lockText="1" noThreeD="1"/>
</file>

<file path=xl/ctrlProps/ctrlProp54.xml><?xml version="1.0" encoding="utf-8"?>
<formControlPr xmlns="http://schemas.microsoft.com/office/spreadsheetml/2009/9/main" objectType="CheckBox" checked="Checked" fmlaLink="$AJ$35" lockText="1" noThreeD="1"/>
</file>

<file path=xl/ctrlProps/ctrlProp55.xml><?xml version="1.0" encoding="utf-8"?>
<formControlPr xmlns="http://schemas.microsoft.com/office/spreadsheetml/2009/9/main" objectType="CheckBox" checked="Checked" fmlaLink="$AJ$34" lockText="1" noThreeD="1"/>
</file>

<file path=xl/ctrlProps/ctrlProp56.xml><?xml version="1.0" encoding="utf-8"?>
<formControlPr xmlns="http://schemas.microsoft.com/office/spreadsheetml/2009/9/main" objectType="CheckBox" checked="Checked" fmlaLink="$AJ$33" lockText="1" noThreeD="1"/>
</file>

<file path=xl/ctrlProps/ctrlProp57.xml><?xml version="1.0" encoding="utf-8"?>
<formControlPr xmlns="http://schemas.microsoft.com/office/spreadsheetml/2009/9/main" objectType="CheckBox" checked="Checked" fmlaLink="$AJ$32" lockText="1" noThreeD="1"/>
</file>

<file path=xl/ctrlProps/ctrlProp58.xml><?xml version="1.0" encoding="utf-8"?>
<formControlPr xmlns="http://schemas.microsoft.com/office/spreadsheetml/2009/9/main" objectType="CheckBox" checked="Checked" fmlaLink="$AJ$31" lockText="1" noThreeD="1"/>
</file>

<file path=xl/ctrlProps/ctrlProp59.xml><?xml version="1.0" encoding="utf-8"?>
<formControlPr xmlns="http://schemas.microsoft.com/office/spreadsheetml/2009/9/main" objectType="CheckBox" checked="Checked" fmlaLink="$AJ$30" lockText="1" noThreeD="1"/>
</file>

<file path=xl/ctrlProps/ctrlProp60.xml><?xml version="1.0" encoding="utf-8"?>
<formControlPr xmlns="http://schemas.microsoft.com/office/spreadsheetml/2009/9/main" objectType="CheckBox" checked="Checked" fmlaLink="$AJ$29" lockText="1" noThreeD="1"/>
</file>

<file path=xl/ctrlProps/ctrlProp61.xml><?xml version="1.0" encoding="utf-8"?>
<formControlPr xmlns="http://schemas.microsoft.com/office/spreadsheetml/2009/9/main" objectType="CheckBox" checked="Checked" fmlaLink="$AJ$28" lockText="1" noThreeD="1"/>
</file>

<file path=xl/ctrlProps/ctrlProp62.xml><?xml version="1.0" encoding="utf-8"?>
<formControlPr xmlns="http://schemas.microsoft.com/office/spreadsheetml/2009/9/main" objectType="CheckBox" fmlaLink="$AA$43" lockText="1" noThreeD="1"/>
</file>

<file path=xl/ctrlProps/ctrlProp63.xml><?xml version="1.0" encoding="utf-8"?>
<formControlPr xmlns="http://schemas.microsoft.com/office/spreadsheetml/2009/9/main" objectType="CheckBox" checked="Checked" fmlaLink="$AF$43" lockText="1" noThreeD="1"/>
</file>

<file path=xl/ctrlProps/ctrlProp64.xml><?xml version="1.0" encoding="utf-8"?>
<formControlPr xmlns="http://schemas.microsoft.com/office/spreadsheetml/2009/9/main" objectType="CheckBox" checked="Checked" fmlaLink="$AA$46" lockText="1" noThreeD="1"/>
</file>

<file path=xl/ctrlProps/ctrlProp65.xml><?xml version="1.0" encoding="utf-8"?>
<formControlPr xmlns="http://schemas.microsoft.com/office/spreadsheetml/2009/9/main" objectType="CheckBox" fmlaLink="$AF$46" lockText="1" noThreeD="1"/>
</file>

<file path=xl/ctrlProps/ctrlProp66.xml><?xml version="1.0" encoding="utf-8"?>
<formControlPr xmlns="http://schemas.microsoft.com/office/spreadsheetml/2009/9/main" objectType="CheckBox" fmlaLink="$AA$48" lockText="1" noThreeD="1"/>
</file>

<file path=xl/ctrlProps/ctrlProp67.xml><?xml version="1.0" encoding="utf-8"?>
<formControlPr xmlns="http://schemas.microsoft.com/office/spreadsheetml/2009/9/main" objectType="CheckBox" fmlaLink="$AA$49" lockText="1" noThreeD="1"/>
</file>

<file path=xl/ctrlProps/ctrlProp68.xml><?xml version="1.0" encoding="utf-8"?>
<formControlPr xmlns="http://schemas.microsoft.com/office/spreadsheetml/2009/9/main" objectType="CheckBox" fmlaLink="$AA$50" lockText="1" noThreeD="1"/>
</file>

<file path=xl/ctrlProps/ctrlProp69.xml><?xml version="1.0" encoding="utf-8"?>
<formControlPr xmlns="http://schemas.microsoft.com/office/spreadsheetml/2009/9/main" objectType="CheckBox" checked="Checked" fmlaLink="$AF$48" lockText="1" noThreeD="1"/>
</file>

<file path=xl/ctrlProps/ctrlProp70.xml><?xml version="1.0" encoding="utf-8"?>
<formControlPr xmlns="http://schemas.microsoft.com/office/spreadsheetml/2009/9/main" objectType="CheckBox" checked="Checked" fmlaLink="$AF$49" lockText="1" noThreeD="1"/>
</file>

<file path=xl/ctrlProps/ctrlProp71.xml><?xml version="1.0" encoding="utf-8"?>
<formControlPr xmlns="http://schemas.microsoft.com/office/spreadsheetml/2009/9/main" objectType="CheckBox" checked="Checked" fmlaLink="$AF$50" lockText="1" noThreeD="1"/>
</file>

<file path=xl/ctrlProps/ctrlProp72.xml><?xml version="1.0" encoding="utf-8"?>
<formControlPr xmlns="http://schemas.microsoft.com/office/spreadsheetml/2009/9/main" objectType="CheckBox" checked="Checked" fmlaLink="$T$5" lockText="1" noThreeD="1"/>
</file>

<file path=xl/ctrlProps/ctrlProp73.xml><?xml version="1.0" encoding="utf-8"?>
<formControlPr xmlns="http://schemas.microsoft.com/office/spreadsheetml/2009/9/main" objectType="CheckBox" fmlaLink="$Y$5" lockText="1" noThreeD="1"/>
</file>

<file path=xl/ctrlProps/ctrlProp74.xml><?xml version="1.0" encoding="utf-8"?>
<formControlPr xmlns="http://schemas.microsoft.com/office/spreadsheetml/2009/9/main" objectType="CheckBox" fmlaLink="$H$7" lockText="1" noThreeD="1"/>
</file>

<file path=xl/ctrlProps/ctrlProp75.xml><?xml version="1.0" encoding="utf-8"?>
<formControlPr xmlns="http://schemas.microsoft.com/office/spreadsheetml/2009/9/main" objectType="CheckBox" fmlaLink="$H$8" lockText="1" noThreeD="1"/>
</file>

<file path=xl/ctrlProps/ctrlProp76.xml><?xml version="1.0" encoding="utf-8"?>
<formControlPr xmlns="http://schemas.microsoft.com/office/spreadsheetml/2009/9/main" objectType="CheckBox" fmlaLink="$O$7" lockText="1" noThreeD="1"/>
</file>

<file path=xl/ctrlProps/ctrlProp77.xml><?xml version="1.0" encoding="utf-8"?>
<formControlPr xmlns="http://schemas.microsoft.com/office/spreadsheetml/2009/9/main" objectType="CheckBox" fmlaLink="$O$8" lockText="1" noThreeD="1"/>
</file>

<file path=xl/ctrlProps/ctrlProp78.xml><?xml version="1.0" encoding="utf-8"?>
<formControlPr xmlns="http://schemas.microsoft.com/office/spreadsheetml/2009/9/main" objectType="CheckBox" checked="Checked" fmlaLink="$U$7" lockText="1" noThreeD="1"/>
</file>

<file path=xl/ctrlProps/ctrlProp79.xml><?xml version="1.0" encoding="utf-8"?>
<formControlPr xmlns="http://schemas.microsoft.com/office/spreadsheetml/2009/9/main" objectType="CheckBox" fmlaLink="$U$8" lockText="1" noThreeD="1"/>
</file>

<file path=xl/ctrlProps/ctrlProp80.xml><?xml version="1.0" encoding="utf-8"?>
<formControlPr xmlns="http://schemas.microsoft.com/office/spreadsheetml/2009/9/main" objectType="CheckBox" fmlaLink="$AA$7" lockText="1" noThreeD="1"/>
</file>

<file path=xl/ctrlProps/ctrlProp81.xml><?xml version="1.0" encoding="utf-8"?>
<formControlPr xmlns="http://schemas.microsoft.com/office/spreadsheetml/2009/9/main" objectType="CheckBox" fmlaLink="$AA$8" lockText="1" noThreeD="1"/>
</file>

<file path=xl/ctrlProps/ctrlProp82.xml><?xml version="1.0" encoding="utf-8"?>
<formControlPr xmlns="http://schemas.microsoft.com/office/spreadsheetml/2009/9/main" objectType="CheckBox" checked="Checked" fmlaLink="$AA$10" lockText="1" noThreeD="1"/>
</file>

<file path=xl/ctrlProps/ctrlProp83.xml><?xml version="1.0" encoding="utf-8"?>
<formControlPr xmlns="http://schemas.microsoft.com/office/spreadsheetml/2009/9/main" objectType="CheckBox" fmlaLink="$AF$10" lockText="1" noThreeD="1"/>
</file>

<file path=xl/ctrlProps/ctrlProp84.xml><?xml version="1.0" encoding="utf-8"?>
<formControlPr xmlns="http://schemas.microsoft.com/office/spreadsheetml/2009/9/main" objectType="CheckBox" checked="Checked" fmlaLink="$H$12" lockText="1" noThreeD="1"/>
</file>

<file path=xl/ctrlProps/ctrlProp85.xml><?xml version="1.0" encoding="utf-8"?>
<formControlPr xmlns="http://schemas.microsoft.com/office/spreadsheetml/2009/9/main" objectType="CheckBox" checked="Checked" fmlaLink="$H$13" lockText="1" noThreeD="1"/>
</file>

<file path=xl/ctrlProps/ctrlProp86.xml><?xml version="1.0" encoding="utf-8"?>
<formControlPr xmlns="http://schemas.microsoft.com/office/spreadsheetml/2009/9/main" objectType="CheckBox" fmlaLink="$J$7" lockText="1" noThreeD="1"/>
</file>

<file path=xl/ctrlProps/ctrlProp87.xml><?xml version="1.0" encoding="utf-8"?>
<formControlPr xmlns="http://schemas.microsoft.com/office/spreadsheetml/2009/9/main" objectType="CheckBox" checked="Checked" fmlaLink="$J$8" lockText="1" noThreeD="1"/>
</file>

<file path=xl/ctrlProps/ctrlProp88.xml><?xml version="1.0" encoding="utf-8"?>
<formControlPr xmlns="http://schemas.microsoft.com/office/spreadsheetml/2009/9/main" objectType="CheckBox" checked="Checked" fmlaLink="$J$9" lockText="1" noThreeD="1"/>
</file>

<file path=xl/ctrlProps/ctrlProp89.xml><?xml version="1.0" encoding="utf-8"?>
<formControlPr xmlns="http://schemas.microsoft.com/office/spreadsheetml/2009/9/main" objectType="CheckBox" fmlaLink="$J$10" lockText="1" noThreeD="1"/>
</file>

<file path=xl/ctrlProps/ctrlProp90.xml><?xml version="1.0" encoding="utf-8"?>
<formControlPr xmlns="http://schemas.microsoft.com/office/spreadsheetml/2009/9/main" objectType="CheckBox" fmlaLink="$J$11" lockText="1" noThreeD="1"/>
</file>

<file path=xl/ctrlProps/ctrlProp91.xml><?xml version="1.0" encoding="utf-8"?>
<formControlPr xmlns="http://schemas.microsoft.com/office/spreadsheetml/2009/9/main" objectType="CheckBox" fmlaLink="$J$12" lockText="1" noThreeD="1"/>
</file>

<file path=xl/ctrlProps/ctrlProp92.xml><?xml version="1.0" encoding="utf-8"?>
<formControlPr xmlns="http://schemas.microsoft.com/office/spreadsheetml/2009/9/main" objectType="CheckBox" fmlaLink="$J$13" lockText="1" noThreeD="1"/>
</file>

<file path=xl/ctrlProps/ctrlProp93.xml><?xml version="1.0" encoding="utf-8"?>
<formControlPr xmlns="http://schemas.microsoft.com/office/spreadsheetml/2009/9/main" objectType="CheckBox" fmlaLink="$J$14" lockText="1" noThreeD="1"/>
</file>

<file path=xl/ctrlProps/ctrlProp94.xml><?xml version="1.0" encoding="utf-8"?>
<formControlPr xmlns="http://schemas.microsoft.com/office/spreadsheetml/2009/9/main" objectType="CheckBox" fmlaLink="$J$15" lockText="1" noThreeD="1"/>
</file>

<file path=xl/ctrlProps/ctrlProp95.xml><?xml version="1.0" encoding="utf-8"?>
<formControlPr xmlns="http://schemas.microsoft.com/office/spreadsheetml/2009/9/main" objectType="CheckBox" fmlaLink="$J$16" lockText="1" noThreeD="1"/>
</file>

<file path=xl/ctrlProps/ctrlProp96.xml><?xml version="1.0" encoding="utf-8"?>
<formControlPr xmlns="http://schemas.microsoft.com/office/spreadsheetml/2009/9/main" objectType="CheckBox" fmlaLink="$J$17" lockText="1" noThreeD="1"/>
</file>

<file path=xl/ctrlProps/ctrlProp97.xml><?xml version="1.0" encoding="utf-8"?>
<formControlPr xmlns="http://schemas.microsoft.com/office/spreadsheetml/2009/9/main" objectType="CheckBox" fmlaLink="$J$18" lockText="1" noThreeD="1"/>
</file>

<file path=xl/ctrlProps/ctrlProp98.xml><?xml version="1.0" encoding="utf-8"?>
<formControlPr xmlns="http://schemas.microsoft.com/office/spreadsheetml/2009/9/main" objectType="CheckBox" fmlaLink="$J$19" lockText="1" noThreeD="1"/>
</file>

<file path=xl/ctrlProps/ctrlProp99.xml><?xml version="1.0" encoding="utf-8"?>
<formControlPr xmlns="http://schemas.microsoft.com/office/spreadsheetml/2009/9/main" objectType="CheckBox" fmlaLink="$J$20" lockText="1" noThreeD="1"/>
</file>

<file path=xl/ctrlProps/ctrlProp100.xml><?xml version="1.0" encoding="utf-8"?>
<formControlPr xmlns="http://schemas.microsoft.com/office/spreadsheetml/2009/9/main" objectType="CheckBox" fmlaLink="$J$21" lockText="1" noThreeD="1"/>
</file>

<file path=xl/ctrlProps/ctrlProp101.xml><?xml version="1.0" encoding="utf-8"?>
<formControlPr xmlns="http://schemas.microsoft.com/office/spreadsheetml/2009/9/main" objectType="CheckBox" fmlaLink="$J$22" lockText="1" noThreeD="1"/>
</file>

<file path=xl/ctrlProps/ctrlProp102.xml><?xml version="1.0" encoding="utf-8"?>
<formControlPr xmlns="http://schemas.microsoft.com/office/spreadsheetml/2009/9/main" objectType="CheckBox" fmlaLink="$J$23" lockText="1" noThreeD="1"/>
</file>

<file path=xl/ctrlProps/ctrlProp103.xml><?xml version="1.0" encoding="utf-8"?>
<formControlPr xmlns="http://schemas.microsoft.com/office/spreadsheetml/2009/9/main" objectType="CheckBox" fmlaLink="$J$24" lockText="1" noThreeD="1"/>
</file>

<file path=xl/ctrlProps/ctrlProp104.xml><?xml version="1.0" encoding="utf-8"?>
<formControlPr xmlns="http://schemas.microsoft.com/office/spreadsheetml/2009/9/main" objectType="CheckBox" checked="Checked" fmlaLink="$P$7" lockText="1" noThreeD="1"/>
</file>

<file path=xl/ctrlProps/ctrlProp105.xml><?xml version="1.0" encoding="utf-8"?>
<formControlPr xmlns="http://schemas.microsoft.com/office/spreadsheetml/2009/9/main" objectType="CheckBox" fmlaLink="$P$8" lockText="1" noThreeD="1"/>
</file>

<file path=xl/ctrlProps/ctrlProp106.xml><?xml version="1.0" encoding="utf-8"?>
<formControlPr xmlns="http://schemas.microsoft.com/office/spreadsheetml/2009/9/main" objectType="CheckBox" fmlaLink="$P$10" lockText="1" noThreeD="1"/>
</file>

<file path=xl/ctrlProps/ctrlProp107.xml><?xml version="1.0" encoding="utf-8"?>
<formControlPr xmlns="http://schemas.microsoft.com/office/spreadsheetml/2009/9/main" objectType="CheckBox" fmlaLink="$P$11" lockText="1" noThreeD="1"/>
</file>

<file path=xl/ctrlProps/ctrlProp108.xml><?xml version="1.0" encoding="utf-8"?>
<formControlPr xmlns="http://schemas.microsoft.com/office/spreadsheetml/2009/9/main" objectType="CheckBox" fmlaLink="$P$13" lockText="1" noThreeD="1"/>
</file>

<file path=xl/ctrlProps/ctrlProp109.xml><?xml version="1.0" encoding="utf-8"?>
<formControlPr xmlns="http://schemas.microsoft.com/office/spreadsheetml/2009/9/main" objectType="CheckBox" fmlaLink="$P$14" lockText="1" noThreeD="1"/>
</file>

<file path=xl/ctrlProps/ctrlProp110.xml><?xml version="1.0" encoding="utf-8"?>
<formControlPr xmlns="http://schemas.microsoft.com/office/spreadsheetml/2009/9/main" objectType="CheckBox" fmlaLink="$P$16" lockText="1" noThreeD="1"/>
</file>

<file path=xl/ctrlProps/ctrlProp111.xml><?xml version="1.0" encoding="utf-8"?>
<formControlPr xmlns="http://schemas.microsoft.com/office/spreadsheetml/2009/9/main" objectType="CheckBox" fmlaLink="$P$17" lockText="1" noThreeD="1"/>
</file>

<file path=xl/ctrlProps/ctrlProp112.xml><?xml version="1.0" encoding="utf-8"?>
<formControlPr xmlns="http://schemas.microsoft.com/office/spreadsheetml/2009/9/main" objectType="CheckBox" fmlaLink="$P$19" lockText="1" noThreeD="1"/>
</file>

<file path=xl/ctrlProps/ctrlProp113.xml><?xml version="1.0" encoding="utf-8"?>
<formControlPr xmlns="http://schemas.microsoft.com/office/spreadsheetml/2009/9/main" objectType="CheckBox" fmlaLink="$P$20" lockText="1" noThreeD="1"/>
</file>

<file path=xl/ctrlProps/ctrlProp114.xml><?xml version="1.0" encoding="utf-8"?>
<formControlPr xmlns="http://schemas.microsoft.com/office/spreadsheetml/2009/9/main" objectType="CheckBox" fmlaLink="$P$22" lockText="1" noThreeD="1"/>
</file>

<file path=xl/ctrlProps/ctrlProp115.xml><?xml version="1.0" encoding="utf-8"?>
<formControlPr xmlns="http://schemas.microsoft.com/office/spreadsheetml/2009/9/main" objectType="CheckBox" fmlaLink="$P$23" lockText="1" noThreeD="1"/>
</file>

<file path=xl/ctrlProps/ctrlProp116.xml><?xml version="1.0" encoding="utf-8"?>
<formControlPr xmlns="http://schemas.microsoft.com/office/spreadsheetml/2009/9/main" objectType="CheckBox" fmlaLink="$AH$28" lockText="1" noThreeD="1"/>
</file>

<file path=xl/ctrlProps/ctrlProp117.xml><?xml version="1.0" encoding="utf-8"?>
<formControlPr xmlns="http://schemas.microsoft.com/office/spreadsheetml/2009/9/main" objectType="CheckBox" fmlaLink="$AH$29" lockText="1" noThreeD="1"/>
</file>

<file path=xl/ctrlProps/ctrlProp118.xml><?xml version="1.0" encoding="utf-8"?>
<formControlPr xmlns="http://schemas.microsoft.com/office/spreadsheetml/2009/9/main" objectType="CheckBox" fmlaLink="$AQ$28" lockText="1" noThreeD="1"/>
</file>

<file path=xl/ctrlProps/ctrlProp119.xml><?xml version="1.0" encoding="utf-8"?>
<formControlPr xmlns="http://schemas.microsoft.com/office/spreadsheetml/2009/9/main" objectType="CheckBox" checked="Checked" fmlaLink="$AQ$29" lockText="1" noThreeD="1"/>
</file>

<file path=xl/ctrlProps/ctrlProp120.xml><?xml version="1.0" encoding="utf-8"?>
<formControlPr xmlns="http://schemas.microsoft.com/office/spreadsheetml/2009/9/main" objectType="CheckBox" checked="Checked" fmlaLink="$AH$33" lockText="1" noThreeD="1"/>
</file>

<file path=xl/ctrlProps/ctrlProp121.xml><?xml version="1.0" encoding="utf-8"?>
<formControlPr xmlns="http://schemas.microsoft.com/office/spreadsheetml/2009/9/main" objectType="CheckBox" checked="Checked" fmlaLink="$AH$34" lockText="1" noThreeD="1"/>
</file>

<file path=xl/ctrlProps/ctrlProp122.xml><?xml version="1.0" encoding="utf-8"?>
<formControlPr xmlns="http://schemas.microsoft.com/office/spreadsheetml/2009/9/main" objectType="CheckBox" checked="Checked" fmlaLink="$AH$35" lockText="1" noThreeD="1"/>
</file>

<file path=xl/ctrlProps/ctrlProp123.xml><?xml version="1.0" encoding="utf-8"?>
<formControlPr xmlns="http://schemas.microsoft.com/office/spreadsheetml/2009/9/main" objectType="CheckBox" checked="Checked" fmlaLink="$AH$36" lockText="1" noThreeD="1"/>
</file>

<file path=xl/ctrlProps/ctrlProp124.xml><?xml version="1.0" encoding="utf-8"?>
<formControlPr xmlns="http://schemas.microsoft.com/office/spreadsheetml/2009/9/main" objectType="CheckBox" checked="Checked" fmlaLink="$AH$38" lockText="1" noThreeD="1"/>
</file>

<file path=xl/ctrlProps/ctrlProp125.xml><?xml version="1.0" encoding="utf-8"?>
<formControlPr xmlns="http://schemas.microsoft.com/office/spreadsheetml/2009/9/main" objectType="CheckBox" checked="Checked" fmlaLink="$AQ$33" lockText="1" noThreeD="1"/>
</file>

<file path=xl/ctrlProps/ctrlProp126.xml><?xml version="1.0" encoding="utf-8"?>
<formControlPr xmlns="http://schemas.microsoft.com/office/spreadsheetml/2009/9/main" objectType="CheckBox" checked="Checked" fmlaLink="$AQ$34" lockText="1" noThreeD="1"/>
</file>

<file path=xl/ctrlProps/ctrlProp127.xml><?xml version="1.0" encoding="utf-8"?>
<formControlPr xmlns="http://schemas.microsoft.com/office/spreadsheetml/2009/9/main" objectType="CheckBox" checked="Checked" fmlaLink="$AQ$35" lockText="1" noThreeD="1"/>
</file>

<file path=xl/ctrlProps/ctrlProp128.xml><?xml version="1.0" encoding="utf-8"?>
<formControlPr xmlns="http://schemas.microsoft.com/office/spreadsheetml/2009/9/main" objectType="CheckBox" fmlaLink="$AQ$36" lockText="1" noThreeD="1"/>
</file>

<file path=xl/ctrlProps/ctrlProp129.xml><?xml version="1.0" encoding="utf-8"?>
<formControlPr xmlns="http://schemas.microsoft.com/office/spreadsheetml/2009/9/main" objectType="CheckBox" checked="Checked" fmlaLink="$AB$6" lockText="1" noThreeD="1"/>
</file>

<file path=xl/ctrlProps/ctrlProp130.xml><?xml version="1.0" encoding="utf-8"?>
<formControlPr xmlns="http://schemas.microsoft.com/office/spreadsheetml/2009/9/main" objectType="CheckBox" fmlaLink="$AB$7" lockText="1" noThreeD="1"/>
</file>

<file path=xl/ctrlProps/ctrlProp131.xml><?xml version="1.0" encoding="utf-8"?>
<formControlPr xmlns="http://schemas.microsoft.com/office/spreadsheetml/2009/9/main" objectType="CheckBox" fmlaLink="$AE$8" lockText="1" noThreeD="1"/>
</file>

<file path=xl/ctrlProps/ctrlProp132.xml><?xml version="1.0" encoding="utf-8"?>
<formControlPr xmlns="http://schemas.microsoft.com/office/spreadsheetml/2009/9/main" objectType="CheckBox" fmlaLink="$AE$9" lockText="1" noThreeD="1"/>
</file>

<file path=xl/ctrlProps/ctrlProp133.xml><?xml version="1.0" encoding="utf-8"?>
<formControlPr xmlns="http://schemas.microsoft.com/office/spreadsheetml/2009/9/main" objectType="CheckBox" fmlaLink="$AE$10" lockText="1" noThreeD="1"/>
</file>

<file path=xl/ctrlProps/ctrlProp134.xml><?xml version="1.0" encoding="utf-8"?>
<formControlPr xmlns="http://schemas.microsoft.com/office/spreadsheetml/2009/9/main" objectType="CheckBox" fmlaLink="$AB$11" lockText="1" noThreeD="1"/>
</file>

<file path=xl/ctrlProps/ctrlProp135.xml><?xml version="1.0" encoding="utf-8"?>
<formControlPr xmlns="http://schemas.microsoft.com/office/spreadsheetml/2009/9/main" objectType="CheckBox" checked="Checked" fmlaLink="$AB$14" lockText="1" noThreeD="1"/>
</file>

<file path=xl/ctrlProps/ctrlProp136.xml><?xml version="1.0" encoding="utf-8"?>
<formControlPr xmlns="http://schemas.microsoft.com/office/spreadsheetml/2009/9/main" objectType="CheckBox" fmlaLink="$AB$15" lockText="1" noThreeD="1"/>
</file>

<file path=xl/ctrlProps/ctrlProp137.xml><?xml version="1.0" encoding="utf-8"?>
<formControlPr xmlns="http://schemas.microsoft.com/office/spreadsheetml/2009/9/main" objectType="CheckBox" fmlaLink="$AB$16" lockText="1" noThreeD="1"/>
</file>

<file path=xl/ctrlProps/ctrlProp138.xml><?xml version="1.0" encoding="utf-8"?>
<formControlPr xmlns="http://schemas.microsoft.com/office/spreadsheetml/2009/9/main" objectType="CheckBox" fmlaLink="$AH$14" lockText="1" noThreeD="1"/>
</file>

<file path=xl/ctrlProps/ctrlProp139.xml><?xml version="1.0" encoding="utf-8"?>
<formControlPr xmlns="http://schemas.microsoft.com/office/spreadsheetml/2009/9/main" objectType="CheckBox" fmlaLink="$AH$15" lockText="1" noThreeD="1"/>
</file>

<file path=xl/ctrlProps/ctrlProp140.xml><?xml version="1.0" encoding="utf-8"?>
<formControlPr xmlns="http://schemas.microsoft.com/office/spreadsheetml/2009/9/main" objectType="CheckBox" fmlaLink="$AH$16" lockText="1" noThreeD="1"/>
</file>

<file path=xl/ctrlProps/ctrlProp141.xml><?xml version="1.0" encoding="utf-8"?>
<formControlPr xmlns="http://schemas.microsoft.com/office/spreadsheetml/2009/9/main" objectType="CheckBox" checked="Checked" fmlaLink="$E$7" lockText="1" noThreeD="1"/>
</file>

<file path=xl/ctrlProps/ctrlProp142.xml><?xml version="1.0" encoding="utf-8"?>
<formControlPr xmlns="http://schemas.microsoft.com/office/spreadsheetml/2009/9/main" objectType="CheckBox" fmlaLink="$E$8" lockText="1" noThreeD="1"/>
</file>

<file path=xl/ctrlProps/ctrlProp143.xml><?xml version="1.0" encoding="utf-8"?>
<formControlPr xmlns="http://schemas.microsoft.com/office/spreadsheetml/2009/9/main" objectType="CheckBox" fmlaLink="$E$11" lockText="1" noThreeD="1"/>
</file>

<file path=xl/ctrlProps/ctrlProp144.xml><?xml version="1.0" encoding="utf-8"?>
<formControlPr xmlns="http://schemas.microsoft.com/office/spreadsheetml/2009/9/main" objectType="CheckBox" fmlaLink="$E$12" lockText="1" noThreeD="1"/>
</file>

<file path=xl/ctrlProps/ctrlProp145.xml><?xml version="1.0" encoding="utf-8"?>
<formControlPr xmlns="http://schemas.microsoft.com/office/spreadsheetml/2009/9/main" objectType="CheckBox" fmlaLink="$E$13" lockText="1" noThreeD="1"/>
</file>

<file path=xl/ctrlProps/ctrlProp146.xml><?xml version="1.0" encoding="utf-8"?>
<formControlPr xmlns="http://schemas.microsoft.com/office/spreadsheetml/2009/9/main" objectType="CheckBox" fmlaLink="$E$14" lockText="1" noThreeD="1"/>
</file>

<file path=xl/ctrlProps/ctrlProp147.xml><?xml version="1.0" encoding="utf-8"?>
<formControlPr xmlns="http://schemas.microsoft.com/office/spreadsheetml/2009/9/main" objectType="CheckBox" fmlaLink="$E$15" lockText="1" noThreeD="1"/>
</file>

<file path=xl/ctrlProps/ctrlProp148.xml><?xml version="1.0" encoding="utf-8"?>
<formControlPr xmlns="http://schemas.microsoft.com/office/spreadsheetml/2009/9/main" objectType="CheckBox" checked="Checked" fmlaLink="$E$16" lockText="1" noThreeD="1"/>
</file>

<file path=xl/ctrlProps/ctrlProp149.xml><?xml version="1.0" encoding="utf-8"?>
<formControlPr xmlns="http://schemas.microsoft.com/office/spreadsheetml/2009/9/main" objectType="CheckBox" fmlaLink="$E$17" lockText="1" noThreeD="1"/>
</file>

<file path=xl/ctrlProps/ctrlProp150.xml><?xml version="1.0" encoding="utf-8"?>
<formControlPr xmlns="http://schemas.microsoft.com/office/spreadsheetml/2009/9/main" objectType="CheckBox" fmlaLink="$E$18" lockText="1" noThreeD="1"/>
</file>

<file path=xl/ctrlProps/ctrlProp151.xml><?xml version="1.0" encoding="utf-8"?>
<formControlPr xmlns="http://schemas.microsoft.com/office/spreadsheetml/2009/9/main" objectType="CheckBox" fmlaLink="$E$19" lockText="1" noThreeD="1"/>
</file>

<file path=xl/ctrlProps/ctrlProp152.xml><?xml version="1.0" encoding="utf-8"?>
<formControlPr xmlns="http://schemas.microsoft.com/office/spreadsheetml/2009/9/main" objectType="CheckBox" fmlaLink="$E$20" lockText="1" noThreeD="1"/>
</file>

<file path=xl/ctrlProps/ctrlProp153.xml><?xml version="1.0" encoding="utf-8"?>
<formControlPr xmlns="http://schemas.microsoft.com/office/spreadsheetml/2009/9/main" objectType="CheckBox" fmlaLink="$E$22" lockText="1" noThreeD="1"/>
</file>

<file path=xl/ctrlProps/ctrlProp154.xml><?xml version="1.0" encoding="utf-8"?>
<formControlPr xmlns="http://schemas.microsoft.com/office/spreadsheetml/2009/9/main" objectType="CheckBox" fmlaLink="$E$23" lockText="1" noThreeD="1"/>
</file>

<file path=xl/ctrlProps/ctrlProp155.xml><?xml version="1.0" encoding="utf-8"?>
<formControlPr xmlns="http://schemas.microsoft.com/office/spreadsheetml/2009/9/main" objectType="CheckBox" fmlaLink="$E$24" lockText="1" noThreeD="1"/>
</file>

<file path=xl/ctrlProps/ctrlProp156.xml><?xml version="1.0" encoding="utf-8"?>
<formControlPr xmlns="http://schemas.microsoft.com/office/spreadsheetml/2009/9/main" objectType="CheckBox" fmlaLink="$E$25" lockText="1" noThreeD="1"/>
</file>

<file path=xl/ctrlProps/ctrlProp157.xml><?xml version="1.0" encoding="utf-8"?>
<formControlPr xmlns="http://schemas.microsoft.com/office/spreadsheetml/2009/9/main" objectType="CheckBox" fmlaLink="$E$26" lockText="1" noThreeD="1"/>
</file>

<file path=xl/ctrlProps/ctrlProp158.xml><?xml version="1.0" encoding="utf-8"?>
<formControlPr xmlns="http://schemas.microsoft.com/office/spreadsheetml/2009/9/main" objectType="CheckBox" fmlaLink="$I$7" lockText="1" noThreeD="1"/>
</file>

<file path=xl/ctrlProps/ctrlProp159.xml><?xml version="1.0" encoding="utf-8"?>
<formControlPr xmlns="http://schemas.microsoft.com/office/spreadsheetml/2009/9/main" objectType="CheckBox" fmlaLink="$I$8" lockText="1" noThreeD="1"/>
</file>

<file path=xl/ctrlProps/ctrlProp160.xml><?xml version="1.0" encoding="utf-8"?>
<formControlPr xmlns="http://schemas.microsoft.com/office/spreadsheetml/2009/9/main" objectType="CheckBox" fmlaLink="$I$9" lockText="1" noThreeD="1"/>
</file>

<file path=xl/ctrlProps/ctrlProp161.xml><?xml version="1.0" encoding="utf-8"?>
<formControlPr xmlns="http://schemas.microsoft.com/office/spreadsheetml/2009/9/main" objectType="CheckBox" fmlaLink="$M$9" lockText="1" noThreeD="1"/>
</file>

<file path=xl/ctrlProps/ctrlProp162.xml><?xml version="1.0" encoding="utf-8"?>
<formControlPr xmlns="http://schemas.microsoft.com/office/spreadsheetml/2009/9/main" objectType="CheckBox" fmlaLink="$S$9" lockText="1" noThreeD="1"/>
</file>

<file path=xl/ctrlProps/ctrlProp163.xml><?xml version="1.0" encoding="utf-8"?>
<formControlPr xmlns="http://schemas.microsoft.com/office/spreadsheetml/2009/9/main" objectType="CheckBox" fmlaLink="$S$10" lockText="1" noThreeD="1"/>
</file>

<file path=xl/ctrlProps/ctrlProp164.xml><?xml version="1.0" encoding="utf-8"?>
<formControlPr xmlns="http://schemas.microsoft.com/office/spreadsheetml/2009/9/main" objectType="CheckBox" fmlaLink="$S$11" lockText="1" noThreeD="1"/>
</file>

<file path=xl/ctrlProps/ctrlProp165.xml><?xml version="1.0" encoding="utf-8"?>
<formControlPr xmlns="http://schemas.microsoft.com/office/spreadsheetml/2009/9/main" objectType="CheckBox" fmlaLink="$S$12" lockText="1" noThreeD="1"/>
</file>

<file path=xl/ctrlProps/ctrlProp166.xml><?xml version="1.0" encoding="utf-8"?>
<formControlPr xmlns="http://schemas.microsoft.com/office/spreadsheetml/2009/9/main" objectType="CheckBox" fmlaLink="$S$13" lockText="1" noThreeD="1"/>
</file>

<file path=xl/ctrlProps/ctrlProp167.xml><?xml version="1.0" encoding="utf-8"?>
<formControlPr xmlns="http://schemas.microsoft.com/office/spreadsheetml/2009/9/main" objectType="CheckBox" fmlaLink="$S$14" lockText="1" noThreeD="1"/>
</file>

<file path=xl/ctrlProps/ctrlProp168.xml><?xml version="1.0" encoding="utf-8"?>
<formControlPr xmlns="http://schemas.microsoft.com/office/spreadsheetml/2009/9/main" objectType="CheckBox" fmlaLink="$S$15" lockText="1" noThreeD="1"/>
</file>

<file path=xl/ctrlProps/ctrlProp169.xml><?xml version="1.0" encoding="utf-8"?>
<formControlPr xmlns="http://schemas.microsoft.com/office/spreadsheetml/2009/9/main" objectType="CheckBox" fmlaLink="$S$16" lockText="1" noThreeD="1"/>
</file>

<file path=xl/ctrlProps/ctrlProp170.xml><?xml version="1.0" encoding="utf-8"?>
<formControlPr xmlns="http://schemas.microsoft.com/office/spreadsheetml/2009/9/main" objectType="CheckBox" fmlaLink="$S$18" lockText="1" noThreeD="1"/>
</file>

<file path=xl/ctrlProps/ctrlProp171.xml><?xml version="1.0" encoding="utf-8"?>
<formControlPr xmlns="http://schemas.microsoft.com/office/spreadsheetml/2009/9/main" objectType="CheckBox" fmlaLink="$S$19" lockText="1" noThreeD="1"/>
</file>

<file path=xl/ctrlProps/ctrlProp172.xml><?xml version="1.0" encoding="utf-8"?>
<formControlPr xmlns="http://schemas.microsoft.com/office/spreadsheetml/2009/9/main" objectType="CheckBox" fmlaLink="$AL$7" lockText="1" noThreeD="1"/>
</file>

<file path=xl/ctrlProps/ctrlProp173.xml><?xml version="1.0" encoding="utf-8"?>
<formControlPr xmlns="http://schemas.microsoft.com/office/spreadsheetml/2009/9/main" objectType="CheckBox" checked="Checked" fmlaLink="$AP$7" lockText="1" noThreeD="1"/>
</file>

<file path=xl/ctrlProps/ctrlProp174.xml><?xml version="1.0" encoding="utf-8"?>
<formControlPr xmlns="http://schemas.microsoft.com/office/spreadsheetml/2009/9/main" objectType="CheckBox" fmlaLink="$AL$9" lockText="1" noThreeD="1"/>
</file>

<file path=xl/ctrlProps/ctrlProp175.xml><?xml version="1.0" encoding="utf-8"?>
<formControlPr xmlns="http://schemas.microsoft.com/office/spreadsheetml/2009/9/main" objectType="CheckBox" checked="Checked" fmlaLink="$AP$9" lockText="1" noThreeD="1"/>
</file>

<file path=xl/ctrlProps/ctrlProp176.xml><?xml version="1.0" encoding="utf-8"?>
<formControlPr xmlns="http://schemas.microsoft.com/office/spreadsheetml/2009/9/main" objectType="CheckBox" fmlaLink="$AL$12" lockText="1" noThreeD="1"/>
</file>

<file path=xl/ctrlProps/ctrlProp177.xml><?xml version="1.0" encoding="utf-8"?>
<formControlPr xmlns="http://schemas.microsoft.com/office/spreadsheetml/2009/9/main" objectType="CheckBox" checked="Checked" fmlaLink="$AP$12" lockText="1" noThreeD="1"/>
</file>

<file path=xl/ctrlProps/ctrlProp178.xml><?xml version="1.0" encoding="utf-8"?>
<formControlPr xmlns="http://schemas.microsoft.com/office/spreadsheetml/2009/9/main" objectType="CheckBox" fmlaLink="$AL$14" lockText="1" noThreeD="1"/>
</file>

<file path=xl/ctrlProps/ctrlProp179.xml><?xml version="1.0" encoding="utf-8"?>
<formControlPr xmlns="http://schemas.microsoft.com/office/spreadsheetml/2009/9/main" objectType="CheckBox" checked="Checked" fmlaLink="$AP$14" lockText="1" noThreeD="1"/>
</file>

<file path=xl/ctrlProps/ctrlProp180.xml><?xml version="1.0" encoding="utf-8"?>
<formControlPr xmlns="http://schemas.microsoft.com/office/spreadsheetml/2009/9/main" objectType="CheckBox" fmlaLink="$AL$17" lockText="1" noThreeD="1"/>
</file>

<file path=xl/ctrlProps/ctrlProp181.xml><?xml version="1.0" encoding="utf-8"?>
<formControlPr xmlns="http://schemas.microsoft.com/office/spreadsheetml/2009/9/main" objectType="CheckBox" fmlaLink="$AL$18" lockText="1" noThreeD="1"/>
</file>

<file path=xl/ctrlProps/ctrlProp182.xml><?xml version="1.0" encoding="utf-8"?>
<formControlPr xmlns="http://schemas.microsoft.com/office/spreadsheetml/2009/9/main" objectType="CheckBox" fmlaLink="$AL$19" lockText="1" noThreeD="1"/>
</file>

<file path=xl/ctrlProps/ctrlProp183.xml><?xml version="1.0" encoding="utf-8"?>
<formControlPr xmlns="http://schemas.microsoft.com/office/spreadsheetml/2009/9/main" objectType="CheckBox" checked="Checked" fmlaLink="$AL$20" lockText="1" noThreeD="1"/>
</file>

<file path=xl/ctrlProps/ctrlProp184.xml><?xml version="1.0" encoding="utf-8"?>
<formControlPr xmlns="http://schemas.microsoft.com/office/spreadsheetml/2009/9/main" objectType="CheckBox" fmlaLink="$AL$24" lockText="1" noThreeD="1"/>
</file>

<file path=xl/ctrlProps/ctrlProp185.xml><?xml version="1.0" encoding="utf-8"?>
<formControlPr xmlns="http://schemas.microsoft.com/office/spreadsheetml/2009/9/main" objectType="CheckBox" fmlaLink="$AL$25" lockText="1" noThreeD="1"/>
</file>

<file path=xl/ctrlProps/ctrlProp186.xml><?xml version="1.0" encoding="utf-8"?>
<formControlPr xmlns="http://schemas.microsoft.com/office/spreadsheetml/2009/9/main" objectType="CheckBox" fmlaLink="$D$31" lockText="1" noThreeD="1"/>
</file>

<file path=xl/ctrlProps/ctrlProp187.xml><?xml version="1.0" encoding="utf-8"?>
<formControlPr xmlns="http://schemas.microsoft.com/office/spreadsheetml/2009/9/main" objectType="CheckBox" fmlaLink="$D$32" lockText="1" noThreeD="1"/>
</file>

<file path=xl/ctrlProps/ctrlProp188.xml><?xml version="1.0" encoding="utf-8"?>
<formControlPr xmlns="http://schemas.microsoft.com/office/spreadsheetml/2009/9/main" objectType="CheckBox" fmlaLink="$D$33" lockText="1" noThreeD="1"/>
</file>

<file path=xl/ctrlProps/ctrlProp189.xml><?xml version="1.0" encoding="utf-8"?>
<formControlPr xmlns="http://schemas.microsoft.com/office/spreadsheetml/2009/9/main" objectType="CheckBox" fmlaLink="$M$31" lockText="1" noThreeD="1"/>
</file>

<file path=xl/ctrlProps/ctrlProp190.xml><?xml version="1.0" encoding="utf-8"?>
<formControlPr xmlns="http://schemas.microsoft.com/office/spreadsheetml/2009/9/main" objectType="CheckBox" checked="Checked" fmlaLink="$M$32" lockText="1" noThreeD="1"/>
</file>

<file path=xl/ctrlProps/ctrlProp191.xml><?xml version="1.0" encoding="utf-8"?>
<formControlPr xmlns="http://schemas.microsoft.com/office/spreadsheetml/2009/9/main" objectType="CheckBox" fmlaLink="$M$33" lockText="1" noThreeD="1"/>
</file>

<file path=xl/ctrlProps/ctrlProp192.xml><?xml version="1.0" encoding="utf-8"?>
<formControlPr xmlns="http://schemas.microsoft.com/office/spreadsheetml/2009/9/main" objectType="CheckBox" fmlaLink="$W$31" lockText="1" noThreeD="1"/>
</file>

<file path=xl/ctrlProps/ctrlProp193.xml><?xml version="1.0" encoding="utf-8"?>
<formControlPr xmlns="http://schemas.microsoft.com/office/spreadsheetml/2009/9/main" objectType="CheckBox" fmlaLink="$W$32" lockText="1" noThreeD="1"/>
</file>

<file path=xl/ctrlProps/ctrlProp194.xml><?xml version="1.0" encoding="utf-8"?>
<formControlPr xmlns="http://schemas.microsoft.com/office/spreadsheetml/2009/9/main" objectType="CheckBox" checked="Checked" fmlaLink="$V$12" lockText="1" noThreeD="1"/>
</file>

<file path=xl/ctrlProps/ctrlProp195.xml><?xml version="1.0" encoding="utf-8"?>
<formControlPr xmlns="http://schemas.microsoft.com/office/spreadsheetml/2009/9/main" objectType="CheckBox" checked="Checked" fmlaLink="$V$14" lockText="1" noThreeD="1"/>
</file>

<file path=xl/ctrlProps/ctrlProp196.xml><?xml version="1.0" encoding="utf-8"?>
<formControlPr xmlns="http://schemas.microsoft.com/office/spreadsheetml/2009/9/main" objectType="CheckBox" fmlaLink="$AA$12" lockText="1" noThreeD="1"/>
</file>

<file path=xl/ctrlProps/ctrlProp197.xml><?xml version="1.0" encoding="utf-8"?>
<formControlPr xmlns="http://schemas.microsoft.com/office/spreadsheetml/2009/9/main" objectType="CheckBox" fmlaLink="$AA$14" lockText="1" noThreeD="1"/>
</file>

<file path=xl/ctrlProps/ctrlProp198.xml><?xml version="1.0" encoding="utf-8"?>
<formControlPr xmlns="http://schemas.microsoft.com/office/spreadsheetml/2009/9/main" objectType="CheckBox" checked="Checked" fmlaLink="$H$26" lockText="1" noThreeD="1"/>
</file>

<file path=xl/ctrlProps/ctrlProp199.xml><?xml version="1.0" encoding="utf-8"?>
<formControlPr xmlns="http://schemas.microsoft.com/office/spreadsheetml/2009/9/main" objectType="CheckBox" fmlaLink="$H$27" lockText="1" noThreeD="1"/>
</file>

<file path=xl/ctrlProps/ctrlProp200.xml><?xml version="1.0" encoding="utf-8"?>
<formControlPr xmlns="http://schemas.microsoft.com/office/spreadsheetml/2009/9/main" objectType="CheckBox" fmlaLink="$R$26" lockText="1" noThreeD="1"/>
</file>

<file path=xl/ctrlProps/ctrlProp201.xml><?xml version="1.0" encoding="utf-8"?>
<formControlPr xmlns="http://schemas.microsoft.com/office/spreadsheetml/2009/9/main" objectType="CheckBox" checked="Checked" fmlaLink="$R$27" lockText="1" noThreeD="1"/>
</file>

<file path=xl/ctrlProps/ctrlProp202.xml><?xml version="1.0" encoding="utf-8"?>
<formControlPr xmlns="http://schemas.microsoft.com/office/spreadsheetml/2009/9/main" objectType="CheckBox" fmlaLink="$AA$26" lockText="1" noThreeD="1"/>
</file>

<file path=xl/ctrlProps/ctrlProp203.xml><?xml version="1.0" encoding="utf-8"?>
<formControlPr xmlns="http://schemas.microsoft.com/office/spreadsheetml/2009/9/main" objectType="CheckBox" checked="Checked" fmlaLink="$T$5" lockText="1" noThreeD="1"/>
</file>

<file path=xl/ctrlProps/ctrlProp204.xml><?xml version="1.0" encoding="utf-8"?>
<formControlPr xmlns="http://schemas.microsoft.com/office/spreadsheetml/2009/9/main" objectType="CheckBox" fmlaLink="$Y$5" lockText="1" noThreeD="1"/>
</file>

<file path=xl/ctrlProps/ctrlProp205.xml><?xml version="1.0" encoding="utf-8"?>
<formControlPr xmlns="http://schemas.microsoft.com/office/spreadsheetml/2009/9/main" objectType="CheckBox" checked="Checked" fmlaLink="$N$8" lockText="1" noThreeD="1"/>
</file>

<file path=xl/ctrlProps/ctrlProp206.xml><?xml version="1.0" encoding="utf-8"?>
<formControlPr xmlns="http://schemas.microsoft.com/office/spreadsheetml/2009/9/main" objectType="CheckBox" fmlaLink="$N$9" lockText="1" noThreeD="1"/>
</file>

<file path=xl/ctrlProps/ctrlProp207.xml><?xml version="1.0" encoding="utf-8"?>
<formControlPr xmlns="http://schemas.microsoft.com/office/spreadsheetml/2009/9/main" objectType="CheckBox" fmlaLink="$N$10" lockText="1" noThreeD="1"/>
</file>

<file path=xl/ctrlProps/ctrlProp208.xml><?xml version="1.0" encoding="utf-8"?>
<formControlPr xmlns="http://schemas.microsoft.com/office/spreadsheetml/2009/9/main" objectType="CheckBox" fmlaLink="$AB$8" lockText="1" noThreeD="1"/>
</file>

<file path=xl/ctrlProps/ctrlProp209.xml><?xml version="1.0" encoding="utf-8"?>
<formControlPr xmlns="http://schemas.microsoft.com/office/spreadsheetml/2009/9/main" objectType="CheckBox" fmlaLink="$AB$9" lockText="1" noThreeD="1"/>
</file>

<file path=xl/ctrlProps/ctrlProp210.xml><?xml version="1.0" encoding="utf-8"?>
<formControlPr xmlns="http://schemas.microsoft.com/office/spreadsheetml/2009/9/main" objectType="CheckBox" checked="Checked" fmlaLink="$N$13" lockText="1" noThreeD="1"/>
</file>

<file path=xl/ctrlProps/ctrlProp211.xml><?xml version="1.0" encoding="utf-8"?>
<formControlPr xmlns="http://schemas.microsoft.com/office/spreadsheetml/2009/9/main" objectType="CheckBox" fmlaLink="$N$14" lockText="1" noThreeD="1"/>
</file>

<file path=xl/ctrlProps/ctrlProp212.xml><?xml version="1.0" encoding="utf-8"?>
<formControlPr xmlns="http://schemas.microsoft.com/office/spreadsheetml/2009/9/main" objectType="CheckBox" fmlaLink="$N$15" lockText="1" noThreeD="1"/>
</file>

<file path=xl/ctrlProps/ctrlProp213.xml><?xml version="1.0" encoding="utf-8"?>
<formControlPr xmlns="http://schemas.microsoft.com/office/spreadsheetml/2009/9/main" objectType="CheckBox" fmlaLink="$AB$13" lockText="1" noThreeD="1"/>
</file>

<file path=xl/ctrlProps/ctrlProp214.xml><?xml version="1.0" encoding="utf-8"?>
<formControlPr xmlns="http://schemas.microsoft.com/office/spreadsheetml/2009/9/main" objectType="CheckBox" fmlaLink="$AB$14" lockText="1" noThreeD="1"/>
</file>

<file path=xl/ctrlProps/ctrlProp215.xml><?xml version="1.0" encoding="utf-8"?>
<formControlPr xmlns="http://schemas.microsoft.com/office/spreadsheetml/2009/9/main" objectType="CheckBox" fmlaLink="$AB$15" lockText="1" noThreeD="1"/>
</file>

<file path=xl/ctrlProps/ctrlProp216.xml><?xml version="1.0" encoding="utf-8"?>
<formControlPr xmlns="http://schemas.microsoft.com/office/spreadsheetml/2009/9/main" objectType="CheckBox" checked="Checked" fmlaLink="$AG$16" lockText="1" noThreeD="1"/>
</file>

<file path=xl/ctrlProps/ctrlProp217.xml><?xml version="1.0" encoding="utf-8"?>
<formControlPr xmlns="http://schemas.microsoft.com/office/spreadsheetml/2009/9/main" objectType="CheckBox" checked="Checked" fmlaLink="$AG$17" lockText="1" noThreeD="1"/>
</file>

<file path=xl/ctrlProps/ctrlProp218.xml><?xml version="1.0" encoding="utf-8"?>
<formControlPr xmlns="http://schemas.microsoft.com/office/spreadsheetml/2009/9/main" objectType="CheckBox" checked="Checked" fmlaLink="$AG$18" lockText="1" noThreeD="1"/>
</file>

<file path=xl/ctrlProps/ctrlProp219.xml><?xml version="1.0" encoding="utf-8"?>
<formControlPr xmlns="http://schemas.microsoft.com/office/spreadsheetml/2009/9/main" objectType="CheckBox" fmlaLink="$AK$16" lockText="1" noThreeD="1"/>
</file>

<file path=xl/ctrlProps/ctrlProp220.xml><?xml version="1.0" encoding="utf-8"?>
<formControlPr xmlns="http://schemas.microsoft.com/office/spreadsheetml/2009/9/main" objectType="CheckBox" fmlaLink="$AK$17" lockText="1" noThreeD="1"/>
</file>

<file path=xl/ctrlProps/ctrlProp221.xml><?xml version="1.0" encoding="utf-8"?>
<formControlPr xmlns="http://schemas.microsoft.com/office/spreadsheetml/2009/9/main" objectType="CheckBox" fmlaLink="$AK$18" lockText="1" noThreeD="1"/>
</file>

<file path=xl/ctrlProps/ctrlProp222.xml><?xml version="1.0" encoding="utf-8"?>
<formControlPr xmlns="http://schemas.microsoft.com/office/spreadsheetml/2009/9/main" objectType="CheckBox" fmlaLink="$N$20" lockText="1" noThreeD="1"/>
</file>

<file path=xl/ctrlProps/ctrlProp223.xml><?xml version="1.0" encoding="utf-8"?>
<formControlPr xmlns="http://schemas.microsoft.com/office/spreadsheetml/2009/9/main" objectType="CheckBox" fmlaLink="$N$21" lockText="1" noThreeD="1"/>
</file>

<file path=xl/ctrlProps/ctrlProp224.xml><?xml version="1.0" encoding="utf-8"?>
<formControlPr xmlns="http://schemas.microsoft.com/office/spreadsheetml/2009/9/main" objectType="CheckBox" checked="Checked" fmlaLink="$AB$20" lockText="1" noThreeD="1"/>
</file>

<file path=xl/ctrlProps/ctrlProp225.xml><?xml version="1.0" encoding="utf-8"?>
<formControlPr xmlns="http://schemas.microsoft.com/office/spreadsheetml/2009/9/main" objectType="CheckBox" fmlaLink="$AB$21" lockText="1" noThreeD="1"/>
</file>

<file path=xl/ctrlProps/ctrlProp226.xml><?xml version="1.0" encoding="utf-8"?>
<formControlPr xmlns="http://schemas.microsoft.com/office/spreadsheetml/2009/9/main" objectType="CheckBox" fmlaLink="$AG$23" lockText="1" noThreeD="1"/>
</file>

<file path=xl/ctrlProps/ctrlProp227.xml><?xml version="1.0" encoding="utf-8"?>
<formControlPr xmlns="http://schemas.microsoft.com/office/spreadsheetml/2009/9/main" objectType="CheckBox" checked="Checked" fmlaLink="$AG$25" lockText="1" noThreeD="1"/>
</file>

<file path=xl/ctrlProps/ctrlProp228.xml><?xml version="1.0" encoding="utf-8"?>
<formControlPr xmlns="http://schemas.microsoft.com/office/spreadsheetml/2009/9/main" objectType="CheckBox" checked="Checked" fmlaLink="$AK$23" lockText="1" noThreeD="1"/>
</file>

<file path=xl/ctrlProps/ctrlProp229.xml><?xml version="1.0" encoding="utf-8"?>
<formControlPr xmlns="http://schemas.microsoft.com/office/spreadsheetml/2009/9/main" objectType="CheckBox" fmlaLink="$AK$25" lockText="1" noThreeD="1"/>
</file>

<file path=xl/ctrlProps/ctrlProp230.xml><?xml version="1.0" encoding="utf-8"?>
<formControlPr xmlns="http://schemas.microsoft.com/office/spreadsheetml/2009/9/main" objectType="CheckBox" checked="Checked" fmlaLink="$N$27" lockText="1" noThreeD="1"/>
</file>

<file path=xl/ctrlProps/ctrlProp231.xml><?xml version="1.0" encoding="utf-8"?>
<formControlPr xmlns="http://schemas.microsoft.com/office/spreadsheetml/2009/9/main" objectType="CheckBox" checked="Checked" fmlaLink="$N$28" lockText="1" noThreeD="1"/>
</file>

<file path=xl/ctrlProps/ctrlProp232.xml><?xml version="1.0" encoding="utf-8"?>
<formControlPr xmlns="http://schemas.microsoft.com/office/spreadsheetml/2009/9/main" objectType="CheckBox" fmlaLink="$N$29" lockText="1" noThreeD="1"/>
</file>

<file path=xl/ctrlProps/ctrlProp233.xml><?xml version="1.0" encoding="utf-8"?>
<formControlPr xmlns="http://schemas.microsoft.com/office/spreadsheetml/2009/9/main" objectType="CheckBox" fmlaLink="$N$30" lockText="1" noThreeD="1"/>
</file>

<file path=xl/ctrlProps/ctrlProp234.xml><?xml version="1.0" encoding="utf-8"?>
<formControlPr xmlns="http://schemas.microsoft.com/office/spreadsheetml/2009/9/main" objectType="CheckBox" fmlaLink="$AA$5" lockText="1" noThreeD="1"/>
</file>

<file path=xl/ctrlProps/ctrlProp235.xml><?xml version="1.0" encoding="utf-8"?>
<formControlPr xmlns="http://schemas.microsoft.com/office/spreadsheetml/2009/9/main" objectType="CheckBox" fmlaLink="$AA$7" lockText="1" noThreeD="1"/>
</file>

<file path=xl/ctrlProps/ctrlProp236.xml><?xml version="1.0" encoding="utf-8"?>
<formControlPr xmlns="http://schemas.microsoft.com/office/spreadsheetml/2009/9/main" objectType="CheckBox" checked="Checked" fmlaLink="$AF$5" lockText="1" noThreeD="1"/>
</file>

<file path=xl/ctrlProps/ctrlProp237.xml><?xml version="1.0" encoding="utf-8"?>
<formControlPr xmlns="http://schemas.microsoft.com/office/spreadsheetml/2009/9/main" objectType="CheckBox" checked="Checked" fmlaLink="$AF$7" lockText="1" noThreeD="1"/>
</file>

<file path=xl/ctrlProps/ctrlProp238.xml><?xml version="1.0" encoding="utf-8"?>
<formControlPr xmlns="http://schemas.microsoft.com/office/spreadsheetml/2009/9/main" objectType="CheckBox" fmlaLink="$AA$21" lockText="1" noThreeD="1"/>
</file>

<file path=xl/ctrlProps/ctrlProp239.xml><?xml version="1.0" encoding="utf-8"?>
<formControlPr xmlns="http://schemas.microsoft.com/office/spreadsheetml/2009/9/main" objectType="CheckBox" checked="Checked" fmlaLink="$AF$21" lockText="1" noThreeD="1"/>
</file>

<file path=xl/ctrlProps/ctrlProp240.xml><?xml version="1.0" encoding="utf-8"?>
<formControlPr xmlns="http://schemas.microsoft.com/office/spreadsheetml/2009/9/main" objectType="CheckBox" checked="Checked" fmlaLink="$AA$23" lockText="1" noThreeD="1"/>
</file>

<file path=xl/ctrlProps/ctrlProp241.xml><?xml version="1.0" encoding="utf-8"?>
<formControlPr xmlns="http://schemas.microsoft.com/office/spreadsheetml/2009/9/main" objectType="CheckBox" fmlaLink="$AF$23" lockText="1" noThreeD="1"/>
</file>

<file path=xl/ctrlProps/ctrlProp242.xml><?xml version="1.0" encoding="utf-8"?>
<formControlPr xmlns="http://schemas.microsoft.com/office/spreadsheetml/2009/9/main" objectType="CheckBox" fmlaLink="$AF$25" lockText="1" noThreeD="1"/>
</file>

<file path=xl/ctrlProps/ctrlProp243.xml><?xml version="1.0" encoding="utf-8"?>
<formControlPr xmlns="http://schemas.microsoft.com/office/spreadsheetml/2009/9/main" objectType="CheckBox" checked="Checked" fmlaLink="$AK$25" lockText="1" noThreeD="1"/>
</file>

<file path=xl/ctrlProps/ctrlProp244.xml><?xml version="1.0" encoding="utf-8"?>
<formControlPr xmlns="http://schemas.microsoft.com/office/spreadsheetml/2009/9/main" objectType="CheckBox" fmlaLink="$AF$38" lockText="1" noThreeD="1"/>
</file>

<file path=xl/ctrlProps/ctrlProp245.xml><?xml version="1.0" encoding="utf-8"?>
<formControlPr xmlns="http://schemas.microsoft.com/office/spreadsheetml/2009/9/main" objectType="CheckBox" checked="Checked" fmlaLink="$AK$38" lockText="1" noThreeD="1"/>
</file>

<file path=xl/ctrlProps/ctrlProp246.xml><?xml version="1.0" encoding="utf-8"?>
<formControlPr xmlns="http://schemas.microsoft.com/office/spreadsheetml/2009/9/main" objectType="CheckBox" fmlaLink="$X$23" lockText="1" noThreeD="1"/>
</file>

<file path=xl/ctrlProps/ctrlProp247.xml><?xml version="1.0" encoding="utf-8"?>
<formControlPr xmlns="http://schemas.microsoft.com/office/spreadsheetml/2009/9/main" objectType="CheckBox" checked="Checked" fmlaLink="$AC$23" lockText="1" noThreeD="1"/>
</file>

<file path=xl/ctrlProps/ctrlProp248.xml><?xml version="1.0" encoding="utf-8"?>
<formControlPr xmlns="http://schemas.microsoft.com/office/spreadsheetml/2009/9/main" objectType="CheckBox" checked="Checked" fmlaLink="$AJ$6" lockText="1" noThreeD="1"/>
</file>

<file path=xl/ctrlProps/ctrlProp249.xml><?xml version="1.0" encoding="utf-8"?>
<formControlPr xmlns="http://schemas.microsoft.com/office/spreadsheetml/2009/9/main" objectType="CheckBox" checked="Checked" fmlaLink="$AJ$7" lockText="1" noThreeD="1"/>
</file>

<file path=xl/ctrlProps/ctrlProp250.xml><?xml version="1.0" encoding="utf-8"?>
<formControlPr xmlns="http://schemas.microsoft.com/office/spreadsheetml/2009/9/main" objectType="CheckBox" fmlaLink="$AO$6" lockText="1" noThreeD="1"/>
</file>

<file path=xl/ctrlProps/ctrlProp251.xml><?xml version="1.0" encoding="utf-8"?>
<formControlPr xmlns="http://schemas.microsoft.com/office/spreadsheetml/2009/9/main" objectType="CheckBox" fmlaLink="$AO$7" lockText="1" noThreeD="1"/>
</file>

<file path=xl/ctrlProps/ctrlProp252.xml><?xml version="1.0" encoding="utf-8"?>
<formControlPr xmlns="http://schemas.microsoft.com/office/spreadsheetml/2009/9/main" objectType="CheckBox" checked="Checked" fmlaLink="$AJ$10" lockText="1" noThreeD="1"/>
</file>

<file path=xl/ctrlProps/ctrlProp253.xml><?xml version="1.0" encoding="utf-8"?>
<formControlPr xmlns="http://schemas.microsoft.com/office/spreadsheetml/2009/9/main" objectType="CheckBox" checked="Checked" fmlaLink="$AJ$11" lockText="1" noThreeD="1"/>
</file>

<file path=xl/ctrlProps/ctrlProp254.xml><?xml version="1.0" encoding="utf-8"?>
<formControlPr xmlns="http://schemas.microsoft.com/office/spreadsheetml/2009/9/main" objectType="CheckBox" fmlaLink="$AO$10" lockText="1" noThreeD="1"/>
</file>

<file path=xl/ctrlProps/ctrlProp255.xml><?xml version="1.0" encoding="utf-8"?>
<formControlPr xmlns="http://schemas.microsoft.com/office/spreadsheetml/2009/9/main" objectType="CheckBox" fmlaLink="$AO$11" lockText="1" noThreeD="1"/>
</file>

<file path=xl/ctrlProps/ctrlProp256.xml><?xml version="1.0" encoding="utf-8"?>
<formControlPr xmlns="http://schemas.microsoft.com/office/spreadsheetml/2009/9/main" objectType="CheckBox" fmlaLink="$H$20" lockText="1" noThreeD="1"/>
</file>

<file path=xl/ctrlProps/ctrlProp257.xml><?xml version="1.0" encoding="utf-8"?>
<formControlPr xmlns="http://schemas.microsoft.com/office/spreadsheetml/2009/9/main" objectType="CheckBox" fmlaLink="$H$21" lockText="1" noThreeD="1"/>
</file>

<file path=xl/ctrlProps/ctrlProp258.xml><?xml version="1.0" encoding="utf-8"?>
<formControlPr xmlns="http://schemas.microsoft.com/office/spreadsheetml/2009/9/main" objectType="CheckBox" fmlaLink="$H$22" lockText="1" noThreeD="1"/>
</file>

<file path=xl/ctrlProps/ctrlProp259.xml><?xml version="1.0" encoding="utf-8"?>
<formControlPr xmlns="http://schemas.microsoft.com/office/spreadsheetml/2009/9/main" objectType="CheckBox" checked="Checked" fmlaLink="$H$23" lockText="1" noThreeD="1"/>
</file>

<file path=xl/ctrlProps/ctrlProp260.xml><?xml version="1.0" encoding="utf-8"?>
<formControlPr xmlns="http://schemas.microsoft.com/office/spreadsheetml/2009/9/main" objectType="CheckBox" checked="Checked" fmlaLink="$AD$5" lockText="1" noThreeD="1"/>
</file>

<file path=xl/ctrlProps/ctrlProp261.xml><?xml version="1.0" encoding="utf-8"?>
<formControlPr xmlns="http://schemas.microsoft.com/office/spreadsheetml/2009/9/main" objectType="CheckBox" fmlaLink="$AI$5" lockText="1" noThreeD="1"/>
</file>

<file path=xl/ctrlProps/ctrlProp262.xml><?xml version="1.0" encoding="utf-8"?>
<formControlPr xmlns="http://schemas.microsoft.com/office/spreadsheetml/2009/9/main" objectType="CheckBox" checked="Checked" fmlaLink="$AD$9" lockText="1" noThreeD="1"/>
</file>

<file path=xl/ctrlProps/ctrlProp263.xml><?xml version="1.0" encoding="utf-8"?>
<formControlPr xmlns="http://schemas.microsoft.com/office/spreadsheetml/2009/9/main" objectType="CheckBox" fmlaLink="$AI$9" lockText="1" noThreeD="1"/>
</file>

<file path=xl/ctrlProps/ctrlProp264.xml><?xml version="1.0" encoding="utf-8"?>
<formControlPr xmlns="http://schemas.microsoft.com/office/spreadsheetml/2009/9/main" objectType="CheckBox" checked="Checked" fmlaLink="$AD$16" lockText="1" noThreeD="1"/>
</file>

<file path=xl/ctrlProps/ctrlProp265.xml><?xml version="1.0" encoding="utf-8"?>
<formControlPr xmlns="http://schemas.microsoft.com/office/spreadsheetml/2009/9/main" objectType="CheckBox" checked="Checked" fmlaLink="$AD$17" lockText="1" noThreeD="1"/>
</file>

<file path=xl/ctrlProps/ctrlProp266.xml><?xml version="1.0" encoding="utf-8"?>
<formControlPr xmlns="http://schemas.microsoft.com/office/spreadsheetml/2009/9/main" objectType="CheckBox" fmlaLink="$AD$18" lockText="1" noThreeD="1"/>
</file>

<file path=xl/ctrlProps/ctrlProp267.xml><?xml version="1.0" encoding="utf-8"?>
<formControlPr xmlns="http://schemas.microsoft.com/office/spreadsheetml/2009/9/main" objectType="CheckBox" fmlaLink="$AI$16" lockText="1" noThreeD="1"/>
</file>

<file path=xl/ctrlProps/ctrlProp268.xml><?xml version="1.0" encoding="utf-8"?>
<formControlPr xmlns="http://schemas.microsoft.com/office/spreadsheetml/2009/9/main" objectType="CheckBox" fmlaLink="$AI$17" lockText="1" noThreeD="1"/>
</file>

<file path=xl/ctrlProps/ctrlProp269.xml><?xml version="1.0" encoding="utf-8"?>
<formControlPr xmlns="http://schemas.microsoft.com/office/spreadsheetml/2009/9/main" objectType="CheckBox" checked="Checked" fmlaLink="$AI$18" lockText="1" noThreeD="1"/>
</file>

<file path=xl/ctrlProps/ctrlProp270.xml><?xml version="1.0" encoding="utf-8"?>
<formControlPr xmlns="http://schemas.microsoft.com/office/spreadsheetml/2009/9/main" objectType="CheckBox" checked="Checked" fmlaLink="$P$25" lockText="1" noThreeD="1"/>
</file>

<file path=xl/ctrlProps/ctrlProp271.xml><?xml version="1.0" encoding="utf-8"?>
<formControlPr xmlns="http://schemas.microsoft.com/office/spreadsheetml/2009/9/main" objectType="CheckBox" fmlaLink="$U$25" lockText="1" noThreeD="1"/>
</file>

<file path=xl/ctrlProps/ctrlProp272.xml><?xml version="1.0" encoding="utf-8"?>
<formControlPr xmlns="http://schemas.microsoft.com/office/spreadsheetml/2009/9/main" objectType="CheckBox" fmlaLink="$F$27" lockText="1" noThreeD="1"/>
</file>

<file path=xl/ctrlProps/ctrlProp273.xml><?xml version="1.0" encoding="utf-8"?>
<formControlPr xmlns="http://schemas.microsoft.com/office/spreadsheetml/2009/9/main" objectType="CheckBox" fmlaLink="$F$28" lockText="1" noThreeD="1"/>
</file>

<file path=xl/ctrlProps/ctrlProp274.xml><?xml version="1.0" encoding="utf-8"?>
<formControlPr xmlns="http://schemas.microsoft.com/office/spreadsheetml/2009/9/main" objectType="CheckBox" fmlaLink="$F$30" lockText="1" noThreeD="1"/>
</file>

<file path=xl/ctrlProps/ctrlProp275.xml><?xml version="1.0" encoding="utf-8"?>
<formControlPr xmlns="http://schemas.microsoft.com/office/spreadsheetml/2009/9/main" objectType="CheckBox" fmlaLink="$F$31" lockText="1" noThreeD="1"/>
</file>

<file path=xl/ctrlProps/ctrlProp276.xml><?xml version="1.0" encoding="utf-8"?>
<formControlPr xmlns="http://schemas.microsoft.com/office/spreadsheetml/2009/9/main" objectType="CheckBox" fmlaLink="$U$27" lockText="1" noThreeD="1"/>
</file>

<file path=xl/ctrlProps/ctrlProp277.xml><?xml version="1.0" encoding="utf-8"?>
<formControlPr xmlns="http://schemas.microsoft.com/office/spreadsheetml/2009/9/main" objectType="CheckBox" fmlaLink="$U$28" lockText="1" noThreeD="1"/>
</file>

<file path=xl/ctrlProps/ctrlProp278.xml><?xml version="1.0" encoding="utf-8"?>
<formControlPr xmlns="http://schemas.microsoft.com/office/spreadsheetml/2009/9/main" objectType="CheckBox" checked="Checked" fmlaLink="$U$30" lockText="1" noThreeD="1"/>
</file>

<file path=xl/ctrlProps/ctrlProp279.xml><?xml version="1.0" encoding="utf-8"?>
<formControlPr xmlns="http://schemas.microsoft.com/office/spreadsheetml/2009/9/main" objectType="CheckBox" fmlaLink="$U$31" lockText="1" noThreeD="1"/>
</file>

<file path=xl/ctrlProps/ctrlProp280.xml><?xml version="1.0" encoding="utf-8"?>
<formControlPr xmlns="http://schemas.microsoft.com/office/spreadsheetml/2009/9/main" objectType="CheckBox" checked="Checked" fmlaLink="$U$34" lockText="1" noThreeD="1"/>
</file>

<file path=xl/ctrlProps/ctrlProp281.xml><?xml version="1.0" encoding="utf-8"?>
<formControlPr xmlns="http://schemas.microsoft.com/office/spreadsheetml/2009/9/main" objectType="CheckBox" checked="Checked" fmlaLink="$F$33" lockText="1" noThreeD="1"/>
</file>

<file path=xl/ctrlProps/ctrlProp282.xml><?xml version="1.0" encoding="utf-8"?>
<formControlPr xmlns="http://schemas.microsoft.com/office/spreadsheetml/2009/9/main" objectType="CheckBox" fmlaLink="$I$34" lockText="1" noThreeD="1"/>
</file>

<file path=xl/ctrlProps/ctrlProp283.xml><?xml version="1.0" encoding="utf-8"?>
<formControlPr xmlns="http://schemas.microsoft.com/office/spreadsheetml/2009/9/main" objectType="CheckBox" checked="Checked" fmlaLink="$N$34" lockText="1" noThreeD="1"/>
</file>

<file path=xl/ctrlProps/ctrlProp284.xml><?xml version="1.0" encoding="utf-8"?>
<formControlPr xmlns="http://schemas.microsoft.com/office/spreadsheetml/2009/9/main" objectType="CheckBox" fmlaLink="$AA$34" lockText="1" noThreeD="1"/>
</file>

<file path=xl/ctrlProps/ctrlProp285.xml><?xml version="1.0" encoding="utf-8"?>
<formControlPr xmlns="http://schemas.microsoft.com/office/spreadsheetml/2009/9/main" objectType="CheckBox" checked="Checked" fmlaLink="$F$7" lockText="1" noThreeD="1"/>
</file>

<file path=xl/ctrlProps/ctrlProp286.xml><?xml version="1.0" encoding="utf-8"?>
<formControlPr xmlns="http://schemas.microsoft.com/office/spreadsheetml/2009/9/main" objectType="CheckBox" fmlaLink="$F$8" lockText="1" noThreeD="1"/>
</file>

<file path=xl/ctrlProps/ctrlProp287.xml><?xml version="1.0" encoding="utf-8"?>
<formControlPr xmlns="http://schemas.microsoft.com/office/spreadsheetml/2009/9/main" objectType="CheckBox" checked="Checked" fmlaLink="$U$7" lockText="1" noThreeD="1"/>
</file>

<file path=xl/ctrlProps/ctrlProp288.xml><?xml version="1.0" encoding="utf-8"?>
<formControlPr xmlns="http://schemas.microsoft.com/office/spreadsheetml/2009/9/main" objectType="CheckBox" fmlaLink="$U$8" lockText="1" noThreeD="1"/>
</file>

<file path=xl/ctrlProps/ctrlProp289.xml><?xml version="1.0" encoding="utf-8"?>
<formControlPr xmlns="http://schemas.microsoft.com/office/spreadsheetml/2009/9/main" objectType="CheckBox" checked="Checked" fmlaLink="$F$35" lockText="1" noThreeD="1"/>
</file>

<file path=xl/ctrlProps/ctrlProp290.xml><?xml version="1.0" encoding="utf-8"?>
<formControlPr xmlns="http://schemas.microsoft.com/office/spreadsheetml/2009/9/main" objectType="CheckBox" fmlaLink="$F$36" lockText="1" noThreeD="1"/>
</file>

<file path=xl/ctrlProps/ctrlProp291.xml><?xml version="1.0" encoding="utf-8"?>
<formControlPr xmlns="http://schemas.microsoft.com/office/spreadsheetml/2009/9/main" objectType="CheckBox" fmlaLink="$F$37" lockText="1" noThreeD="1"/>
</file>

<file path=xl/ctrlProps/ctrlProp292.xml><?xml version="1.0" encoding="utf-8"?>
<formControlPr xmlns="http://schemas.microsoft.com/office/spreadsheetml/2009/9/main" objectType="CheckBox" fmlaLink="$F$38" lockText="1" noThreeD="1"/>
</file>

<file path=xl/ctrlProps/ctrlProp293.xml><?xml version="1.0" encoding="utf-8"?>
<formControlPr xmlns="http://schemas.microsoft.com/office/spreadsheetml/2009/9/main" objectType="CheckBox" fmlaLink="$F$39" lockText="1" noThreeD="1"/>
</file>

<file path=xl/ctrlProps/ctrlProp294.xml><?xml version="1.0" encoding="utf-8"?>
<formControlPr xmlns="http://schemas.microsoft.com/office/spreadsheetml/2009/9/main" objectType="CheckBox" fmlaLink="$U$40" lockText="1" noThreeD="1"/>
</file>

<file path=xl/ctrlProps/ctrlProp295.xml><?xml version="1.0" encoding="utf-8"?>
<formControlPr xmlns="http://schemas.microsoft.com/office/spreadsheetml/2009/9/main" objectType="CheckBox" checked="Checked" fmlaLink="$Z$40" lockText="1" noThreeD="1"/>
</file>

<file path=xl/ctrlProps/ctrlProp296.xml><?xml version="1.0" encoding="utf-8"?>
<formControlPr xmlns="http://schemas.microsoft.com/office/spreadsheetml/2009/9/main" objectType="CheckBox" fmlaLink="$F$42" lockText="1" noThreeD="1"/>
</file>

<file path=xl/ctrlProps/ctrlProp297.xml><?xml version="1.0" encoding="utf-8"?>
<formControlPr xmlns="http://schemas.microsoft.com/office/spreadsheetml/2009/9/main" objectType="CheckBox" fmlaLink="$F$43" lockText="1" noThreeD="1"/>
</file>

<file path=xl/ctrlProps/ctrlProp298.xml><?xml version="1.0" encoding="utf-8"?>
<formControlPr xmlns="http://schemas.microsoft.com/office/spreadsheetml/2009/9/main" objectType="CheckBox" fmlaLink="$F$45" lockText="1" noThreeD="1"/>
</file>

<file path=xl/ctrlProps/ctrlProp299.xml><?xml version="1.0" encoding="utf-8"?>
<formControlPr xmlns="http://schemas.microsoft.com/office/spreadsheetml/2009/9/main" objectType="CheckBox" fmlaLink="$F$46" lockText="1" noThreeD="1"/>
</file>

<file path=xl/ctrlProps/ctrlProp300.xml><?xml version="1.0" encoding="utf-8"?>
<formControlPr xmlns="http://schemas.microsoft.com/office/spreadsheetml/2009/9/main" objectType="CheckBox" fmlaLink="$U$42" lockText="1" noThreeD="1"/>
</file>

<file path=xl/ctrlProps/ctrlProp301.xml><?xml version="1.0" encoding="utf-8"?>
<formControlPr xmlns="http://schemas.microsoft.com/office/spreadsheetml/2009/9/main" objectType="CheckBox" fmlaLink="$U$43" lockText="1" noThreeD="1"/>
</file>

<file path=xl/ctrlProps/ctrlProp302.xml><?xml version="1.0" encoding="utf-8"?>
<formControlPr xmlns="http://schemas.microsoft.com/office/spreadsheetml/2009/9/main" objectType="CheckBox" fmlaLink="$U$45" lockText="1" noThreeD="1"/>
</file>

<file path=xl/ctrlProps/ctrlProp303.xml><?xml version="1.0" encoding="utf-8"?>
<formControlPr xmlns="http://schemas.microsoft.com/office/spreadsheetml/2009/9/main" objectType="CheckBox" checked="Checked" fmlaLink="$M$52" lockText="1" noThreeD="1"/>
</file>

<file path=xl/ctrlProps/ctrlProp304.xml><?xml version="1.0" encoding="utf-8"?>
<formControlPr xmlns="http://schemas.microsoft.com/office/spreadsheetml/2009/9/main" objectType="CheckBox" fmlaLink="$R$52" lockText="1" noThreeD="1"/>
</file>

<file path=xl/ctrlProps/ctrlProp305.xml><?xml version="1.0" encoding="utf-8"?>
<formControlPr xmlns="http://schemas.microsoft.com/office/spreadsheetml/2009/9/main" objectType="CheckBox" checked="Checked" fmlaLink="$E$55" lockText="1" noThreeD="1"/>
</file>

<file path=xl/ctrlProps/ctrlProp306.xml><?xml version="1.0" encoding="utf-8"?>
<formControlPr xmlns="http://schemas.microsoft.com/office/spreadsheetml/2009/9/main" objectType="CheckBox" fmlaLink="$E$57" lockText="1" noThreeD="1"/>
</file>

<file path=xl/ctrlProps/ctrlProp307.xml><?xml version="1.0" encoding="utf-8"?>
<formControlPr xmlns="http://schemas.microsoft.com/office/spreadsheetml/2009/9/main" objectType="CheckBox" fmlaLink="$E$59" lockText="1" noThreeD="1"/>
</file>

<file path=xl/ctrlProps/ctrlProp308.xml><?xml version="1.0" encoding="utf-8"?>
<formControlPr xmlns="http://schemas.microsoft.com/office/spreadsheetml/2009/9/main" objectType="CheckBox" fmlaLink="$AD$55" lockText="1" noThreeD="1"/>
</file>

<file path=xl/ctrlProps/ctrlProp309.xml><?xml version="1.0" encoding="utf-8"?>
<formControlPr xmlns="http://schemas.microsoft.com/office/spreadsheetml/2009/9/main" objectType="CheckBox" fmlaLink="$AD$57" lockText="1" noThreeD="1"/>
</file>

<file path=xl/ctrlProps/ctrlProp310.xml><?xml version="1.0" encoding="utf-8"?>
<formControlPr xmlns="http://schemas.microsoft.com/office/spreadsheetml/2009/9/main" objectType="CheckBox" fmlaLink="$AD$60" lockText="1" noThreeD="1"/>
</file>

<file path=xl/ctrlProps/ctrlProp311.xml><?xml version="1.0" encoding="utf-8"?>
<formControlPr xmlns="http://schemas.microsoft.com/office/spreadsheetml/2009/9/main" objectType="CheckBox" checked="Checked" fmlaLink="$AI$55" lockText="1" noThreeD="1"/>
</file>

<file path=xl/ctrlProps/ctrlProp312.xml><?xml version="1.0" encoding="utf-8"?>
<formControlPr xmlns="http://schemas.microsoft.com/office/spreadsheetml/2009/9/main" objectType="CheckBox" fmlaLink="$AI$57" lockText="1" noThreeD="1"/>
</file>

<file path=xl/ctrlProps/ctrlProp313.xml><?xml version="1.0" encoding="utf-8"?>
<formControlPr xmlns="http://schemas.microsoft.com/office/spreadsheetml/2009/9/main" objectType="CheckBox" fmlaLink="$AI$60" lockText="1" noThreeD="1"/>
</file>

<file path=xl/ctrlProps/ctrlProp314.xml><?xml version="1.0" encoding="utf-8"?>
<formControlPr xmlns="http://schemas.microsoft.com/office/spreadsheetml/2009/9/main" objectType="CheckBox" checked="Checked" fmlaLink="$AB$5" lockText="1" noThreeD="1"/>
</file>

<file path=xl/ctrlProps/ctrlProp315.xml><?xml version="1.0" encoding="utf-8"?>
<formControlPr xmlns="http://schemas.microsoft.com/office/spreadsheetml/2009/9/main" objectType="CheckBox" fmlaLink="$AG$5" lockText="1" noThreeD="1"/>
</file>

<file path=xl/ctrlProps/ctrlProp316.xml><?xml version="1.0" encoding="utf-8"?>
<formControlPr xmlns="http://schemas.microsoft.com/office/spreadsheetml/2009/9/main" objectType="CheckBox" checked="Checked" fmlaLink="$I$8" lockText="1" noThreeD="1"/>
</file>

<file path=xl/ctrlProps/ctrlProp317.xml><?xml version="1.0" encoding="utf-8"?>
<formControlPr xmlns="http://schemas.microsoft.com/office/spreadsheetml/2009/9/main" objectType="CheckBox" checked="Checked" fmlaLink="$I$9" lockText="1" noThreeD="1"/>
</file>

<file path=xl/ctrlProps/ctrlProp318.xml><?xml version="1.0" encoding="utf-8"?>
<formControlPr xmlns="http://schemas.microsoft.com/office/spreadsheetml/2009/9/main" objectType="CheckBox" fmlaLink="$I$10" lockText="1" noThreeD="1"/>
</file>

<file path=xl/ctrlProps/ctrlProp319.xml><?xml version="1.0" encoding="utf-8"?>
<formControlPr xmlns="http://schemas.microsoft.com/office/spreadsheetml/2009/9/main" objectType="CheckBox" checked="Checked" fmlaLink="$U$8" lockText="1" noThreeD="1"/>
</file>

<file path=xl/ctrlProps/ctrlProp320.xml><?xml version="1.0" encoding="utf-8"?>
<formControlPr xmlns="http://schemas.microsoft.com/office/spreadsheetml/2009/9/main" objectType="CheckBox" fmlaLink="$U$9" lockText="1" noThreeD="1"/>
</file>

<file path=xl/ctrlProps/ctrlProp321.xml><?xml version="1.0" encoding="utf-8"?>
<formControlPr xmlns="http://schemas.microsoft.com/office/spreadsheetml/2009/9/main" objectType="CheckBox" fmlaLink="$U$10" lockText="1" noThreeD="1"/>
</file>

<file path=xl/ctrlProps/ctrlProp322.xml><?xml version="1.0" encoding="utf-8"?>
<formControlPr xmlns="http://schemas.microsoft.com/office/spreadsheetml/2009/9/main" objectType="CheckBox" fmlaLink="$AG$8" lockText="1" noThreeD="1"/>
</file>

<file path=xl/ctrlProps/ctrlProp323.xml><?xml version="1.0" encoding="utf-8"?>
<formControlPr xmlns="http://schemas.microsoft.com/office/spreadsheetml/2009/9/main" objectType="CheckBox" fmlaLink="$AG$9" lockText="1" noThreeD="1"/>
</file>

<file path=xl/ctrlProps/ctrlProp324.xml><?xml version="1.0" encoding="utf-8"?>
<formControlPr xmlns="http://schemas.microsoft.com/office/spreadsheetml/2009/9/main" objectType="CheckBox" fmlaLink="$AG$10" lockText="1" noThreeD="1"/>
</file>

<file path=xl/ctrlProps/ctrlProp325.xml><?xml version="1.0" encoding="utf-8"?>
<formControlPr xmlns="http://schemas.microsoft.com/office/spreadsheetml/2009/9/main" objectType="CheckBox" checked="Checked" fmlaLink="$AG$11" lockText="1" noThreeD="1"/>
</file>

<file path=xl/ctrlProps/ctrlProp326.xml><?xml version="1.0" encoding="utf-8"?>
<formControlPr xmlns="http://schemas.microsoft.com/office/spreadsheetml/2009/9/main" objectType="CheckBox" checked="Checked" fmlaLink="$AG$14" lockText="1" noThreeD="1"/>
</file>

<file path=xl/ctrlProps/ctrlProp327.xml><?xml version="1.0" encoding="utf-8"?>
<formControlPr xmlns="http://schemas.microsoft.com/office/spreadsheetml/2009/9/main" objectType="CheckBox" fmlaLink="$U$14" lockText="1" noThreeD="1"/>
</file>

<file path=xl/ctrlProps/ctrlProp328.xml><?xml version="1.0" encoding="utf-8"?>
<formControlPr xmlns="http://schemas.microsoft.com/office/spreadsheetml/2009/9/main" objectType="CheckBox" checked="Checked" fmlaLink="$U$15" lockText="1" noThreeD="1"/>
</file>

<file path=xl/ctrlProps/ctrlProp329.xml><?xml version="1.0" encoding="utf-8"?>
<formControlPr xmlns="http://schemas.microsoft.com/office/spreadsheetml/2009/9/main" objectType="CheckBox" checked="Checked" fmlaLink="$I$14" lockText="1" noThreeD="1"/>
</file>

<file path=xl/ctrlProps/ctrlProp330.xml><?xml version="1.0" encoding="utf-8"?>
<formControlPr xmlns="http://schemas.microsoft.com/office/spreadsheetml/2009/9/main" objectType="CheckBox" checked="Checked" fmlaLink="$I$15" lockText="1" noThreeD="1"/>
</file>

<file path=xl/ctrlProps/ctrlProp331.xml><?xml version="1.0" encoding="utf-8"?>
<formControlPr xmlns="http://schemas.microsoft.com/office/spreadsheetml/2009/9/main" objectType="CheckBox" checked="Checked" fmlaLink="$I$22" lockText="1" noThreeD="1"/>
</file>

<file path=xl/ctrlProps/ctrlProp332.xml><?xml version="1.0" encoding="utf-8"?>
<formControlPr xmlns="http://schemas.microsoft.com/office/spreadsheetml/2009/9/main" objectType="CheckBox" fmlaLink="$I$23" lockText="1" noThreeD="1"/>
</file>

<file path=xl/ctrlProps/ctrlProp333.xml><?xml version="1.0" encoding="utf-8"?>
<formControlPr xmlns="http://schemas.microsoft.com/office/spreadsheetml/2009/9/main" objectType="CheckBox" checked="Checked" fmlaLink="$I$26" lockText="1" noThreeD="1"/>
</file>

<file path=xl/ctrlProps/ctrlProp334.xml><?xml version="1.0" encoding="utf-8"?>
<formControlPr xmlns="http://schemas.microsoft.com/office/spreadsheetml/2009/9/main" objectType="CheckBox" fmlaLink="$I$27" lockText="1" noThreeD="1"/>
</file>

<file path=xl/ctrlProps/ctrlProp335.xml><?xml version="1.0" encoding="utf-8"?>
<formControlPr xmlns="http://schemas.microsoft.com/office/spreadsheetml/2009/9/main" objectType="CheckBox" fmlaLink="$I$28" lockText="1" noThreeD="1"/>
</file>

<file path=xl/ctrlProps/ctrlProp336.xml><?xml version="1.0" encoding="utf-8"?>
<formControlPr xmlns="http://schemas.microsoft.com/office/spreadsheetml/2009/9/main" objectType="CheckBox" fmlaLink="$U$22" lockText="1" noThreeD="1"/>
</file>

<file path=xl/ctrlProps/ctrlProp337.xml><?xml version="1.0" encoding="utf-8"?>
<formControlPr xmlns="http://schemas.microsoft.com/office/spreadsheetml/2009/9/main" objectType="CheckBox" fmlaLink="$U$23" lockText="1" noThreeD="1"/>
</file>

<file path=xl/ctrlProps/ctrlProp338.xml><?xml version="1.0" encoding="utf-8"?>
<formControlPr xmlns="http://schemas.microsoft.com/office/spreadsheetml/2009/9/main" objectType="CheckBox" checked="Checked" fmlaLink="$U$26" lockText="1" noThreeD="1"/>
</file>

<file path=xl/ctrlProps/ctrlProp339.xml><?xml version="1.0" encoding="utf-8"?>
<formControlPr xmlns="http://schemas.microsoft.com/office/spreadsheetml/2009/9/main" objectType="CheckBox" fmlaLink="$U$27" lockText="1" noThreeD="1"/>
</file>

<file path=xl/ctrlProps/ctrlProp340.xml><?xml version="1.0" encoding="utf-8"?>
<formControlPr xmlns="http://schemas.microsoft.com/office/spreadsheetml/2009/9/main" objectType="CheckBox" fmlaLink="$U$28" lockText="1" noThreeD="1"/>
</file>

<file path=xl/ctrlProps/ctrlProp341.xml><?xml version="1.0" encoding="utf-8"?>
<formControlPr xmlns="http://schemas.microsoft.com/office/spreadsheetml/2009/9/main" objectType="CheckBox" fmlaLink="$U$36" lockText="1" noThreeD="1"/>
</file>

<file path=xl/ctrlProps/ctrlProp342.xml><?xml version="1.0" encoding="utf-8"?>
<formControlPr xmlns="http://schemas.microsoft.com/office/spreadsheetml/2009/9/main" objectType="CheckBox" fmlaLink="$U$37" lockText="1" noThreeD="1"/>
</file>

<file path=xl/ctrlProps/ctrlProp343.xml><?xml version="1.0" encoding="utf-8"?>
<formControlPr xmlns="http://schemas.microsoft.com/office/spreadsheetml/2009/9/main" objectType="CheckBox" fmlaLink="$I$36" lockText="1" noThreeD="1"/>
</file>

<file path=xl/ctrlProps/ctrlProp344.xml><?xml version="1.0" encoding="utf-8"?>
<formControlPr xmlns="http://schemas.microsoft.com/office/spreadsheetml/2009/9/main" objectType="CheckBox" fmlaLink="$I$37" lockText="1" noThreeD="1"/>
</file>

<file path=xl/ctrlProps/ctrlProp345.xml><?xml version="1.0" encoding="utf-8"?>
<formControlPr xmlns="http://schemas.microsoft.com/office/spreadsheetml/2009/9/main" objectType="CheckBox" fmlaLink="$X$34" lockText="1" noThreeD="1"/>
</file>

<file path=xl/ctrlProps/ctrlProp346.xml><?xml version="1.0" encoding="utf-8"?>
<formControlPr xmlns="http://schemas.microsoft.com/office/spreadsheetml/2009/9/main" objectType="CheckBox" checked="Checked" fmlaLink="$AC$34" lockText="1" noThreeD="1"/>
</file>

<file path=xl/ctrlProps/ctrlProp347.xml><?xml version="1.0" encoding="utf-8"?>
<formControlPr xmlns="http://schemas.microsoft.com/office/spreadsheetml/2009/9/main" objectType="CheckBox" checked="Checked" fmlaLink="$AB$5" lockText="1" noThreeD="1"/>
</file>

<file path=xl/ctrlProps/ctrlProp348.xml><?xml version="1.0" encoding="utf-8"?>
<formControlPr xmlns="http://schemas.microsoft.com/office/spreadsheetml/2009/9/main" objectType="CheckBox" fmlaLink="$AB$6" lockText="1" noThreeD="1"/>
</file>

<file path=xl/ctrlProps/ctrlProp349.xml><?xml version="1.0" encoding="utf-8"?>
<formControlPr xmlns="http://schemas.microsoft.com/office/spreadsheetml/2009/9/main" objectType="CheckBox" checked="Checked" fmlaLink="$AB$9" lockText="1" noThreeD="1"/>
</file>

<file path=xl/ctrlProps/ctrlProp350.xml><?xml version="1.0" encoding="utf-8"?>
<formControlPr xmlns="http://schemas.microsoft.com/office/spreadsheetml/2009/9/main" objectType="CheckBox" fmlaLink="$P$6" lockText="1" noThreeD="1"/>
</file>

<file path=xl/ctrlProps/ctrlProp351.xml><?xml version="1.0" encoding="utf-8"?>
<formControlPr xmlns="http://schemas.microsoft.com/office/spreadsheetml/2009/9/main" objectType="CheckBox" fmlaLink="$T$6" lockText="1" noThreeD="1"/>
</file>

<file path=xl/ctrlProps/ctrlProp352.xml><?xml version="1.0" encoding="utf-8"?>
<formControlPr xmlns="http://schemas.microsoft.com/office/spreadsheetml/2009/9/main" objectType="CheckBox" checked="Checked" fmlaLink="$X$6" lockText="1" noThreeD="1"/>
</file>

<file path=xl/ctrlProps/ctrlProp353.xml><?xml version="1.0" encoding="utf-8"?>
<formControlPr xmlns="http://schemas.microsoft.com/office/spreadsheetml/2009/9/main" objectType="CheckBox" fmlaLink="$AG$5" lockText="1" noThreeD="1"/>
</file>

<file path=xl/ctrlProps/ctrlProp354.xml><?xml version="1.0" encoding="utf-8"?>
<formControlPr xmlns="http://schemas.microsoft.com/office/spreadsheetml/2009/9/main" objectType="CheckBox" fmlaLink="$AG$9" lockText="1" noThreeD="1"/>
</file>

<file path=xl/ctrlProps/ctrlProp355.xml><?xml version="1.0" encoding="utf-8"?>
<formControlPr xmlns="http://schemas.microsoft.com/office/spreadsheetml/2009/9/main" objectType="CheckBox" fmlaLink="$O$5" lockText="1" noThreeD="1"/>
</file>

<file path=xl/ctrlProps/ctrlProp356.xml><?xml version="1.0" encoding="utf-8"?>
<formControlPr xmlns="http://schemas.microsoft.com/office/spreadsheetml/2009/9/main" objectType="CheckBox" fmlaLink="$O$6" lockText="1" noThreeD="1"/>
</file>

<file path=xl/ctrlProps/ctrlProp357.xml><?xml version="1.0" encoding="utf-8"?>
<formControlPr xmlns="http://schemas.microsoft.com/office/spreadsheetml/2009/9/main" objectType="CheckBox" fmlaLink="$O$7" lockText="1" noThreeD="1"/>
</file>

<file path=xl/ctrlProps/ctrlProp358.xml><?xml version="1.0" encoding="utf-8"?>
<formControlPr xmlns="http://schemas.microsoft.com/office/spreadsheetml/2009/9/main" objectType="CheckBox" fmlaLink="$O$8" lockText="1" noThreeD="1"/>
</file>

<file path=xl/ctrlProps/ctrlProp359.xml><?xml version="1.0" encoding="utf-8"?>
<formControlPr xmlns="http://schemas.microsoft.com/office/spreadsheetml/2009/9/main" objectType="CheckBox" fmlaLink="$O$9" lockText="1" noThreeD="1"/>
</file>

<file path=xl/ctrlProps/ctrlProp360.xml><?xml version="1.0" encoding="utf-8"?>
<formControlPr xmlns="http://schemas.microsoft.com/office/spreadsheetml/2009/9/main" objectType="CheckBox" fmlaLink="$O$10" lockText="1" noThreeD="1"/>
</file>

<file path=xl/ctrlProps/ctrlProp361.xml><?xml version="1.0" encoding="utf-8"?>
<formControlPr xmlns="http://schemas.microsoft.com/office/spreadsheetml/2009/9/main" objectType="CheckBox" fmlaLink="$O$11" lockText="1" noThreeD="1"/>
</file>

<file path=xl/ctrlProps/ctrlProp362.xml><?xml version="1.0" encoding="utf-8"?>
<formControlPr xmlns="http://schemas.microsoft.com/office/spreadsheetml/2009/9/main" objectType="CheckBox" fmlaLink="$O$12" lockText="1" noThreeD="1"/>
</file>

<file path=xl/ctrlProps/ctrlProp363.xml><?xml version="1.0" encoding="utf-8"?>
<formControlPr xmlns="http://schemas.microsoft.com/office/spreadsheetml/2009/9/main" objectType="CheckBox" fmlaLink="$O$13" lockText="1" noThreeD="1"/>
</file>

<file path=xl/ctrlProps/ctrlProp364.xml><?xml version="1.0" encoding="utf-8"?>
<formControlPr xmlns="http://schemas.microsoft.com/office/spreadsheetml/2009/9/main" objectType="CheckBox" fmlaLink="$O$14" lockText="1" noThreeD="1"/>
</file>

<file path=xl/ctrlProps/ctrlProp365.xml><?xml version="1.0" encoding="utf-8"?>
<formControlPr xmlns="http://schemas.microsoft.com/office/spreadsheetml/2009/9/main" objectType="CheckBox" fmlaLink="$O$15" lockText="1" noThreeD="1"/>
</file>

<file path=xl/ctrlProps/ctrlProp366.xml><?xml version="1.0" encoding="utf-8"?>
<formControlPr xmlns="http://schemas.microsoft.com/office/spreadsheetml/2009/9/main" objectType="CheckBox" fmlaLink="$O$16" lockText="1" noThreeD="1"/>
</file>

<file path=xl/ctrlProps/ctrlProp367.xml><?xml version="1.0" encoding="utf-8"?>
<formControlPr xmlns="http://schemas.microsoft.com/office/spreadsheetml/2009/9/main" objectType="CheckBox" fmlaLink="$O$17" lockText="1" noThreeD="1"/>
</file>

<file path=xl/ctrlProps/ctrlProp368.xml><?xml version="1.0" encoding="utf-8"?>
<formControlPr xmlns="http://schemas.microsoft.com/office/spreadsheetml/2009/9/main" objectType="CheckBox" fmlaLink="$O$18" lockText="1" noThreeD="1"/>
</file>

<file path=xl/ctrlProps/ctrlProp369.xml><?xml version="1.0" encoding="utf-8"?>
<formControlPr xmlns="http://schemas.microsoft.com/office/spreadsheetml/2009/9/main" objectType="CheckBox" fmlaLink="$O$19" lockText="1" noThreeD="1"/>
</file>

<file path=xl/ctrlProps/ctrlProp370.xml><?xml version="1.0" encoding="utf-8"?>
<formControlPr xmlns="http://schemas.microsoft.com/office/spreadsheetml/2009/9/main" objectType="CheckBox" fmlaLink="$R$5" lockText="1" noThreeD="1"/>
</file>

<file path=xl/ctrlProps/ctrlProp371.xml><?xml version="1.0" encoding="utf-8"?>
<formControlPr xmlns="http://schemas.microsoft.com/office/spreadsheetml/2009/9/main" objectType="CheckBox" fmlaLink="$R$6" lockText="1" noThreeD="1"/>
</file>

<file path=xl/ctrlProps/ctrlProp372.xml><?xml version="1.0" encoding="utf-8"?>
<formControlPr xmlns="http://schemas.microsoft.com/office/spreadsheetml/2009/9/main" objectType="CheckBox" fmlaLink="$R$7" lockText="1" noThreeD="1"/>
</file>

<file path=xl/ctrlProps/ctrlProp373.xml><?xml version="1.0" encoding="utf-8"?>
<formControlPr xmlns="http://schemas.microsoft.com/office/spreadsheetml/2009/9/main" objectType="CheckBox" fmlaLink="$R$8" lockText="1" noThreeD="1"/>
</file>

<file path=xl/ctrlProps/ctrlProp374.xml><?xml version="1.0" encoding="utf-8"?>
<formControlPr xmlns="http://schemas.microsoft.com/office/spreadsheetml/2009/9/main" objectType="CheckBox" fmlaLink="$R$9" lockText="1" noThreeD="1"/>
</file>

<file path=xl/ctrlProps/ctrlProp375.xml><?xml version="1.0" encoding="utf-8"?>
<formControlPr xmlns="http://schemas.microsoft.com/office/spreadsheetml/2009/9/main" objectType="CheckBox" fmlaLink="$R$10" lockText="1" noThreeD="1"/>
</file>

<file path=xl/ctrlProps/ctrlProp376.xml><?xml version="1.0" encoding="utf-8"?>
<formControlPr xmlns="http://schemas.microsoft.com/office/spreadsheetml/2009/9/main" objectType="CheckBox" fmlaLink="$R$11" lockText="1" noThreeD="1"/>
</file>

<file path=xl/ctrlProps/ctrlProp377.xml><?xml version="1.0" encoding="utf-8"?>
<formControlPr xmlns="http://schemas.microsoft.com/office/spreadsheetml/2009/9/main" objectType="CheckBox" fmlaLink="$R$12" lockText="1" noThreeD="1"/>
</file>

<file path=xl/ctrlProps/ctrlProp378.xml><?xml version="1.0" encoding="utf-8"?>
<formControlPr xmlns="http://schemas.microsoft.com/office/spreadsheetml/2009/9/main" objectType="CheckBox" fmlaLink="$R$13" lockText="1" noThreeD="1"/>
</file>

<file path=xl/ctrlProps/ctrlProp379.xml><?xml version="1.0" encoding="utf-8"?>
<formControlPr xmlns="http://schemas.microsoft.com/office/spreadsheetml/2009/9/main" objectType="CheckBox" fmlaLink="$R$14" lockText="1" noThreeD="1"/>
</file>

<file path=xl/ctrlProps/ctrlProp380.xml><?xml version="1.0" encoding="utf-8"?>
<formControlPr xmlns="http://schemas.microsoft.com/office/spreadsheetml/2009/9/main" objectType="CheckBox" fmlaLink="$R$15" lockText="1" noThreeD="1"/>
</file>

<file path=xl/ctrlProps/ctrlProp381.xml><?xml version="1.0" encoding="utf-8"?>
<formControlPr xmlns="http://schemas.microsoft.com/office/spreadsheetml/2009/9/main" objectType="CheckBox" fmlaLink="$R$16" lockText="1" noThreeD="1"/>
</file>

<file path=xl/ctrlProps/ctrlProp382.xml><?xml version="1.0" encoding="utf-8"?>
<formControlPr xmlns="http://schemas.microsoft.com/office/spreadsheetml/2009/9/main" objectType="CheckBox" fmlaLink="$R$17" lockText="1" noThreeD="1"/>
</file>

<file path=xl/ctrlProps/ctrlProp383.xml><?xml version="1.0" encoding="utf-8"?>
<formControlPr xmlns="http://schemas.microsoft.com/office/spreadsheetml/2009/9/main" objectType="CheckBox" fmlaLink="$R$18" lockText="1" noThreeD="1"/>
</file>

<file path=xl/ctrlProps/ctrlProp384.xml><?xml version="1.0" encoding="utf-8"?>
<formControlPr xmlns="http://schemas.microsoft.com/office/spreadsheetml/2009/9/main" objectType="CheckBox" fmlaLink="$R$19" lockText="1" noThreeD="1"/>
</file>

<file path=xl/ctrlProps/ctrlProp385.xml><?xml version="1.0" encoding="utf-8"?>
<formControlPr xmlns="http://schemas.microsoft.com/office/spreadsheetml/2009/9/main" objectType="CheckBox" fmlaLink="$U$5" lockText="1" noThreeD="1"/>
</file>

<file path=xl/ctrlProps/ctrlProp386.xml><?xml version="1.0" encoding="utf-8"?>
<formControlPr xmlns="http://schemas.microsoft.com/office/spreadsheetml/2009/9/main" objectType="CheckBox" fmlaLink="$U$6" lockText="1" noThreeD="1"/>
</file>

<file path=xl/ctrlProps/ctrlProp387.xml><?xml version="1.0" encoding="utf-8"?>
<formControlPr xmlns="http://schemas.microsoft.com/office/spreadsheetml/2009/9/main" objectType="CheckBox" checked="Checked" fmlaLink="$U$7" lockText="1" noThreeD="1"/>
</file>

<file path=xl/ctrlProps/ctrlProp388.xml><?xml version="1.0" encoding="utf-8"?>
<formControlPr xmlns="http://schemas.microsoft.com/office/spreadsheetml/2009/9/main" objectType="CheckBox" checked="Checked" fmlaLink="$U$8" lockText="1" noThreeD="1"/>
</file>

<file path=xl/ctrlProps/ctrlProp389.xml><?xml version="1.0" encoding="utf-8"?>
<formControlPr xmlns="http://schemas.microsoft.com/office/spreadsheetml/2009/9/main" objectType="CheckBox" fmlaLink="$U$9" lockText="1" noThreeD="1"/>
</file>

<file path=xl/ctrlProps/ctrlProp390.xml><?xml version="1.0" encoding="utf-8"?>
<formControlPr xmlns="http://schemas.microsoft.com/office/spreadsheetml/2009/9/main" objectType="CheckBox" fmlaLink="$U$10" lockText="1" noThreeD="1"/>
</file>

<file path=xl/ctrlProps/ctrlProp391.xml><?xml version="1.0" encoding="utf-8"?>
<formControlPr xmlns="http://schemas.microsoft.com/office/spreadsheetml/2009/9/main" objectType="CheckBox" fmlaLink="$U$11" lockText="1" noThreeD="1"/>
</file>

<file path=xl/ctrlProps/ctrlProp392.xml><?xml version="1.0" encoding="utf-8"?>
<formControlPr xmlns="http://schemas.microsoft.com/office/spreadsheetml/2009/9/main" objectType="CheckBox" fmlaLink="$U$12" lockText="1" noThreeD="1"/>
</file>

<file path=xl/ctrlProps/ctrlProp393.xml><?xml version="1.0" encoding="utf-8"?>
<formControlPr xmlns="http://schemas.microsoft.com/office/spreadsheetml/2009/9/main" objectType="CheckBox" fmlaLink="$U$13" lockText="1" noThreeD="1"/>
</file>

<file path=xl/ctrlProps/ctrlProp394.xml><?xml version="1.0" encoding="utf-8"?>
<formControlPr xmlns="http://schemas.microsoft.com/office/spreadsheetml/2009/9/main" objectType="CheckBox" fmlaLink="$U$14" lockText="1" noThreeD="1"/>
</file>

<file path=xl/ctrlProps/ctrlProp395.xml><?xml version="1.0" encoding="utf-8"?>
<formControlPr xmlns="http://schemas.microsoft.com/office/spreadsheetml/2009/9/main" objectType="CheckBox" fmlaLink="$U$15" lockText="1" noThreeD="1"/>
</file>

<file path=xl/ctrlProps/ctrlProp396.xml><?xml version="1.0" encoding="utf-8"?>
<formControlPr xmlns="http://schemas.microsoft.com/office/spreadsheetml/2009/9/main" objectType="CheckBox" fmlaLink="$U$16" lockText="1" noThreeD="1"/>
</file>

<file path=xl/ctrlProps/ctrlProp397.xml><?xml version="1.0" encoding="utf-8"?>
<formControlPr xmlns="http://schemas.microsoft.com/office/spreadsheetml/2009/9/main" objectType="CheckBox" fmlaLink="$U$17" lockText="1" noThreeD="1"/>
</file>

<file path=xl/ctrlProps/ctrlProp398.xml><?xml version="1.0" encoding="utf-8"?>
<formControlPr xmlns="http://schemas.microsoft.com/office/spreadsheetml/2009/9/main" objectType="CheckBox" fmlaLink="$U$18" lockText="1" noThreeD="1"/>
</file>

<file path=xl/ctrlProps/ctrlProp399.xml><?xml version="1.0" encoding="utf-8"?>
<formControlPr xmlns="http://schemas.microsoft.com/office/spreadsheetml/2009/9/main" objectType="CheckBox" fmlaLink="$U$19" lockText="1" noThreeD="1"/>
</file>

<file path=xl/ctrlProps/ctrlProp400.xml><?xml version="1.0" encoding="utf-8"?>
<formControlPr xmlns="http://schemas.microsoft.com/office/spreadsheetml/2009/9/main" objectType="CheckBox" fmlaLink="$AH$5" lockText="1" noThreeD="1"/>
</file>

<file path=xl/ctrlProps/ctrlProp401.xml><?xml version="1.0" encoding="utf-8"?>
<formControlPr xmlns="http://schemas.microsoft.com/office/spreadsheetml/2009/9/main" objectType="CheckBox" fmlaLink="$AH$6" lockText="1" noThreeD="1"/>
</file>

<file path=xl/ctrlProps/ctrlProp402.xml><?xml version="1.0" encoding="utf-8"?>
<formControlPr xmlns="http://schemas.microsoft.com/office/spreadsheetml/2009/9/main" objectType="CheckBox" fmlaLink="$AH$7" lockText="1" noThreeD="1"/>
</file>

<file path=xl/ctrlProps/ctrlProp403.xml><?xml version="1.0" encoding="utf-8"?>
<formControlPr xmlns="http://schemas.microsoft.com/office/spreadsheetml/2009/9/main" objectType="CheckBox" fmlaLink="$AH$8" lockText="1" noThreeD="1"/>
</file>

<file path=xl/ctrlProps/ctrlProp404.xml><?xml version="1.0" encoding="utf-8"?>
<formControlPr xmlns="http://schemas.microsoft.com/office/spreadsheetml/2009/9/main" objectType="CheckBox" fmlaLink="$AH$9" lockText="1" noThreeD="1"/>
</file>

<file path=xl/ctrlProps/ctrlProp405.xml><?xml version="1.0" encoding="utf-8"?>
<formControlPr xmlns="http://schemas.microsoft.com/office/spreadsheetml/2009/9/main" objectType="CheckBox" fmlaLink="$AH$10" lockText="1" noThreeD="1"/>
</file>

<file path=xl/ctrlProps/ctrlProp406.xml><?xml version="1.0" encoding="utf-8"?>
<formControlPr xmlns="http://schemas.microsoft.com/office/spreadsheetml/2009/9/main" objectType="CheckBox" fmlaLink="$AH$11" lockText="1" noThreeD="1"/>
</file>

<file path=xl/ctrlProps/ctrlProp407.xml><?xml version="1.0" encoding="utf-8"?>
<formControlPr xmlns="http://schemas.microsoft.com/office/spreadsheetml/2009/9/main" objectType="CheckBox" fmlaLink="$AH$12" lockText="1" noThreeD="1"/>
</file>

<file path=xl/ctrlProps/ctrlProp408.xml><?xml version="1.0" encoding="utf-8"?>
<formControlPr xmlns="http://schemas.microsoft.com/office/spreadsheetml/2009/9/main" objectType="CheckBox" fmlaLink="$AH$13" lockText="1" noThreeD="1"/>
</file>

<file path=xl/ctrlProps/ctrlProp409.xml><?xml version="1.0" encoding="utf-8"?>
<formControlPr xmlns="http://schemas.microsoft.com/office/spreadsheetml/2009/9/main" objectType="CheckBox" fmlaLink="$AH$14" lockText="1" noThreeD="1"/>
</file>

<file path=xl/ctrlProps/ctrlProp410.xml><?xml version="1.0" encoding="utf-8"?>
<formControlPr xmlns="http://schemas.microsoft.com/office/spreadsheetml/2009/9/main" objectType="CheckBox" fmlaLink="$AH$15" lockText="1" noThreeD="1"/>
</file>

<file path=xl/ctrlProps/ctrlProp411.xml><?xml version="1.0" encoding="utf-8"?>
<formControlPr xmlns="http://schemas.microsoft.com/office/spreadsheetml/2009/9/main" objectType="CheckBox" fmlaLink="$AH$16" lockText="1" noThreeD="1"/>
</file>

<file path=xl/ctrlProps/ctrlProp412.xml><?xml version="1.0" encoding="utf-8"?>
<formControlPr xmlns="http://schemas.microsoft.com/office/spreadsheetml/2009/9/main" objectType="CheckBox" fmlaLink="$AH$17" lockText="1" noThreeD="1"/>
</file>

<file path=xl/ctrlProps/ctrlProp413.xml><?xml version="1.0" encoding="utf-8"?>
<formControlPr xmlns="http://schemas.microsoft.com/office/spreadsheetml/2009/9/main" objectType="CheckBox" fmlaLink="$AH$18" lockText="1" noThreeD="1"/>
</file>

<file path=xl/ctrlProps/ctrlProp414.xml><?xml version="1.0" encoding="utf-8"?>
<formControlPr xmlns="http://schemas.microsoft.com/office/spreadsheetml/2009/9/main" objectType="CheckBox" fmlaLink="$AK$5" lockText="1" noThreeD="1"/>
</file>

<file path=xl/ctrlProps/ctrlProp415.xml><?xml version="1.0" encoding="utf-8"?>
<formControlPr xmlns="http://schemas.microsoft.com/office/spreadsheetml/2009/9/main" objectType="CheckBox" fmlaLink="$AK$6" lockText="1" noThreeD="1"/>
</file>

<file path=xl/ctrlProps/ctrlProp416.xml><?xml version="1.0" encoding="utf-8"?>
<formControlPr xmlns="http://schemas.microsoft.com/office/spreadsheetml/2009/9/main" objectType="CheckBox" fmlaLink="$AK$7" lockText="1" noThreeD="1"/>
</file>

<file path=xl/ctrlProps/ctrlProp417.xml><?xml version="1.0" encoding="utf-8"?>
<formControlPr xmlns="http://schemas.microsoft.com/office/spreadsheetml/2009/9/main" objectType="CheckBox" fmlaLink="$AK$8" lockText="1" noThreeD="1"/>
</file>

<file path=xl/ctrlProps/ctrlProp418.xml><?xml version="1.0" encoding="utf-8"?>
<formControlPr xmlns="http://schemas.microsoft.com/office/spreadsheetml/2009/9/main" objectType="CheckBox" fmlaLink="$AK$9" lockText="1" noThreeD="1"/>
</file>

<file path=xl/ctrlProps/ctrlProp419.xml><?xml version="1.0" encoding="utf-8"?>
<formControlPr xmlns="http://schemas.microsoft.com/office/spreadsheetml/2009/9/main" objectType="CheckBox" fmlaLink="$AK$10" lockText="1" noThreeD="1"/>
</file>

<file path=xl/ctrlProps/ctrlProp420.xml><?xml version="1.0" encoding="utf-8"?>
<formControlPr xmlns="http://schemas.microsoft.com/office/spreadsheetml/2009/9/main" objectType="CheckBox" fmlaLink="$AK$11" lockText="1" noThreeD="1"/>
</file>

<file path=xl/ctrlProps/ctrlProp421.xml><?xml version="1.0" encoding="utf-8"?>
<formControlPr xmlns="http://schemas.microsoft.com/office/spreadsheetml/2009/9/main" objectType="CheckBox" fmlaLink="$AK$12" lockText="1" noThreeD="1"/>
</file>

<file path=xl/ctrlProps/ctrlProp422.xml><?xml version="1.0" encoding="utf-8"?>
<formControlPr xmlns="http://schemas.microsoft.com/office/spreadsheetml/2009/9/main" objectType="CheckBox" fmlaLink="$AK$13" lockText="1" noThreeD="1"/>
</file>

<file path=xl/ctrlProps/ctrlProp423.xml><?xml version="1.0" encoding="utf-8"?>
<formControlPr xmlns="http://schemas.microsoft.com/office/spreadsheetml/2009/9/main" objectType="CheckBox" fmlaLink="$AK$14" lockText="1" noThreeD="1"/>
</file>

<file path=xl/ctrlProps/ctrlProp424.xml><?xml version="1.0" encoding="utf-8"?>
<formControlPr xmlns="http://schemas.microsoft.com/office/spreadsheetml/2009/9/main" objectType="CheckBox" fmlaLink="$AK$15" lockText="1" noThreeD="1"/>
</file>

<file path=xl/ctrlProps/ctrlProp425.xml><?xml version="1.0" encoding="utf-8"?>
<formControlPr xmlns="http://schemas.microsoft.com/office/spreadsheetml/2009/9/main" objectType="CheckBox" fmlaLink="$AK$16" lockText="1" noThreeD="1"/>
</file>

<file path=xl/ctrlProps/ctrlProp426.xml><?xml version="1.0" encoding="utf-8"?>
<formControlPr xmlns="http://schemas.microsoft.com/office/spreadsheetml/2009/9/main" objectType="CheckBox" fmlaLink="$AK$17" lockText="1" noThreeD="1"/>
</file>

<file path=xl/ctrlProps/ctrlProp427.xml><?xml version="1.0" encoding="utf-8"?>
<formControlPr xmlns="http://schemas.microsoft.com/office/spreadsheetml/2009/9/main" objectType="CheckBox" fmlaLink="$AK$18" lockText="1" noThreeD="1"/>
</file>

<file path=xl/ctrlProps/ctrlProp428.xml><?xml version="1.0" encoding="utf-8"?>
<formControlPr xmlns="http://schemas.microsoft.com/office/spreadsheetml/2009/9/main" objectType="CheckBox" fmlaLink="$AN$5" lockText="1" noThreeD="1"/>
</file>

<file path=xl/ctrlProps/ctrlProp429.xml><?xml version="1.0" encoding="utf-8"?>
<formControlPr xmlns="http://schemas.microsoft.com/office/spreadsheetml/2009/9/main" objectType="CheckBox" fmlaLink="$AN$6" lockText="1" noThreeD="1"/>
</file>

<file path=xl/ctrlProps/ctrlProp430.xml><?xml version="1.0" encoding="utf-8"?>
<formControlPr xmlns="http://schemas.microsoft.com/office/spreadsheetml/2009/9/main" objectType="CheckBox" fmlaLink="$AN$7" lockText="1" noThreeD="1"/>
</file>

<file path=xl/ctrlProps/ctrlProp431.xml><?xml version="1.0" encoding="utf-8"?>
<formControlPr xmlns="http://schemas.microsoft.com/office/spreadsheetml/2009/9/main" objectType="CheckBox" fmlaLink="$AN$8" lockText="1" noThreeD="1"/>
</file>

<file path=xl/ctrlProps/ctrlProp432.xml><?xml version="1.0" encoding="utf-8"?>
<formControlPr xmlns="http://schemas.microsoft.com/office/spreadsheetml/2009/9/main" objectType="CheckBox" fmlaLink="$AN$9" lockText="1" noThreeD="1"/>
</file>

<file path=xl/ctrlProps/ctrlProp433.xml><?xml version="1.0" encoding="utf-8"?>
<formControlPr xmlns="http://schemas.microsoft.com/office/spreadsheetml/2009/9/main" objectType="CheckBox" fmlaLink="$AN$10" lockText="1" noThreeD="1"/>
</file>

<file path=xl/ctrlProps/ctrlProp434.xml><?xml version="1.0" encoding="utf-8"?>
<formControlPr xmlns="http://schemas.microsoft.com/office/spreadsheetml/2009/9/main" objectType="CheckBox" fmlaLink="$AN$11" lockText="1" noThreeD="1"/>
</file>

<file path=xl/ctrlProps/ctrlProp435.xml><?xml version="1.0" encoding="utf-8"?>
<formControlPr xmlns="http://schemas.microsoft.com/office/spreadsheetml/2009/9/main" objectType="CheckBox" fmlaLink="$AN$12" lockText="1" noThreeD="1"/>
</file>

<file path=xl/ctrlProps/ctrlProp436.xml><?xml version="1.0" encoding="utf-8"?>
<formControlPr xmlns="http://schemas.microsoft.com/office/spreadsheetml/2009/9/main" objectType="CheckBox" fmlaLink="$AN$13" lockText="1" noThreeD="1"/>
</file>

<file path=xl/ctrlProps/ctrlProp437.xml><?xml version="1.0" encoding="utf-8"?>
<formControlPr xmlns="http://schemas.microsoft.com/office/spreadsheetml/2009/9/main" objectType="CheckBox" checked="Checked" fmlaLink="$AN$14" lockText="1" noThreeD="1"/>
</file>

<file path=xl/ctrlProps/ctrlProp438.xml><?xml version="1.0" encoding="utf-8"?>
<formControlPr xmlns="http://schemas.microsoft.com/office/spreadsheetml/2009/9/main" objectType="CheckBox" fmlaLink="$AN$15" lockText="1" noThreeD="1"/>
</file>

<file path=xl/ctrlProps/ctrlProp439.xml><?xml version="1.0" encoding="utf-8"?>
<formControlPr xmlns="http://schemas.microsoft.com/office/spreadsheetml/2009/9/main" objectType="CheckBox" fmlaLink="$AN$16" lockText="1" noThreeD="1"/>
</file>

<file path=xl/ctrlProps/ctrlProp440.xml><?xml version="1.0" encoding="utf-8"?>
<formControlPr xmlns="http://schemas.microsoft.com/office/spreadsheetml/2009/9/main" objectType="CheckBox" fmlaLink="$AN$17" lockText="1" noThreeD="1"/>
</file>

<file path=xl/ctrlProps/ctrlProp441.xml><?xml version="1.0" encoding="utf-8"?>
<formControlPr xmlns="http://schemas.microsoft.com/office/spreadsheetml/2009/9/main" objectType="CheckBox" fmlaLink="$AN$18" lockText="1" noThreeD="1"/>
</file>

<file path=xl/ctrlProps/ctrlProp442.xml><?xml version="1.0" encoding="utf-8"?>
<formControlPr xmlns="http://schemas.microsoft.com/office/spreadsheetml/2009/9/main" objectType="CheckBox" fmlaLink="$D$10" lockText="1" noThreeD="1"/>
</file>

<file path=xl/ctrlProps/ctrlProp443.xml><?xml version="1.0" encoding="utf-8"?>
<formControlPr xmlns="http://schemas.microsoft.com/office/spreadsheetml/2009/9/main" objectType="CheckBox" checked="Checked" fmlaLink="$D$11" lockText="1" noThreeD="1"/>
</file>

<file path=xl/ctrlProps/ctrlProp444.xml><?xml version="1.0" encoding="utf-8"?>
<formControlPr xmlns="http://schemas.microsoft.com/office/spreadsheetml/2009/9/main" objectType="CheckBox" checked="Checked" fmlaLink="$D$12" lockText="1" noThreeD="1"/>
</file>

<file path=xl/ctrlProps/ctrlProp445.xml><?xml version="1.0" encoding="utf-8"?>
<formControlPr xmlns="http://schemas.microsoft.com/office/spreadsheetml/2009/9/main" objectType="CheckBox" checked="Checked" fmlaLink="$D$13" lockText="1" noThreeD="1"/>
</file>

<file path=xl/ctrlProps/ctrlProp446.xml><?xml version="1.0" encoding="utf-8"?>
<formControlPr xmlns="http://schemas.microsoft.com/office/spreadsheetml/2009/9/main" objectType="CheckBox" checked="Checked" fmlaLink="$D$14" lockText="1" noThreeD="1"/>
</file>

<file path=xl/ctrlProps/ctrlProp447.xml><?xml version="1.0" encoding="utf-8"?>
<formControlPr xmlns="http://schemas.microsoft.com/office/spreadsheetml/2009/9/main" objectType="CheckBox" fmlaLink="$D$15" lockText="1" noThreeD="1"/>
</file>

<file path=xl/ctrlProps/ctrlProp448.xml><?xml version="1.0" encoding="utf-8"?>
<formControlPr xmlns="http://schemas.microsoft.com/office/spreadsheetml/2009/9/main" objectType="CheckBox" checked="Checked" fmlaLink="$D$16" lockText="1" noThreeD="1"/>
</file>

<file path=xl/ctrlProps/ctrlProp449.xml><?xml version="1.0" encoding="utf-8"?>
<formControlPr xmlns="http://schemas.microsoft.com/office/spreadsheetml/2009/9/main" objectType="CheckBox" checked="Checked" fmlaLink="$D$17" lockText="1" noThreeD="1"/>
</file>

<file path=xl/ctrlProps/ctrlProp450.xml><?xml version="1.0" encoding="utf-8"?>
<formControlPr xmlns="http://schemas.microsoft.com/office/spreadsheetml/2009/9/main" objectType="CheckBox" checked="Checked" fmlaLink="$D$18" lockText="1" noThreeD="1"/>
</file>

<file path=xl/ctrlProps/ctrlProp451.xml><?xml version="1.0" encoding="utf-8"?>
<formControlPr xmlns="http://schemas.microsoft.com/office/spreadsheetml/2009/9/main" objectType="CheckBox" checked="Checked" fmlaLink="$D$19" lockText="1" noThreeD="1"/>
</file>

<file path=xl/ctrlProps/ctrlProp452.xml><?xml version="1.0" encoding="utf-8"?>
<formControlPr xmlns="http://schemas.microsoft.com/office/spreadsheetml/2009/9/main" objectType="CheckBox" checked="Checked" fmlaLink="$D$20" lockText="1" noThreeD="1"/>
</file>

<file path=xl/ctrlProps/ctrlProp453.xml><?xml version="1.0" encoding="utf-8"?>
<formControlPr xmlns="http://schemas.microsoft.com/office/spreadsheetml/2009/9/main" objectType="CheckBox" checked="Checked" fmlaLink="$D$22" lockText="1" noThreeD="1"/>
</file>

<file path=xl/ctrlProps/ctrlProp454.xml><?xml version="1.0" encoding="utf-8"?>
<formControlPr xmlns="http://schemas.microsoft.com/office/spreadsheetml/2009/9/main" objectType="CheckBox" checked="Checked" fmlaLink="$D$23" lockText="1" noThreeD="1"/>
</file>

<file path=xl/ctrlProps/ctrlProp455.xml><?xml version="1.0" encoding="utf-8"?>
<formControlPr xmlns="http://schemas.microsoft.com/office/spreadsheetml/2009/9/main" objectType="CheckBox" checked="Checked" fmlaLink="$D$24" lockText="1" noThreeD="1"/>
</file>

<file path=xl/ctrlProps/ctrlProp456.xml><?xml version="1.0" encoding="utf-8"?>
<formControlPr xmlns="http://schemas.microsoft.com/office/spreadsheetml/2009/9/main" objectType="CheckBox" checked="Checked" fmlaLink="$D$25" lockText="1" noThreeD="1"/>
</file>

<file path=xl/ctrlProps/ctrlProp457.xml><?xml version="1.0" encoding="utf-8"?>
<formControlPr xmlns="http://schemas.microsoft.com/office/spreadsheetml/2009/9/main" objectType="CheckBox" checked="Checked" fmlaLink="$D$26" lockText="1" noThreeD="1"/>
</file>

<file path=xl/ctrlProps/ctrlProp458.xml><?xml version="1.0" encoding="utf-8"?>
<formControlPr xmlns="http://schemas.microsoft.com/office/spreadsheetml/2009/9/main" objectType="CheckBox" fmlaLink="$D$4" lockText="1" noThreeD="1"/>
</file>

<file path=xl/ctrlProps/ctrlProp459.xml><?xml version="1.0" encoding="utf-8"?>
<formControlPr xmlns="http://schemas.microsoft.com/office/spreadsheetml/2009/9/main" objectType="CheckBox" checked="Checked" fmlaLink="$G$6" lockText="1" noThreeD="1"/>
</file>

<file path=xl/ctrlProps/ctrlProp460.xml><?xml version="1.0" encoding="utf-8"?>
<formControlPr xmlns="http://schemas.microsoft.com/office/spreadsheetml/2009/9/main" objectType="CheckBox" checked="Checked" fmlaLink="$N$6" lockText="1" noThreeD="1"/>
</file>

<file path=xl/ctrlProps/ctrlProp461.xml><?xml version="1.0" encoding="utf-8"?>
<formControlPr xmlns="http://schemas.microsoft.com/office/spreadsheetml/2009/9/main" objectType="CheckBox" checked="Checked" fmlaLink="$S$6" lockText="1" noThreeD="1"/>
</file>

<file path=xl/ctrlProps/ctrlProp462.xml><?xml version="1.0" encoding="utf-8"?>
<formControlPr xmlns="http://schemas.microsoft.com/office/spreadsheetml/2009/9/main" objectType="CheckBox" checked="Checked" fmlaLink="$W$6" lockText="1" noThreeD="1"/>
</file>

<file path=xl/ctrlProps/ctrlProp463.xml><?xml version="1.0" encoding="utf-8"?>
<formControlPr xmlns="http://schemas.microsoft.com/office/spreadsheetml/2009/9/main" objectType="CheckBox" checked="Checked" fmlaLink="$D$7" lockText="1" noThreeD="1"/>
</file>

<file path=xl/ctrlProps/ctrlProp464.xml><?xml version="1.0" encoding="utf-8"?>
<formControlPr xmlns="http://schemas.microsoft.com/office/spreadsheetml/2009/9/main" objectType="CheckBox" checked="Checked" fmlaLink="$D$8" lockText="1" noThreeD="1"/>
</file>

<file path=xl/ctrlProps/ctrlProp465.xml><?xml version="1.0" encoding="utf-8"?>
<formControlPr xmlns="http://schemas.microsoft.com/office/spreadsheetml/2009/9/main" objectType="CheckBox" checked="Checked" fmlaLink="$D$9" lockText="1" noThreeD="1"/>
</file>

<file path=xl/ctrlProps/ctrlProp466.xml><?xml version="1.0" encoding="utf-8"?>
<formControlPr xmlns="http://schemas.microsoft.com/office/spreadsheetml/2009/9/main" objectType="CheckBox" checked="Checked" fmlaLink="$D$10" lockText="1" noThreeD="1"/>
</file>

<file path=xl/ctrlProps/ctrlProp467.xml><?xml version="1.0" encoding="utf-8"?>
<formControlPr xmlns="http://schemas.microsoft.com/office/spreadsheetml/2009/9/main" objectType="CheckBox" checked="Checked" fmlaLink="$D$22" lockText="1" noThreeD="1"/>
</file>

<file path=xl/ctrlProps/ctrlProp468.xml><?xml version="1.0" encoding="utf-8"?>
<formControlPr xmlns="http://schemas.microsoft.com/office/spreadsheetml/2009/9/main" objectType="CheckBox" checked="Checked" fmlaLink="$D$23" lockText="1" noThreeD="1"/>
</file>

<file path=xl/ctrlProps/ctrlProp469.xml><?xml version="1.0" encoding="utf-8"?>
<formControlPr xmlns="http://schemas.microsoft.com/office/spreadsheetml/2009/9/main" objectType="CheckBox" checked="Checked" fmlaLink="$D$44" lockText="1" noThreeD="1"/>
</file>

<file path=xl/ctrlProps/ctrlProp470.xml><?xml version="1.0" encoding="utf-8"?>
<formControlPr xmlns="http://schemas.microsoft.com/office/spreadsheetml/2009/9/main" objectType="CheckBox" checked="Checked" fmlaLink="$D$4" lockText="1" noThreeD="1"/>
</file>

<file path=xl/ctrlProps/ctrlProp471.xml><?xml version="1.0" encoding="utf-8"?>
<formControlPr xmlns="http://schemas.microsoft.com/office/spreadsheetml/2009/9/main" objectType="CheckBox" checked="Checked" fmlaLink="$D$6" lockText="1" noThreeD="1"/>
</file>

<file path=xl/ctrlProps/ctrlProp472.xml><?xml version="1.0" encoding="utf-8"?>
<formControlPr xmlns="http://schemas.microsoft.com/office/spreadsheetml/2009/9/main" objectType="CheckBox" fmlaLink="$G$22" lockText="1" noThreeD="1"/>
</file>

<file path=xl/ctrlProps/ctrlProp473.xml><?xml version="1.0" encoding="utf-8"?>
<formControlPr xmlns="http://schemas.microsoft.com/office/spreadsheetml/2009/9/main" objectType="CheckBox" fmlaLink="$G$23" lockText="1" noThreeD="1"/>
</file>

<file path=xl/ctrlProps/ctrlProp474.xml><?xml version="1.0" encoding="utf-8"?>
<formControlPr xmlns="http://schemas.microsoft.com/office/spreadsheetml/2009/9/main" objectType="CheckBox" checked="Checked" fmlaLink="$G$24" lockText="1" noThreeD="1"/>
</file>

<file path=xl/ctrlProps/ctrlProp475.xml><?xml version="1.0" encoding="utf-8"?>
<formControlPr xmlns="http://schemas.microsoft.com/office/spreadsheetml/2009/9/main" objectType="CheckBox" fmlaLink="$G$26" lockText="1" noThreeD="1"/>
</file>

<file path=xl/ctrlProps/ctrlProp476.xml><?xml version="1.0" encoding="utf-8"?>
<formControlPr xmlns="http://schemas.microsoft.com/office/spreadsheetml/2009/9/main" objectType="CheckBox" fmlaLink="$G$27" lockText="1" noThreeD="1"/>
</file>

<file path=xl/ctrlProps/ctrlProp477.xml><?xml version="1.0" encoding="utf-8"?>
<formControlPr xmlns="http://schemas.microsoft.com/office/spreadsheetml/2009/9/main" objectType="CheckBox" fmlaLink="$G$28" lockText="1" noThreeD="1"/>
</file>

<file path=xl/ctrlProps/ctrlProp478.xml><?xml version="1.0" encoding="utf-8"?>
<formControlPr xmlns="http://schemas.microsoft.com/office/spreadsheetml/2009/9/main" objectType="CheckBox" checked="Checked" fmlaLink="$D$29" lockText="1" noThreeD="1"/>
</file>

<file path=xl/ctrlProps/ctrlProp479.xml><?xml version="1.0" encoding="utf-8"?>
<formControlPr xmlns="http://schemas.microsoft.com/office/spreadsheetml/2009/9/main" objectType="CheckBox" checked="Checked" fmlaLink="$D$30" lockText="1" noThreeD="1"/>
</file>

<file path=xl/ctrlProps/ctrlProp480.xml><?xml version="1.0" encoding="utf-8"?>
<formControlPr xmlns="http://schemas.microsoft.com/office/spreadsheetml/2009/9/main" objectType="CheckBox" checked="Checked" fmlaLink="$D$31" lockText="1" noThreeD="1"/>
</file>

<file path=xl/ctrlProps/ctrlProp481.xml><?xml version="1.0" encoding="utf-8"?>
<formControlPr xmlns="http://schemas.microsoft.com/office/spreadsheetml/2009/9/main" objectType="CheckBox" fmlaLink="$S$22" lockText="1" noThreeD="1"/>
</file>

<file path=xl/ctrlProps/ctrlProp482.xml><?xml version="1.0" encoding="utf-8"?>
<formControlPr xmlns="http://schemas.microsoft.com/office/spreadsheetml/2009/9/main" objectType="CheckBox" fmlaLink="$S$23" lockText="1" noThreeD="1"/>
</file>

<file path=xl/ctrlProps/ctrlProp483.xml><?xml version="1.0" encoding="utf-8"?>
<formControlPr xmlns="http://schemas.microsoft.com/office/spreadsheetml/2009/9/main" objectType="CheckBox" fmlaLink="$S$26" lockText="1" noThreeD="1"/>
</file>

<file path=xl/ctrlProps/ctrlProp484.xml><?xml version="1.0" encoding="utf-8"?>
<formControlPr xmlns="http://schemas.microsoft.com/office/spreadsheetml/2009/9/main" objectType="CheckBox" fmlaLink="$S$27" lockText="1" noThreeD="1"/>
</file>

<file path=xl/ctrlProps/ctrlProp485.xml><?xml version="1.0" encoding="utf-8"?>
<formControlPr xmlns="http://schemas.microsoft.com/office/spreadsheetml/2009/9/main" objectType="CheckBox" fmlaLink="$M$36" lockText="1" noThreeD="1"/>
</file>

<file path=xl/ctrlProps/ctrlProp486.xml><?xml version="1.0" encoding="utf-8"?>
<formControlPr xmlns="http://schemas.microsoft.com/office/spreadsheetml/2009/9/main" objectType="CheckBox" fmlaLink="$P$36" lockText="1" noThreeD="1"/>
</file>

<file path=xl/ctrlProps/ctrlProp487.xml><?xml version="1.0" encoding="utf-8"?>
<formControlPr xmlns="http://schemas.microsoft.com/office/spreadsheetml/2009/9/main" objectType="CheckBox" fmlaLink="$S$36" lockText="1" noThreeD="1"/>
</file>

<file path=xl/ctrlProps/ctrlProp488.xml><?xml version="1.0" encoding="utf-8"?>
<formControlPr xmlns="http://schemas.microsoft.com/office/spreadsheetml/2009/9/main" objectType="CheckBox" fmlaLink="$S$38" lockText="1" noThreeD="1"/>
</file>

<file path=xl/ctrlProps/ctrlProp489.xml><?xml version="1.0" encoding="utf-8"?>
<formControlPr xmlns="http://schemas.microsoft.com/office/spreadsheetml/2009/9/main" objectType="CheckBox" fmlaLink="$P$38" lockText="1" noThreeD="1"/>
</file>

<file path=xl/ctrlProps/ctrlProp490.xml><?xml version="1.0" encoding="utf-8"?>
<formControlPr xmlns="http://schemas.microsoft.com/office/spreadsheetml/2009/9/main" objectType="CheckBox" fmlaLink="$M$38" lockText="1" noThreeD="1"/>
</file>

<file path=xl/ctrlProps/ctrlProp491.xml><?xml version="1.0" encoding="utf-8"?>
<formControlPr xmlns="http://schemas.microsoft.com/office/spreadsheetml/2009/9/main" objectType="CheckBox" fmlaLink="$V$36" lockText="1" noThreeD="1"/>
</file>

<file path=xl/ctrlProps/ctrlProp492.xml><?xml version="1.0" encoding="utf-8"?>
<formControlPr xmlns="http://schemas.microsoft.com/office/spreadsheetml/2009/9/main" objectType="CheckBox" fmlaLink="$V$38" lockText="1" noThreeD="1"/>
</file>

<file path=xl/ctrlProps/ctrlProp493.xml><?xml version="1.0" encoding="utf-8"?>
<formControlPr xmlns="http://schemas.microsoft.com/office/spreadsheetml/2009/9/main" objectType="CheckBox" fmlaLink="$Y$36" lockText="1" noThreeD="1"/>
</file>

<file path=xl/ctrlProps/ctrlProp494.xml><?xml version="1.0" encoding="utf-8"?>
<formControlPr xmlns="http://schemas.microsoft.com/office/spreadsheetml/2009/9/main" objectType="CheckBox" fmlaLink="$Y$38" lockText="1" noThreeD="1"/>
</file>

<file path=xl/ctrlProps/ctrlProp495.xml><?xml version="1.0" encoding="utf-8"?>
<formControlPr xmlns="http://schemas.microsoft.com/office/spreadsheetml/2009/9/main" objectType="CheckBox" fmlaLink="$AB$36" lockText="1" noThreeD="1"/>
</file>

<file path=xl/ctrlProps/ctrlProp496.xml><?xml version="1.0" encoding="utf-8"?>
<formControlPr xmlns="http://schemas.microsoft.com/office/spreadsheetml/2009/9/main" objectType="CheckBox" fmlaLink="$AB$38" lockText="1" noThreeD="1"/>
</file>

<file path=xl/ctrlProps/ctrlProp497.xml><?xml version="1.0" encoding="utf-8"?>
<formControlPr xmlns="http://schemas.microsoft.com/office/spreadsheetml/2009/9/main" objectType="CheckBox" fmlaLink="$D$4" lockText="1" noThreeD="1"/>
</file>

<file path=xl/ctrlProps/ctrlProp498.xml><?xml version="1.0" encoding="utf-8"?>
<formControlPr xmlns="http://schemas.microsoft.com/office/spreadsheetml/2009/9/main" objectType="CheckBox" fmlaLink="$D$7" lockText="1" noThreeD="1"/>
</file>

<file path=xl/ctrlProps/ctrlProp499.xml><?xml version="1.0" encoding="utf-8"?>
<formControlPr xmlns="http://schemas.microsoft.com/office/spreadsheetml/2009/9/main" objectType="CheckBox" fmlaLink="$D$8" lockText="1" noThreeD="1"/>
</file>

<file path=xl/ctrlProps/ctrlProp500.xml><?xml version="1.0" encoding="utf-8"?>
<formControlPr xmlns="http://schemas.microsoft.com/office/spreadsheetml/2009/9/main" objectType="CheckBox" fmlaLink="$D$10" lockText="1" noThreeD="1"/>
</file>

<file path=xl/ctrlProps/ctrlProp501.xml><?xml version="1.0" encoding="utf-8"?>
<formControlPr xmlns="http://schemas.microsoft.com/office/spreadsheetml/2009/9/main" objectType="CheckBox" fmlaLink="$D$12" lockText="1" noThreeD="1"/>
</file>

<file path=xl/ctrlProps/ctrlProp502.xml><?xml version="1.0" encoding="utf-8"?>
<formControlPr xmlns="http://schemas.microsoft.com/office/spreadsheetml/2009/9/main" objectType="CheckBox" fmlaLink="$D$14" lockText="1" noThreeD="1"/>
</file>

<file path=xl/ctrlProps/ctrlProp503.xml><?xml version="1.0" encoding="utf-8"?>
<formControlPr xmlns="http://schemas.microsoft.com/office/spreadsheetml/2009/9/main" objectType="CheckBox" fmlaLink="$D$18" lockText="1" noThreeD="1"/>
</file>

<file path=xl/ctrlProps/ctrlProp504.xml><?xml version="1.0" encoding="utf-8"?>
<formControlPr xmlns="http://schemas.microsoft.com/office/spreadsheetml/2009/9/main" objectType="CheckBox" fmlaLink="$D$19" lockText="1" noThreeD="1"/>
</file>

<file path=xl/ctrlProps/ctrlProp505.xml><?xml version="1.0" encoding="utf-8"?>
<formControlPr xmlns="http://schemas.microsoft.com/office/spreadsheetml/2009/9/main" objectType="CheckBox" checked="Checked" fmlaLink="$D$20" lockText="1" noThreeD="1"/>
</file>

<file path=xl/ctrlProps/ctrlProp506.xml><?xml version="1.0" encoding="utf-8"?>
<formControlPr xmlns="http://schemas.microsoft.com/office/spreadsheetml/2009/9/main" objectType="CheckBox" fmlaLink="$D$21" lockText="1" noThreeD="1"/>
</file>

<file path=xl/ctrlProps/ctrlProp507.xml><?xml version="1.0" encoding="utf-8"?>
<formControlPr xmlns="http://schemas.microsoft.com/office/spreadsheetml/2009/9/main" objectType="CheckBox" fmlaLink="$D$22" lockText="1" noThreeD="1"/>
</file>

<file path=xl/ctrlProps/ctrlProp508.xml><?xml version="1.0" encoding="utf-8"?>
<formControlPr xmlns="http://schemas.microsoft.com/office/spreadsheetml/2009/9/main" objectType="CheckBox" checked="Checked" fmlaLink="$D$26" lockText="1" noThreeD="1"/>
</file>

<file path=xl/ctrlProps/ctrlProp509.xml><?xml version="1.0" encoding="utf-8"?>
<formControlPr xmlns="http://schemas.microsoft.com/office/spreadsheetml/2009/9/main" objectType="CheckBox" checked="Checked" fmlaLink="$D$28" lockText="1" noThreeD="1"/>
</file>

<file path=xl/ctrlProps/ctrlProp510.xml><?xml version="1.0" encoding="utf-8"?>
<formControlPr xmlns="http://schemas.microsoft.com/office/spreadsheetml/2009/9/main" objectType="CheckBox" checked="Checked" fmlaLink="$D$29" lockText="1" noThreeD="1"/>
</file>

<file path=xl/ctrlProps/ctrlProp511.xml><?xml version="1.0" encoding="utf-8"?>
<formControlPr xmlns="http://schemas.microsoft.com/office/spreadsheetml/2009/9/main" objectType="CheckBox" checked="Checked" fmlaLink="$D$31" lockText="1" noThreeD="1"/>
</file>

<file path=xl/ctrlProps/ctrlProp512.xml><?xml version="1.0" encoding="utf-8"?>
<formControlPr xmlns="http://schemas.microsoft.com/office/spreadsheetml/2009/9/main" objectType="CheckBox" checked="Checked" fmlaLink="$D$33" lockText="1" noThreeD="1"/>
</file>

<file path=xl/ctrlProps/ctrlProp513.xml><?xml version="1.0" encoding="utf-8"?>
<formControlPr xmlns="http://schemas.microsoft.com/office/spreadsheetml/2009/9/main" objectType="CheckBox" checked="Checked" fmlaLink="$D$34" lockText="1" noThreeD="1"/>
</file>

<file path=xl/ctrlProps/ctrlProp514.xml><?xml version="1.0" encoding="utf-8"?>
<formControlPr xmlns="http://schemas.microsoft.com/office/spreadsheetml/2009/9/main" objectType="CheckBox" checked="Checked" fmlaLink="$D$36" lockText="1" noThreeD="1"/>
</file>

<file path=xl/ctrlProps/ctrlProp515.xml><?xml version="1.0" encoding="utf-8"?>
<formControlPr xmlns="http://schemas.microsoft.com/office/spreadsheetml/2009/9/main" objectType="CheckBox" checked="Checked" fmlaLink="$D$39" lockText="1" noThreeD="1"/>
</file>

<file path=xl/ctrlProps/ctrlProp516.xml><?xml version="1.0" encoding="utf-8"?>
<formControlPr xmlns="http://schemas.microsoft.com/office/spreadsheetml/2009/9/main" objectType="CheckBox" checked="Checked" fmlaLink="$D$42" lockText="1" noThreeD="1"/>
</file>

<file path=xl/ctrlProps/ctrlProp517.xml><?xml version="1.0" encoding="utf-8"?>
<formControlPr xmlns="http://schemas.microsoft.com/office/spreadsheetml/2009/9/main" objectType="CheckBox" fmlaLink="$D$46" lockText="1" noThreeD="1"/>
</file>

<file path=xl/ctrlProps/ctrlProp518.xml><?xml version="1.0" encoding="utf-8"?>
<formControlPr xmlns="http://schemas.microsoft.com/office/spreadsheetml/2009/9/main" objectType="CheckBox" fmlaLink="$D$48" lockText="1" noThreeD="1"/>
</file>

<file path=xl/ctrlProps/ctrlProp519.xml><?xml version="1.0" encoding="utf-8"?>
<formControlPr xmlns="http://schemas.microsoft.com/office/spreadsheetml/2009/9/main" objectType="CheckBox" fmlaLink="$D$50" lockText="1" noThreeD="1"/>
</file>

<file path=xl/ctrlProps/ctrlProp520.xml><?xml version="1.0" encoding="utf-8"?>
<formControlPr xmlns="http://schemas.microsoft.com/office/spreadsheetml/2009/9/main" objectType="CheckBox" fmlaLink="$D$51" lockText="1" noThreeD="1"/>
</file>

<file path=xl/ctrlProps/ctrlProp521.xml><?xml version="1.0" encoding="utf-8"?>
<formControlPr xmlns="http://schemas.microsoft.com/office/spreadsheetml/2009/9/main" objectType="CheckBox" checked="Checked" fmlaLink="$D$52" lockText="1" noThreeD="1"/>
</file>

<file path=xl/ctrlProps/ctrlProp522.xml><?xml version="1.0" encoding="utf-8"?>
<formControlPr xmlns="http://schemas.microsoft.com/office/spreadsheetml/2009/9/main" objectType="CheckBox" checked="Checked" fmlaLink="$D$53" lockText="1" noThreeD="1"/>
</file>

<file path=xl/ctrlProps/ctrlProp523.xml><?xml version="1.0" encoding="utf-8"?>
<formControlPr xmlns="http://schemas.microsoft.com/office/spreadsheetml/2009/9/main" objectType="CheckBox" checked="Checked" fmlaLink="$D$54" lockText="1" noThreeD="1"/>
</file>

<file path=xl/ctrlProps/ctrlProp524.xml><?xml version="1.0" encoding="utf-8"?>
<formControlPr xmlns="http://schemas.microsoft.com/office/spreadsheetml/2009/9/main" objectType="CheckBox" checked="Checked" fmlaLink="$J$18" lockText="1" noThreeD="1"/>
</file>

<file path=xl/ctrlProps/ctrlProp525.xml><?xml version="1.0" encoding="utf-8"?>
<formControlPr xmlns="http://schemas.microsoft.com/office/spreadsheetml/2009/9/main" objectType="CheckBox" fmlaLink="$J$19" lockText="1" noThreeD="1"/>
</file>

<file path=xl/ctrlProps/ctrlProp526.xml><?xml version="1.0" encoding="utf-8"?>
<formControlPr xmlns="http://schemas.microsoft.com/office/spreadsheetml/2009/9/main" objectType="CheckBox" fmlaLink="$J$20" lockText="1" noThreeD="1"/>
</file>

<file path=xl/ctrlProps/ctrlProp527.xml><?xml version="1.0" encoding="utf-8"?>
<formControlPr xmlns="http://schemas.microsoft.com/office/spreadsheetml/2009/9/main" objectType="CheckBox" fmlaLink="$J$21" lockText="1" noThreeD="1"/>
</file>

<file path=xl/ctrlProps/ctrlProp528.xml><?xml version="1.0" encoding="utf-8"?>
<formControlPr xmlns="http://schemas.microsoft.com/office/spreadsheetml/2009/9/main" objectType="CheckBox" fmlaLink="$J$22" lockText="1" noThreeD="1"/>
</file>

<file path=xl/ctrlProps/ctrlProp529.xml><?xml version="1.0" encoding="utf-8"?>
<formControlPr xmlns="http://schemas.microsoft.com/office/spreadsheetml/2009/9/main" objectType="CheckBox" checked="Checked" fmlaLink="$G$45" lockText="1" noThreeD="1"/>
</file>

<file path=xl/ctrlProps/ctrlProp530.xml><?xml version="1.0" encoding="utf-8"?>
<formControlPr xmlns="http://schemas.microsoft.com/office/spreadsheetml/2009/9/main" objectType="CheckBox" checked="Checked" fmlaLink="$L$45" lockText="1" noThreeD="1"/>
</file>

<file path=xl/ctrlProps/ctrlProp531.xml><?xml version="1.0" encoding="utf-8"?>
<formControlPr xmlns="http://schemas.microsoft.com/office/spreadsheetml/2009/9/main" objectType="CheckBox" checked="Checked" fmlaLink="$R$45" lockText="1" noThreeD="1"/>
</file>

<file path=xl/ctrlProps/ctrlProp532.xml><?xml version="1.0" encoding="utf-8"?>
<formControlPr xmlns="http://schemas.microsoft.com/office/spreadsheetml/2009/9/main" objectType="CheckBox" checked="Checked" fmlaLink="$W$45" lockText="1" noThreeD="1"/>
</file>

<file path=xl/ctrlProps/ctrlProp533.xml><?xml version="1.0" encoding="utf-8"?>
<formControlPr xmlns="http://schemas.microsoft.com/office/spreadsheetml/2009/9/main" objectType="CheckBox" checked="Checked" fmlaLink="$AB$45" lockText="1" noThreeD="1"/>
</file>

<file path=xl/ctrlProps/ctrlProp534.xml><?xml version="1.0" encoding="utf-8"?>
<formControlPr xmlns="http://schemas.microsoft.com/office/spreadsheetml/2009/9/main" objectType="CheckBox" fmlaLink="$V$18" lockText="1" noThreeD="1"/>
</file>

<file path=xl/ctrlProps/ctrlProp535.xml><?xml version="1.0" encoding="utf-8"?>
<formControlPr xmlns="http://schemas.microsoft.com/office/spreadsheetml/2009/9/main" objectType="CheckBox" fmlaLink="$V$19" lockText="1" noThreeD="1"/>
</file>

<file path=xl/ctrlProps/ctrlProp536.xml><?xml version="1.0" encoding="utf-8"?>
<formControlPr xmlns="http://schemas.microsoft.com/office/spreadsheetml/2009/9/main" objectType="CheckBox" fmlaLink="$V$20" lockText="1" noThreeD="1"/>
</file>

<file path=xl/ctrlProps/ctrlProp537.xml><?xml version="1.0" encoding="utf-8"?>
<formControlPr xmlns="http://schemas.microsoft.com/office/spreadsheetml/2009/9/main" objectType="CheckBox" checked="Checked" fmlaLink="$V$21" lockText="1" noThreeD="1"/>
</file>

<file path=xl/ctrlProps/ctrlProp538.xml><?xml version="1.0" encoding="utf-8"?>
<formControlPr xmlns="http://schemas.microsoft.com/office/spreadsheetml/2009/9/main" objectType="CheckBox" fmlaLink="$V$22" lockText="1" noThreeD="1"/>
</file>

<file path=xl/ctrlProps/ctrlProp539.xml><?xml version="1.0" encoding="utf-8"?>
<formControlPr xmlns="http://schemas.microsoft.com/office/spreadsheetml/2009/9/main" objectType="CheckBox" fmlaLink="$T$26" lockText="1" noThreeD="1"/>
</file>

<file path=xl/ctrlProps/ctrlProp540.xml><?xml version="1.0" encoding="utf-8"?>
<formControlPr xmlns="http://schemas.microsoft.com/office/spreadsheetml/2009/9/main" objectType="CheckBox" fmlaLink="$T$29" lockText="1" noThreeD="1"/>
</file>

<file path=xl/ctrlProps/ctrlProp541.xml><?xml version="1.0" encoding="utf-8"?>
<formControlPr xmlns="http://schemas.microsoft.com/office/spreadsheetml/2009/9/main" objectType="CheckBox" checked="Checked" fmlaLink="$T$30" lockText="1" noThreeD="1"/>
</file>

<file path=xl/ctrlProps/ctrlProp542.xml><?xml version="1.0" encoding="utf-8"?>
<formControlPr xmlns="http://schemas.microsoft.com/office/spreadsheetml/2009/9/main" objectType="CheckBox" checked="Checked" fmlaLink="$T$32" lockText="1" noThreeD="1"/>
</file>

<file path=xl/ctrlProps/ctrlProp543.xml><?xml version="1.0" encoding="utf-8"?>
<formControlPr xmlns="http://schemas.microsoft.com/office/spreadsheetml/2009/9/main" objectType="CheckBox" checked="Checked" fmlaLink="$T$34" lockText="1" noThreeD="1"/>
</file>

<file path=xl/ctrlProps/ctrlProp544.xml><?xml version="1.0" encoding="utf-8"?>
<formControlPr xmlns="http://schemas.microsoft.com/office/spreadsheetml/2009/9/main" objectType="CheckBox" fmlaLink="$T$36" lockText="1" noThreeD="1"/>
</file>

<file path=xl/ctrlProps/ctrlProp545.xml><?xml version="1.0" encoding="utf-8"?>
<formControlPr xmlns="http://schemas.microsoft.com/office/spreadsheetml/2009/9/main" objectType="CheckBox" fmlaLink="$T$39" lockText="1" noThreeD="1"/>
</file>

<file path=xl/ctrlProps/ctrlProp546.xml><?xml version="1.0" encoding="utf-8"?>
<formControlPr xmlns="http://schemas.microsoft.com/office/spreadsheetml/2009/9/main" objectType="CheckBox" checked="Checked" fmlaLink="$T$41" lockText="1" noThreeD="1"/>
</file>

<file path=xl/ctrlProps/ctrlProp547.xml><?xml version="1.0" encoding="utf-8"?>
<formControlPr xmlns="http://schemas.microsoft.com/office/spreadsheetml/2009/9/main" objectType="CheckBox" fmlaLink="$F$4" lockText="1" noThreeD="1"/>
</file>

<file path=xl/ctrlProps/ctrlProp548.xml><?xml version="1.0" encoding="utf-8"?>
<formControlPr xmlns="http://schemas.microsoft.com/office/spreadsheetml/2009/9/main" objectType="CheckBox" checked="Checked" fmlaLink="$F$5" lockText="1" noThreeD="1"/>
</file>

<file path=xl/ctrlProps/ctrlProp549.xml><?xml version="1.0" encoding="utf-8"?>
<formControlPr xmlns="http://schemas.microsoft.com/office/spreadsheetml/2009/9/main" objectType="CheckBox" checked="Checked" fmlaLink="$F$7" lockText="1" noThreeD="1"/>
</file>

<file path=xl/ctrlProps/ctrlProp550.xml><?xml version="1.0" encoding="utf-8"?>
<formControlPr xmlns="http://schemas.microsoft.com/office/spreadsheetml/2009/9/main" objectType="CheckBox" checked="Checked" fmlaLink="$E$4" lockText="1" noThreeD="1"/>
</file>

<file path=xl/ctrlProps/ctrlProp551.xml><?xml version="1.0" encoding="utf-8"?>
<formControlPr xmlns="http://schemas.microsoft.com/office/spreadsheetml/2009/9/main" objectType="CheckBox" checked="Checked" fmlaLink="$E$7" lockText="1" noThreeD="1"/>
</file>

<file path=xl/ctrlProps/ctrlProp552.xml><?xml version="1.0" encoding="utf-8"?>
<formControlPr xmlns="http://schemas.microsoft.com/office/spreadsheetml/2009/9/main" objectType="CheckBox" checked="Checked" fmlaLink="$E$34" lockText="1" noThreeD="1"/>
</file>

<file path=xl/ctrlProps/ctrlProp553.xml><?xml version="1.0" encoding="utf-8"?>
<formControlPr xmlns="http://schemas.microsoft.com/office/spreadsheetml/2009/9/main" objectType="CheckBox" checked="Checked" fmlaLink="$E$36" lockText="1" noThreeD="1"/>
</file>

<file path=xl/ctrlProps/ctrlProp554.xml><?xml version="1.0" encoding="utf-8"?>
<formControlPr xmlns="http://schemas.microsoft.com/office/spreadsheetml/2009/9/main" objectType="CheckBox" fmlaLink="$E$41" lockText="1" noThreeD="1"/>
</file>

<file path=xl/ctrlProps/ctrlProp555.xml><?xml version="1.0" encoding="utf-8"?>
<formControlPr xmlns="http://schemas.microsoft.com/office/spreadsheetml/2009/9/main" objectType="CheckBox" fmlaLink="$E$42" lockText="1" noThreeD="1"/>
</file>

<file path=xl/ctrlProps/ctrlProp556.xml><?xml version="1.0" encoding="utf-8"?>
<formControlPr xmlns="http://schemas.microsoft.com/office/spreadsheetml/2009/9/main" objectType="CheckBox" checked="Checked" fmlaLink="$E$43" lockText="1" noThreeD="1"/>
</file>

<file path=xl/ctrlProps/ctrlProp557.xml><?xml version="1.0" encoding="utf-8"?>
<formControlPr xmlns="http://schemas.microsoft.com/office/spreadsheetml/2009/9/main" objectType="CheckBox" fmlaLink="$E$44" lockText="1" noThreeD="1"/>
</file>

<file path=xl/ctrlProps/ctrlProp558.xml><?xml version="1.0" encoding="utf-8"?>
<formControlPr xmlns="http://schemas.microsoft.com/office/spreadsheetml/2009/9/main" objectType="CheckBox" fmlaLink="$E$45" lockText="1" noThreeD="1"/>
</file>

<file path=xl/ctrlProps/ctrlProp559.xml><?xml version="1.0" encoding="utf-8"?>
<formControlPr xmlns="http://schemas.microsoft.com/office/spreadsheetml/2009/9/main" objectType="CheckBox" fmlaLink="$E$46" lockText="1" noThreeD="1"/>
</file>

<file path=xl/ctrlProps/ctrlProp560.xml><?xml version="1.0" encoding="utf-8"?>
<formControlPr xmlns="http://schemas.microsoft.com/office/spreadsheetml/2009/9/main" objectType="CheckBox" fmlaLink="$Z$41" lockText="1" noThreeD="1"/>
</file>

<file path=xl/ctrlProps/ctrlProp561.xml><?xml version="1.0" encoding="utf-8"?>
<formControlPr xmlns="http://schemas.microsoft.com/office/spreadsheetml/2009/9/main" objectType="CheckBox" fmlaLink="$Z$42" lockText="1" noThreeD="1"/>
</file>

<file path=xl/ctrlProps/ctrlProp562.xml><?xml version="1.0" encoding="utf-8"?>
<formControlPr xmlns="http://schemas.microsoft.com/office/spreadsheetml/2009/9/main" objectType="CheckBox" fmlaLink="$Z$43" lockText="1" noThreeD="1"/>
</file>

<file path=xl/ctrlProps/ctrlProp563.xml><?xml version="1.0" encoding="utf-8"?>
<formControlPr xmlns="http://schemas.microsoft.com/office/spreadsheetml/2009/9/main" objectType="CheckBox" fmlaLink="$Z$44" lockText="1" noThreeD="1"/>
</file>

<file path=xl/ctrlProps/ctrlProp564.xml><?xml version="1.0" encoding="utf-8"?>
<formControlPr xmlns="http://schemas.microsoft.com/office/spreadsheetml/2009/9/main" objectType="CheckBox" fmlaLink="$Z$45" lockText="1" noThreeD="1"/>
</file>

<file path=xl/ctrlProps/ctrlProp565.xml><?xml version="1.0" encoding="utf-8"?>
<formControlPr xmlns="http://schemas.microsoft.com/office/spreadsheetml/2009/9/main" objectType="CheckBox" fmlaLink="$AF$10" lockText="1" noThreeD="1"/>
</file>

<file path=xl/ctrlProps/ctrlProp566.xml><?xml version="1.0" encoding="utf-8"?>
<formControlPr xmlns="http://schemas.microsoft.com/office/spreadsheetml/2009/9/main" objectType="CheckBox" fmlaLink="$AF$12" lockText="1" noThreeD="1"/>
</file>

<file path=xl/ctrlProps/ctrlProp567.xml><?xml version="1.0" encoding="utf-8"?>
<formControlPr xmlns="http://schemas.microsoft.com/office/spreadsheetml/2009/9/main" objectType="CheckBox" fmlaLink="$AF$14" lockText="1" noThreeD="1"/>
</file>

<file path=xl/ctrlProps/ctrlProp568.xml><?xml version="1.0" encoding="utf-8"?>
<formControlPr xmlns="http://schemas.microsoft.com/office/spreadsheetml/2009/9/main" objectType="CheckBox" checked="Checked" fmlaLink="$AF$16" lockText="1" noThreeD="1"/>
</file>

<file path=xl/ctrlProps/ctrlProp569.xml><?xml version="1.0" encoding="utf-8"?>
<formControlPr xmlns="http://schemas.microsoft.com/office/spreadsheetml/2009/9/main" objectType="CheckBox" checked="Checked" fmlaLink="$C$35" lockText="1" noThreeD="1"/>
</file>

<file path=xl/ctrlProps/ctrlProp570.xml><?xml version="1.0" encoding="utf-8"?>
<formControlPr xmlns="http://schemas.microsoft.com/office/spreadsheetml/2009/9/main" objectType="CheckBox" checked="Checked" fmlaLink="$C$39" lockText="1" noThreeD="1"/>
</file>

<file path=xl/ctrlProps/ctrlProp571.xml><?xml version="1.0" encoding="utf-8"?>
<formControlPr xmlns="http://schemas.microsoft.com/office/spreadsheetml/2009/9/main" objectType="CheckBox" fmlaLink="$C$40" lockText="1" noThreeD="1"/>
</file>

<file path=xl/ctrlProps/ctrlProp572.xml><?xml version="1.0" encoding="utf-8"?>
<formControlPr xmlns="http://schemas.microsoft.com/office/spreadsheetml/2009/9/main" objectType="CheckBox" checked="Checked" fmlaLink="$G$10" lockText="1" noThreeD="1"/>
</file>

<file path=xl/ctrlProps/ctrlProp573.xml><?xml version="1.0" encoding="utf-8"?>
<formControlPr xmlns="http://schemas.microsoft.com/office/spreadsheetml/2009/9/main" objectType="CheckBox" checked="Checked" fmlaLink="$G$11" lockText="1" noThreeD="1"/>
</file>

<file path=xl/ctrlProps/ctrlProp574.xml><?xml version="1.0" encoding="utf-8"?>
<formControlPr xmlns="http://schemas.microsoft.com/office/spreadsheetml/2009/9/main" objectType="CheckBox" checked="Checked" fmlaLink="$G$12" lockText="1" noThreeD="1"/>
</file>

<file path=xl/ctrlProps/ctrlProp575.xml><?xml version="1.0" encoding="utf-8"?>
<formControlPr xmlns="http://schemas.microsoft.com/office/spreadsheetml/2009/9/main" objectType="CheckBox" checked="Checked" lockText="1" noThreeD="1"/>
</file>

<file path=xl/ctrlProps/ctrlProp576.xml><?xml version="1.0" encoding="utf-8"?>
<formControlPr xmlns="http://schemas.microsoft.com/office/spreadsheetml/2009/9/main" objectType="CheckBox" fmlaLink="$G$13" lockText="1" noThreeD="1"/>
</file>

<file path=xl/ctrlProps/ctrlProp577.xml><?xml version="1.0" encoding="utf-8"?>
<formControlPr xmlns="http://schemas.microsoft.com/office/spreadsheetml/2009/9/main" objectType="CheckBox" checked="Checked" lockText="1" noThreeD="1"/>
</file>

<file path=xl/ctrlProps/ctrlProp578.xml><?xml version="1.0" encoding="utf-8"?>
<formControlPr xmlns="http://schemas.microsoft.com/office/spreadsheetml/2009/9/main" objectType="CheckBox" fmlaLink="$G$14" lockText="1" noThreeD="1"/>
</file>

<file path=xl/ctrlProps/ctrlProp579.xml><?xml version="1.0" encoding="utf-8"?>
<formControlPr xmlns="http://schemas.microsoft.com/office/spreadsheetml/2009/9/main" objectType="CheckBox" checked="Checked" lockText="1" noThreeD="1"/>
</file>

<file path=xl/ctrlProps/ctrlProp580.xml><?xml version="1.0" encoding="utf-8"?>
<formControlPr xmlns="http://schemas.microsoft.com/office/spreadsheetml/2009/9/main" objectType="CheckBox" checked="Checked" fmlaLink="$G$15" lockText="1" noThreeD="1"/>
</file>

<file path=xl/ctrlProps/ctrlProp581.xml><?xml version="1.0" encoding="utf-8"?>
<formControlPr xmlns="http://schemas.microsoft.com/office/spreadsheetml/2009/9/main" objectType="CheckBox" fmlaLink="$G$16" lockText="1" noThreeD="1"/>
</file>

<file path=xl/ctrlProps/ctrlProp582.xml><?xml version="1.0" encoding="utf-8"?>
<formControlPr xmlns="http://schemas.microsoft.com/office/spreadsheetml/2009/9/main" objectType="CheckBox" checked="Checked" fmlaLink="$H$10" lockText="1" noThreeD="1"/>
</file>

<file path=xl/ctrlProps/ctrlProp583.xml><?xml version="1.0" encoding="utf-8"?>
<formControlPr xmlns="http://schemas.microsoft.com/office/spreadsheetml/2009/9/main" objectType="CheckBox" checked="Checked" fmlaLink="$H$11" lockText="1" noThreeD="1"/>
</file>

<file path=xl/ctrlProps/ctrlProp584.xml><?xml version="1.0" encoding="utf-8"?>
<formControlPr xmlns="http://schemas.microsoft.com/office/spreadsheetml/2009/9/main" objectType="CheckBox" checked="Checked" fmlaLink="$H$12" lockText="1" noThreeD="1"/>
</file>

<file path=xl/ctrlProps/ctrlProp585.xml><?xml version="1.0" encoding="utf-8"?>
<formControlPr xmlns="http://schemas.microsoft.com/office/spreadsheetml/2009/9/main" objectType="CheckBox" checked="Checked" lockText="1" noThreeD="1"/>
</file>

<file path=xl/ctrlProps/ctrlProp586.xml><?xml version="1.0" encoding="utf-8"?>
<formControlPr xmlns="http://schemas.microsoft.com/office/spreadsheetml/2009/9/main" objectType="CheckBox" fmlaLink="$H$13" lockText="1" noThreeD="1"/>
</file>

<file path=xl/ctrlProps/ctrlProp587.xml><?xml version="1.0" encoding="utf-8"?>
<formControlPr xmlns="http://schemas.microsoft.com/office/spreadsheetml/2009/9/main" objectType="CheckBox" checked="Checked" lockText="1" noThreeD="1"/>
</file>

<file path=xl/ctrlProps/ctrlProp588.xml><?xml version="1.0" encoding="utf-8"?>
<formControlPr xmlns="http://schemas.microsoft.com/office/spreadsheetml/2009/9/main" objectType="CheckBox" fmlaLink="$H$14" lockText="1" noThreeD="1"/>
</file>

<file path=xl/ctrlProps/ctrlProp589.xml><?xml version="1.0" encoding="utf-8"?>
<formControlPr xmlns="http://schemas.microsoft.com/office/spreadsheetml/2009/9/main" objectType="CheckBox" checked="Checked" lockText="1" noThreeD="1"/>
</file>

<file path=xl/ctrlProps/ctrlProp590.xml><?xml version="1.0" encoding="utf-8"?>
<formControlPr xmlns="http://schemas.microsoft.com/office/spreadsheetml/2009/9/main" objectType="CheckBox" checked="Checked" fmlaLink="$H$15" lockText="1" noThreeD="1"/>
</file>

<file path=xl/ctrlProps/ctrlProp591.xml><?xml version="1.0" encoding="utf-8"?>
<formControlPr xmlns="http://schemas.microsoft.com/office/spreadsheetml/2009/9/main" objectType="CheckBox" fmlaLink="$H$16" lockText="1" noThreeD="1"/>
</file>

<file path=xl/ctrlProps/ctrlProp592.xml><?xml version="1.0" encoding="utf-8"?>
<formControlPr xmlns="http://schemas.microsoft.com/office/spreadsheetml/2009/9/main" objectType="CheckBox" checked="Checked" fmlaLink="$I$10" lockText="1" noThreeD="1"/>
</file>

<file path=xl/ctrlProps/ctrlProp593.xml><?xml version="1.0" encoding="utf-8"?>
<formControlPr xmlns="http://schemas.microsoft.com/office/spreadsheetml/2009/9/main" objectType="CheckBox" checked="Checked" fmlaLink="$I$11" lockText="1" noThreeD="1"/>
</file>

<file path=xl/ctrlProps/ctrlProp594.xml><?xml version="1.0" encoding="utf-8"?>
<formControlPr xmlns="http://schemas.microsoft.com/office/spreadsheetml/2009/9/main" objectType="CheckBox" checked="Checked" fmlaLink="$I$12" lockText="1" noThreeD="1"/>
</file>

<file path=xl/ctrlProps/ctrlProp595.xml><?xml version="1.0" encoding="utf-8"?>
<formControlPr xmlns="http://schemas.microsoft.com/office/spreadsheetml/2009/9/main" objectType="CheckBox" checked="Checked" lockText="1" noThreeD="1"/>
</file>

<file path=xl/ctrlProps/ctrlProp596.xml><?xml version="1.0" encoding="utf-8"?>
<formControlPr xmlns="http://schemas.microsoft.com/office/spreadsheetml/2009/9/main" objectType="CheckBox" fmlaLink="$I$13" lockText="1" noThreeD="1"/>
</file>

<file path=xl/ctrlProps/ctrlProp597.xml><?xml version="1.0" encoding="utf-8"?>
<formControlPr xmlns="http://schemas.microsoft.com/office/spreadsheetml/2009/9/main" objectType="CheckBox" checked="Checked" lockText="1" noThreeD="1"/>
</file>

<file path=xl/ctrlProps/ctrlProp598.xml><?xml version="1.0" encoding="utf-8"?>
<formControlPr xmlns="http://schemas.microsoft.com/office/spreadsheetml/2009/9/main" objectType="CheckBox" fmlaLink="$I$14" lockText="1" noThreeD="1"/>
</file>

<file path=xl/ctrlProps/ctrlProp599.xml><?xml version="1.0" encoding="utf-8"?>
<formControlPr xmlns="http://schemas.microsoft.com/office/spreadsheetml/2009/9/main" objectType="CheckBox" checked="Checked" lockText="1" noThreeD="1"/>
</file>

<file path=xl/ctrlProps/ctrlProp600.xml><?xml version="1.0" encoding="utf-8"?>
<formControlPr xmlns="http://schemas.microsoft.com/office/spreadsheetml/2009/9/main" objectType="CheckBox" checked="Checked" fmlaLink="$I$15" lockText="1" noThreeD="1"/>
</file>

<file path=xl/ctrlProps/ctrlProp601.xml><?xml version="1.0" encoding="utf-8"?>
<formControlPr xmlns="http://schemas.microsoft.com/office/spreadsheetml/2009/9/main" objectType="CheckBox" fmlaLink="$I$16" lockText="1" noThreeD="1"/>
</file>

<file path=xl/ctrlProps/ctrlProp602.xml><?xml version="1.0" encoding="utf-8"?>
<formControlPr xmlns="http://schemas.microsoft.com/office/spreadsheetml/2009/9/main" objectType="CheckBox" checked="Checked" fmlaLink="$J$10" lockText="1" noThreeD="1"/>
</file>

<file path=xl/ctrlProps/ctrlProp603.xml><?xml version="1.0" encoding="utf-8"?>
<formControlPr xmlns="http://schemas.microsoft.com/office/spreadsheetml/2009/9/main" objectType="CheckBox" checked="Checked" fmlaLink="$J$11" lockText="1" noThreeD="1"/>
</file>

<file path=xl/ctrlProps/ctrlProp604.xml><?xml version="1.0" encoding="utf-8"?>
<formControlPr xmlns="http://schemas.microsoft.com/office/spreadsheetml/2009/9/main" objectType="CheckBox" checked="Checked" fmlaLink="$J$12" lockText="1" noThreeD="1"/>
</file>

<file path=xl/ctrlProps/ctrlProp605.xml><?xml version="1.0" encoding="utf-8"?>
<formControlPr xmlns="http://schemas.microsoft.com/office/spreadsheetml/2009/9/main" objectType="CheckBox" checked="Checked" lockText="1" noThreeD="1"/>
</file>

<file path=xl/ctrlProps/ctrlProp606.xml><?xml version="1.0" encoding="utf-8"?>
<formControlPr xmlns="http://schemas.microsoft.com/office/spreadsheetml/2009/9/main" objectType="CheckBox" fmlaLink="$J$13" lockText="1" noThreeD="1"/>
</file>

<file path=xl/ctrlProps/ctrlProp607.xml><?xml version="1.0" encoding="utf-8"?>
<formControlPr xmlns="http://schemas.microsoft.com/office/spreadsheetml/2009/9/main" objectType="CheckBox" checked="Checked" lockText="1" noThreeD="1"/>
</file>

<file path=xl/ctrlProps/ctrlProp608.xml><?xml version="1.0" encoding="utf-8"?>
<formControlPr xmlns="http://schemas.microsoft.com/office/spreadsheetml/2009/9/main" objectType="CheckBox" fmlaLink="$J$14" lockText="1" noThreeD="1"/>
</file>

<file path=xl/ctrlProps/ctrlProp609.xml><?xml version="1.0" encoding="utf-8"?>
<formControlPr xmlns="http://schemas.microsoft.com/office/spreadsheetml/2009/9/main" objectType="CheckBox" checked="Checked" lockText="1" noThreeD="1"/>
</file>

<file path=xl/ctrlProps/ctrlProp610.xml><?xml version="1.0" encoding="utf-8"?>
<formControlPr xmlns="http://schemas.microsoft.com/office/spreadsheetml/2009/9/main" objectType="CheckBox" checked="Checked" fmlaLink="$J$15" lockText="1" noThreeD="1"/>
</file>

<file path=xl/ctrlProps/ctrlProp611.xml><?xml version="1.0" encoding="utf-8"?>
<formControlPr xmlns="http://schemas.microsoft.com/office/spreadsheetml/2009/9/main" objectType="CheckBox" fmlaLink="$J$16" lockText="1" noThreeD="1"/>
</file>

<file path=xl/ctrlProps/ctrlProp612.xml><?xml version="1.0" encoding="utf-8"?>
<formControlPr xmlns="http://schemas.microsoft.com/office/spreadsheetml/2009/9/main" objectType="CheckBox" checked="Checked" fmlaLink="$K$10" lockText="1" noThreeD="1"/>
</file>

<file path=xl/ctrlProps/ctrlProp613.xml><?xml version="1.0" encoding="utf-8"?>
<formControlPr xmlns="http://schemas.microsoft.com/office/spreadsheetml/2009/9/main" objectType="CheckBox" checked="Checked" fmlaLink="$K$11" lockText="1" noThreeD="1"/>
</file>

<file path=xl/ctrlProps/ctrlProp614.xml><?xml version="1.0" encoding="utf-8"?>
<formControlPr xmlns="http://schemas.microsoft.com/office/spreadsheetml/2009/9/main" objectType="CheckBox" checked="Checked" fmlaLink="$K$12" lockText="1" noThreeD="1"/>
</file>

<file path=xl/ctrlProps/ctrlProp615.xml><?xml version="1.0" encoding="utf-8"?>
<formControlPr xmlns="http://schemas.microsoft.com/office/spreadsheetml/2009/9/main" objectType="CheckBox" checked="Checked" lockText="1" noThreeD="1"/>
</file>

<file path=xl/ctrlProps/ctrlProp616.xml><?xml version="1.0" encoding="utf-8"?>
<formControlPr xmlns="http://schemas.microsoft.com/office/spreadsheetml/2009/9/main" objectType="CheckBox" fmlaLink="$K$13" lockText="1" noThreeD="1"/>
</file>

<file path=xl/ctrlProps/ctrlProp617.xml><?xml version="1.0" encoding="utf-8"?>
<formControlPr xmlns="http://schemas.microsoft.com/office/spreadsheetml/2009/9/main" objectType="CheckBox" checked="Checked" lockText="1" noThreeD="1"/>
</file>

<file path=xl/ctrlProps/ctrlProp618.xml><?xml version="1.0" encoding="utf-8"?>
<formControlPr xmlns="http://schemas.microsoft.com/office/spreadsheetml/2009/9/main" objectType="CheckBox" fmlaLink="$K$14" lockText="1" noThreeD="1"/>
</file>

<file path=xl/ctrlProps/ctrlProp619.xml><?xml version="1.0" encoding="utf-8"?>
<formControlPr xmlns="http://schemas.microsoft.com/office/spreadsheetml/2009/9/main" objectType="CheckBox" checked="Checked" lockText="1" noThreeD="1"/>
</file>

<file path=xl/ctrlProps/ctrlProp620.xml><?xml version="1.0" encoding="utf-8"?>
<formControlPr xmlns="http://schemas.microsoft.com/office/spreadsheetml/2009/9/main" objectType="CheckBox" checked="Checked" fmlaLink="$K$15" lockText="1" noThreeD="1"/>
</file>

<file path=xl/ctrlProps/ctrlProp621.xml><?xml version="1.0" encoding="utf-8"?>
<formControlPr xmlns="http://schemas.microsoft.com/office/spreadsheetml/2009/9/main" objectType="CheckBox" fmlaLink="$K$16" lockText="1" noThreeD="1"/>
</file>

<file path=xl/ctrlProps/ctrlProp622.xml><?xml version="1.0" encoding="utf-8"?>
<formControlPr xmlns="http://schemas.microsoft.com/office/spreadsheetml/2009/9/main" objectType="CheckBox" checked="Checked" fmlaLink="$L$10" lockText="1" noThreeD="1"/>
</file>

<file path=xl/ctrlProps/ctrlProp623.xml><?xml version="1.0" encoding="utf-8"?>
<formControlPr xmlns="http://schemas.microsoft.com/office/spreadsheetml/2009/9/main" objectType="CheckBox" checked="Checked" fmlaLink="$L$11" lockText="1" noThreeD="1"/>
</file>

<file path=xl/ctrlProps/ctrlProp624.xml><?xml version="1.0" encoding="utf-8"?>
<formControlPr xmlns="http://schemas.microsoft.com/office/spreadsheetml/2009/9/main" objectType="CheckBox" checked="Checked" fmlaLink="$L$12" lockText="1" noThreeD="1"/>
</file>

<file path=xl/ctrlProps/ctrlProp625.xml><?xml version="1.0" encoding="utf-8"?>
<formControlPr xmlns="http://schemas.microsoft.com/office/spreadsheetml/2009/9/main" objectType="CheckBox" checked="Checked" lockText="1" noThreeD="1"/>
</file>

<file path=xl/ctrlProps/ctrlProp626.xml><?xml version="1.0" encoding="utf-8"?>
<formControlPr xmlns="http://schemas.microsoft.com/office/spreadsheetml/2009/9/main" objectType="CheckBox" fmlaLink="$L$13" lockText="1" noThreeD="1"/>
</file>

<file path=xl/ctrlProps/ctrlProp627.xml><?xml version="1.0" encoding="utf-8"?>
<formControlPr xmlns="http://schemas.microsoft.com/office/spreadsheetml/2009/9/main" objectType="CheckBox" checked="Checked" lockText="1" noThreeD="1"/>
</file>

<file path=xl/ctrlProps/ctrlProp628.xml><?xml version="1.0" encoding="utf-8"?>
<formControlPr xmlns="http://schemas.microsoft.com/office/spreadsheetml/2009/9/main" objectType="CheckBox" fmlaLink="$L$14" lockText="1" noThreeD="1"/>
</file>

<file path=xl/ctrlProps/ctrlProp629.xml><?xml version="1.0" encoding="utf-8"?>
<formControlPr xmlns="http://schemas.microsoft.com/office/spreadsheetml/2009/9/main" objectType="CheckBox" checked="Checked" lockText="1" noThreeD="1"/>
</file>

<file path=xl/ctrlProps/ctrlProp630.xml><?xml version="1.0" encoding="utf-8"?>
<formControlPr xmlns="http://schemas.microsoft.com/office/spreadsheetml/2009/9/main" objectType="CheckBox" checked="Checked" fmlaLink="$L$15" lockText="1" noThreeD="1"/>
</file>

<file path=xl/ctrlProps/ctrlProp631.xml><?xml version="1.0" encoding="utf-8"?>
<formControlPr xmlns="http://schemas.microsoft.com/office/spreadsheetml/2009/9/main" objectType="CheckBox" fmlaLink="$L$16" lockText="1" noThreeD="1"/>
</file>

<file path=xl/ctrlProps/ctrlProp632.xml><?xml version="1.0" encoding="utf-8"?>
<formControlPr xmlns="http://schemas.microsoft.com/office/spreadsheetml/2009/9/main" objectType="CheckBox" checked="Checked" fmlaLink="$M$10" lockText="1" noThreeD="1"/>
</file>

<file path=xl/ctrlProps/ctrlProp633.xml><?xml version="1.0" encoding="utf-8"?>
<formControlPr xmlns="http://schemas.microsoft.com/office/spreadsheetml/2009/9/main" objectType="CheckBox" checked="Checked" fmlaLink="$M$11" lockText="1" noThreeD="1"/>
</file>

<file path=xl/ctrlProps/ctrlProp634.xml><?xml version="1.0" encoding="utf-8"?>
<formControlPr xmlns="http://schemas.microsoft.com/office/spreadsheetml/2009/9/main" objectType="CheckBox" checked="Checked" fmlaLink="$M$12" lockText="1" noThreeD="1"/>
</file>

<file path=xl/ctrlProps/ctrlProp635.xml><?xml version="1.0" encoding="utf-8"?>
<formControlPr xmlns="http://schemas.microsoft.com/office/spreadsheetml/2009/9/main" objectType="CheckBox" checked="Checked" lockText="1" noThreeD="1"/>
</file>

<file path=xl/ctrlProps/ctrlProp636.xml><?xml version="1.0" encoding="utf-8"?>
<formControlPr xmlns="http://schemas.microsoft.com/office/spreadsheetml/2009/9/main" objectType="CheckBox" fmlaLink="$M$13" lockText="1" noThreeD="1"/>
</file>

<file path=xl/ctrlProps/ctrlProp637.xml><?xml version="1.0" encoding="utf-8"?>
<formControlPr xmlns="http://schemas.microsoft.com/office/spreadsheetml/2009/9/main" objectType="CheckBox" checked="Checked" lockText="1" noThreeD="1"/>
</file>

<file path=xl/ctrlProps/ctrlProp638.xml><?xml version="1.0" encoding="utf-8"?>
<formControlPr xmlns="http://schemas.microsoft.com/office/spreadsheetml/2009/9/main" objectType="CheckBox" fmlaLink="$M$14" lockText="1" noThreeD="1"/>
</file>

<file path=xl/ctrlProps/ctrlProp639.xml><?xml version="1.0" encoding="utf-8"?>
<formControlPr xmlns="http://schemas.microsoft.com/office/spreadsheetml/2009/9/main" objectType="CheckBox" checked="Checked" lockText="1" noThreeD="1"/>
</file>

<file path=xl/ctrlProps/ctrlProp640.xml><?xml version="1.0" encoding="utf-8"?>
<formControlPr xmlns="http://schemas.microsoft.com/office/spreadsheetml/2009/9/main" objectType="CheckBox" checked="Checked" fmlaLink="$M$15" lockText="1" noThreeD="1"/>
</file>

<file path=xl/ctrlProps/ctrlProp641.xml><?xml version="1.0" encoding="utf-8"?>
<formControlPr xmlns="http://schemas.microsoft.com/office/spreadsheetml/2009/9/main" objectType="CheckBox" fmlaLink="$M$16" lockText="1" noThreeD="1"/>
</file>

<file path=xl/ctrlProps/ctrlProp642.xml><?xml version="1.0" encoding="utf-8"?>
<formControlPr xmlns="http://schemas.microsoft.com/office/spreadsheetml/2009/9/main" objectType="CheckBox" checked="Checked" fmlaLink="$N$10" lockText="1" noThreeD="1"/>
</file>

<file path=xl/ctrlProps/ctrlProp643.xml><?xml version="1.0" encoding="utf-8"?>
<formControlPr xmlns="http://schemas.microsoft.com/office/spreadsheetml/2009/9/main" objectType="CheckBox" checked="Checked" fmlaLink="$N$11" lockText="1" noThreeD="1"/>
</file>

<file path=xl/ctrlProps/ctrlProp644.xml><?xml version="1.0" encoding="utf-8"?>
<formControlPr xmlns="http://schemas.microsoft.com/office/spreadsheetml/2009/9/main" objectType="CheckBox" checked="Checked" fmlaLink="$N$12" lockText="1" noThreeD="1"/>
</file>

<file path=xl/ctrlProps/ctrlProp645.xml><?xml version="1.0" encoding="utf-8"?>
<formControlPr xmlns="http://schemas.microsoft.com/office/spreadsheetml/2009/9/main" objectType="CheckBox" checked="Checked" lockText="1" noThreeD="1"/>
</file>

<file path=xl/ctrlProps/ctrlProp646.xml><?xml version="1.0" encoding="utf-8"?>
<formControlPr xmlns="http://schemas.microsoft.com/office/spreadsheetml/2009/9/main" objectType="CheckBox" fmlaLink="$N$13" lockText="1" noThreeD="1"/>
</file>

<file path=xl/ctrlProps/ctrlProp647.xml><?xml version="1.0" encoding="utf-8"?>
<formControlPr xmlns="http://schemas.microsoft.com/office/spreadsheetml/2009/9/main" objectType="CheckBox" checked="Checked" lockText="1" noThreeD="1"/>
</file>

<file path=xl/ctrlProps/ctrlProp648.xml><?xml version="1.0" encoding="utf-8"?>
<formControlPr xmlns="http://schemas.microsoft.com/office/spreadsheetml/2009/9/main" objectType="CheckBox" fmlaLink="$N$14" lockText="1" noThreeD="1"/>
</file>

<file path=xl/ctrlProps/ctrlProp649.xml><?xml version="1.0" encoding="utf-8"?>
<formControlPr xmlns="http://schemas.microsoft.com/office/spreadsheetml/2009/9/main" objectType="CheckBox" checked="Checked" lockText="1" noThreeD="1"/>
</file>

<file path=xl/ctrlProps/ctrlProp650.xml><?xml version="1.0" encoding="utf-8"?>
<formControlPr xmlns="http://schemas.microsoft.com/office/spreadsheetml/2009/9/main" objectType="CheckBox" checked="Checked" fmlaLink="$N$15" lockText="1" noThreeD="1"/>
</file>

<file path=xl/ctrlProps/ctrlProp651.xml><?xml version="1.0" encoding="utf-8"?>
<formControlPr xmlns="http://schemas.microsoft.com/office/spreadsheetml/2009/9/main" objectType="CheckBox" fmlaLink="$N$16" lockText="1" noThreeD="1"/>
</file>

<file path=xl/ctrlProps/ctrlProp652.xml><?xml version="1.0" encoding="utf-8"?>
<formControlPr xmlns="http://schemas.microsoft.com/office/spreadsheetml/2009/9/main" objectType="CheckBox" checked="Checked" fmlaLink="$O$10" lockText="1" noThreeD="1"/>
</file>

<file path=xl/ctrlProps/ctrlProp653.xml><?xml version="1.0" encoding="utf-8"?>
<formControlPr xmlns="http://schemas.microsoft.com/office/spreadsheetml/2009/9/main" objectType="CheckBox" checked="Checked" fmlaLink="$O$11" lockText="1" noThreeD="1"/>
</file>

<file path=xl/ctrlProps/ctrlProp654.xml><?xml version="1.0" encoding="utf-8"?>
<formControlPr xmlns="http://schemas.microsoft.com/office/spreadsheetml/2009/9/main" objectType="CheckBox" checked="Checked" fmlaLink="$O$12" lockText="1" noThreeD="1"/>
</file>

<file path=xl/ctrlProps/ctrlProp655.xml><?xml version="1.0" encoding="utf-8"?>
<formControlPr xmlns="http://schemas.microsoft.com/office/spreadsheetml/2009/9/main" objectType="CheckBox" checked="Checked" lockText="1" noThreeD="1"/>
</file>

<file path=xl/ctrlProps/ctrlProp656.xml><?xml version="1.0" encoding="utf-8"?>
<formControlPr xmlns="http://schemas.microsoft.com/office/spreadsheetml/2009/9/main" objectType="CheckBox" fmlaLink="$O$13" lockText="1" noThreeD="1"/>
</file>

<file path=xl/ctrlProps/ctrlProp657.xml><?xml version="1.0" encoding="utf-8"?>
<formControlPr xmlns="http://schemas.microsoft.com/office/spreadsheetml/2009/9/main" objectType="CheckBox" checked="Checked" lockText="1" noThreeD="1"/>
</file>

<file path=xl/ctrlProps/ctrlProp658.xml><?xml version="1.0" encoding="utf-8"?>
<formControlPr xmlns="http://schemas.microsoft.com/office/spreadsheetml/2009/9/main" objectType="CheckBox" fmlaLink="$O$14" lockText="1" noThreeD="1"/>
</file>

<file path=xl/ctrlProps/ctrlProp659.xml><?xml version="1.0" encoding="utf-8"?>
<formControlPr xmlns="http://schemas.microsoft.com/office/spreadsheetml/2009/9/main" objectType="CheckBox" checked="Checked" lockText="1" noThreeD="1"/>
</file>

<file path=xl/ctrlProps/ctrlProp660.xml><?xml version="1.0" encoding="utf-8"?>
<formControlPr xmlns="http://schemas.microsoft.com/office/spreadsheetml/2009/9/main" objectType="CheckBox" checked="Checked" fmlaLink="$O$15" lockText="1" noThreeD="1"/>
</file>

<file path=xl/ctrlProps/ctrlProp661.xml><?xml version="1.0" encoding="utf-8"?>
<formControlPr xmlns="http://schemas.microsoft.com/office/spreadsheetml/2009/9/main" objectType="CheckBox" fmlaLink="$O$16" lockText="1" noThreeD="1"/>
</file>

<file path=xl/ctrlProps/ctrlProp662.xml><?xml version="1.0" encoding="utf-8"?>
<formControlPr xmlns="http://schemas.microsoft.com/office/spreadsheetml/2009/9/main" objectType="CheckBox" checked="Checked" fmlaLink="$P$10" lockText="1" noThreeD="1"/>
</file>

<file path=xl/ctrlProps/ctrlProp663.xml><?xml version="1.0" encoding="utf-8"?>
<formControlPr xmlns="http://schemas.microsoft.com/office/spreadsheetml/2009/9/main" objectType="CheckBox" checked="Checked" fmlaLink="$P$11" lockText="1" noThreeD="1"/>
</file>

<file path=xl/ctrlProps/ctrlProp664.xml><?xml version="1.0" encoding="utf-8"?>
<formControlPr xmlns="http://schemas.microsoft.com/office/spreadsheetml/2009/9/main" objectType="CheckBox" checked="Checked" fmlaLink="$P$12" lockText="1" noThreeD="1"/>
</file>

<file path=xl/ctrlProps/ctrlProp665.xml><?xml version="1.0" encoding="utf-8"?>
<formControlPr xmlns="http://schemas.microsoft.com/office/spreadsheetml/2009/9/main" objectType="CheckBox" checked="Checked" lockText="1" noThreeD="1"/>
</file>

<file path=xl/ctrlProps/ctrlProp666.xml><?xml version="1.0" encoding="utf-8"?>
<formControlPr xmlns="http://schemas.microsoft.com/office/spreadsheetml/2009/9/main" objectType="CheckBox" fmlaLink="$P$13" lockText="1" noThreeD="1"/>
</file>

<file path=xl/ctrlProps/ctrlProp667.xml><?xml version="1.0" encoding="utf-8"?>
<formControlPr xmlns="http://schemas.microsoft.com/office/spreadsheetml/2009/9/main" objectType="CheckBox" checked="Checked" lockText="1" noThreeD="1"/>
</file>

<file path=xl/ctrlProps/ctrlProp668.xml><?xml version="1.0" encoding="utf-8"?>
<formControlPr xmlns="http://schemas.microsoft.com/office/spreadsheetml/2009/9/main" objectType="CheckBox" fmlaLink="$P$14" lockText="1" noThreeD="1"/>
</file>

<file path=xl/ctrlProps/ctrlProp669.xml><?xml version="1.0" encoding="utf-8"?>
<formControlPr xmlns="http://schemas.microsoft.com/office/spreadsheetml/2009/9/main" objectType="CheckBox" checked="Checked" lockText="1" noThreeD="1"/>
</file>

<file path=xl/ctrlProps/ctrlProp670.xml><?xml version="1.0" encoding="utf-8"?>
<formControlPr xmlns="http://schemas.microsoft.com/office/spreadsheetml/2009/9/main" objectType="CheckBox" checked="Checked" fmlaLink="$P$15" lockText="1" noThreeD="1"/>
</file>

<file path=xl/ctrlProps/ctrlProp671.xml><?xml version="1.0" encoding="utf-8"?>
<formControlPr xmlns="http://schemas.microsoft.com/office/spreadsheetml/2009/9/main" objectType="CheckBox" fmlaLink="$P$16" lockText="1" noThreeD="1"/>
</file>

<file path=xl/ctrlProps/ctrlProp672.xml><?xml version="1.0" encoding="utf-8"?>
<formControlPr xmlns="http://schemas.microsoft.com/office/spreadsheetml/2009/9/main" objectType="CheckBox" checked="Checked" fmlaLink="$Q$10" lockText="1" noThreeD="1"/>
</file>

<file path=xl/ctrlProps/ctrlProp673.xml><?xml version="1.0" encoding="utf-8"?>
<formControlPr xmlns="http://schemas.microsoft.com/office/spreadsheetml/2009/9/main" objectType="CheckBox" checked="Checked" fmlaLink="$Q$11" lockText="1" noThreeD="1"/>
</file>

<file path=xl/ctrlProps/ctrlProp674.xml><?xml version="1.0" encoding="utf-8"?>
<formControlPr xmlns="http://schemas.microsoft.com/office/spreadsheetml/2009/9/main" objectType="CheckBox" checked="Checked" fmlaLink="$Q$12" lockText="1" noThreeD="1"/>
</file>

<file path=xl/ctrlProps/ctrlProp675.xml><?xml version="1.0" encoding="utf-8"?>
<formControlPr xmlns="http://schemas.microsoft.com/office/spreadsheetml/2009/9/main" objectType="CheckBox" checked="Checked" lockText="1" noThreeD="1"/>
</file>

<file path=xl/ctrlProps/ctrlProp676.xml><?xml version="1.0" encoding="utf-8"?>
<formControlPr xmlns="http://schemas.microsoft.com/office/spreadsheetml/2009/9/main" objectType="CheckBox" fmlaLink="$Q$13" lockText="1" noThreeD="1"/>
</file>

<file path=xl/ctrlProps/ctrlProp677.xml><?xml version="1.0" encoding="utf-8"?>
<formControlPr xmlns="http://schemas.microsoft.com/office/spreadsheetml/2009/9/main" objectType="CheckBox" checked="Checked" lockText="1" noThreeD="1"/>
</file>

<file path=xl/ctrlProps/ctrlProp678.xml><?xml version="1.0" encoding="utf-8"?>
<formControlPr xmlns="http://schemas.microsoft.com/office/spreadsheetml/2009/9/main" objectType="CheckBox" fmlaLink="$Q$14" lockText="1" noThreeD="1"/>
</file>

<file path=xl/ctrlProps/ctrlProp679.xml><?xml version="1.0" encoding="utf-8"?>
<formControlPr xmlns="http://schemas.microsoft.com/office/spreadsheetml/2009/9/main" objectType="CheckBox" checked="Checked" lockText="1" noThreeD="1"/>
</file>

<file path=xl/ctrlProps/ctrlProp680.xml><?xml version="1.0" encoding="utf-8"?>
<formControlPr xmlns="http://schemas.microsoft.com/office/spreadsheetml/2009/9/main" objectType="CheckBox" checked="Checked" fmlaLink="$Q$15" lockText="1" noThreeD="1"/>
</file>

<file path=xl/ctrlProps/ctrlProp681.xml><?xml version="1.0" encoding="utf-8"?>
<formControlPr xmlns="http://schemas.microsoft.com/office/spreadsheetml/2009/9/main" objectType="CheckBox" fmlaLink="$Q$16" lockText="1" noThreeD="1"/>
</file>

<file path=xl/ctrlProps/ctrlProp682.xml><?xml version="1.0" encoding="utf-8"?>
<formControlPr xmlns="http://schemas.microsoft.com/office/spreadsheetml/2009/9/main" objectType="CheckBox" checked="Checked" fmlaLink="$R$10" lockText="1" noThreeD="1"/>
</file>

<file path=xl/ctrlProps/ctrlProp683.xml><?xml version="1.0" encoding="utf-8"?>
<formControlPr xmlns="http://schemas.microsoft.com/office/spreadsheetml/2009/9/main" objectType="CheckBox" checked="Checked" fmlaLink="$R$11" lockText="1" noThreeD="1"/>
</file>

<file path=xl/ctrlProps/ctrlProp684.xml><?xml version="1.0" encoding="utf-8"?>
<formControlPr xmlns="http://schemas.microsoft.com/office/spreadsheetml/2009/9/main" objectType="CheckBox" checked="Checked" fmlaLink="$R$12" lockText="1" noThreeD="1"/>
</file>

<file path=xl/ctrlProps/ctrlProp685.xml><?xml version="1.0" encoding="utf-8"?>
<formControlPr xmlns="http://schemas.microsoft.com/office/spreadsheetml/2009/9/main" objectType="CheckBox" checked="Checked" lockText="1" noThreeD="1"/>
</file>

<file path=xl/ctrlProps/ctrlProp686.xml><?xml version="1.0" encoding="utf-8"?>
<formControlPr xmlns="http://schemas.microsoft.com/office/spreadsheetml/2009/9/main" objectType="CheckBox" fmlaLink="$R$13" lockText="1" noThreeD="1"/>
</file>

<file path=xl/ctrlProps/ctrlProp687.xml><?xml version="1.0" encoding="utf-8"?>
<formControlPr xmlns="http://schemas.microsoft.com/office/spreadsheetml/2009/9/main" objectType="CheckBox" checked="Checked" lockText="1" noThreeD="1"/>
</file>

<file path=xl/ctrlProps/ctrlProp688.xml><?xml version="1.0" encoding="utf-8"?>
<formControlPr xmlns="http://schemas.microsoft.com/office/spreadsheetml/2009/9/main" objectType="CheckBox" fmlaLink="$R$14" lockText="1" noThreeD="1"/>
</file>

<file path=xl/ctrlProps/ctrlProp689.xml><?xml version="1.0" encoding="utf-8"?>
<formControlPr xmlns="http://schemas.microsoft.com/office/spreadsheetml/2009/9/main" objectType="CheckBox" checked="Checked" lockText="1" noThreeD="1"/>
</file>

<file path=xl/ctrlProps/ctrlProp690.xml><?xml version="1.0" encoding="utf-8"?>
<formControlPr xmlns="http://schemas.microsoft.com/office/spreadsheetml/2009/9/main" objectType="CheckBox" checked="Checked" fmlaLink="$R$15" lockText="1" noThreeD="1"/>
</file>

<file path=xl/ctrlProps/ctrlProp691.xml><?xml version="1.0" encoding="utf-8"?>
<formControlPr xmlns="http://schemas.microsoft.com/office/spreadsheetml/2009/9/main" objectType="CheckBox" fmlaLink="$R$16" lockText="1" noThreeD="1"/>
</file>

<file path=xl/ctrlProps/ctrlProp692.xml><?xml version="1.0" encoding="utf-8"?>
<formControlPr xmlns="http://schemas.microsoft.com/office/spreadsheetml/2009/9/main" objectType="CheckBox" checked="Checked" fmlaLink="$S$10" lockText="1" noThreeD="1"/>
</file>

<file path=xl/ctrlProps/ctrlProp693.xml><?xml version="1.0" encoding="utf-8"?>
<formControlPr xmlns="http://schemas.microsoft.com/office/spreadsheetml/2009/9/main" objectType="CheckBox" checked="Checked" fmlaLink="$S$11" lockText="1" noThreeD="1"/>
</file>

<file path=xl/ctrlProps/ctrlProp694.xml><?xml version="1.0" encoding="utf-8"?>
<formControlPr xmlns="http://schemas.microsoft.com/office/spreadsheetml/2009/9/main" objectType="CheckBox" checked="Checked" fmlaLink="$S$12" lockText="1" noThreeD="1"/>
</file>

<file path=xl/ctrlProps/ctrlProp695.xml><?xml version="1.0" encoding="utf-8"?>
<formControlPr xmlns="http://schemas.microsoft.com/office/spreadsheetml/2009/9/main" objectType="CheckBox" checked="Checked" lockText="1" noThreeD="1"/>
</file>

<file path=xl/ctrlProps/ctrlProp696.xml><?xml version="1.0" encoding="utf-8"?>
<formControlPr xmlns="http://schemas.microsoft.com/office/spreadsheetml/2009/9/main" objectType="CheckBox" fmlaLink="$S$13" lockText="1" noThreeD="1"/>
</file>

<file path=xl/ctrlProps/ctrlProp697.xml><?xml version="1.0" encoding="utf-8"?>
<formControlPr xmlns="http://schemas.microsoft.com/office/spreadsheetml/2009/9/main" objectType="CheckBox" checked="Checked" lockText="1" noThreeD="1"/>
</file>

<file path=xl/ctrlProps/ctrlProp698.xml><?xml version="1.0" encoding="utf-8"?>
<formControlPr xmlns="http://schemas.microsoft.com/office/spreadsheetml/2009/9/main" objectType="CheckBox" fmlaLink="$S$14" lockText="1" noThreeD="1"/>
</file>

<file path=xl/ctrlProps/ctrlProp699.xml><?xml version="1.0" encoding="utf-8"?>
<formControlPr xmlns="http://schemas.microsoft.com/office/spreadsheetml/2009/9/main" objectType="CheckBox" checked="Checked" lockText="1" noThreeD="1"/>
</file>

<file path=xl/ctrlProps/ctrlProp700.xml><?xml version="1.0" encoding="utf-8"?>
<formControlPr xmlns="http://schemas.microsoft.com/office/spreadsheetml/2009/9/main" objectType="CheckBox" checked="Checked" fmlaLink="$S$15" lockText="1" noThreeD="1"/>
</file>

<file path=xl/ctrlProps/ctrlProp701.xml><?xml version="1.0" encoding="utf-8"?>
<formControlPr xmlns="http://schemas.microsoft.com/office/spreadsheetml/2009/9/main" objectType="CheckBox" fmlaLink="$S$16" lockText="1" noThreeD="1"/>
</file>

<file path=xl/ctrlProps/ctrlProp702.xml><?xml version="1.0" encoding="utf-8"?>
<formControlPr xmlns="http://schemas.microsoft.com/office/spreadsheetml/2009/9/main" objectType="CheckBox" checked="Checked" fmlaLink="$T$10" lockText="1" noThreeD="1"/>
</file>

<file path=xl/ctrlProps/ctrlProp703.xml><?xml version="1.0" encoding="utf-8"?>
<formControlPr xmlns="http://schemas.microsoft.com/office/spreadsheetml/2009/9/main" objectType="CheckBox" checked="Checked" fmlaLink="$T$11" lockText="1" noThreeD="1"/>
</file>

<file path=xl/ctrlProps/ctrlProp704.xml><?xml version="1.0" encoding="utf-8"?>
<formControlPr xmlns="http://schemas.microsoft.com/office/spreadsheetml/2009/9/main" objectType="CheckBox" checked="Checked" fmlaLink="$T$12" lockText="1" noThreeD="1"/>
</file>

<file path=xl/ctrlProps/ctrlProp705.xml><?xml version="1.0" encoding="utf-8"?>
<formControlPr xmlns="http://schemas.microsoft.com/office/spreadsheetml/2009/9/main" objectType="CheckBox" checked="Checked" lockText="1" noThreeD="1"/>
</file>

<file path=xl/ctrlProps/ctrlProp706.xml><?xml version="1.0" encoding="utf-8"?>
<formControlPr xmlns="http://schemas.microsoft.com/office/spreadsheetml/2009/9/main" objectType="CheckBox" fmlaLink="$T$13" lockText="1" noThreeD="1"/>
</file>

<file path=xl/ctrlProps/ctrlProp707.xml><?xml version="1.0" encoding="utf-8"?>
<formControlPr xmlns="http://schemas.microsoft.com/office/spreadsheetml/2009/9/main" objectType="CheckBox" checked="Checked" lockText="1" noThreeD="1"/>
</file>

<file path=xl/ctrlProps/ctrlProp708.xml><?xml version="1.0" encoding="utf-8"?>
<formControlPr xmlns="http://schemas.microsoft.com/office/spreadsheetml/2009/9/main" objectType="CheckBox" fmlaLink="$T$14" lockText="1" noThreeD="1"/>
</file>

<file path=xl/ctrlProps/ctrlProp709.xml><?xml version="1.0" encoding="utf-8"?>
<formControlPr xmlns="http://schemas.microsoft.com/office/spreadsheetml/2009/9/main" objectType="CheckBox" checked="Checked" lockText="1" noThreeD="1"/>
</file>

<file path=xl/ctrlProps/ctrlProp710.xml><?xml version="1.0" encoding="utf-8"?>
<formControlPr xmlns="http://schemas.microsoft.com/office/spreadsheetml/2009/9/main" objectType="CheckBox" checked="Checked" fmlaLink="$T$15" lockText="1" noThreeD="1"/>
</file>

<file path=xl/ctrlProps/ctrlProp711.xml><?xml version="1.0" encoding="utf-8"?>
<formControlPr xmlns="http://schemas.microsoft.com/office/spreadsheetml/2009/9/main" objectType="CheckBox" fmlaLink="$T$16" lockText="1" noThreeD="1"/>
</file>

<file path=xl/ctrlProps/ctrlProp712.xml><?xml version="1.0" encoding="utf-8"?>
<formControlPr xmlns="http://schemas.microsoft.com/office/spreadsheetml/2009/9/main" objectType="CheckBox" fmlaLink="$G$20" lockText="1" noThreeD="1"/>
</file>

<file path=xl/ctrlProps/ctrlProp713.xml><?xml version="1.0" encoding="utf-8"?>
<formControlPr xmlns="http://schemas.microsoft.com/office/spreadsheetml/2009/9/main" objectType="CheckBox" fmlaLink="$G$21" lockText="1" noThreeD="1"/>
</file>

<file path=xl/ctrlProps/ctrlProp714.xml><?xml version="1.0" encoding="utf-8"?>
<formControlPr xmlns="http://schemas.microsoft.com/office/spreadsheetml/2009/9/main" objectType="CheckBox" fmlaLink="$G$22" lockText="1" noThreeD="1"/>
</file>

<file path=xl/ctrlProps/ctrlProp715.xml><?xml version="1.0" encoding="utf-8"?>
<formControlPr xmlns="http://schemas.microsoft.com/office/spreadsheetml/2009/9/main" objectType="CheckBox" fmlaLink="$G$23" lockText="1" noThreeD="1"/>
</file>

<file path=xl/ctrlProps/ctrlProp716.xml><?xml version="1.0" encoding="utf-8"?>
<formControlPr xmlns="http://schemas.microsoft.com/office/spreadsheetml/2009/9/main" objectType="CheckBox" fmlaLink="$G$24" lockText="1" noThreeD="1"/>
</file>

<file path=xl/ctrlProps/ctrlProp717.xml><?xml version="1.0" encoding="utf-8"?>
<formControlPr xmlns="http://schemas.microsoft.com/office/spreadsheetml/2009/9/main" objectType="CheckBox" fmlaLink="$G$25" lockText="1" noThreeD="1"/>
</file>

<file path=xl/ctrlProps/ctrlProp718.xml><?xml version="1.0" encoding="utf-8"?>
<formControlPr xmlns="http://schemas.microsoft.com/office/spreadsheetml/2009/9/main" objectType="CheckBox" fmlaLink="$G$26" lockText="1" noThreeD="1"/>
</file>

<file path=xl/ctrlProps/ctrlProp719.xml><?xml version="1.0" encoding="utf-8"?>
<formControlPr xmlns="http://schemas.microsoft.com/office/spreadsheetml/2009/9/main" objectType="CheckBox" fmlaLink="$H$20" lockText="1" noThreeD="1"/>
</file>

<file path=xl/ctrlProps/ctrlProp720.xml><?xml version="1.0" encoding="utf-8"?>
<formControlPr xmlns="http://schemas.microsoft.com/office/spreadsheetml/2009/9/main" objectType="CheckBox" fmlaLink="$H$21" lockText="1" noThreeD="1"/>
</file>

<file path=xl/ctrlProps/ctrlProp721.xml><?xml version="1.0" encoding="utf-8"?>
<formControlPr xmlns="http://schemas.microsoft.com/office/spreadsheetml/2009/9/main" objectType="CheckBox" fmlaLink="$H$22" lockText="1" noThreeD="1"/>
</file>

<file path=xl/ctrlProps/ctrlProp722.xml><?xml version="1.0" encoding="utf-8"?>
<formControlPr xmlns="http://schemas.microsoft.com/office/spreadsheetml/2009/9/main" objectType="CheckBox" fmlaLink="$H$23" lockText="1" noThreeD="1"/>
</file>

<file path=xl/ctrlProps/ctrlProp723.xml><?xml version="1.0" encoding="utf-8"?>
<formControlPr xmlns="http://schemas.microsoft.com/office/spreadsheetml/2009/9/main" objectType="CheckBox" fmlaLink="$H$24" lockText="1" noThreeD="1"/>
</file>

<file path=xl/ctrlProps/ctrlProp724.xml><?xml version="1.0" encoding="utf-8"?>
<formControlPr xmlns="http://schemas.microsoft.com/office/spreadsheetml/2009/9/main" objectType="CheckBox" fmlaLink="$H$25" lockText="1" noThreeD="1"/>
</file>

<file path=xl/ctrlProps/ctrlProp725.xml><?xml version="1.0" encoding="utf-8"?>
<formControlPr xmlns="http://schemas.microsoft.com/office/spreadsheetml/2009/9/main" objectType="CheckBox" fmlaLink="$H$26" lockText="1" noThreeD="1"/>
</file>

<file path=xl/ctrlProps/ctrlProp726.xml><?xml version="1.0" encoding="utf-8"?>
<formControlPr xmlns="http://schemas.microsoft.com/office/spreadsheetml/2009/9/main" objectType="CheckBox" fmlaLink="$I$20" lockText="1" noThreeD="1"/>
</file>

<file path=xl/ctrlProps/ctrlProp727.xml><?xml version="1.0" encoding="utf-8"?>
<formControlPr xmlns="http://schemas.microsoft.com/office/spreadsheetml/2009/9/main" objectType="CheckBox" fmlaLink="$I$21" lockText="1" noThreeD="1"/>
</file>

<file path=xl/ctrlProps/ctrlProp728.xml><?xml version="1.0" encoding="utf-8"?>
<formControlPr xmlns="http://schemas.microsoft.com/office/spreadsheetml/2009/9/main" objectType="CheckBox" fmlaLink="$I$22" lockText="1" noThreeD="1"/>
</file>

<file path=xl/ctrlProps/ctrlProp729.xml><?xml version="1.0" encoding="utf-8"?>
<formControlPr xmlns="http://schemas.microsoft.com/office/spreadsheetml/2009/9/main" objectType="CheckBox" fmlaLink="$I$23" lockText="1" noThreeD="1"/>
</file>

<file path=xl/ctrlProps/ctrlProp730.xml><?xml version="1.0" encoding="utf-8"?>
<formControlPr xmlns="http://schemas.microsoft.com/office/spreadsheetml/2009/9/main" objectType="CheckBox" fmlaLink="$I$24" lockText="1" noThreeD="1"/>
</file>

<file path=xl/ctrlProps/ctrlProp731.xml><?xml version="1.0" encoding="utf-8"?>
<formControlPr xmlns="http://schemas.microsoft.com/office/spreadsheetml/2009/9/main" objectType="CheckBox" fmlaLink="$I$25" lockText="1" noThreeD="1"/>
</file>

<file path=xl/ctrlProps/ctrlProp732.xml><?xml version="1.0" encoding="utf-8"?>
<formControlPr xmlns="http://schemas.microsoft.com/office/spreadsheetml/2009/9/main" objectType="CheckBox" fmlaLink="$I$26" lockText="1" noThreeD="1"/>
</file>

<file path=xl/ctrlProps/ctrlProp733.xml><?xml version="1.0" encoding="utf-8"?>
<formControlPr xmlns="http://schemas.microsoft.com/office/spreadsheetml/2009/9/main" objectType="CheckBox" fmlaLink="$J$20" lockText="1" noThreeD="1"/>
</file>

<file path=xl/ctrlProps/ctrlProp734.xml><?xml version="1.0" encoding="utf-8"?>
<formControlPr xmlns="http://schemas.microsoft.com/office/spreadsheetml/2009/9/main" objectType="CheckBox" fmlaLink="$J$21" lockText="1" noThreeD="1"/>
</file>

<file path=xl/ctrlProps/ctrlProp735.xml><?xml version="1.0" encoding="utf-8"?>
<formControlPr xmlns="http://schemas.microsoft.com/office/spreadsheetml/2009/9/main" objectType="CheckBox" fmlaLink="$J$22" lockText="1" noThreeD="1"/>
</file>

<file path=xl/ctrlProps/ctrlProp736.xml><?xml version="1.0" encoding="utf-8"?>
<formControlPr xmlns="http://schemas.microsoft.com/office/spreadsheetml/2009/9/main" objectType="CheckBox" fmlaLink="$J$23" lockText="1" noThreeD="1"/>
</file>

<file path=xl/ctrlProps/ctrlProp737.xml><?xml version="1.0" encoding="utf-8"?>
<formControlPr xmlns="http://schemas.microsoft.com/office/spreadsheetml/2009/9/main" objectType="CheckBox" fmlaLink="$J$24" lockText="1" noThreeD="1"/>
</file>

<file path=xl/ctrlProps/ctrlProp738.xml><?xml version="1.0" encoding="utf-8"?>
<formControlPr xmlns="http://schemas.microsoft.com/office/spreadsheetml/2009/9/main" objectType="CheckBox" fmlaLink="$J$25" lockText="1" noThreeD="1"/>
</file>

<file path=xl/ctrlProps/ctrlProp739.xml><?xml version="1.0" encoding="utf-8"?>
<formControlPr xmlns="http://schemas.microsoft.com/office/spreadsheetml/2009/9/main" objectType="CheckBox" fmlaLink="$J$26" lockText="1" noThreeD="1"/>
</file>

<file path=xl/ctrlProps/ctrlProp740.xml><?xml version="1.0" encoding="utf-8"?>
<formControlPr xmlns="http://schemas.microsoft.com/office/spreadsheetml/2009/9/main" objectType="CheckBox" fmlaLink="$K$20" lockText="1" noThreeD="1"/>
</file>

<file path=xl/ctrlProps/ctrlProp741.xml><?xml version="1.0" encoding="utf-8"?>
<formControlPr xmlns="http://schemas.microsoft.com/office/spreadsheetml/2009/9/main" objectType="CheckBox" fmlaLink="$K$21" lockText="1" noThreeD="1"/>
</file>

<file path=xl/ctrlProps/ctrlProp742.xml><?xml version="1.0" encoding="utf-8"?>
<formControlPr xmlns="http://schemas.microsoft.com/office/spreadsheetml/2009/9/main" objectType="CheckBox" fmlaLink="$K$22" lockText="1" noThreeD="1"/>
</file>

<file path=xl/ctrlProps/ctrlProp743.xml><?xml version="1.0" encoding="utf-8"?>
<formControlPr xmlns="http://schemas.microsoft.com/office/spreadsheetml/2009/9/main" objectType="CheckBox" fmlaLink="$K$23" lockText="1" noThreeD="1"/>
</file>

<file path=xl/ctrlProps/ctrlProp744.xml><?xml version="1.0" encoding="utf-8"?>
<formControlPr xmlns="http://schemas.microsoft.com/office/spreadsheetml/2009/9/main" objectType="CheckBox" fmlaLink="$K$24" lockText="1" noThreeD="1"/>
</file>

<file path=xl/ctrlProps/ctrlProp745.xml><?xml version="1.0" encoding="utf-8"?>
<formControlPr xmlns="http://schemas.microsoft.com/office/spreadsheetml/2009/9/main" objectType="CheckBox" fmlaLink="$K$25" lockText="1" noThreeD="1"/>
</file>

<file path=xl/ctrlProps/ctrlProp746.xml><?xml version="1.0" encoding="utf-8"?>
<formControlPr xmlns="http://schemas.microsoft.com/office/spreadsheetml/2009/9/main" objectType="CheckBox" fmlaLink="$K$26" lockText="1" noThreeD="1"/>
</file>

<file path=xl/ctrlProps/ctrlProp747.xml><?xml version="1.0" encoding="utf-8"?>
<formControlPr xmlns="http://schemas.microsoft.com/office/spreadsheetml/2009/9/main" objectType="CheckBox" fmlaLink="$L$20" lockText="1" noThreeD="1"/>
</file>

<file path=xl/ctrlProps/ctrlProp748.xml><?xml version="1.0" encoding="utf-8"?>
<formControlPr xmlns="http://schemas.microsoft.com/office/spreadsheetml/2009/9/main" objectType="CheckBox" fmlaLink="$L$21" lockText="1" noThreeD="1"/>
</file>

<file path=xl/ctrlProps/ctrlProp749.xml><?xml version="1.0" encoding="utf-8"?>
<formControlPr xmlns="http://schemas.microsoft.com/office/spreadsheetml/2009/9/main" objectType="CheckBox" fmlaLink="$L$22" lockText="1" noThreeD="1"/>
</file>

<file path=xl/ctrlProps/ctrlProp750.xml><?xml version="1.0" encoding="utf-8"?>
<formControlPr xmlns="http://schemas.microsoft.com/office/spreadsheetml/2009/9/main" objectType="CheckBox" fmlaLink="$L$23" lockText="1" noThreeD="1"/>
</file>

<file path=xl/ctrlProps/ctrlProp751.xml><?xml version="1.0" encoding="utf-8"?>
<formControlPr xmlns="http://schemas.microsoft.com/office/spreadsheetml/2009/9/main" objectType="CheckBox" fmlaLink="$L$24" lockText="1" noThreeD="1"/>
</file>

<file path=xl/ctrlProps/ctrlProp752.xml><?xml version="1.0" encoding="utf-8"?>
<formControlPr xmlns="http://schemas.microsoft.com/office/spreadsheetml/2009/9/main" objectType="CheckBox" fmlaLink="$L$25" lockText="1" noThreeD="1"/>
</file>

<file path=xl/ctrlProps/ctrlProp753.xml><?xml version="1.0" encoding="utf-8"?>
<formControlPr xmlns="http://schemas.microsoft.com/office/spreadsheetml/2009/9/main" objectType="CheckBox" fmlaLink="$L$26" lockText="1" noThreeD="1"/>
</file>

<file path=xl/ctrlProps/ctrlProp754.xml><?xml version="1.0" encoding="utf-8"?>
<formControlPr xmlns="http://schemas.microsoft.com/office/spreadsheetml/2009/9/main" objectType="CheckBox" fmlaLink="$M$20" lockText="1" noThreeD="1"/>
</file>

<file path=xl/ctrlProps/ctrlProp755.xml><?xml version="1.0" encoding="utf-8"?>
<formControlPr xmlns="http://schemas.microsoft.com/office/spreadsheetml/2009/9/main" objectType="CheckBox" fmlaLink="$M$21" lockText="1" noThreeD="1"/>
</file>

<file path=xl/ctrlProps/ctrlProp756.xml><?xml version="1.0" encoding="utf-8"?>
<formControlPr xmlns="http://schemas.microsoft.com/office/spreadsheetml/2009/9/main" objectType="CheckBox" fmlaLink="$M$22" lockText="1" noThreeD="1"/>
</file>

<file path=xl/ctrlProps/ctrlProp757.xml><?xml version="1.0" encoding="utf-8"?>
<formControlPr xmlns="http://schemas.microsoft.com/office/spreadsheetml/2009/9/main" objectType="CheckBox" fmlaLink="$M$23" lockText="1" noThreeD="1"/>
</file>

<file path=xl/ctrlProps/ctrlProp758.xml><?xml version="1.0" encoding="utf-8"?>
<formControlPr xmlns="http://schemas.microsoft.com/office/spreadsheetml/2009/9/main" objectType="CheckBox" fmlaLink="$M$24" lockText="1" noThreeD="1"/>
</file>

<file path=xl/ctrlProps/ctrlProp759.xml><?xml version="1.0" encoding="utf-8"?>
<formControlPr xmlns="http://schemas.microsoft.com/office/spreadsheetml/2009/9/main" objectType="CheckBox" fmlaLink="$M$25" lockText="1" noThreeD="1"/>
</file>

<file path=xl/ctrlProps/ctrlProp760.xml><?xml version="1.0" encoding="utf-8"?>
<formControlPr xmlns="http://schemas.microsoft.com/office/spreadsheetml/2009/9/main" objectType="CheckBox" fmlaLink="$M$26" lockText="1" noThreeD="1"/>
</file>

<file path=xl/ctrlProps/ctrlProp761.xml><?xml version="1.0" encoding="utf-8"?>
<formControlPr xmlns="http://schemas.microsoft.com/office/spreadsheetml/2009/9/main" objectType="CheckBox" fmlaLink="$D$47" lockText="1" noThreeD="1"/>
</file>

<file path=xl/ctrlProps/ctrlProp762.xml><?xml version="1.0" encoding="utf-8"?>
<formControlPr xmlns="http://schemas.microsoft.com/office/spreadsheetml/2009/9/main" objectType="CheckBox" checked="Checked" fmlaLink="$E$22" lockText="1" noThreeD="1"/>
</file>

<file path=xl/ctrlProps/ctrlProp763.xml><?xml version="1.0" encoding="utf-8"?>
<formControlPr xmlns="http://schemas.microsoft.com/office/spreadsheetml/2009/9/main" objectType="CheckBox" checked="Checked" fmlaLink="$D$12" lockText="1" noThreeD="1"/>
</file>

<file path=xl/ctrlProps/ctrlProp764.xml><?xml version="1.0" encoding="utf-8"?>
<formControlPr xmlns="http://schemas.microsoft.com/office/spreadsheetml/2009/9/main" objectType="CheckBox" fmlaLink="$D$6" lockText="1" noThreeD="1"/>
</file>

<file path=xl/ctrlProps/ctrlProp765.xml><?xml version="1.0" encoding="utf-8"?>
<formControlPr xmlns="http://schemas.microsoft.com/office/spreadsheetml/2009/9/main" objectType="CheckBox" fmlaLink="$D$8" lockText="1" noThreeD="1"/>
</file>

<file path=xl/ctrlProps/ctrlProp766.xml><?xml version="1.0" encoding="utf-8"?>
<formControlPr xmlns="http://schemas.microsoft.com/office/spreadsheetml/2009/9/main" objectType="CheckBox" fmlaLink="$D$10" lockText="1" noThreeD="1"/>
</file>

<file path=xl/ctrlProps/ctrlProp767.xml><?xml version="1.0" encoding="utf-8"?>
<formControlPr xmlns="http://schemas.microsoft.com/office/spreadsheetml/2009/9/main" objectType="CheckBox" fmlaLink="$AH$20" lockText="1" noThreeD="1"/>
</file>

<file path=xl/ctrlProps/ctrlProp768.xml><?xml version="1.0" encoding="utf-8"?>
<formControlPr xmlns="http://schemas.microsoft.com/office/spreadsheetml/2009/9/main" objectType="CheckBox" fmlaLink="$AH$21" lockText="1" noThreeD="1"/>
</file>

<file path=xl/ctrlProps/ctrlProp769.xml><?xml version="1.0" encoding="utf-8"?>
<formControlPr xmlns="http://schemas.microsoft.com/office/spreadsheetml/2009/9/main" objectType="CheckBox" fmlaLink="$AH$22" lockText="1" noThreeD="1"/>
</file>

<file path=xl/ctrlProps/ctrlProp770.xml><?xml version="1.0" encoding="utf-8"?>
<formControlPr xmlns="http://schemas.microsoft.com/office/spreadsheetml/2009/9/main" objectType="CheckBox" checked="Checked" fmlaLink="$AM$20" lockText="1" noThreeD="1"/>
</file>

<file path=xl/ctrlProps/ctrlProp771.xml><?xml version="1.0" encoding="utf-8"?>
<formControlPr xmlns="http://schemas.microsoft.com/office/spreadsheetml/2009/9/main" objectType="CheckBox" checked="Checked" fmlaLink="$AM$21" lockText="1" noThreeD="1"/>
</file>

<file path=xl/ctrlProps/ctrlProp772.xml><?xml version="1.0" encoding="utf-8"?>
<formControlPr xmlns="http://schemas.microsoft.com/office/spreadsheetml/2009/9/main" objectType="CheckBox" checked="Checked" fmlaLink="$AM$22" lockText="1" noThreeD="1"/>
</file>

<file path=xl/ctrlProps/ctrlProp773.xml><?xml version="1.0" encoding="utf-8"?>
<formControlPr xmlns="http://schemas.microsoft.com/office/spreadsheetml/2009/9/main" objectType="CheckBox" fmlaLink="$M$23" lockText="1" noThreeD="1"/>
</file>

<file path=xl/ctrlProps/ctrlProp774.xml><?xml version="1.0" encoding="utf-8"?>
<formControlPr xmlns="http://schemas.microsoft.com/office/spreadsheetml/2009/9/main" objectType="CheckBox" fmlaLink="$M$24" lockText="1" noThreeD="1"/>
</file>

<file path=xl/ctrlProps/ctrlProp775.xml><?xml version="1.0" encoding="utf-8"?>
<formControlPr xmlns="http://schemas.microsoft.com/office/spreadsheetml/2009/9/main" objectType="CheckBox" fmlaLink="$M$25" lockText="1" noThreeD="1"/>
</file>

<file path=xl/ctrlProps/ctrlProp776.xml><?xml version="1.0" encoding="utf-8"?>
<formControlPr xmlns="http://schemas.microsoft.com/office/spreadsheetml/2009/9/main" objectType="CheckBox" checked="Checked" fmlaLink="$R$23" lockText="1" noThreeD="1"/>
</file>

<file path=xl/ctrlProps/ctrlProp777.xml><?xml version="1.0" encoding="utf-8"?>
<formControlPr xmlns="http://schemas.microsoft.com/office/spreadsheetml/2009/9/main" objectType="CheckBox" checked="Checked" fmlaLink="$R$24" lockText="1" noThreeD="1"/>
</file>

<file path=xl/ctrlProps/ctrlProp778.xml><?xml version="1.0" encoding="utf-8"?>
<formControlPr xmlns="http://schemas.microsoft.com/office/spreadsheetml/2009/9/main" objectType="CheckBox" checked="Checked" fmlaLink="$R$25" lockText="1" noThreeD="1"/>
</file>

<file path=xl/ctrlProps/ctrlProp779.xml><?xml version="1.0" encoding="utf-8"?>
<formControlPr xmlns="http://schemas.microsoft.com/office/spreadsheetml/2009/9/main" objectType="CheckBox" fmlaLink="$U$26" lockText="1" noThreeD="1"/>
</file>

<file path=xl/ctrlProps/ctrlProp780.xml><?xml version="1.0" encoding="utf-8"?>
<formControlPr xmlns="http://schemas.microsoft.com/office/spreadsheetml/2009/9/main" objectType="CheckBox" checked="Checked" fmlaLink="$X$26" lockText="1" noThreeD="1"/>
</file>

<file path=xl/ctrlProps/ctrlProp781.xml><?xml version="1.0" encoding="utf-8"?>
<formControlPr xmlns="http://schemas.microsoft.com/office/spreadsheetml/2009/9/main" objectType="CheckBox" fmlaLink="$U$43" lockText="1" noThreeD="1"/>
</file>

<file path=xl/ctrlProps/ctrlProp782.xml><?xml version="1.0" encoding="utf-8"?>
<formControlPr xmlns="http://schemas.microsoft.com/office/spreadsheetml/2009/9/main" objectType="CheckBox" checked="Checked" fmlaLink="$X$43"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4232</xdr:colOff>
      <xdr:row>3</xdr:row>
      <xdr:rowOff>134408</xdr:rowOff>
    </xdr:from>
    <xdr:to>
      <xdr:col>17</xdr:col>
      <xdr:colOff>223307</xdr:colOff>
      <xdr:row>8</xdr:row>
      <xdr:rowOff>91016</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85682" y="604308"/>
          <a:ext cx="765175" cy="79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55032</xdr:colOff>
      <xdr:row>4</xdr:row>
      <xdr:rowOff>20108</xdr:rowOff>
    </xdr:from>
    <xdr:to>
      <xdr:col>34</xdr:col>
      <xdr:colOff>39157</xdr:colOff>
      <xdr:row>8</xdr:row>
      <xdr:rowOff>100542</xdr:rowOff>
    </xdr:to>
    <xdr:pic>
      <xdr:nvPicPr>
        <xdr:cNvPr id="3" name="Picture 22" descr="BEIS 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r="28366" b="28244"/>
        <a:stretch>
          <a:fillRect/>
        </a:stretch>
      </xdr:blipFill>
      <xdr:spPr bwMode="auto">
        <a:xfrm>
          <a:off x="8405282" y="686858"/>
          <a:ext cx="803275" cy="72178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31750</xdr:colOff>
          <xdr:row>31</xdr:row>
          <xdr:rowOff>50800</xdr:rowOff>
        </xdr:from>
        <xdr:to>
          <xdr:col>3</xdr:col>
          <xdr:colOff>107950</xdr:colOff>
          <xdr:row>31</xdr:row>
          <xdr:rowOff>279400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4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4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33</xdr:row>
          <xdr:rowOff>50800</xdr:rowOff>
        </xdr:from>
        <xdr:to>
          <xdr:col>3</xdr:col>
          <xdr:colOff>107950</xdr:colOff>
          <xdr:row>33</xdr:row>
          <xdr:rowOff>266700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4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34</xdr:row>
          <xdr:rowOff>50800</xdr:rowOff>
        </xdr:from>
        <xdr:to>
          <xdr:col>3</xdr:col>
          <xdr:colOff>107950</xdr:colOff>
          <xdr:row>34</xdr:row>
          <xdr:rowOff>266700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4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32</xdr:row>
          <xdr:rowOff>50800</xdr:rowOff>
        </xdr:from>
        <xdr:to>
          <xdr:col>28</xdr:col>
          <xdr:colOff>107950</xdr:colOff>
          <xdr:row>32</xdr:row>
          <xdr:rowOff>279400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4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33</xdr:row>
          <xdr:rowOff>50800</xdr:rowOff>
        </xdr:from>
        <xdr:to>
          <xdr:col>28</xdr:col>
          <xdr:colOff>107950</xdr:colOff>
          <xdr:row>33</xdr:row>
          <xdr:rowOff>279400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4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4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4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47625</xdr:colOff>
      <xdr:row>21</xdr:row>
      <xdr:rowOff>133350</xdr:rowOff>
    </xdr:from>
    <xdr:to>
      <xdr:col>0</xdr:col>
      <xdr:colOff>119332</xdr:colOff>
      <xdr:row>22</xdr:row>
      <xdr:rowOff>134693</xdr:rowOff>
    </xdr:to>
    <xdr:grpSp>
      <xdr:nvGrpSpPr>
        <xdr:cNvPr id="2" name="Group 1577">
          <a:extLst>
            <a:ext uri="{FF2B5EF4-FFF2-40B4-BE49-F238E27FC236}">
              <a16:creationId xmlns:a16="http://schemas.microsoft.com/office/drawing/2014/main" id="{00000000-0008-0000-0D00-000002000000}"/>
            </a:ext>
          </a:extLst>
        </xdr:cNvPr>
        <xdr:cNvGrpSpPr>
          <a:grpSpLocks/>
        </xdr:cNvGrpSpPr>
      </xdr:nvGrpSpPr>
      <xdr:grpSpPr bwMode="auto">
        <a:xfrm>
          <a:off x="47625" y="6332672"/>
          <a:ext cx="71707" cy="324224"/>
          <a:chOff x="9" y="599"/>
          <a:chExt cx="20" cy="97"/>
        </a:xfrm>
      </xdr:grpSpPr>
      <xdr:sp macro="" textlink="">
        <xdr:nvSpPr>
          <xdr:cNvPr id="3" name="Line 1570">
            <a:extLst>
              <a:ext uri="{FF2B5EF4-FFF2-40B4-BE49-F238E27FC236}">
                <a16:creationId xmlns:a16="http://schemas.microsoft.com/office/drawing/2014/main" id="{00000000-0008-0000-0D00-000003000000}"/>
              </a:ext>
            </a:extLst>
          </xdr:cNvPr>
          <xdr:cNvSpPr>
            <a:spLocks noChangeShapeType="1"/>
          </xdr:cNvSpPr>
        </xdr:nvSpPr>
        <xdr:spPr bwMode="auto">
          <a:xfrm>
            <a:off x="11" y="599"/>
            <a:ext cx="0" cy="0"/>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4" name="Line 1571">
            <a:extLst>
              <a:ext uri="{FF2B5EF4-FFF2-40B4-BE49-F238E27FC236}">
                <a16:creationId xmlns:a16="http://schemas.microsoft.com/office/drawing/2014/main" id="{00000000-0008-0000-0D00-000004000000}"/>
              </a:ext>
            </a:extLst>
          </xdr:cNvPr>
          <xdr:cNvSpPr>
            <a:spLocks noChangeShapeType="1"/>
          </xdr:cNvSpPr>
        </xdr:nvSpPr>
        <xdr:spPr bwMode="auto">
          <a:xfrm flipV="1">
            <a:off x="9" y="695"/>
            <a:ext cx="15" cy="1"/>
          </a:xfrm>
          <a:prstGeom prst="line">
            <a:avLst/>
          </a:prstGeom>
          <a:ln>
            <a:headEnd/>
            <a:tailEnd type="triangle" w="med" len="med"/>
          </a:ln>
        </xdr:spPr>
        <xdr:style>
          <a:lnRef idx="2">
            <a:schemeClr val="dk1"/>
          </a:lnRef>
          <a:fillRef idx="0">
            <a:schemeClr val="dk1"/>
          </a:fillRef>
          <a:effectRef idx="1">
            <a:schemeClr val="dk1"/>
          </a:effectRef>
          <a:fontRef idx="minor">
            <a:schemeClr val="tx1"/>
          </a:fontRef>
        </xdr:style>
      </xdr:sp>
      <xdr:sp macro="" textlink="">
        <xdr:nvSpPr>
          <xdr:cNvPr id="5" name="Line 1573">
            <a:extLst>
              <a:ext uri="{FF2B5EF4-FFF2-40B4-BE49-F238E27FC236}">
                <a16:creationId xmlns:a16="http://schemas.microsoft.com/office/drawing/2014/main" id="{00000000-0008-0000-0D00-000005000000}"/>
              </a:ext>
            </a:extLst>
          </xdr:cNvPr>
          <xdr:cNvSpPr>
            <a:spLocks noChangeShapeType="1"/>
          </xdr:cNvSpPr>
        </xdr:nvSpPr>
        <xdr:spPr bwMode="auto">
          <a:xfrm flipV="1">
            <a:off x="9" y="607"/>
            <a:ext cx="0" cy="89"/>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6" name="Line 1576">
            <a:extLst>
              <a:ext uri="{FF2B5EF4-FFF2-40B4-BE49-F238E27FC236}">
                <a16:creationId xmlns:a16="http://schemas.microsoft.com/office/drawing/2014/main" id="{00000000-0008-0000-0D00-000006000000}"/>
              </a:ext>
            </a:extLst>
          </xdr:cNvPr>
          <xdr:cNvSpPr>
            <a:spLocks noChangeShapeType="1"/>
          </xdr:cNvSpPr>
        </xdr:nvSpPr>
        <xdr:spPr bwMode="auto">
          <a:xfrm>
            <a:off x="9" y="607"/>
            <a:ext cx="20" cy="0"/>
          </a:xfrm>
          <a:prstGeom prst="line">
            <a:avLst/>
          </a:prstGeom>
          <a:ln>
            <a:headEnd/>
            <a:tailEnd/>
          </a:ln>
        </xdr:spPr>
        <xdr:style>
          <a:lnRef idx="2">
            <a:schemeClr val="dk1"/>
          </a:lnRef>
          <a:fillRef idx="0">
            <a:schemeClr val="dk1"/>
          </a:fillRef>
          <a:effectRef idx="1">
            <a:schemeClr val="dk1"/>
          </a:effectRef>
          <a:fontRef idx="minor">
            <a:schemeClr val="tx1"/>
          </a:fontRef>
        </xdr:style>
      </xdr: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38100</xdr:colOff>
          <xdr:row>16</xdr:row>
          <xdr:rowOff>12700</xdr:rowOff>
        </xdr:from>
        <xdr:to>
          <xdr:col>18</xdr:col>
          <xdr:colOff>12700</xdr:colOff>
          <xdr:row>17</xdr:row>
          <xdr:rowOff>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11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50800</xdr:colOff>
          <xdr:row>16</xdr:row>
          <xdr:rowOff>12700</xdr:rowOff>
        </xdr:from>
        <xdr:to>
          <xdr:col>23</xdr:col>
          <xdr:colOff>12700</xdr:colOff>
          <xdr:row>17</xdr:row>
          <xdr:rowOff>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11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25</xdr:row>
          <xdr:rowOff>12700</xdr:rowOff>
        </xdr:from>
        <xdr:to>
          <xdr:col>18</xdr:col>
          <xdr:colOff>12700</xdr:colOff>
          <xdr:row>26</xdr:row>
          <xdr:rowOff>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11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xdr:row>
          <xdr:rowOff>12700</xdr:rowOff>
        </xdr:from>
        <xdr:to>
          <xdr:col>23</xdr:col>
          <xdr:colOff>12700</xdr:colOff>
          <xdr:row>26</xdr:row>
          <xdr:rowOff>0</xdr:rowOff>
        </xdr:to>
        <xdr:sp macro="" textlink="">
          <xdr:nvSpPr>
            <xdr:cNvPr id="26628" name="Check Box 4" hidden="1">
              <a:extLst>
                <a:ext uri="{63B3BB69-23CF-44E3-9099-C40C66FF867C}">
                  <a14:compatExt spid="_x0000_s26628"/>
                </a:ext>
                <a:ext uri="{FF2B5EF4-FFF2-40B4-BE49-F238E27FC236}">
                  <a16:creationId xmlns:a16="http://schemas.microsoft.com/office/drawing/2014/main" id="{00000000-0008-0000-1100-00000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12700</xdr:colOff>
          <xdr:row>4</xdr:row>
          <xdr:rowOff>12700</xdr:rowOff>
        </xdr:from>
        <xdr:to>
          <xdr:col>26</xdr:col>
          <xdr:colOff>260350</xdr:colOff>
          <xdr:row>4</xdr:row>
          <xdr:rowOff>241300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12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5</xdr:row>
          <xdr:rowOff>12700</xdr:rowOff>
        </xdr:from>
        <xdr:to>
          <xdr:col>26</xdr:col>
          <xdr:colOff>260350</xdr:colOff>
          <xdr:row>5</xdr:row>
          <xdr:rowOff>241300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12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xdr:row>
          <xdr:rowOff>12700</xdr:rowOff>
        </xdr:from>
        <xdr:to>
          <xdr:col>31</xdr:col>
          <xdr:colOff>260350</xdr:colOff>
          <xdr:row>4</xdr:row>
          <xdr:rowOff>241300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12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5</xdr:row>
          <xdr:rowOff>12700</xdr:rowOff>
        </xdr:from>
        <xdr:to>
          <xdr:col>31</xdr:col>
          <xdr:colOff>260350</xdr:colOff>
          <xdr:row>5</xdr:row>
          <xdr:rowOff>241300</xdr:rowOff>
        </xdr:to>
        <xdr:sp macro="" textlink="">
          <xdr:nvSpPr>
            <xdr:cNvPr id="27653" name="Check Box 5" hidden="1">
              <a:extLst>
                <a:ext uri="{63B3BB69-23CF-44E3-9099-C40C66FF867C}">
                  <a14:compatExt spid="_x0000_s27653"/>
                </a:ext>
                <a:ext uri="{FF2B5EF4-FFF2-40B4-BE49-F238E27FC236}">
                  <a16:creationId xmlns:a16="http://schemas.microsoft.com/office/drawing/2014/main" id="{00000000-0008-0000-1200-00000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6</xdr:col>
          <xdr:colOff>260350</xdr:colOff>
          <xdr:row>8</xdr:row>
          <xdr:rowOff>241300</xdr:rowOff>
        </xdr:to>
        <xdr:sp macro="" textlink="">
          <xdr:nvSpPr>
            <xdr:cNvPr id="27654" name="Check Box 6" hidden="1">
              <a:extLst>
                <a:ext uri="{63B3BB69-23CF-44E3-9099-C40C66FF867C}">
                  <a14:compatExt spid="_x0000_s27654"/>
                </a:ext>
                <a:ext uri="{FF2B5EF4-FFF2-40B4-BE49-F238E27FC236}">
                  <a16:creationId xmlns:a16="http://schemas.microsoft.com/office/drawing/2014/main" id="{00000000-0008-0000-1200-00000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9</xdr:row>
          <xdr:rowOff>12700</xdr:rowOff>
        </xdr:from>
        <xdr:to>
          <xdr:col>6</xdr:col>
          <xdr:colOff>260350</xdr:colOff>
          <xdr:row>9</xdr:row>
          <xdr:rowOff>241300</xdr:rowOff>
        </xdr:to>
        <xdr:sp macro="" textlink="">
          <xdr:nvSpPr>
            <xdr:cNvPr id="27655" name="Check Box 7" hidden="1">
              <a:extLst>
                <a:ext uri="{63B3BB69-23CF-44E3-9099-C40C66FF867C}">
                  <a14:compatExt spid="_x0000_s27655"/>
                </a:ext>
                <a:ext uri="{FF2B5EF4-FFF2-40B4-BE49-F238E27FC236}">
                  <a16:creationId xmlns:a16="http://schemas.microsoft.com/office/drawing/2014/main" id="{00000000-0008-0000-1200-00000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8</xdr:row>
          <xdr:rowOff>12700</xdr:rowOff>
        </xdr:from>
        <xdr:to>
          <xdr:col>16</xdr:col>
          <xdr:colOff>260350</xdr:colOff>
          <xdr:row>8</xdr:row>
          <xdr:rowOff>241300</xdr:rowOff>
        </xdr:to>
        <xdr:sp macro="" textlink="">
          <xdr:nvSpPr>
            <xdr:cNvPr id="27656" name="Check Box 8" hidden="1">
              <a:extLst>
                <a:ext uri="{63B3BB69-23CF-44E3-9099-C40C66FF867C}">
                  <a14:compatExt spid="_x0000_s27656"/>
                </a:ext>
                <a:ext uri="{FF2B5EF4-FFF2-40B4-BE49-F238E27FC236}">
                  <a16:creationId xmlns:a16="http://schemas.microsoft.com/office/drawing/2014/main" id="{00000000-0008-0000-1200-00000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9</xdr:row>
          <xdr:rowOff>12700</xdr:rowOff>
        </xdr:from>
        <xdr:to>
          <xdr:col>16</xdr:col>
          <xdr:colOff>260350</xdr:colOff>
          <xdr:row>9</xdr:row>
          <xdr:rowOff>241300</xdr:rowOff>
        </xdr:to>
        <xdr:sp macro="" textlink="">
          <xdr:nvSpPr>
            <xdr:cNvPr id="27657" name="Check Box 9" hidden="1">
              <a:extLst>
                <a:ext uri="{63B3BB69-23CF-44E3-9099-C40C66FF867C}">
                  <a14:compatExt spid="_x0000_s27657"/>
                </a:ext>
                <a:ext uri="{FF2B5EF4-FFF2-40B4-BE49-F238E27FC236}">
                  <a16:creationId xmlns:a16="http://schemas.microsoft.com/office/drawing/2014/main" id="{00000000-0008-0000-1200-00000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8</xdr:row>
          <xdr:rowOff>12700</xdr:rowOff>
        </xdr:from>
        <xdr:to>
          <xdr:col>26</xdr:col>
          <xdr:colOff>260350</xdr:colOff>
          <xdr:row>8</xdr:row>
          <xdr:rowOff>241300</xdr:rowOff>
        </xdr:to>
        <xdr:sp macro="" textlink="">
          <xdr:nvSpPr>
            <xdr:cNvPr id="27658" name="Check Box 10" hidden="1">
              <a:extLst>
                <a:ext uri="{63B3BB69-23CF-44E3-9099-C40C66FF867C}">
                  <a14:compatExt spid="_x0000_s27658"/>
                </a:ext>
                <a:ext uri="{FF2B5EF4-FFF2-40B4-BE49-F238E27FC236}">
                  <a16:creationId xmlns:a16="http://schemas.microsoft.com/office/drawing/2014/main" id="{00000000-0008-0000-12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11</xdr:row>
          <xdr:rowOff>12700</xdr:rowOff>
        </xdr:from>
        <xdr:to>
          <xdr:col>26</xdr:col>
          <xdr:colOff>260350</xdr:colOff>
          <xdr:row>11</xdr:row>
          <xdr:rowOff>241300</xdr:rowOff>
        </xdr:to>
        <xdr:sp macro="" textlink="">
          <xdr:nvSpPr>
            <xdr:cNvPr id="27659" name="Check Box 11" hidden="1">
              <a:extLst>
                <a:ext uri="{63B3BB69-23CF-44E3-9099-C40C66FF867C}">
                  <a14:compatExt spid="_x0000_s27659"/>
                </a:ext>
                <a:ext uri="{FF2B5EF4-FFF2-40B4-BE49-F238E27FC236}">
                  <a16:creationId xmlns:a16="http://schemas.microsoft.com/office/drawing/2014/main" id="{00000000-0008-0000-12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11</xdr:row>
          <xdr:rowOff>12700</xdr:rowOff>
        </xdr:from>
        <xdr:to>
          <xdr:col>16</xdr:col>
          <xdr:colOff>260350</xdr:colOff>
          <xdr:row>11</xdr:row>
          <xdr:rowOff>241300</xdr:rowOff>
        </xdr:to>
        <xdr:sp macro="" textlink="">
          <xdr:nvSpPr>
            <xdr:cNvPr id="27660" name="Check Box 12" hidden="1">
              <a:extLst>
                <a:ext uri="{63B3BB69-23CF-44E3-9099-C40C66FF867C}">
                  <a14:compatExt spid="_x0000_s27660"/>
                </a:ext>
                <a:ext uri="{FF2B5EF4-FFF2-40B4-BE49-F238E27FC236}">
                  <a16:creationId xmlns:a16="http://schemas.microsoft.com/office/drawing/2014/main" id="{00000000-0008-0000-12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12</xdr:row>
          <xdr:rowOff>12700</xdr:rowOff>
        </xdr:from>
        <xdr:to>
          <xdr:col>16</xdr:col>
          <xdr:colOff>260350</xdr:colOff>
          <xdr:row>12</xdr:row>
          <xdr:rowOff>241300</xdr:rowOff>
        </xdr:to>
        <xdr:sp macro="" textlink="">
          <xdr:nvSpPr>
            <xdr:cNvPr id="27661" name="Check Box 13" hidden="1">
              <a:extLst>
                <a:ext uri="{63B3BB69-23CF-44E3-9099-C40C66FF867C}">
                  <a14:compatExt spid="_x0000_s27661"/>
                </a:ext>
                <a:ext uri="{FF2B5EF4-FFF2-40B4-BE49-F238E27FC236}">
                  <a16:creationId xmlns:a16="http://schemas.microsoft.com/office/drawing/2014/main" id="{00000000-0008-0000-12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11</xdr:row>
          <xdr:rowOff>12700</xdr:rowOff>
        </xdr:from>
        <xdr:to>
          <xdr:col>6</xdr:col>
          <xdr:colOff>260350</xdr:colOff>
          <xdr:row>11</xdr:row>
          <xdr:rowOff>241300</xdr:rowOff>
        </xdr:to>
        <xdr:sp macro="" textlink="">
          <xdr:nvSpPr>
            <xdr:cNvPr id="27662" name="Check Box 14" hidden="1">
              <a:extLst>
                <a:ext uri="{63B3BB69-23CF-44E3-9099-C40C66FF867C}">
                  <a14:compatExt spid="_x0000_s27662"/>
                </a:ext>
                <a:ext uri="{FF2B5EF4-FFF2-40B4-BE49-F238E27FC236}">
                  <a16:creationId xmlns:a16="http://schemas.microsoft.com/office/drawing/2014/main" id="{00000000-0008-0000-12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12</xdr:row>
          <xdr:rowOff>12700</xdr:rowOff>
        </xdr:from>
        <xdr:to>
          <xdr:col>6</xdr:col>
          <xdr:colOff>260350</xdr:colOff>
          <xdr:row>12</xdr:row>
          <xdr:rowOff>241300</xdr:rowOff>
        </xdr:to>
        <xdr:sp macro="" textlink="">
          <xdr:nvSpPr>
            <xdr:cNvPr id="27663" name="Check Box 15" hidden="1">
              <a:extLst>
                <a:ext uri="{63B3BB69-23CF-44E3-9099-C40C66FF867C}">
                  <a14:compatExt spid="_x0000_s27663"/>
                </a:ext>
                <a:ext uri="{FF2B5EF4-FFF2-40B4-BE49-F238E27FC236}">
                  <a16:creationId xmlns:a16="http://schemas.microsoft.com/office/drawing/2014/main" id="{00000000-0008-0000-12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13</xdr:row>
          <xdr:rowOff>12700</xdr:rowOff>
        </xdr:from>
        <xdr:to>
          <xdr:col>26</xdr:col>
          <xdr:colOff>260350</xdr:colOff>
          <xdr:row>13</xdr:row>
          <xdr:rowOff>241300</xdr:rowOff>
        </xdr:to>
        <xdr:sp macro="" textlink="">
          <xdr:nvSpPr>
            <xdr:cNvPr id="27664" name="Check Box 16" hidden="1">
              <a:extLst>
                <a:ext uri="{63B3BB69-23CF-44E3-9099-C40C66FF867C}">
                  <a14:compatExt spid="_x0000_s27664"/>
                </a:ext>
                <a:ext uri="{FF2B5EF4-FFF2-40B4-BE49-F238E27FC236}">
                  <a16:creationId xmlns:a16="http://schemas.microsoft.com/office/drawing/2014/main" id="{00000000-0008-0000-12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14</xdr:row>
          <xdr:rowOff>12700</xdr:rowOff>
        </xdr:from>
        <xdr:to>
          <xdr:col>26</xdr:col>
          <xdr:colOff>260350</xdr:colOff>
          <xdr:row>14</xdr:row>
          <xdr:rowOff>241300</xdr:rowOff>
        </xdr:to>
        <xdr:sp macro="" textlink="">
          <xdr:nvSpPr>
            <xdr:cNvPr id="27665" name="Check Box 17" hidden="1">
              <a:extLst>
                <a:ext uri="{63B3BB69-23CF-44E3-9099-C40C66FF867C}">
                  <a14:compatExt spid="_x0000_s27665"/>
                </a:ext>
                <a:ext uri="{FF2B5EF4-FFF2-40B4-BE49-F238E27FC236}">
                  <a16:creationId xmlns:a16="http://schemas.microsoft.com/office/drawing/2014/main" id="{00000000-0008-0000-12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15</xdr:row>
          <xdr:rowOff>12700</xdr:rowOff>
        </xdr:from>
        <xdr:to>
          <xdr:col>26</xdr:col>
          <xdr:colOff>260350</xdr:colOff>
          <xdr:row>15</xdr:row>
          <xdr:rowOff>241300</xdr:rowOff>
        </xdr:to>
        <xdr:sp macro="" textlink="">
          <xdr:nvSpPr>
            <xdr:cNvPr id="27666" name="Check Box 18" hidden="1">
              <a:extLst>
                <a:ext uri="{63B3BB69-23CF-44E3-9099-C40C66FF867C}">
                  <a14:compatExt spid="_x0000_s27666"/>
                </a:ext>
                <a:ext uri="{FF2B5EF4-FFF2-40B4-BE49-F238E27FC236}">
                  <a16:creationId xmlns:a16="http://schemas.microsoft.com/office/drawing/2014/main" id="{00000000-0008-0000-1200-00001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16</xdr:row>
          <xdr:rowOff>12700</xdr:rowOff>
        </xdr:from>
        <xdr:to>
          <xdr:col>26</xdr:col>
          <xdr:colOff>260350</xdr:colOff>
          <xdr:row>16</xdr:row>
          <xdr:rowOff>241300</xdr:rowOff>
        </xdr:to>
        <xdr:sp macro="" textlink="">
          <xdr:nvSpPr>
            <xdr:cNvPr id="27667" name="Check Box 19" hidden="1">
              <a:extLst>
                <a:ext uri="{63B3BB69-23CF-44E3-9099-C40C66FF867C}">
                  <a14:compatExt spid="_x0000_s27667"/>
                </a:ext>
                <a:ext uri="{FF2B5EF4-FFF2-40B4-BE49-F238E27FC236}">
                  <a16:creationId xmlns:a16="http://schemas.microsoft.com/office/drawing/2014/main" id="{00000000-0008-0000-1200-00001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17</xdr:row>
          <xdr:rowOff>12700</xdr:rowOff>
        </xdr:from>
        <xdr:to>
          <xdr:col>26</xdr:col>
          <xdr:colOff>260350</xdr:colOff>
          <xdr:row>17</xdr:row>
          <xdr:rowOff>241300</xdr:rowOff>
        </xdr:to>
        <xdr:sp macro="" textlink="">
          <xdr:nvSpPr>
            <xdr:cNvPr id="27668" name="Check Box 20" hidden="1">
              <a:extLst>
                <a:ext uri="{63B3BB69-23CF-44E3-9099-C40C66FF867C}">
                  <a14:compatExt spid="_x0000_s27668"/>
                </a:ext>
                <a:ext uri="{FF2B5EF4-FFF2-40B4-BE49-F238E27FC236}">
                  <a16:creationId xmlns:a16="http://schemas.microsoft.com/office/drawing/2014/main" id="{00000000-0008-0000-1200-00001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18</xdr:row>
          <xdr:rowOff>12700</xdr:rowOff>
        </xdr:from>
        <xdr:to>
          <xdr:col>26</xdr:col>
          <xdr:colOff>260350</xdr:colOff>
          <xdr:row>18</xdr:row>
          <xdr:rowOff>241300</xdr:rowOff>
        </xdr:to>
        <xdr:sp macro="" textlink="">
          <xdr:nvSpPr>
            <xdr:cNvPr id="27669" name="Check Box 21" hidden="1">
              <a:extLst>
                <a:ext uri="{63B3BB69-23CF-44E3-9099-C40C66FF867C}">
                  <a14:compatExt spid="_x0000_s27669"/>
                </a:ext>
                <a:ext uri="{FF2B5EF4-FFF2-40B4-BE49-F238E27FC236}">
                  <a16:creationId xmlns:a16="http://schemas.microsoft.com/office/drawing/2014/main" id="{00000000-0008-0000-1200-00001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20</xdr:row>
          <xdr:rowOff>88900</xdr:rowOff>
        </xdr:from>
        <xdr:to>
          <xdr:col>26</xdr:col>
          <xdr:colOff>266700</xdr:colOff>
          <xdr:row>20</xdr:row>
          <xdr:rowOff>317500</xdr:rowOff>
        </xdr:to>
        <xdr:sp macro="" textlink="">
          <xdr:nvSpPr>
            <xdr:cNvPr id="27670" name="Check Box 22" hidden="1">
              <a:extLst>
                <a:ext uri="{63B3BB69-23CF-44E3-9099-C40C66FF867C}">
                  <a14:compatExt spid="_x0000_s27670"/>
                </a:ext>
                <a:ext uri="{FF2B5EF4-FFF2-40B4-BE49-F238E27FC236}">
                  <a16:creationId xmlns:a16="http://schemas.microsoft.com/office/drawing/2014/main" id="{00000000-0008-0000-12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31750</xdr:colOff>
          <xdr:row>20</xdr:row>
          <xdr:rowOff>88900</xdr:rowOff>
        </xdr:from>
        <xdr:to>
          <xdr:col>31</xdr:col>
          <xdr:colOff>266700</xdr:colOff>
          <xdr:row>20</xdr:row>
          <xdr:rowOff>317500</xdr:rowOff>
        </xdr:to>
        <xdr:sp macro="" textlink="">
          <xdr:nvSpPr>
            <xdr:cNvPr id="27671" name="Check Box 23" hidden="1">
              <a:extLst>
                <a:ext uri="{63B3BB69-23CF-44E3-9099-C40C66FF867C}">
                  <a14:compatExt spid="_x0000_s27671"/>
                </a:ext>
                <a:ext uri="{FF2B5EF4-FFF2-40B4-BE49-F238E27FC236}">
                  <a16:creationId xmlns:a16="http://schemas.microsoft.com/office/drawing/2014/main" id="{00000000-0008-0000-12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18</xdr:row>
          <xdr:rowOff>12700</xdr:rowOff>
        </xdr:from>
        <xdr:to>
          <xdr:col>31</xdr:col>
          <xdr:colOff>260350</xdr:colOff>
          <xdr:row>18</xdr:row>
          <xdr:rowOff>241300</xdr:rowOff>
        </xdr:to>
        <xdr:sp macro="" textlink="">
          <xdr:nvSpPr>
            <xdr:cNvPr id="27672" name="Check Box 24" hidden="1">
              <a:extLst>
                <a:ext uri="{63B3BB69-23CF-44E3-9099-C40C66FF867C}">
                  <a14:compatExt spid="_x0000_s27672"/>
                </a:ext>
                <a:ext uri="{FF2B5EF4-FFF2-40B4-BE49-F238E27FC236}">
                  <a16:creationId xmlns:a16="http://schemas.microsoft.com/office/drawing/2014/main" id="{00000000-0008-0000-1200-00001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17</xdr:row>
          <xdr:rowOff>12700</xdr:rowOff>
        </xdr:from>
        <xdr:to>
          <xdr:col>31</xdr:col>
          <xdr:colOff>260350</xdr:colOff>
          <xdr:row>17</xdr:row>
          <xdr:rowOff>241300</xdr:rowOff>
        </xdr:to>
        <xdr:sp macro="" textlink="">
          <xdr:nvSpPr>
            <xdr:cNvPr id="27673" name="Check Box 25" hidden="1">
              <a:extLst>
                <a:ext uri="{63B3BB69-23CF-44E3-9099-C40C66FF867C}">
                  <a14:compatExt spid="_x0000_s27673"/>
                </a:ext>
                <a:ext uri="{FF2B5EF4-FFF2-40B4-BE49-F238E27FC236}">
                  <a16:creationId xmlns:a16="http://schemas.microsoft.com/office/drawing/2014/main" id="{00000000-0008-0000-1200-00001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16</xdr:row>
          <xdr:rowOff>12700</xdr:rowOff>
        </xdr:from>
        <xdr:to>
          <xdr:col>31</xdr:col>
          <xdr:colOff>260350</xdr:colOff>
          <xdr:row>16</xdr:row>
          <xdr:rowOff>241300</xdr:rowOff>
        </xdr:to>
        <xdr:sp macro="" textlink="">
          <xdr:nvSpPr>
            <xdr:cNvPr id="27674" name="Check Box 26" hidden="1">
              <a:extLst>
                <a:ext uri="{63B3BB69-23CF-44E3-9099-C40C66FF867C}">
                  <a14:compatExt spid="_x0000_s27674"/>
                </a:ext>
                <a:ext uri="{FF2B5EF4-FFF2-40B4-BE49-F238E27FC236}">
                  <a16:creationId xmlns:a16="http://schemas.microsoft.com/office/drawing/2014/main" id="{00000000-0008-0000-1200-00001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15</xdr:row>
          <xdr:rowOff>12700</xdr:rowOff>
        </xdr:from>
        <xdr:to>
          <xdr:col>31</xdr:col>
          <xdr:colOff>260350</xdr:colOff>
          <xdr:row>15</xdr:row>
          <xdr:rowOff>241300</xdr:rowOff>
        </xdr:to>
        <xdr:sp macro="" textlink="">
          <xdr:nvSpPr>
            <xdr:cNvPr id="27675" name="Check Box 27" hidden="1">
              <a:extLst>
                <a:ext uri="{63B3BB69-23CF-44E3-9099-C40C66FF867C}">
                  <a14:compatExt spid="_x0000_s27675"/>
                </a:ext>
                <a:ext uri="{FF2B5EF4-FFF2-40B4-BE49-F238E27FC236}">
                  <a16:creationId xmlns:a16="http://schemas.microsoft.com/office/drawing/2014/main" id="{00000000-0008-0000-1200-00001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14</xdr:row>
          <xdr:rowOff>12700</xdr:rowOff>
        </xdr:from>
        <xdr:to>
          <xdr:col>31</xdr:col>
          <xdr:colOff>260350</xdr:colOff>
          <xdr:row>14</xdr:row>
          <xdr:rowOff>241300</xdr:rowOff>
        </xdr:to>
        <xdr:sp macro="" textlink="">
          <xdr:nvSpPr>
            <xdr:cNvPr id="27676" name="Check Box 28" hidden="1">
              <a:extLst>
                <a:ext uri="{63B3BB69-23CF-44E3-9099-C40C66FF867C}">
                  <a14:compatExt spid="_x0000_s27676"/>
                </a:ext>
                <a:ext uri="{FF2B5EF4-FFF2-40B4-BE49-F238E27FC236}">
                  <a16:creationId xmlns:a16="http://schemas.microsoft.com/office/drawing/2014/main" id="{00000000-0008-0000-1200-00001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13</xdr:row>
          <xdr:rowOff>12700</xdr:rowOff>
        </xdr:from>
        <xdr:to>
          <xdr:col>31</xdr:col>
          <xdr:colOff>260350</xdr:colOff>
          <xdr:row>13</xdr:row>
          <xdr:rowOff>241300</xdr:rowOff>
        </xdr:to>
        <xdr:sp macro="" textlink="">
          <xdr:nvSpPr>
            <xdr:cNvPr id="27677" name="Check Box 29" hidden="1">
              <a:extLst>
                <a:ext uri="{63B3BB69-23CF-44E3-9099-C40C66FF867C}">
                  <a14:compatExt spid="_x0000_s27677"/>
                </a:ext>
                <a:ext uri="{FF2B5EF4-FFF2-40B4-BE49-F238E27FC236}">
                  <a16:creationId xmlns:a16="http://schemas.microsoft.com/office/drawing/2014/main" id="{00000000-0008-0000-1200-00001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27</xdr:row>
          <xdr:rowOff>12700</xdr:rowOff>
        </xdr:from>
        <xdr:to>
          <xdr:col>30</xdr:col>
          <xdr:colOff>260350</xdr:colOff>
          <xdr:row>27</xdr:row>
          <xdr:rowOff>241300</xdr:rowOff>
        </xdr:to>
        <xdr:sp macro="" textlink="">
          <xdr:nvSpPr>
            <xdr:cNvPr id="27678" name="Check Box 30" hidden="1">
              <a:extLst>
                <a:ext uri="{63B3BB69-23CF-44E3-9099-C40C66FF867C}">
                  <a14:compatExt spid="_x0000_s27678"/>
                </a:ext>
                <a:ext uri="{FF2B5EF4-FFF2-40B4-BE49-F238E27FC236}">
                  <a16:creationId xmlns:a16="http://schemas.microsoft.com/office/drawing/2014/main" id="{00000000-0008-0000-1200-00001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28</xdr:row>
          <xdr:rowOff>12700</xdr:rowOff>
        </xdr:from>
        <xdr:to>
          <xdr:col>30</xdr:col>
          <xdr:colOff>260350</xdr:colOff>
          <xdr:row>28</xdr:row>
          <xdr:rowOff>241300</xdr:rowOff>
        </xdr:to>
        <xdr:sp macro="" textlink="">
          <xdr:nvSpPr>
            <xdr:cNvPr id="27679" name="Check Box 31" hidden="1">
              <a:extLst>
                <a:ext uri="{63B3BB69-23CF-44E3-9099-C40C66FF867C}">
                  <a14:compatExt spid="_x0000_s27679"/>
                </a:ext>
                <a:ext uri="{FF2B5EF4-FFF2-40B4-BE49-F238E27FC236}">
                  <a16:creationId xmlns:a16="http://schemas.microsoft.com/office/drawing/2014/main" id="{00000000-0008-0000-1200-00001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29</xdr:row>
          <xdr:rowOff>88900</xdr:rowOff>
        </xdr:from>
        <xdr:to>
          <xdr:col>30</xdr:col>
          <xdr:colOff>260350</xdr:colOff>
          <xdr:row>29</xdr:row>
          <xdr:rowOff>317500</xdr:rowOff>
        </xdr:to>
        <xdr:sp macro="" textlink="">
          <xdr:nvSpPr>
            <xdr:cNvPr id="27680" name="Check Box 32" hidden="1">
              <a:extLst>
                <a:ext uri="{63B3BB69-23CF-44E3-9099-C40C66FF867C}">
                  <a14:compatExt spid="_x0000_s27680"/>
                </a:ext>
                <a:ext uri="{FF2B5EF4-FFF2-40B4-BE49-F238E27FC236}">
                  <a16:creationId xmlns:a16="http://schemas.microsoft.com/office/drawing/2014/main" id="{00000000-0008-0000-1200-00002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30</xdr:row>
          <xdr:rowOff>69850</xdr:rowOff>
        </xdr:from>
        <xdr:to>
          <xdr:col>30</xdr:col>
          <xdr:colOff>260350</xdr:colOff>
          <xdr:row>30</xdr:row>
          <xdr:rowOff>298450</xdr:rowOff>
        </xdr:to>
        <xdr:sp macro="" textlink="">
          <xdr:nvSpPr>
            <xdr:cNvPr id="27681" name="Check Box 33" hidden="1">
              <a:extLst>
                <a:ext uri="{63B3BB69-23CF-44E3-9099-C40C66FF867C}">
                  <a14:compatExt spid="_x0000_s27681"/>
                </a:ext>
                <a:ext uri="{FF2B5EF4-FFF2-40B4-BE49-F238E27FC236}">
                  <a16:creationId xmlns:a16="http://schemas.microsoft.com/office/drawing/2014/main" id="{00000000-0008-0000-1200-00002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31</xdr:row>
          <xdr:rowOff>0</xdr:rowOff>
        </xdr:from>
        <xdr:to>
          <xdr:col>30</xdr:col>
          <xdr:colOff>260350</xdr:colOff>
          <xdr:row>31</xdr:row>
          <xdr:rowOff>228600</xdr:rowOff>
        </xdr:to>
        <xdr:sp macro="" textlink="">
          <xdr:nvSpPr>
            <xdr:cNvPr id="27682" name="Check Box 34" hidden="1">
              <a:extLst>
                <a:ext uri="{63B3BB69-23CF-44E3-9099-C40C66FF867C}">
                  <a14:compatExt spid="_x0000_s27682"/>
                </a:ext>
                <a:ext uri="{FF2B5EF4-FFF2-40B4-BE49-F238E27FC236}">
                  <a16:creationId xmlns:a16="http://schemas.microsoft.com/office/drawing/2014/main" id="{00000000-0008-0000-1200-00002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32</xdr:row>
          <xdr:rowOff>12700</xdr:rowOff>
        </xdr:from>
        <xdr:to>
          <xdr:col>30</xdr:col>
          <xdr:colOff>260350</xdr:colOff>
          <xdr:row>32</xdr:row>
          <xdr:rowOff>241300</xdr:rowOff>
        </xdr:to>
        <xdr:sp macro="" textlink="">
          <xdr:nvSpPr>
            <xdr:cNvPr id="27683" name="Check Box 35" hidden="1">
              <a:extLst>
                <a:ext uri="{63B3BB69-23CF-44E3-9099-C40C66FF867C}">
                  <a14:compatExt spid="_x0000_s27683"/>
                </a:ext>
                <a:ext uri="{FF2B5EF4-FFF2-40B4-BE49-F238E27FC236}">
                  <a16:creationId xmlns:a16="http://schemas.microsoft.com/office/drawing/2014/main" id="{00000000-0008-0000-1200-00002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33</xdr:row>
          <xdr:rowOff>12700</xdr:rowOff>
        </xdr:from>
        <xdr:to>
          <xdr:col>30</xdr:col>
          <xdr:colOff>260350</xdr:colOff>
          <xdr:row>33</xdr:row>
          <xdr:rowOff>241300</xdr:rowOff>
        </xdr:to>
        <xdr:sp macro="" textlink="">
          <xdr:nvSpPr>
            <xdr:cNvPr id="27684" name="Check Box 36" hidden="1">
              <a:extLst>
                <a:ext uri="{63B3BB69-23CF-44E3-9099-C40C66FF867C}">
                  <a14:compatExt spid="_x0000_s27684"/>
                </a:ext>
                <a:ext uri="{FF2B5EF4-FFF2-40B4-BE49-F238E27FC236}">
                  <a16:creationId xmlns:a16="http://schemas.microsoft.com/office/drawing/2014/main" id="{00000000-0008-0000-1200-00002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34</xdr:row>
          <xdr:rowOff>12700</xdr:rowOff>
        </xdr:from>
        <xdr:to>
          <xdr:col>30</xdr:col>
          <xdr:colOff>260350</xdr:colOff>
          <xdr:row>34</xdr:row>
          <xdr:rowOff>241300</xdr:rowOff>
        </xdr:to>
        <xdr:sp macro="" textlink="">
          <xdr:nvSpPr>
            <xdr:cNvPr id="27685" name="Check Box 37" hidden="1">
              <a:extLst>
                <a:ext uri="{63B3BB69-23CF-44E3-9099-C40C66FF867C}">
                  <a14:compatExt spid="_x0000_s27685"/>
                </a:ext>
                <a:ext uri="{FF2B5EF4-FFF2-40B4-BE49-F238E27FC236}">
                  <a16:creationId xmlns:a16="http://schemas.microsoft.com/office/drawing/2014/main" id="{00000000-0008-0000-1200-00002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35</xdr:row>
          <xdr:rowOff>184150</xdr:rowOff>
        </xdr:from>
        <xdr:to>
          <xdr:col>30</xdr:col>
          <xdr:colOff>260350</xdr:colOff>
          <xdr:row>35</xdr:row>
          <xdr:rowOff>412750</xdr:rowOff>
        </xdr:to>
        <xdr:sp macro="" textlink="">
          <xdr:nvSpPr>
            <xdr:cNvPr id="27686" name="Check Box 38" hidden="1">
              <a:extLst>
                <a:ext uri="{63B3BB69-23CF-44E3-9099-C40C66FF867C}">
                  <a14:compatExt spid="_x0000_s27686"/>
                </a:ext>
                <a:ext uri="{FF2B5EF4-FFF2-40B4-BE49-F238E27FC236}">
                  <a16:creationId xmlns:a16="http://schemas.microsoft.com/office/drawing/2014/main" id="{00000000-0008-0000-1200-00002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36</xdr:row>
          <xdr:rowOff>88900</xdr:rowOff>
        </xdr:from>
        <xdr:to>
          <xdr:col>30</xdr:col>
          <xdr:colOff>260350</xdr:colOff>
          <xdr:row>36</xdr:row>
          <xdr:rowOff>317500</xdr:rowOff>
        </xdr:to>
        <xdr:sp macro="" textlink="">
          <xdr:nvSpPr>
            <xdr:cNvPr id="27687" name="Check Box 39" hidden="1">
              <a:extLst>
                <a:ext uri="{63B3BB69-23CF-44E3-9099-C40C66FF867C}">
                  <a14:compatExt spid="_x0000_s27687"/>
                </a:ext>
                <a:ext uri="{FF2B5EF4-FFF2-40B4-BE49-F238E27FC236}">
                  <a16:creationId xmlns:a16="http://schemas.microsoft.com/office/drawing/2014/main" id="{00000000-0008-0000-1200-00002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36</xdr:row>
          <xdr:rowOff>88900</xdr:rowOff>
        </xdr:from>
        <xdr:to>
          <xdr:col>35</xdr:col>
          <xdr:colOff>260350</xdr:colOff>
          <xdr:row>36</xdr:row>
          <xdr:rowOff>317500</xdr:rowOff>
        </xdr:to>
        <xdr:sp macro="" textlink="">
          <xdr:nvSpPr>
            <xdr:cNvPr id="27688" name="Check Box 40" hidden="1">
              <a:extLst>
                <a:ext uri="{63B3BB69-23CF-44E3-9099-C40C66FF867C}">
                  <a14:compatExt spid="_x0000_s27688"/>
                </a:ext>
                <a:ext uri="{FF2B5EF4-FFF2-40B4-BE49-F238E27FC236}">
                  <a16:creationId xmlns:a16="http://schemas.microsoft.com/office/drawing/2014/main" id="{00000000-0008-0000-1200-00002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35</xdr:row>
          <xdr:rowOff>184150</xdr:rowOff>
        </xdr:from>
        <xdr:to>
          <xdr:col>35</xdr:col>
          <xdr:colOff>260350</xdr:colOff>
          <xdr:row>35</xdr:row>
          <xdr:rowOff>412750</xdr:rowOff>
        </xdr:to>
        <xdr:sp macro="" textlink="">
          <xdr:nvSpPr>
            <xdr:cNvPr id="27689" name="Check Box 41" hidden="1">
              <a:extLst>
                <a:ext uri="{63B3BB69-23CF-44E3-9099-C40C66FF867C}">
                  <a14:compatExt spid="_x0000_s27689"/>
                </a:ext>
                <a:ext uri="{FF2B5EF4-FFF2-40B4-BE49-F238E27FC236}">
                  <a16:creationId xmlns:a16="http://schemas.microsoft.com/office/drawing/2014/main" id="{00000000-0008-0000-1200-00002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34</xdr:row>
          <xdr:rowOff>12700</xdr:rowOff>
        </xdr:from>
        <xdr:to>
          <xdr:col>35</xdr:col>
          <xdr:colOff>260350</xdr:colOff>
          <xdr:row>34</xdr:row>
          <xdr:rowOff>241300</xdr:rowOff>
        </xdr:to>
        <xdr:sp macro="" textlink="">
          <xdr:nvSpPr>
            <xdr:cNvPr id="27690" name="Check Box 42" hidden="1">
              <a:extLst>
                <a:ext uri="{63B3BB69-23CF-44E3-9099-C40C66FF867C}">
                  <a14:compatExt spid="_x0000_s27690"/>
                </a:ext>
                <a:ext uri="{FF2B5EF4-FFF2-40B4-BE49-F238E27FC236}">
                  <a16:creationId xmlns:a16="http://schemas.microsoft.com/office/drawing/2014/main" id="{00000000-0008-0000-1200-00002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33</xdr:row>
          <xdr:rowOff>12700</xdr:rowOff>
        </xdr:from>
        <xdr:to>
          <xdr:col>35</xdr:col>
          <xdr:colOff>260350</xdr:colOff>
          <xdr:row>33</xdr:row>
          <xdr:rowOff>241300</xdr:rowOff>
        </xdr:to>
        <xdr:sp macro="" textlink="">
          <xdr:nvSpPr>
            <xdr:cNvPr id="27691" name="Check Box 43" hidden="1">
              <a:extLst>
                <a:ext uri="{63B3BB69-23CF-44E3-9099-C40C66FF867C}">
                  <a14:compatExt spid="_x0000_s27691"/>
                </a:ext>
                <a:ext uri="{FF2B5EF4-FFF2-40B4-BE49-F238E27FC236}">
                  <a16:creationId xmlns:a16="http://schemas.microsoft.com/office/drawing/2014/main" id="{00000000-0008-0000-1200-00002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32</xdr:row>
          <xdr:rowOff>12700</xdr:rowOff>
        </xdr:from>
        <xdr:to>
          <xdr:col>35</xdr:col>
          <xdr:colOff>260350</xdr:colOff>
          <xdr:row>32</xdr:row>
          <xdr:rowOff>241300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200-00002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31</xdr:row>
          <xdr:rowOff>0</xdr:rowOff>
        </xdr:from>
        <xdr:to>
          <xdr:col>35</xdr:col>
          <xdr:colOff>260350</xdr:colOff>
          <xdr:row>31</xdr:row>
          <xdr:rowOff>228600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200-00002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30</xdr:row>
          <xdr:rowOff>69850</xdr:rowOff>
        </xdr:from>
        <xdr:to>
          <xdr:col>35</xdr:col>
          <xdr:colOff>260350</xdr:colOff>
          <xdr:row>30</xdr:row>
          <xdr:rowOff>298450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200-00002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29</xdr:row>
          <xdr:rowOff>88900</xdr:rowOff>
        </xdr:from>
        <xdr:to>
          <xdr:col>35</xdr:col>
          <xdr:colOff>260350</xdr:colOff>
          <xdr:row>29</xdr:row>
          <xdr:rowOff>317500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200-00003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28</xdr:row>
          <xdr:rowOff>12700</xdr:rowOff>
        </xdr:from>
        <xdr:to>
          <xdr:col>35</xdr:col>
          <xdr:colOff>260350</xdr:colOff>
          <xdr:row>28</xdr:row>
          <xdr:rowOff>241300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200-00003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27</xdr:row>
          <xdr:rowOff>12700</xdr:rowOff>
        </xdr:from>
        <xdr:to>
          <xdr:col>35</xdr:col>
          <xdr:colOff>260350</xdr:colOff>
          <xdr:row>27</xdr:row>
          <xdr:rowOff>241300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200-00003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42</xdr:row>
          <xdr:rowOff>12700</xdr:rowOff>
        </xdr:from>
        <xdr:to>
          <xdr:col>26</xdr:col>
          <xdr:colOff>260350</xdr:colOff>
          <xdr:row>42</xdr:row>
          <xdr:rowOff>241300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200-00003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42</xdr:row>
          <xdr:rowOff>12700</xdr:rowOff>
        </xdr:from>
        <xdr:to>
          <xdr:col>31</xdr:col>
          <xdr:colOff>260350</xdr:colOff>
          <xdr:row>42</xdr:row>
          <xdr:rowOff>241300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200-00003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45</xdr:row>
          <xdr:rowOff>12700</xdr:rowOff>
        </xdr:from>
        <xdr:to>
          <xdr:col>26</xdr:col>
          <xdr:colOff>260350</xdr:colOff>
          <xdr:row>45</xdr:row>
          <xdr:rowOff>241300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200-00003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45</xdr:row>
          <xdr:rowOff>12700</xdr:rowOff>
        </xdr:from>
        <xdr:to>
          <xdr:col>31</xdr:col>
          <xdr:colOff>260350</xdr:colOff>
          <xdr:row>45</xdr:row>
          <xdr:rowOff>241300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200-00003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47</xdr:row>
          <xdr:rowOff>12700</xdr:rowOff>
        </xdr:from>
        <xdr:to>
          <xdr:col>26</xdr:col>
          <xdr:colOff>260350</xdr:colOff>
          <xdr:row>47</xdr:row>
          <xdr:rowOff>241300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200-00003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48</xdr:row>
          <xdr:rowOff>12700</xdr:rowOff>
        </xdr:from>
        <xdr:to>
          <xdr:col>26</xdr:col>
          <xdr:colOff>260350</xdr:colOff>
          <xdr:row>48</xdr:row>
          <xdr:rowOff>241300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200-00003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49</xdr:row>
          <xdr:rowOff>12700</xdr:rowOff>
        </xdr:from>
        <xdr:to>
          <xdr:col>26</xdr:col>
          <xdr:colOff>260350</xdr:colOff>
          <xdr:row>49</xdr:row>
          <xdr:rowOff>241300</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1200-00003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47</xdr:row>
          <xdr:rowOff>12700</xdr:rowOff>
        </xdr:from>
        <xdr:to>
          <xdr:col>31</xdr:col>
          <xdr:colOff>260350</xdr:colOff>
          <xdr:row>47</xdr:row>
          <xdr:rowOff>241300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200-00003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48</xdr:row>
          <xdr:rowOff>12700</xdr:rowOff>
        </xdr:from>
        <xdr:to>
          <xdr:col>31</xdr:col>
          <xdr:colOff>260350</xdr:colOff>
          <xdr:row>48</xdr:row>
          <xdr:rowOff>241300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200-00003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49</xdr:row>
          <xdr:rowOff>12700</xdr:rowOff>
        </xdr:from>
        <xdr:to>
          <xdr:col>31</xdr:col>
          <xdr:colOff>260350</xdr:colOff>
          <xdr:row>49</xdr:row>
          <xdr:rowOff>241300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200-00003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31750</xdr:colOff>
          <xdr:row>4</xdr:row>
          <xdr:rowOff>31750</xdr:rowOff>
        </xdr:from>
        <xdr:to>
          <xdr:col>20</xdr:col>
          <xdr:colOff>107950</xdr:colOff>
          <xdr:row>5</xdr:row>
          <xdr:rowOff>0</xdr:rowOff>
        </xdr:to>
        <xdr:sp macro="" textlink="">
          <xdr:nvSpPr>
            <xdr:cNvPr id="30721" name="Check Box 1" hidden="1">
              <a:extLst>
                <a:ext uri="{63B3BB69-23CF-44E3-9099-C40C66FF867C}">
                  <a14:compatExt spid="_x0000_s30721"/>
                </a:ext>
                <a:ext uri="{FF2B5EF4-FFF2-40B4-BE49-F238E27FC236}">
                  <a16:creationId xmlns:a16="http://schemas.microsoft.com/office/drawing/2014/main" id="{00000000-0008-0000-1500-000001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4</xdr:row>
          <xdr:rowOff>31750</xdr:rowOff>
        </xdr:from>
        <xdr:to>
          <xdr:col>25</xdr:col>
          <xdr:colOff>107950</xdr:colOff>
          <xdr:row>5</xdr:row>
          <xdr:rowOff>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500-00000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6</xdr:row>
          <xdr:rowOff>31750</xdr:rowOff>
        </xdr:from>
        <xdr:to>
          <xdr:col>8</xdr:col>
          <xdr:colOff>107950</xdr:colOff>
          <xdr:row>7</xdr:row>
          <xdr:rowOff>0</xdr:rowOff>
        </xdr:to>
        <xdr:sp macro="" textlink="">
          <xdr:nvSpPr>
            <xdr:cNvPr id="30723" name="Check Box 3" hidden="1">
              <a:extLst>
                <a:ext uri="{63B3BB69-23CF-44E3-9099-C40C66FF867C}">
                  <a14:compatExt spid="_x0000_s30723"/>
                </a:ext>
                <a:ext uri="{FF2B5EF4-FFF2-40B4-BE49-F238E27FC236}">
                  <a16:creationId xmlns:a16="http://schemas.microsoft.com/office/drawing/2014/main" id="{00000000-0008-0000-1500-00000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7</xdr:row>
          <xdr:rowOff>31750</xdr:rowOff>
        </xdr:from>
        <xdr:to>
          <xdr:col>8</xdr:col>
          <xdr:colOff>107950</xdr:colOff>
          <xdr:row>8</xdr:row>
          <xdr:rowOff>0</xdr:rowOff>
        </xdr:to>
        <xdr:sp macro="" textlink="">
          <xdr:nvSpPr>
            <xdr:cNvPr id="30724" name="Check Box 4" hidden="1">
              <a:extLst>
                <a:ext uri="{63B3BB69-23CF-44E3-9099-C40C66FF867C}">
                  <a14:compatExt spid="_x0000_s30724"/>
                </a:ext>
                <a:ext uri="{FF2B5EF4-FFF2-40B4-BE49-F238E27FC236}">
                  <a16:creationId xmlns:a16="http://schemas.microsoft.com/office/drawing/2014/main" id="{00000000-0008-0000-1500-00000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31750</xdr:colOff>
          <xdr:row>6</xdr:row>
          <xdr:rowOff>31750</xdr:rowOff>
        </xdr:from>
        <xdr:to>
          <xdr:col>15</xdr:col>
          <xdr:colOff>107950</xdr:colOff>
          <xdr:row>7</xdr:row>
          <xdr:rowOff>0</xdr:rowOff>
        </xdr:to>
        <xdr:sp macro="" textlink="">
          <xdr:nvSpPr>
            <xdr:cNvPr id="30725" name="Check Box 5" hidden="1">
              <a:extLst>
                <a:ext uri="{63B3BB69-23CF-44E3-9099-C40C66FF867C}">
                  <a14:compatExt spid="_x0000_s30725"/>
                </a:ext>
                <a:ext uri="{FF2B5EF4-FFF2-40B4-BE49-F238E27FC236}">
                  <a16:creationId xmlns:a16="http://schemas.microsoft.com/office/drawing/2014/main" id="{00000000-0008-0000-1500-00000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31750</xdr:colOff>
          <xdr:row>7</xdr:row>
          <xdr:rowOff>31750</xdr:rowOff>
        </xdr:from>
        <xdr:to>
          <xdr:col>15</xdr:col>
          <xdr:colOff>107950</xdr:colOff>
          <xdr:row>8</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500-00000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31750</xdr:colOff>
          <xdr:row>6</xdr:row>
          <xdr:rowOff>31750</xdr:rowOff>
        </xdr:from>
        <xdr:to>
          <xdr:col>21</xdr:col>
          <xdr:colOff>107950</xdr:colOff>
          <xdr:row>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500-00000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31750</xdr:colOff>
          <xdr:row>7</xdr:row>
          <xdr:rowOff>31750</xdr:rowOff>
        </xdr:from>
        <xdr:to>
          <xdr:col>21</xdr:col>
          <xdr:colOff>107950</xdr:colOff>
          <xdr:row>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500-00000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6</xdr:row>
          <xdr:rowOff>31750</xdr:rowOff>
        </xdr:from>
        <xdr:to>
          <xdr:col>27</xdr:col>
          <xdr:colOff>107950</xdr:colOff>
          <xdr:row>7</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500-00000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7</xdr:row>
          <xdr:rowOff>31750</xdr:rowOff>
        </xdr:from>
        <xdr:to>
          <xdr:col>27</xdr:col>
          <xdr:colOff>107950</xdr:colOff>
          <xdr:row>8</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500-00000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9</xdr:row>
          <xdr:rowOff>31750</xdr:rowOff>
        </xdr:from>
        <xdr:to>
          <xdr:col>27</xdr:col>
          <xdr:colOff>107950</xdr:colOff>
          <xdr:row>10</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500-00000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31750</xdr:colOff>
          <xdr:row>9</xdr:row>
          <xdr:rowOff>31750</xdr:rowOff>
        </xdr:from>
        <xdr:to>
          <xdr:col>32</xdr:col>
          <xdr:colOff>107950</xdr:colOff>
          <xdr:row>10</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500-00000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11</xdr:row>
          <xdr:rowOff>31750</xdr:rowOff>
        </xdr:from>
        <xdr:to>
          <xdr:col>8</xdr:col>
          <xdr:colOff>107950</xdr:colOff>
          <xdr:row>12</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500-00000D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12</xdr:row>
          <xdr:rowOff>31750</xdr:rowOff>
        </xdr:from>
        <xdr:to>
          <xdr:col>8</xdr:col>
          <xdr:colOff>107950</xdr:colOff>
          <xdr:row>13</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500-00000E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xdr:col>
      <xdr:colOff>342900</xdr:colOff>
      <xdr:row>114</xdr:row>
      <xdr:rowOff>66675</xdr:rowOff>
    </xdr:from>
    <xdr:to>
      <xdr:col>1</xdr:col>
      <xdr:colOff>371475</xdr:colOff>
      <xdr:row>114</xdr:row>
      <xdr:rowOff>104775</xdr:rowOff>
    </xdr:to>
    <xdr:sp macro="" textlink="">
      <xdr:nvSpPr>
        <xdr:cNvPr id="2" name="Rectangle 118">
          <a:extLst>
            <a:ext uri="{FF2B5EF4-FFF2-40B4-BE49-F238E27FC236}">
              <a16:creationId xmlns:a16="http://schemas.microsoft.com/office/drawing/2014/main" id="{00000000-0008-0000-1600-000002000000}"/>
            </a:ext>
          </a:extLst>
        </xdr:cNvPr>
        <xdr:cNvSpPr>
          <a:spLocks noChangeArrowheads="1"/>
        </xdr:cNvSpPr>
      </xdr:nvSpPr>
      <xdr:spPr bwMode="auto">
        <a:xfrm flipH="1" flipV="1">
          <a:off x="434340" y="2135695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9</xdr:col>
          <xdr:colOff>31750</xdr:colOff>
          <xdr:row>6</xdr:row>
          <xdr:rowOff>0</xdr:rowOff>
        </xdr:from>
        <xdr:to>
          <xdr:col>10</xdr:col>
          <xdr:colOff>107950</xdr:colOff>
          <xdr:row>7</xdr:row>
          <xdr:rowOff>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16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7</xdr:row>
          <xdr:rowOff>12700</xdr:rowOff>
        </xdr:from>
        <xdr:to>
          <xdr:col>10</xdr:col>
          <xdr:colOff>107950</xdr:colOff>
          <xdr:row>8</xdr:row>
          <xdr:rowOff>12700</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16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7</xdr:row>
          <xdr:rowOff>222250</xdr:rowOff>
        </xdr:from>
        <xdr:to>
          <xdr:col>10</xdr:col>
          <xdr:colOff>107950</xdr:colOff>
          <xdr:row>8</xdr:row>
          <xdr:rowOff>222250</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16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9</xdr:row>
          <xdr:rowOff>12700</xdr:rowOff>
        </xdr:from>
        <xdr:to>
          <xdr:col>10</xdr:col>
          <xdr:colOff>107950</xdr:colOff>
          <xdr:row>10</xdr:row>
          <xdr:rowOff>12700</xdr:rowOff>
        </xdr:to>
        <xdr:sp macro="" textlink="">
          <xdr:nvSpPr>
            <xdr:cNvPr id="4103" name="Check Box 7" hidden="1">
              <a:extLst>
                <a:ext uri="{63B3BB69-23CF-44E3-9099-C40C66FF867C}">
                  <a14:compatExt spid="_x0000_s4103"/>
                </a:ext>
                <a:ext uri="{FF2B5EF4-FFF2-40B4-BE49-F238E27FC236}">
                  <a16:creationId xmlns:a16="http://schemas.microsoft.com/office/drawing/2014/main" id="{00000000-0008-0000-16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9</xdr:row>
          <xdr:rowOff>222250</xdr:rowOff>
        </xdr:from>
        <xdr:to>
          <xdr:col>10</xdr:col>
          <xdr:colOff>107950</xdr:colOff>
          <xdr:row>10</xdr:row>
          <xdr:rowOff>222250</xdr:rowOff>
        </xdr:to>
        <xdr:sp macro="" textlink="">
          <xdr:nvSpPr>
            <xdr:cNvPr id="4104" name="Check Box 8" hidden="1">
              <a:extLst>
                <a:ext uri="{63B3BB69-23CF-44E3-9099-C40C66FF867C}">
                  <a14:compatExt spid="_x0000_s4104"/>
                </a:ext>
                <a:ext uri="{FF2B5EF4-FFF2-40B4-BE49-F238E27FC236}">
                  <a16:creationId xmlns:a16="http://schemas.microsoft.com/office/drawing/2014/main" id="{00000000-0008-0000-1600-00000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10</xdr:row>
          <xdr:rowOff>203200</xdr:rowOff>
        </xdr:from>
        <xdr:to>
          <xdr:col>10</xdr:col>
          <xdr:colOff>107950</xdr:colOff>
          <xdr:row>11</xdr:row>
          <xdr:rowOff>203200</xdr:rowOff>
        </xdr:to>
        <xdr:sp macro="" textlink="">
          <xdr:nvSpPr>
            <xdr:cNvPr id="4105" name="Check Box 9" hidden="1">
              <a:extLst>
                <a:ext uri="{63B3BB69-23CF-44E3-9099-C40C66FF867C}">
                  <a14:compatExt spid="_x0000_s4105"/>
                </a:ext>
                <a:ext uri="{FF2B5EF4-FFF2-40B4-BE49-F238E27FC236}">
                  <a16:creationId xmlns:a16="http://schemas.microsoft.com/office/drawing/2014/main" id="{00000000-0008-0000-1600-00000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11</xdr:row>
          <xdr:rowOff>222250</xdr:rowOff>
        </xdr:from>
        <xdr:to>
          <xdr:col>10</xdr:col>
          <xdr:colOff>107950</xdr:colOff>
          <xdr:row>12</xdr:row>
          <xdr:rowOff>222250</xdr:rowOff>
        </xdr:to>
        <xdr:sp macro="" textlink="">
          <xdr:nvSpPr>
            <xdr:cNvPr id="4106" name="Check Box 10" hidden="1">
              <a:extLst>
                <a:ext uri="{63B3BB69-23CF-44E3-9099-C40C66FF867C}">
                  <a14:compatExt spid="_x0000_s4106"/>
                </a:ext>
                <a:ext uri="{FF2B5EF4-FFF2-40B4-BE49-F238E27FC236}">
                  <a16:creationId xmlns:a16="http://schemas.microsoft.com/office/drawing/2014/main" id="{00000000-0008-0000-1600-00000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12</xdr:row>
          <xdr:rowOff>222250</xdr:rowOff>
        </xdr:from>
        <xdr:to>
          <xdr:col>10</xdr:col>
          <xdr:colOff>107950</xdr:colOff>
          <xdr:row>13</xdr:row>
          <xdr:rowOff>222250</xdr:rowOff>
        </xdr:to>
        <xdr:sp macro="" textlink="">
          <xdr:nvSpPr>
            <xdr:cNvPr id="4107" name="Check Box 11" hidden="1">
              <a:extLst>
                <a:ext uri="{63B3BB69-23CF-44E3-9099-C40C66FF867C}">
                  <a14:compatExt spid="_x0000_s4107"/>
                </a:ext>
                <a:ext uri="{FF2B5EF4-FFF2-40B4-BE49-F238E27FC236}">
                  <a16:creationId xmlns:a16="http://schemas.microsoft.com/office/drawing/2014/main" id="{00000000-0008-0000-1600-00000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13</xdr:row>
          <xdr:rowOff>203200</xdr:rowOff>
        </xdr:from>
        <xdr:to>
          <xdr:col>10</xdr:col>
          <xdr:colOff>107950</xdr:colOff>
          <xdr:row>14</xdr:row>
          <xdr:rowOff>203200</xdr:rowOff>
        </xdr:to>
        <xdr:sp macro="" textlink="">
          <xdr:nvSpPr>
            <xdr:cNvPr id="4108" name="Check Box 12" hidden="1">
              <a:extLst>
                <a:ext uri="{63B3BB69-23CF-44E3-9099-C40C66FF867C}">
                  <a14:compatExt spid="_x0000_s4108"/>
                </a:ext>
                <a:ext uri="{FF2B5EF4-FFF2-40B4-BE49-F238E27FC236}">
                  <a16:creationId xmlns:a16="http://schemas.microsoft.com/office/drawing/2014/main" id="{00000000-0008-0000-1600-00000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14</xdr:row>
          <xdr:rowOff>222250</xdr:rowOff>
        </xdr:from>
        <xdr:to>
          <xdr:col>10</xdr:col>
          <xdr:colOff>107950</xdr:colOff>
          <xdr:row>15</xdr:row>
          <xdr:rowOff>222250</xdr:rowOff>
        </xdr:to>
        <xdr:sp macro="" textlink="">
          <xdr:nvSpPr>
            <xdr:cNvPr id="4109" name="Check Box 13" hidden="1">
              <a:extLst>
                <a:ext uri="{63B3BB69-23CF-44E3-9099-C40C66FF867C}">
                  <a14:compatExt spid="_x0000_s4109"/>
                </a:ext>
                <a:ext uri="{FF2B5EF4-FFF2-40B4-BE49-F238E27FC236}">
                  <a16:creationId xmlns:a16="http://schemas.microsoft.com/office/drawing/2014/main" id="{00000000-0008-0000-1600-00000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15</xdr:row>
          <xdr:rowOff>222250</xdr:rowOff>
        </xdr:from>
        <xdr:to>
          <xdr:col>10</xdr:col>
          <xdr:colOff>107950</xdr:colOff>
          <xdr:row>16</xdr:row>
          <xdr:rowOff>222250</xdr:rowOff>
        </xdr:to>
        <xdr:sp macro="" textlink="">
          <xdr:nvSpPr>
            <xdr:cNvPr id="4110" name="Check Box 14" hidden="1">
              <a:extLst>
                <a:ext uri="{63B3BB69-23CF-44E3-9099-C40C66FF867C}">
                  <a14:compatExt spid="_x0000_s4110"/>
                </a:ext>
                <a:ext uri="{FF2B5EF4-FFF2-40B4-BE49-F238E27FC236}">
                  <a16:creationId xmlns:a16="http://schemas.microsoft.com/office/drawing/2014/main" id="{00000000-0008-0000-1600-00000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16</xdr:row>
          <xdr:rowOff>222250</xdr:rowOff>
        </xdr:from>
        <xdr:to>
          <xdr:col>10</xdr:col>
          <xdr:colOff>107950</xdr:colOff>
          <xdr:row>17</xdr:row>
          <xdr:rowOff>222250</xdr:rowOff>
        </xdr:to>
        <xdr:sp macro="" textlink="">
          <xdr:nvSpPr>
            <xdr:cNvPr id="4111" name="Check Box 15" hidden="1">
              <a:extLst>
                <a:ext uri="{63B3BB69-23CF-44E3-9099-C40C66FF867C}">
                  <a14:compatExt spid="_x0000_s4111"/>
                </a:ext>
                <a:ext uri="{FF2B5EF4-FFF2-40B4-BE49-F238E27FC236}">
                  <a16:creationId xmlns:a16="http://schemas.microsoft.com/office/drawing/2014/main" id="{00000000-0008-0000-1600-00000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17</xdr:row>
          <xdr:rowOff>222250</xdr:rowOff>
        </xdr:from>
        <xdr:to>
          <xdr:col>10</xdr:col>
          <xdr:colOff>107950</xdr:colOff>
          <xdr:row>18</xdr:row>
          <xdr:rowOff>222250</xdr:rowOff>
        </xdr:to>
        <xdr:sp macro="" textlink="">
          <xdr:nvSpPr>
            <xdr:cNvPr id="4112" name="Check Box 16" hidden="1">
              <a:extLst>
                <a:ext uri="{63B3BB69-23CF-44E3-9099-C40C66FF867C}">
                  <a14:compatExt spid="_x0000_s4112"/>
                </a:ext>
                <a:ext uri="{FF2B5EF4-FFF2-40B4-BE49-F238E27FC236}">
                  <a16:creationId xmlns:a16="http://schemas.microsoft.com/office/drawing/2014/main" id="{00000000-0008-0000-1600-00001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18</xdr:row>
          <xdr:rowOff>222250</xdr:rowOff>
        </xdr:from>
        <xdr:to>
          <xdr:col>10</xdr:col>
          <xdr:colOff>107950</xdr:colOff>
          <xdr:row>19</xdr:row>
          <xdr:rowOff>222250</xdr:rowOff>
        </xdr:to>
        <xdr:sp macro="" textlink="">
          <xdr:nvSpPr>
            <xdr:cNvPr id="4113" name="Check Box 17" hidden="1">
              <a:extLst>
                <a:ext uri="{63B3BB69-23CF-44E3-9099-C40C66FF867C}">
                  <a14:compatExt spid="_x0000_s4113"/>
                </a:ext>
                <a:ext uri="{FF2B5EF4-FFF2-40B4-BE49-F238E27FC236}">
                  <a16:creationId xmlns:a16="http://schemas.microsoft.com/office/drawing/2014/main" id="{00000000-0008-0000-1600-00001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19</xdr:row>
          <xdr:rowOff>222250</xdr:rowOff>
        </xdr:from>
        <xdr:to>
          <xdr:col>10</xdr:col>
          <xdr:colOff>107950</xdr:colOff>
          <xdr:row>20</xdr:row>
          <xdr:rowOff>222250</xdr:rowOff>
        </xdr:to>
        <xdr:sp macro="" textlink="">
          <xdr:nvSpPr>
            <xdr:cNvPr id="4114" name="Check Box 18" hidden="1">
              <a:extLst>
                <a:ext uri="{63B3BB69-23CF-44E3-9099-C40C66FF867C}">
                  <a14:compatExt spid="_x0000_s4114"/>
                </a:ext>
                <a:ext uri="{FF2B5EF4-FFF2-40B4-BE49-F238E27FC236}">
                  <a16:creationId xmlns:a16="http://schemas.microsoft.com/office/drawing/2014/main" id="{00000000-0008-0000-1600-00001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20</xdr:row>
          <xdr:rowOff>222250</xdr:rowOff>
        </xdr:from>
        <xdr:to>
          <xdr:col>10</xdr:col>
          <xdr:colOff>107950</xdr:colOff>
          <xdr:row>21</xdr:row>
          <xdr:rowOff>222250</xdr:rowOff>
        </xdr:to>
        <xdr:sp macro="" textlink="">
          <xdr:nvSpPr>
            <xdr:cNvPr id="4115" name="Check Box 19" hidden="1">
              <a:extLst>
                <a:ext uri="{63B3BB69-23CF-44E3-9099-C40C66FF867C}">
                  <a14:compatExt spid="_x0000_s4115"/>
                </a:ext>
                <a:ext uri="{FF2B5EF4-FFF2-40B4-BE49-F238E27FC236}">
                  <a16:creationId xmlns:a16="http://schemas.microsoft.com/office/drawing/2014/main" id="{00000000-0008-0000-1600-00001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21</xdr:row>
          <xdr:rowOff>222250</xdr:rowOff>
        </xdr:from>
        <xdr:to>
          <xdr:col>10</xdr:col>
          <xdr:colOff>107950</xdr:colOff>
          <xdr:row>22</xdr:row>
          <xdr:rowOff>222250</xdr:rowOff>
        </xdr:to>
        <xdr:sp macro="" textlink="">
          <xdr:nvSpPr>
            <xdr:cNvPr id="4116" name="Check Box 20" hidden="1">
              <a:extLst>
                <a:ext uri="{63B3BB69-23CF-44E3-9099-C40C66FF867C}">
                  <a14:compatExt spid="_x0000_s4116"/>
                </a:ext>
                <a:ext uri="{FF2B5EF4-FFF2-40B4-BE49-F238E27FC236}">
                  <a16:creationId xmlns:a16="http://schemas.microsoft.com/office/drawing/2014/main" id="{00000000-0008-0000-1600-00001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22</xdr:row>
          <xdr:rowOff>222250</xdr:rowOff>
        </xdr:from>
        <xdr:to>
          <xdr:col>10</xdr:col>
          <xdr:colOff>107950</xdr:colOff>
          <xdr:row>23</xdr:row>
          <xdr:rowOff>222250</xdr:rowOff>
        </xdr:to>
        <xdr:sp macro="" textlink="">
          <xdr:nvSpPr>
            <xdr:cNvPr id="4117" name="Check Box 21" hidden="1">
              <a:extLst>
                <a:ext uri="{63B3BB69-23CF-44E3-9099-C40C66FF867C}">
                  <a14:compatExt spid="_x0000_s4117"/>
                </a:ext>
                <a:ext uri="{FF2B5EF4-FFF2-40B4-BE49-F238E27FC236}">
                  <a16:creationId xmlns:a16="http://schemas.microsoft.com/office/drawing/2014/main" id="{00000000-0008-0000-1600-00001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266700</xdr:rowOff>
        </xdr:from>
        <xdr:to>
          <xdr:col>16</xdr:col>
          <xdr:colOff>107950</xdr:colOff>
          <xdr:row>6</xdr:row>
          <xdr:rowOff>222250</xdr:rowOff>
        </xdr:to>
        <xdr:sp macro="" textlink="">
          <xdr:nvSpPr>
            <xdr:cNvPr id="4118" name="Check Box 22" hidden="1">
              <a:extLst>
                <a:ext uri="{63B3BB69-23CF-44E3-9099-C40C66FF867C}">
                  <a14:compatExt spid="_x0000_s4118"/>
                </a:ext>
                <a:ext uri="{FF2B5EF4-FFF2-40B4-BE49-F238E27FC236}">
                  <a16:creationId xmlns:a16="http://schemas.microsoft.com/office/drawing/2014/main" id="{00000000-0008-0000-1600-00001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7</xdr:row>
          <xdr:rowOff>0</xdr:rowOff>
        </xdr:from>
        <xdr:to>
          <xdr:col>16</xdr:col>
          <xdr:colOff>107950</xdr:colOff>
          <xdr:row>8</xdr:row>
          <xdr:rowOff>0</xdr:rowOff>
        </xdr:to>
        <xdr:sp macro="" textlink="">
          <xdr:nvSpPr>
            <xdr:cNvPr id="4119" name="Check Box 23" hidden="1">
              <a:extLst>
                <a:ext uri="{63B3BB69-23CF-44E3-9099-C40C66FF867C}">
                  <a14:compatExt spid="_x0000_s4119"/>
                </a:ext>
                <a:ext uri="{FF2B5EF4-FFF2-40B4-BE49-F238E27FC236}">
                  <a16:creationId xmlns:a16="http://schemas.microsoft.com/office/drawing/2014/main" id="{00000000-0008-0000-1600-00001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9</xdr:row>
          <xdr:rowOff>0</xdr:rowOff>
        </xdr:from>
        <xdr:to>
          <xdr:col>16</xdr:col>
          <xdr:colOff>107950</xdr:colOff>
          <xdr:row>10</xdr:row>
          <xdr:rowOff>0</xdr:rowOff>
        </xdr:to>
        <xdr:sp macro="" textlink="">
          <xdr:nvSpPr>
            <xdr:cNvPr id="4120" name="Check Box 24" hidden="1">
              <a:extLst>
                <a:ext uri="{63B3BB69-23CF-44E3-9099-C40C66FF867C}">
                  <a14:compatExt spid="_x0000_s4120"/>
                </a:ext>
                <a:ext uri="{FF2B5EF4-FFF2-40B4-BE49-F238E27FC236}">
                  <a16:creationId xmlns:a16="http://schemas.microsoft.com/office/drawing/2014/main" id="{00000000-0008-0000-1600-00001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10</xdr:row>
          <xdr:rowOff>0</xdr:rowOff>
        </xdr:from>
        <xdr:to>
          <xdr:col>16</xdr:col>
          <xdr:colOff>107950</xdr:colOff>
          <xdr:row>11</xdr:row>
          <xdr:rowOff>0</xdr:rowOff>
        </xdr:to>
        <xdr:sp macro="" textlink="">
          <xdr:nvSpPr>
            <xdr:cNvPr id="4121" name="Check Box 25" hidden="1">
              <a:extLst>
                <a:ext uri="{63B3BB69-23CF-44E3-9099-C40C66FF867C}">
                  <a14:compatExt spid="_x0000_s4121"/>
                </a:ext>
                <a:ext uri="{FF2B5EF4-FFF2-40B4-BE49-F238E27FC236}">
                  <a16:creationId xmlns:a16="http://schemas.microsoft.com/office/drawing/2014/main" id="{00000000-0008-0000-1600-00001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12</xdr:row>
          <xdr:rowOff>0</xdr:rowOff>
        </xdr:from>
        <xdr:to>
          <xdr:col>16</xdr:col>
          <xdr:colOff>107950</xdr:colOff>
          <xdr:row>13</xdr:row>
          <xdr:rowOff>0</xdr:rowOff>
        </xdr:to>
        <xdr:sp macro="" textlink="">
          <xdr:nvSpPr>
            <xdr:cNvPr id="4122" name="Check Box 26" hidden="1">
              <a:extLst>
                <a:ext uri="{63B3BB69-23CF-44E3-9099-C40C66FF867C}">
                  <a14:compatExt spid="_x0000_s4122"/>
                </a:ext>
                <a:ext uri="{FF2B5EF4-FFF2-40B4-BE49-F238E27FC236}">
                  <a16:creationId xmlns:a16="http://schemas.microsoft.com/office/drawing/2014/main" id="{00000000-0008-0000-1600-00001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13</xdr:row>
          <xdr:rowOff>0</xdr:rowOff>
        </xdr:from>
        <xdr:to>
          <xdr:col>16</xdr:col>
          <xdr:colOff>107950</xdr:colOff>
          <xdr:row>14</xdr:row>
          <xdr:rowOff>0</xdr:rowOff>
        </xdr:to>
        <xdr:sp macro="" textlink="">
          <xdr:nvSpPr>
            <xdr:cNvPr id="4123" name="Check Box 27" hidden="1">
              <a:extLst>
                <a:ext uri="{63B3BB69-23CF-44E3-9099-C40C66FF867C}">
                  <a14:compatExt spid="_x0000_s4123"/>
                </a:ext>
                <a:ext uri="{FF2B5EF4-FFF2-40B4-BE49-F238E27FC236}">
                  <a16:creationId xmlns:a16="http://schemas.microsoft.com/office/drawing/2014/main" id="{00000000-0008-0000-1600-00001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15</xdr:row>
          <xdr:rowOff>0</xdr:rowOff>
        </xdr:from>
        <xdr:to>
          <xdr:col>16</xdr:col>
          <xdr:colOff>107950</xdr:colOff>
          <xdr:row>16</xdr:row>
          <xdr:rowOff>0</xdr:rowOff>
        </xdr:to>
        <xdr:sp macro="" textlink="">
          <xdr:nvSpPr>
            <xdr:cNvPr id="4124" name="Check Box 28" hidden="1">
              <a:extLst>
                <a:ext uri="{63B3BB69-23CF-44E3-9099-C40C66FF867C}">
                  <a14:compatExt spid="_x0000_s4124"/>
                </a:ext>
                <a:ext uri="{FF2B5EF4-FFF2-40B4-BE49-F238E27FC236}">
                  <a16:creationId xmlns:a16="http://schemas.microsoft.com/office/drawing/2014/main" id="{00000000-0008-0000-1600-00001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16</xdr:row>
          <xdr:rowOff>0</xdr:rowOff>
        </xdr:from>
        <xdr:to>
          <xdr:col>16</xdr:col>
          <xdr:colOff>107950</xdr:colOff>
          <xdr:row>17</xdr:row>
          <xdr:rowOff>0</xdr:rowOff>
        </xdr:to>
        <xdr:sp macro="" textlink="">
          <xdr:nvSpPr>
            <xdr:cNvPr id="4125" name="Check Box 29" hidden="1">
              <a:extLst>
                <a:ext uri="{63B3BB69-23CF-44E3-9099-C40C66FF867C}">
                  <a14:compatExt spid="_x0000_s4125"/>
                </a:ext>
                <a:ext uri="{FF2B5EF4-FFF2-40B4-BE49-F238E27FC236}">
                  <a16:creationId xmlns:a16="http://schemas.microsoft.com/office/drawing/2014/main" id="{00000000-0008-0000-1600-00001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18</xdr:row>
          <xdr:rowOff>0</xdr:rowOff>
        </xdr:from>
        <xdr:to>
          <xdr:col>16</xdr:col>
          <xdr:colOff>107950</xdr:colOff>
          <xdr:row>19</xdr:row>
          <xdr:rowOff>0</xdr:rowOff>
        </xdr:to>
        <xdr:sp macro="" textlink="">
          <xdr:nvSpPr>
            <xdr:cNvPr id="4126" name="Check Box 30" hidden="1">
              <a:extLst>
                <a:ext uri="{63B3BB69-23CF-44E3-9099-C40C66FF867C}">
                  <a14:compatExt spid="_x0000_s4126"/>
                </a:ext>
                <a:ext uri="{FF2B5EF4-FFF2-40B4-BE49-F238E27FC236}">
                  <a16:creationId xmlns:a16="http://schemas.microsoft.com/office/drawing/2014/main" id="{00000000-0008-0000-1600-00001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19</xdr:row>
          <xdr:rowOff>0</xdr:rowOff>
        </xdr:from>
        <xdr:to>
          <xdr:col>16</xdr:col>
          <xdr:colOff>107950</xdr:colOff>
          <xdr:row>20</xdr:row>
          <xdr:rowOff>0</xdr:rowOff>
        </xdr:to>
        <xdr:sp macro="" textlink="">
          <xdr:nvSpPr>
            <xdr:cNvPr id="4127" name="Check Box 31" hidden="1">
              <a:extLst>
                <a:ext uri="{63B3BB69-23CF-44E3-9099-C40C66FF867C}">
                  <a14:compatExt spid="_x0000_s4127"/>
                </a:ext>
                <a:ext uri="{FF2B5EF4-FFF2-40B4-BE49-F238E27FC236}">
                  <a16:creationId xmlns:a16="http://schemas.microsoft.com/office/drawing/2014/main" id="{00000000-0008-0000-1600-00001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21</xdr:row>
          <xdr:rowOff>0</xdr:rowOff>
        </xdr:from>
        <xdr:to>
          <xdr:col>16</xdr:col>
          <xdr:colOff>107950</xdr:colOff>
          <xdr:row>22</xdr:row>
          <xdr:rowOff>0</xdr:rowOff>
        </xdr:to>
        <xdr:sp macro="" textlink="">
          <xdr:nvSpPr>
            <xdr:cNvPr id="4128" name="Check Box 32" hidden="1">
              <a:extLst>
                <a:ext uri="{63B3BB69-23CF-44E3-9099-C40C66FF867C}">
                  <a14:compatExt spid="_x0000_s4128"/>
                </a:ext>
                <a:ext uri="{FF2B5EF4-FFF2-40B4-BE49-F238E27FC236}">
                  <a16:creationId xmlns:a16="http://schemas.microsoft.com/office/drawing/2014/main" id="{00000000-0008-0000-1600-00002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22</xdr:row>
          <xdr:rowOff>0</xdr:rowOff>
        </xdr:from>
        <xdr:to>
          <xdr:col>16</xdr:col>
          <xdr:colOff>107950</xdr:colOff>
          <xdr:row>23</xdr:row>
          <xdr:rowOff>0</xdr:rowOff>
        </xdr:to>
        <xdr:sp macro="" textlink="">
          <xdr:nvSpPr>
            <xdr:cNvPr id="4129" name="Check Box 33" hidden="1">
              <a:extLst>
                <a:ext uri="{63B3BB69-23CF-44E3-9099-C40C66FF867C}">
                  <a14:compatExt spid="_x0000_s4129"/>
                </a:ext>
                <a:ext uri="{FF2B5EF4-FFF2-40B4-BE49-F238E27FC236}">
                  <a16:creationId xmlns:a16="http://schemas.microsoft.com/office/drawing/2014/main" id="{00000000-0008-0000-1600-00002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6</xdr:col>
      <xdr:colOff>342900</xdr:colOff>
      <xdr:row>100</xdr:row>
      <xdr:rowOff>66675</xdr:rowOff>
    </xdr:from>
    <xdr:to>
      <xdr:col>6</xdr:col>
      <xdr:colOff>371475</xdr:colOff>
      <xdr:row>100</xdr:row>
      <xdr:rowOff>104775</xdr:rowOff>
    </xdr:to>
    <xdr:sp macro="" textlink="">
      <xdr:nvSpPr>
        <xdr:cNvPr id="2" name="Rectangle 118">
          <a:extLst>
            <a:ext uri="{FF2B5EF4-FFF2-40B4-BE49-F238E27FC236}">
              <a16:creationId xmlns:a16="http://schemas.microsoft.com/office/drawing/2014/main" id="{00000000-0008-0000-1700-000002000000}"/>
            </a:ext>
          </a:extLst>
        </xdr:cNvPr>
        <xdr:cNvSpPr>
          <a:spLocks noChangeArrowheads="1"/>
        </xdr:cNvSpPr>
      </xdr:nvSpPr>
      <xdr:spPr bwMode="auto">
        <a:xfrm flipH="1" flipV="1">
          <a:off x="1805940" y="194595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100</xdr:row>
      <xdr:rowOff>66675</xdr:rowOff>
    </xdr:from>
    <xdr:to>
      <xdr:col>1</xdr:col>
      <xdr:colOff>371475</xdr:colOff>
      <xdr:row>100</xdr:row>
      <xdr:rowOff>104775</xdr:rowOff>
    </xdr:to>
    <xdr:sp macro="" textlink="">
      <xdr:nvSpPr>
        <xdr:cNvPr id="3" name="Rectangle 118">
          <a:extLst>
            <a:ext uri="{FF2B5EF4-FFF2-40B4-BE49-F238E27FC236}">
              <a16:creationId xmlns:a16="http://schemas.microsoft.com/office/drawing/2014/main" id="{00000000-0008-0000-1700-000003000000}"/>
            </a:ext>
          </a:extLst>
        </xdr:cNvPr>
        <xdr:cNvSpPr>
          <a:spLocks noChangeArrowheads="1"/>
        </xdr:cNvSpPr>
      </xdr:nvSpPr>
      <xdr:spPr bwMode="auto">
        <a:xfrm flipH="1" flipV="1">
          <a:off x="434340" y="19459575"/>
          <a:ext cx="0" cy="38100"/>
        </a:xfrm>
        <a:prstGeom prst="rect">
          <a:avLst/>
        </a:prstGeom>
        <a:solidFill>
          <a:srgbClr val="000000"/>
        </a:solidFill>
        <a:ln w="9525">
          <a:solidFill>
            <a:srgbClr val="000000"/>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342900</xdr:colOff>
      <xdr:row>102</xdr:row>
      <xdr:rowOff>66675</xdr:rowOff>
    </xdr:from>
    <xdr:to>
      <xdr:col>6</xdr:col>
      <xdr:colOff>371475</xdr:colOff>
      <xdr:row>102</xdr:row>
      <xdr:rowOff>104775</xdr:rowOff>
    </xdr:to>
    <xdr:sp macro="" textlink="">
      <xdr:nvSpPr>
        <xdr:cNvPr id="2" name="Rectangle 118">
          <a:extLst>
            <a:ext uri="{FF2B5EF4-FFF2-40B4-BE49-F238E27FC236}">
              <a16:creationId xmlns:a16="http://schemas.microsoft.com/office/drawing/2014/main" id="{00000000-0008-0000-1800-000002000000}"/>
            </a:ext>
          </a:extLst>
        </xdr:cNvPr>
        <xdr:cNvSpPr>
          <a:spLocks noChangeArrowheads="1"/>
        </xdr:cNvSpPr>
      </xdr:nvSpPr>
      <xdr:spPr bwMode="auto">
        <a:xfrm flipH="1" flipV="1">
          <a:off x="1805940" y="2015299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800-000003000000}"/>
            </a:ext>
          </a:extLst>
        </xdr:cNvPr>
        <xdr:cNvSpPr>
          <a:spLocks noChangeArrowheads="1"/>
        </xdr:cNvSpPr>
      </xdr:nvSpPr>
      <xdr:spPr bwMode="auto">
        <a:xfrm flipH="1" flipV="1">
          <a:off x="434340" y="20152995"/>
          <a:ext cx="0" cy="38100"/>
        </a:xfrm>
        <a:prstGeom prst="rect">
          <a:avLst/>
        </a:prstGeom>
        <a:solidFill>
          <a:srgbClr val="0000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342900</xdr:colOff>
      <xdr:row>97</xdr:row>
      <xdr:rowOff>66675</xdr:rowOff>
    </xdr:from>
    <xdr:to>
      <xdr:col>6</xdr:col>
      <xdr:colOff>371475</xdr:colOff>
      <xdr:row>97</xdr:row>
      <xdr:rowOff>104775</xdr:rowOff>
    </xdr:to>
    <xdr:sp macro="" textlink="">
      <xdr:nvSpPr>
        <xdr:cNvPr id="2" name="Rectangle 118">
          <a:extLst>
            <a:ext uri="{FF2B5EF4-FFF2-40B4-BE49-F238E27FC236}">
              <a16:creationId xmlns:a16="http://schemas.microsoft.com/office/drawing/2014/main" id="{00000000-0008-0000-1900-000002000000}"/>
            </a:ext>
          </a:extLst>
        </xdr:cNvPr>
        <xdr:cNvSpPr>
          <a:spLocks noChangeArrowheads="1"/>
        </xdr:cNvSpPr>
      </xdr:nvSpPr>
      <xdr:spPr bwMode="auto">
        <a:xfrm flipH="1" flipV="1">
          <a:off x="1805940" y="188499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97</xdr:row>
      <xdr:rowOff>66675</xdr:rowOff>
    </xdr:from>
    <xdr:to>
      <xdr:col>1</xdr:col>
      <xdr:colOff>371475</xdr:colOff>
      <xdr:row>97</xdr:row>
      <xdr:rowOff>104775</xdr:rowOff>
    </xdr:to>
    <xdr:sp macro="" textlink="">
      <xdr:nvSpPr>
        <xdr:cNvPr id="3" name="Rectangle 118">
          <a:extLst>
            <a:ext uri="{FF2B5EF4-FFF2-40B4-BE49-F238E27FC236}">
              <a16:creationId xmlns:a16="http://schemas.microsoft.com/office/drawing/2014/main" id="{00000000-0008-0000-1900-000003000000}"/>
            </a:ext>
          </a:extLst>
        </xdr:cNvPr>
        <xdr:cNvSpPr>
          <a:spLocks noChangeArrowheads="1"/>
        </xdr:cNvSpPr>
      </xdr:nvSpPr>
      <xdr:spPr bwMode="auto">
        <a:xfrm flipH="1" flipV="1">
          <a:off x="434340" y="18849975"/>
          <a:ext cx="0" cy="38100"/>
        </a:xfrm>
        <a:prstGeom prst="rect">
          <a:avLst/>
        </a:prstGeom>
        <a:solidFill>
          <a:srgbClr val="0000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33</xdr:col>
          <xdr:colOff>50800</xdr:colOff>
          <xdr:row>27</xdr:row>
          <xdr:rowOff>31750</xdr:rowOff>
        </xdr:from>
        <xdr:to>
          <xdr:col>34</xdr:col>
          <xdr:colOff>165100</xdr:colOff>
          <xdr:row>27</xdr:row>
          <xdr:rowOff>260350</xdr:rowOff>
        </xdr:to>
        <xdr:sp macro="" textlink="">
          <xdr:nvSpPr>
            <xdr:cNvPr id="55298" name="Check Box 2" hidden="1">
              <a:extLst>
                <a:ext uri="{63B3BB69-23CF-44E3-9099-C40C66FF867C}">
                  <a14:compatExt spid="_x0000_s55298"/>
                </a:ext>
                <a:ext uri="{FF2B5EF4-FFF2-40B4-BE49-F238E27FC236}">
                  <a16:creationId xmlns:a16="http://schemas.microsoft.com/office/drawing/2014/main" id="{00000000-0008-0000-1A00-00000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28</xdr:row>
          <xdr:rowOff>31750</xdr:rowOff>
        </xdr:from>
        <xdr:to>
          <xdr:col>34</xdr:col>
          <xdr:colOff>165100</xdr:colOff>
          <xdr:row>28</xdr:row>
          <xdr:rowOff>260350</xdr:rowOff>
        </xdr:to>
        <xdr:sp macro="" textlink="">
          <xdr:nvSpPr>
            <xdr:cNvPr id="55299" name="Check Box 3" hidden="1">
              <a:extLst>
                <a:ext uri="{63B3BB69-23CF-44E3-9099-C40C66FF867C}">
                  <a14:compatExt spid="_x0000_s55299"/>
                </a:ext>
                <a:ext uri="{FF2B5EF4-FFF2-40B4-BE49-F238E27FC236}">
                  <a16:creationId xmlns:a16="http://schemas.microsoft.com/office/drawing/2014/main" id="{00000000-0008-0000-1A00-00000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27</xdr:row>
          <xdr:rowOff>31750</xdr:rowOff>
        </xdr:from>
        <xdr:to>
          <xdr:col>43</xdr:col>
          <xdr:colOff>165100</xdr:colOff>
          <xdr:row>27</xdr:row>
          <xdr:rowOff>260350</xdr:rowOff>
        </xdr:to>
        <xdr:sp macro="" textlink="">
          <xdr:nvSpPr>
            <xdr:cNvPr id="55300" name="Check Box 4" hidden="1">
              <a:extLst>
                <a:ext uri="{63B3BB69-23CF-44E3-9099-C40C66FF867C}">
                  <a14:compatExt spid="_x0000_s55300"/>
                </a:ext>
                <a:ext uri="{FF2B5EF4-FFF2-40B4-BE49-F238E27FC236}">
                  <a16:creationId xmlns:a16="http://schemas.microsoft.com/office/drawing/2014/main" id="{00000000-0008-0000-1A00-00000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28</xdr:row>
          <xdr:rowOff>31750</xdr:rowOff>
        </xdr:from>
        <xdr:to>
          <xdr:col>43</xdr:col>
          <xdr:colOff>165100</xdr:colOff>
          <xdr:row>28</xdr:row>
          <xdr:rowOff>260350</xdr:rowOff>
        </xdr:to>
        <xdr:sp macro="" textlink="">
          <xdr:nvSpPr>
            <xdr:cNvPr id="55301" name="Check Box 5" hidden="1">
              <a:extLst>
                <a:ext uri="{63B3BB69-23CF-44E3-9099-C40C66FF867C}">
                  <a14:compatExt spid="_x0000_s55301"/>
                </a:ext>
                <a:ext uri="{FF2B5EF4-FFF2-40B4-BE49-F238E27FC236}">
                  <a16:creationId xmlns:a16="http://schemas.microsoft.com/office/drawing/2014/main" id="{00000000-0008-0000-1A00-00000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32</xdr:row>
          <xdr:rowOff>50800</xdr:rowOff>
        </xdr:from>
        <xdr:to>
          <xdr:col>34</xdr:col>
          <xdr:colOff>165100</xdr:colOff>
          <xdr:row>32</xdr:row>
          <xdr:rowOff>266700</xdr:rowOff>
        </xdr:to>
        <xdr:sp macro="" textlink="">
          <xdr:nvSpPr>
            <xdr:cNvPr id="55302" name="Check Box 6" hidden="1">
              <a:extLst>
                <a:ext uri="{63B3BB69-23CF-44E3-9099-C40C66FF867C}">
                  <a14:compatExt spid="_x0000_s55302"/>
                </a:ext>
                <a:ext uri="{FF2B5EF4-FFF2-40B4-BE49-F238E27FC236}">
                  <a16:creationId xmlns:a16="http://schemas.microsoft.com/office/drawing/2014/main" id="{00000000-0008-0000-1A00-00000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33</xdr:row>
          <xdr:rowOff>31750</xdr:rowOff>
        </xdr:from>
        <xdr:to>
          <xdr:col>34</xdr:col>
          <xdr:colOff>165100</xdr:colOff>
          <xdr:row>33</xdr:row>
          <xdr:rowOff>260350</xdr:rowOff>
        </xdr:to>
        <xdr:sp macro="" textlink="">
          <xdr:nvSpPr>
            <xdr:cNvPr id="55303" name="Check Box 7" hidden="1">
              <a:extLst>
                <a:ext uri="{63B3BB69-23CF-44E3-9099-C40C66FF867C}">
                  <a14:compatExt spid="_x0000_s55303"/>
                </a:ext>
                <a:ext uri="{FF2B5EF4-FFF2-40B4-BE49-F238E27FC236}">
                  <a16:creationId xmlns:a16="http://schemas.microsoft.com/office/drawing/2014/main" id="{00000000-0008-0000-1A00-00000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34</xdr:row>
          <xdr:rowOff>31750</xdr:rowOff>
        </xdr:from>
        <xdr:to>
          <xdr:col>34</xdr:col>
          <xdr:colOff>165100</xdr:colOff>
          <xdr:row>34</xdr:row>
          <xdr:rowOff>260350</xdr:rowOff>
        </xdr:to>
        <xdr:sp macro="" textlink="">
          <xdr:nvSpPr>
            <xdr:cNvPr id="55304" name="Check Box 8" hidden="1">
              <a:extLst>
                <a:ext uri="{63B3BB69-23CF-44E3-9099-C40C66FF867C}">
                  <a14:compatExt spid="_x0000_s55304"/>
                </a:ext>
                <a:ext uri="{FF2B5EF4-FFF2-40B4-BE49-F238E27FC236}">
                  <a16:creationId xmlns:a16="http://schemas.microsoft.com/office/drawing/2014/main" id="{00000000-0008-0000-1A00-00000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35</xdr:row>
          <xdr:rowOff>31750</xdr:rowOff>
        </xdr:from>
        <xdr:to>
          <xdr:col>34</xdr:col>
          <xdr:colOff>165100</xdr:colOff>
          <xdr:row>36</xdr:row>
          <xdr:rowOff>107950</xdr:rowOff>
        </xdr:to>
        <xdr:sp macro="" textlink="">
          <xdr:nvSpPr>
            <xdr:cNvPr id="55305" name="Check Box 9" hidden="1">
              <a:extLst>
                <a:ext uri="{63B3BB69-23CF-44E3-9099-C40C66FF867C}">
                  <a14:compatExt spid="_x0000_s55305"/>
                </a:ext>
                <a:ext uri="{FF2B5EF4-FFF2-40B4-BE49-F238E27FC236}">
                  <a16:creationId xmlns:a16="http://schemas.microsoft.com/office/drawing/2014/main" id="{00000000-0008-0000-1A00-00000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37</xdr:row>
          <xdr:rowOff>31750</xdr:rowOff>
        </xdr:from>
        <xdr:to>
          <xdr:col>34</xdr:col>
          <xdr:colOff>165100</xdr:colOff>
          <xdr:row>38</xdr:row>
          <xdr:rowOff>107950</xdr:rowOff>
        </xdr:to>
        <xdr:sp macro="" textlink="">
          <xdr:nvSpPr>
            <xdr:cNvPr id="55306" name="Check Box 10" hidden="1">
              <a:extLst>
                <a:ext uri="{63B3BB69-23CF-44E3-9099-C40C66FF867C}">
                  <a14:compatExt spid="_x0000_s55306"/>
                </a:ext>
                <a:ext uri="{FF2B5EF4-FFF2-40B4-BE49-F238E27FC236}">
                  <a16:creationId xmlns:a16="http://schemas.microsoft.com/office/drawing/2014/main" id="{00000000-0008-0000-1A00-00000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32</xdr:row>
          <xdr:rowOff>31750</xdr:rowOff>
        </xdr:from>
        <xdr:to>
          <xdr:col>43</xdr:col>
          <xdr:colOff>165100</xdr:colOff>
          <xdr:row>32</xdr:row>
          <xdr:rowOff>260350</xdr:rowOff>
        </xdr:to>
        <xdr:sp macro="" textlink="">
          <xdr:nvSpPr>
            <xdr:cNvPr id="55307" name="Check Box 11" hidden="1">
              <a:extLst>
                <a:ext uri="{63B3BB69-23CF-44E3-9099-C40C66FF867C}">
                  <a14:compatExt spid="_x0000_s55307"/>
                </a:ext>
                <a:ext uri="{FF2B5EF4-FFF2-40B4-BE49-F238E27FC236}">
                  <a16:creationId xmlns:a16="http://schemas.microsoft.com/office/drawing/2014/main" id="{00000000-0008-0000-1A00-00000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33</xdr:row>
          <xdr:rowOff>31750</xdr:rowOff>
        </xdr:from>
        <xdr:to>
          <xdr:col>43</xdr:col>
          <xdr:colOff>165100</xdr:colOff>
          <xdr:row>33</xdr:row>
          <xdr:rowOff>260350</xdr:rowOff>
        </xdr:to>
        <xdr:sp macro="" textlink="">
          <xdr:nvSpPr>
            <xdr:cNvPr id="55308" name="Check Box 12" hidden="1">
              <a:extLst>
                <a:ext uri="{63B3BB69-23CF-44E3-9099-C40C66FF867C}">
                  <a14:compatExt spid="_x0000_s55308"/>
                </a:ext>
                <a:ext uri="{FF2B5EF4-FFF2-40B4-BE49-F238E27FC236}">
                  <a16:creationId xmlns:a16="http://schemas.microsoft.com/office/drawing/2014/main" id="{00000000-0008-0000-1A00-00000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34</xdr:row>
          <xdr:rowOff>31750</xdr:rowOff>
        </xdr:from>
        <xdr:to>
          <xdr:col>43</xdr:col>
          <xdr:colOff>165100</xdr:colOff>
          <xdr:row>34</xdr:row>
          <xdr:rowOff>260350</xdr:rowOff>
        </xdr:to>
        <xdr:sp macro="" textlink="">
          <xdr:nvSpPr>
            <xdr:cNvPr id="55309" name="Check Box 13" hidden="1">
              <a:extLst>
                <a:ext uri="{63B3BB69-23CF-44E3-9099-C40C66FF867C}">
                  <a14:compatExt spid="_x0000_s55309"/>
                </a:ext>
                <a:ext uri="{FF2B5EF4-FFF2-40B4-BE49-F238E27FC236}">
                  <a16:creationId xmlns:a16="http://schemas.microsoft.com/office/drawing/2014/main" id="{00000000-0008-0000-1A00-00000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35</xdr:row>
          <xdr:rowOff>31750</xdr:rowOff>
        </xdr:from>
        <xdr:to>
          <xdr:col>43</xdr:col>
          <xdr:colOff>165100</xdr:colOff>
          <xdr:row>36</xdr:row>
          <xdr:rowOff>107950</xdr:rowOff>
        </xdr:to>
        <xdr:sp macro="" textlink="">
          <xdr:nvSpPr>
            <xdr:cNvPr id="55310" name="Check Box 14" hidden="1">
              <a:extLst>
                <a:ext uri="{63B3BB69-23CF-44E3-9099-C40C66FF867C}">
                  <a14:compatExt spid="_x0000_s55310"/>
                </a:ext>
                <a:ext uri="{FF2B5EF4-FFF2-40B4-BE49-F238E27FC236}">
                  <a16:creationId xmlns:a16="http://schemas.microsoft.com/office/drawing/2014/main" id="{00000000-0008-0000-1A00-00000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31750</xdr:colOff>
          <xdr:row>5</xdr:row>
          <xdr:rowOff>31750</xdr:rowOff>
        </xdr:from>
        <xdr:to>
          <xdr:col>28</xdr:col>
          <xdr:colOff>69850</xdr:colOff>
          <xdr:row>5</xdr:row>
          <xdr:rowOff>241300</xdr:rowOff>
        </xdr:to>
        <xdr:sp macro="" textlink="">
          <xdr:nvSpPr>
            <xdr:cNvPr id="56321" name="Check Box 1" hidden="1">
              <a:extLst>
                <a:ext uri="{63B3BB69-23CF-44E3-9099-C40C66FF867C}">
                  <a14:compatExt spid="_x0000_s56321"/>
                </a:ext>
                <a:ext uri="{FF2B5EF4-FFF2-40B4-BE49-F238E27FC236}">
                  <a16:creationId xmlns:a16="http://schemas.microsoft.com/office/drawing/2014/main" id="{00000000-0008-0000-1B00-00000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6</xdr:row>
          <xdr:rowOff>31750</xdr:rowOff>
        </xdr:from>
        <xdr:to>
          <xdr:col>28</xdr:col>
          <xdr:colOff>69850</xdr:colOff>
          <xdr:row>6</xdr:row>
          <xdr:rowOff>241300</xdr:rowOff>
        </xdr:to>
        <xdr:sp macro="" textlink="">
          <xdr:nvSpPr>
            <xdr:cNvPr id="56322" name="Check Box 2" hidden="1">
              <a:extLst>
                <a:ext uri="{63B3BB69-23CF-44E3-9099-C40C66FF867C}">
                  <a14:compatExt spid="_x0000_s56322"/>
                </a:ext>
                <a:ext uri="{FF2B5EF4-FFF2-40B4-BE49-F238E27FC236}">
                  <a16:creationId xmlns:a16="http://schemas.microsoft.com/office/drawing/2014/main" id="{00000000-0008-0000-1B00-00000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7</xdr:row>
          <xdr:rowOff>31750</xdr:rowOff>
        </xdr:from>
        <xdr:to>
          <xdr:col>31</xdr:col>
          <xdr:colOff>69850</xdr:colOff>
          <xdr:row>7</xdr:row>
          <xdr:rowOff>241300</xdr:rowOff>
        </xdr:to>
        <xdr:sp macro="" textlink="">
          <xdr:nvSpPr>
            <xdr:cNvPr id="56323" name="Check Box 3" hidden="1">
              <a:extLst>
                <a:ext uri="{63B3BB69-23CF-44E3-9099-C40C66FF867C}">
                  <a14:compatExt spid="_x0000_s56323"/>
                </a:ext>
                <a:ext uri="{FF2B5EF4-FFF2-40B4-BE49-F238E27FC236}">
                  <a16:creationId xmlns:a16="http://schemas.microsoft.com/office/drawing/2014/main" id="{00000000-0008-0000-1B00-00000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8</xdr:row>
          <xdr:rowOff>31750</xdr:rowOff>
        </xdr:from>
        <xdr:to>
          <xdr:col>31</xdr:col>
          <xdr:colOff>69850</xdr:colOff>
          <xdr:row>8</xdr:row>
          <xdr:rowOff>241300</xdr:rowOff>
        </xdr:to>
        <xdr:sp macro="" textlink="">
          <xdr:nvSpPr>
            <xdr:cNvPr id="56324" name="Check Box 4" hidden="1">
              <a:extLst>
                <a:ext uri="{63B3BB69-23CF-44E3-9099-C40C66FF867C}">
                  <a14:compatExt spid="_x0000_s56324"/>
                </a:ext>
                <a:ext uri="{FF2B5EF4-FFF2-40B4-BE49-F238E27FC236}">
                  <a16:creationId xmlns:a16="http://schemas.microsoft.com/office/drawing/2014/main" id="{00000000-0008-0000-1B00-00000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9</xdr:row>
          <xdr:rowOff>31750</xdr:rowOff>
        </xdr:from>
        <xdr:to>
          <xdr:col>31</xdr:col>
          <xdr:colOff>69850</xdr:colOff>
          <xdr:row>9</xdr:row>
          <xdr:rowOff>241300</xdr:rowOff>
        </xdr:to>
        <xdr:sp macro="" textlink="">
          <xdr:nvSpPr>
            <xdr:cNvPr id="56325" name="Check Box 5" hidden="1">
              <a:extLst>
                <a:ext uri="{63B3BB69-23CF-44E3-9099-C40C66FF867C}">
                  <a14:compatExt spid="_x0000_s56325"/>
                </a:ext>
                <a:ext uri="{FF2B5EF4-FFF2-40B4-BE49-F238E27FC236}">
                  <a16:creationId xmlns:a16="http://schemas.microsoft.com/office/drawing/2014/main" id="{00000000-0008-0000-1B00-00000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10</xdr:row>
          <xdr:rowOff>31750</xdr:rowOff>
        </xdr:from>
        <xdr:to>
          <xdr:col>28</xdr:col>
          <xdr:colOff>69850</xdr:colOff>
          <xdr:row>10</xdr:row>
          <xdr:rowOff>241300</xdr:rowOff>
        </xdr:to>
        <xdr:sp macro="" textlink="">
          <xdr:nvSpPr>
            <xdr:cNvPr id="56326" name="Check Box 6" hidden="1">
              <a:extLst>
                <a:ext uri="{63B3BB69-23CF-44E3-9099-C40C66FF867C}">
                  <a14:compatExt spid="_x0000_s56326"/>
                </a:ext>
                <a:ext uri="{FF2B5EF4-FFF2-40B4-BE49-F238E27FC236}">
                  <a16:creationId xmlns:a16="http://schemas.microsoft.com/office/drawing/2014/main" id="{00000000-0008-0000-1B00-00000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13</xdr:row>
          <xdr:rowOff>31750</xdr:rowOff>
        </xdr:from>
        <xdr:to>
          <xdr:col>28</xdr:col>
          <xdr:colOff>69850</xdr:colOff>
          <xdr:row>14</xdr:row>
          <xdr:rowOff>31750</xdr:rowOff>
        </xdr:to>
        <xdr:sp macro="" textlink="">
          <xdr:nvSpPr>
            <xdr:cNvPr id="56327" name="Check Box 7" hidden="1">
              <a:extLst>
                <a:ext uri="{63B3BB69-23CF-44E3-9099-C40C66FF867C}">
                  <a14:compatExt spid="_x0000_s56327"/>
                </a:ext>
                <a:ext uri="{FF2B5EF4-FFF2-40B4-BE49-F238E27FC236}">
                  <a16:creationId xmlns:a16="http://schemas.microsoft.com/office/drawing/2014/main" id="{00000000-0008-0000-1B00-00000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14</xdr:row>
          <xdr:rowOff>31750</xdr:rowOff>
        </xdr:from>
        <xdr:to>
          <xdr:col>28</xdr:col>
          <xdr:colOff>69850</xdr:colOff>
          <xdr:row>14</xdr:row>
          <xdr:rowOff>241300</xdr:rowOff>
        </xdr:to>
        <xdr:sp macro="" textlink="">
          <xdr:nvSpPr>
            <xdr:cNvPr id="56328" name="Check Box 8" hidden="1">
              <a:extLst>
                <a:ext uri="{63B3BB69-23CF-44E3-9099-C40C66FF867C}">
                  <a14:compatExt spid="_x0000_s56328"/>
                </a:ext>
                <a:ext uri="{FF2B5EF4-FFF2-40B4-BE49-F238E27FC236}">
                  <a16:creationId xmlns:a16="http://schemas.microsoft.com/office/drawing/2014/main" id="{00000000-0008-0000-1B00-00000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15</xdr:row>
          <xdr:rowOff>31750</xdr:rowOff>
        </xdr:from>
        <xdr:to>
          <xdr:col>28</xdr:col>
          <xdr:colOff>69850</xdr:colOff>
          <xdr:row>15</xdr:row>
          <xdr:rowOff>241300</xdr:rowOff>
        </xdr:to>
        <xdr:sp macro="" textlink="">
          <xdr:nvSpPr>
            <xdr:cNvPr id="56329" name="Check Box 9" hidden="1">
              <a:extLst>
                <a:ext uri="{63B3BB69-23CF-44E3-9099-C40C66FF867C}">
                  <a14:compatExt spid="_x0000_s56329"/>
                </a:ext>
                <a:ext uri="{FF2B5EF4-FFF2-40B4-BE49-F238E27FC236}">
                  <a16:creationId xmlns:a16="http://schemas.microsoft.com/office/drawing/2014/main" id="{00000000-0008-0000-1B00-00000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13</xdr:row>
          <xdr:rowOff>31750</xdr:rowOff>
        </xdr:from>
        <xdr:to>
          <xdr:col>34</xdr:col>
          <xdr:colOff>69850</xdr:colOff>
          <xdr:row>14</xdr:row>
          <xdr:rowOff>31750</xdr:rowOff>
        </xdr:to>
        <xdr:sp macro="" textlink="">
          <xdr:nvSpPr>
            <xdr:cNvPr id="56330" name="Check Box 10" hidden="1">
              <a:extLst>
                <a:ext uri="{63B3BB69-23CF-44E3-9099-C40C66FF867C}">
                  <a14:compatExt spid="_x0000_s56330"/>
                </a:ext>
                <a:ext uri="{FF2B5EF4-FFF2-40B4-BE49-F238E27FC236}">
                  <a16:creationId xmlns:a16="http://schemas.microsoft.com/office/drawing/2014/main" id="{00000000-0008-0000-1B00-00000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14</xdr:row>
          <xdr:rowOff>31750</xdr:rowOff>
        </xdr:from>
        <xdr:to>
          <xdr:col>34</xdr:col>
          <xdr:colOff>69850</xdr:colOff>
          <xdr:row>14</xdr:row>
          <xdr:rowOff>241300</xdr:rowOff>
        </xdr:to>
        <xdr:sp macro="" textlink="">
          <xdr:nvSpPr>
            <xdr:cNvPr id="56331" name="Check Box 11" hidden="1">
              <a:extLst>
                <a:ext uri="{63B3BB69-23CF-44E3-9099-C40C66FF867C}">
                  <a14:compatExt spid="_x0000_s56331"/>
                </a:ext>
                <a:ext uri="{FF2B5EF4-FFF2-40B4-BE49-F238E27FC236}">
                  <a16:creationId xmlns:a16="http://schemas.microsoft.com/office/drawing/2014/main" id="{00000000-0008-0000-1B00-00000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15</xdr:row>
          <xdr:rowOff>31750</xdr:rowOff>
        </xdr:from>
        <xdr:to>
          <xdr:col>34</xdr:col>
          <xdr:colOff>69850</xdr:colOff>
          <xdr:row>15</xdr:row>
          <xdr:rowOff>241300</xdr:rowOff>
        </xdr:to>
        <xdr:sp macro="" textlink="">
          <xdr:nvSpPr>
            <xdr:cNvPr id="56332" name="Check Box 12" hidden="1">
              <a:extLst>
                <a:ext uri="{63B3BB69-23CF-44E3-9099-C40C66FF867C}">
                  <a14:compatExt spid="_x0000_s56332"/>
                </a:ext>
                <a:ext uri="{FF2B5EF4-FFF2-40B4-BE49-F238E27FC236}">
                  <a16:creationId xmlns:a16="http://schemas.microsoft.com/office/drawing/2014/main" id="{00000000-0008-0000-1B00-00000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38100</xdr:colOff>
          <xdr:row>6</xdr:row>
          <xdr:rowOff>50800</xdr:rowOff>
        </xdr:from>
        <xdr:to>
          <xdr:col>5</xdr:col>
          <xdr:colOff>165100</xdr:colOff>
          <xdr:row>7</xdr:row>
          <xdr:rowOff>31750</xdr:rowOff>
        </xdr:to>
        <xdr:sp macro="" textlink="">
          <xdr:nvSpPr>
            <xdr:cNvPr id="57345" name="Check Box 1" hidden="1">
              <a:extLst>
                <a:ext uri="{63B3BB69-23CF-44E3-9099-C40C66FF867C}">
                  <a14:compatExt spid="_x0000_s57345"/>
                </a:ext>
                <a:ext uri="{FF2B5EF4-FFF2-40B4-BE49-F238E27FC236}">
                  <a16:creationId xmlns:a16="http://schemas.microsoft.com/office/drawing/2014/main" id="{00000000-0008-0000-1C00-00000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7</xdr:row>
          <xdr:rowOff>88900</xdr:rowOff>
        </xdr:from>
        <xdr:to>
          <xdr:col>5</xdr:col>
          <xdr:colOff>165100</xdr:colOff>
          <xdr:row>7</xdr:row>
          <xdr:rowOff>304800</xdr:rowOff>
        </xdr:to>
        <xdr:sp macro="" textlink="">
          <xdr:nvSpPr>
            <xdr:cNvPr id="57346" name="Check Box 2" hidden="1">
              <a:extLst>
                <a:ext uri="{63B3BB69-23CF-44E3-9099-C40C66FF867C}">
                  <a14:compatExt spid="_x0000_s57346"/>
                </a:ext>
                <a:ext uri="{FF2B5EF4-FFF2-40B4-BE49-F238E27FC236}">
                  <a16:creationId xmlns:a16="http://schemas.microsoft.com/office/drawing/2014/main" id="{00000000-0008-0000-1C00-00000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10</xdr:row>
          <xdr:rowOff>0</xdr:rowOff>
        </xdr:from>
        <xdr:to>
          <xdr:col>5</xdr:col>
          <xdr:colOff>165100</xdr:colOff>
          <xdr:row>10</xdr:row>
          <xdr:rowOff>222250</xdr:rowOff>
        </xdr:to>
        <xdr:sp macro="" textlink="">
          <xdr:nvSpPr>
            <xdr:cNvPr id="57347" name="Check Box 3" hidden="1">
              <a:extLst>
                <a:ext uri="{63B3BB69-23CF-44E3-9099-C40C66FF867C}">
                  <a14:compatExt spid="_x0000_s57347"/>
                </a:ext>
                <a:ext uri="{FF2B5EF4-FFF2-40B4-BE49-F238E27FC236}">
                  <a16:creationId xmlns:a16="http://schemas.microsoft.com/office/drawing/2014/main" id="{00000000-0008-0000-1C00-00000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11</xdr:row>
          <xdr:rowOff>0</xdr:rowOff>
        </xdr:from>
        <xdr:to>
          <xdr:col>5</xdr:col>
          <xdr:colOff>165100</xdr:colOff>
          <xdr:row>11</xdr:row>
          <xdr:rowOff>222250</xdr:rowOff>
        </xdr:to>
        <xdr:sp macro="" textlink="">
          <xdr:nvSpPr>
            <xdr:cNvPr id="57348" name="Check Box 4" hidden="1">
              <a:extLst>
                <a:ext uri="{63B3BB69-23CF-44E3-9099-C40C66FF867C}">
                  <a14:compatExt spid="_x0000_s57348"/>
                </a:ext>
                <a:ext uri="{FF2B5EF4-FFF2-40B4-BE49-F238E27FC236}">
                  <a16:creationId xmlns:a16="http://schemas.microsoft.com/office/drawing/2014/main" id="{00000000-0008-0000-1C00-00000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12</xdr:row>
          <xdr:rowOff>0</xdr:rowOff>
        </xdr:from>
        <xdr:to>
          <xdr:col>5</xdr:col>
          <xdr:colOff>165100</xdr:colOff>
          <xdr:row>12</xdr:row>
          <xdr:rowOff>222250</xdr:rowOff>
        </xdr:to>
        <xdr:sp macro="" textlink="">
          <xdr:nvSpPr>
            <xdr:cNvPr id="57349" name="Check Box 5" hidden="1">
              <a:extLst>
                <a:ext uri="{63B3BB69-23CF-44E3-9099-C40C66FF867C}">
                  <a14:compatExt spid="_x0000_s57349"/>
                </a:ext>
                <a:ext uri="{FF2B5EF4-FFF2-40B4-BE49-F238E27FC236}">
                  <a16:creationId xmlns:a16="http://schemas.microsoft.com/office/drawing/2014/main" id="{00000000-0008-0000-1C00-00000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13</xdr:row>
          <xdr:rowOff>0</xdr:rowOff>
        </xdr:from>
        <xdr:to>
          <xdr:col>5</xdr:col>
          <xdr:colOff>165100</xdr:colOff>
          <xdr:row>13</xdr:row>
          <xdr:rowOff>222250</xdr:rowOff>
        </xdr:to>
        <xdr:sp macro="" textlink="">
          <xdr:nvSpPr>
            <xdr:cNvPr id="57350" name="Check Box 6" hidden="1">
              <a:extLst>
                <a:ext uri="{63B3BB69-23CF-44E3-9099-C40C66FF867C}">
                  <a14:compatExt spid="_x0000_s57350"/>
                </a:ext>
                <a:ext uri="{FF2B5EF4-FFF2-40B4-BE49-F238E27FC236}">
                  <a16:creationId xmlns:a16="http://schemas.microsoft.com/office/drawing/2014/main" id="{00000000-0008-0000-1C00-00000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14</xdr:row>
          <xdr:rowOff>0</xdr:rowOff>
        </xdr:from>
        <xdr:to>
          <xdr:col>5</xdr:col>
          <xdr:colOff>165100</xdr:colOff>
          <xdr:row>14</xdr:row>
          <xdr:rowOff>222250</xdr:rowOff>
        </xdr:to>
        <xdr:sp macro="" textlink="">
          <xdr:nvSpPr>
            <xdr:cNvPr id="57351" name="Check Box 7" hidden="1">
              <a:extLst>
                <a:ext uri="{63B3BB69-23CF-44E3-9099-C40C66FF867C}">
                  <a14:compatExt spid="_x0000_s57351"/>
                </a:ext>
                <a:ext uri="{FF2B5EF4-FFF2-40B4-BE49-F238E27FC236}">
                  <a16:creationId xmlns:a16="http://schemas.microsoft.com/office/drawing/2014/main" id="{00000000-0008-0000-1C00-00000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15</xdr:row>
          <xdr:rowOff>0</xdr:rowOff>
        </xdr:from>
        <xdr:to>
          <xdr:col>5</xdr:col>
          <xdr:colOff>165100</xdr:colOff>
          <xdr:row>15</xdr:row>
          <xdr:rowOff>222250</xdr:rowOff>
        </xdr:to>
        <xdr:sp macro="" textlink="">
          <xdr:nvSpPr>
            <xdr:cNvPr id="57352" name="Check Box 8" hidden="1">
              <a:extLst>
                <a:ext uri="{63B3BB69-23CF-44E3-9099-C40C66FF867C}">
                  <a14:compatExt spid="_x0000_s57352"/>
                </a:ext>
                <a:ext uri="{FF2B5EF4-FFF2-40B4-BE49-F238E27FC236}">
                  <a16:creationId xmlns:a16="http://schemas.microsoft.com/office/drawing/2014/main" id="{00000000-0008-0000-1C00-00000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16</xdr:row>
          <xdr:rowOff>0</xdr:rowOff>
        </xdr:from>
        <xdr:to>
          <xdr:col>5</xdr:col>
          <xdr:colOff>165100</xdr:colOff>
          <xdr:row>16</xdr:row>
          <xdr:rowOff>222250</xdr:rowOff>
        </xdr:to>
        <xdr:sp macro="" textlink="">
          <xdr:nvSpPr>
            <xdr:cNvPr id="57353" name="Check Box 9" hidden="1">
              <a:extLst>
                <a:ext uri="{63B3BB69-23CF-44E3-9099-C40C66FF867C}">
                  <a14:compatExt spid="_x0000_s57353"/>
                </a:ext>
                <a:ext uri="{FF2B5EF4-FFF2-40B4-BE49-F238E27FC236}">
                  <a16:creationId xmlns:a16="http://schemas.microsoft.com/office/drawing/2014/main" id="{00000000-0008-0000-1C00-00000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17</xdr:row>
          <xdr:rowOff>0</xdr:rowOff>
        </xdr:from>
        <xdr:to>
          <xdr:col>5</xdr:col>
          <xdr:colOff>165100</xdr:colOff>
          <xdr:row>17</xdr:row>
          <xdr:rowOff>222250</xdr:rowOff>
        </xdr:to>
        <xdr:sp macro="" textlink="">
          <xdr:nvSpPr>
            <xdr:cNvPr id="57354" name="Check Box 10" hidden="1">
              <a:extLst>
                <a:ext uri="{63B3BB69-23CF-44E3-9099-C40C66FF867C}">
                  <a14:compatExt spid="_x0000_s57354"/>
                </a:ext>
                <a:ext uri="{FF2B5EF4-FFF2-40B4-BE49-F238E27FC236}">
                  <a16:creationId xmlns:a16="http://schemas.microsoft.com/office/drawing/2014/main" id="{00000000-0008-0000-1C00-00000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18</xdr:row>
          <xdr:rowOff>0</xdr:rowOff>
        </xdr:from>
        <xdr:to>
          <xdr:col>5</xdr:col>
          <xdr:colOff>165100</xdr:colOff>
          <xdr:row>18</xdr:row>
          <xdr:rowOff>222250</xdr:rowOff>
        </xdr:to>
        <xdr:sp macro="" textlink="">
          <xdr:nvSpPr>
            <xdr:cNvPr id="57355" name="Check Box 11" hidden="1">
              <a:extLst>
                <a:ext uri="{63B3BB69-23CF-44E3-9099-C40C66FF867C}">
                  <a14:compatExt spid="_x0000_s57355"/>
                </a:ext>
                <a:ext uri="{FF2B5EF4-FFF2-40B4-BE49-F238E27FC236}">
                  <a16:creationId xmlns:a16="http://schemas.microsoft.com/office/drawing/2014/main" id="{00000000-0008-0000-1C00-00000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19</xdr:row>
          <xdr:rowOff>0</xdr:rowOff>
        </xdr:from>
        <xdr:to>
          <xdr:col>5</xdr:col>
          <xdr:colOff>165100</xdr:colOff>
          <xdr:row>19</xdr:row>
          <xdr:rowOff>222250</xdr:rowOff>
        </xdr:to>
        <xdr:sp macro="" textlink="">
          <xdr:nvSpPr>
            <xdr:cNvPr id="57356" name="Check Box 12" hidden="1">
              <a:extLst>
                <a:ext uri="{63B3BB69-23CF-44E3-9099-C40C66FF867C}">
                  <a14:compatExt spid="_x0000_s57356"/>
                </a:ext>
                <a:ext uri="{FF2B5EF4-FFF2-40B4-BE49-F238E27FC236}">
                  <a16:creationId xmlns:a16="http://schemas.microsoft.com/office/drawing/2014/main" id="{00000000-0008-0000-1C00-00000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21</xdr:row>
          <xdr:rowOff>0</xdr:rowOff>
        </xdr:from>
        <xdr:to>
          <xdr:col>5</xdr:col>
          <xdr:colOff>165100</xdr:colOff>
          <xdr:row>21</xdr:row>
          <xdr:rowOff>222250</xdr:rowOff>
        </xdr:to>
        <xdr:sp macro="" textlink="">
          <xdr:nvSpPr>
            <xdr:cNvPr id="57357" name="Check Box 13" hidden="1">
              <a:extLst>
                <a:ext uri="{63B3BB69-23CF-44E3-9099-C40C66FF867C}">
                  <a14:compatExt spid="_x0000_s57357"/>
                </a:ext>
                <a:ext uri="{FF2B5EF4-FFF2-40B4-BE49-F238E27FC236}">
                  <a16:creationId xmlns:a16="http://schemas.microsoft.com/office/drawing/2014/main" id="{00000000-0008-0000-1C00-00000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22</xdr:row>
          <xdr:rowOff>0</xdr:rowOff>
        </xdr:from>
        <xdr:to>
          <xdr:col>5</xdr:col>
          <xdr:colOff>165100</xdr:colOff>
          <xdr:row>22</xdr:row>
          <xdr:rowOff>222250</xdr:rowOff>
        </xdr:to>
        <xdr:sp macro="" textlink="">
          <xdr:nvSpPr>
            <xdr:cNvPr id="57358" name="Check Box 14" hidden="1">
              <a:extLst>
                <a:ext uri="{63B3BB69-23CF-44E3-9099-C40C66FF867C}">
                  <a14:compatExt spid="_x0000_s57358"/>
                </a:ext>
                <a:ext uri="{FF2B5EF4-FFF2-40B4-BE49-F238E27FC236}">
                  <a16:creationId xmlns:a16="http://schemas.microsoft.com/office/drawing/2014/main" id="{00000000-0008-0000-1C00-00000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0</xdr:rowOff>
        </xdr:from>
        <xdr:to>
          <xdr:col>5</xdr:col>
          <xdr:colOff>165100</xdr:colOff>
          <xdr:row>23</xdr:row>
          <xdr:rowOff>222250</xdr:rowOff>
        </xdr:to>
        <xdr:sp macro="" textlink="">
          <xdr:nvSpPr>
            <xdr:cNvPr id="57359" name="Check Box 15" hidden="1">
              <a:extLst>
                <a:ext uri="{63B3BB69-23CF-44E3-9099-C40C66FF867C}">
                  <a14:compatExt spid="_x0000_s57359"/>
                </a:ext>
                <a:ext uri="{FF2B5EF4-FFF2-40B4-BE49-F238E27FC236}">
                  <a16:creationId xmlns:a16="http://schemas.microsoft.com/office/drawing/2014/main" id="{00000000-0008-0000-1C00-00000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222250</xdr:rowOff>
        </xdr:from>
        <xdr:to>
          <xdr:col>5</xdr:col>
          <xdr:colOff>165100</xdr:colOff>
          <xdr:row>24</xdr:row>
          <xdr:rowOff>190500</xdr:rowOff>
        </xdr:to>
        <xdr:sp macro="" textlink="">
          <xdr:nvSpPr>
            <xdr:cNvPr id="57360" name="Check Box 16" hidden="1">
              <a:extLst>
                <a:ext uri="{63B3BB69-23CF-44E3-9099-C40C66FF867C}">
                  <a14:compatExt spid="_x0000_s57360"/>
                </a:ext>
                <a:ext uri="{FF2B5EF4-FFF2-40B4-BE49-F238E27FC236}">
                  <a16:creationId xmlns:a16="http://schemas.microsoft.com/office/drawing/2014/main" id="{00000000-0008-0000-1C00-00001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25</xdr:row>
          <xdr:rowOff>31750</xdr:rowOff>
        </xdr:from>
        <xdr:to>
          <xdr:col>5</xdr:col>
          <xdr:colOff>165100</xdr:colOff>
          <xdr:row>25</xdr:row>
          <xdr:rowOff>241300</xdr:rowOff>
        </xdr:to>
        <xdr:sp macro="" textlink="">
          <xdr:nvSpPr>
            <xdr:cNvPr id="57361" name="Check Box 17" hidden="1">
              <a:extLst>
                <a:ext uri="{63B3BB69-23CF-44E3-9099-C40C66FF867C}">
                  <a14:compatExt spid="_x0000_s57361"/>
                </a:ext>
                <a:ext uri="{FF2B5EF4-FFF2-40B4-BE49-F238E27FC236}">
                  <a16:creationId xmlns:a16="http://schemas.microsoft.com/office/drawing/2014/main" id="{00000000-0008-0000-1C00-00001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6</xdr:row>
          <xdr:rowOff>50800</xdr:rowOff>
        </xdr:from>
        <xdr:to>
          <xdr:col>9</xdr:col>
          <xdr:colOff>165100</xdr:colOff>
          <xdr:row>7</xdr:row>
          <xdr:rowOff>31750</xdr:rowOff>
        </xdr:to>
        <xdr:sp macro="" textlink="">
          <xdr:nvSpPr>
            <xdr:cNvPr id="57362" name="Check Box 18" hidden="1">
              <a:extLst>
                <a:ext uri="{63B3BB69-23CF-44E3-9099-C40C66FF867C}">
                  <a14:compatExt spid="_x0000_s57362"/>
                </a:ext>
                <a:ext uri="{FF2B5EF4-FFF2-40B4-BE49-F238E27FC236}">
                  <a16:creationId xmlns:a16="http://schemas.microsoft.com/office/drawing/2014/main" id="{00000000-0008-0000-1C00-00001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88900</xdr:rowOff>
        </xdr:from>
        <xdr:to>
          <xdr:col>9</xdr:col>
          <xdr:colOff>165100</xdr:colOff>
          <xdr:row>7</xdr:row>
          <xdr:rowOff>304800</xdr:rowOff>
        </xdr:to>
        <xdr:sp macro="" textlink="">
          <xdr:nvSpPr>
            <xdr:cNvPr id="57363" name="Check Box 19" hidden="1">
              <a:extLst>
                <a:ext uri="{63B3BB69-23CF-44E3-9099-C40C66FF867C}">
                  <a14:compatExt spid="_x0000_s57363"/>
                </a:ext>
                <a:ext uri="{FF2B5EF4-FFF2-40B4-BE49-F238E27FC236}">
                  <a16:creationId xmlns:a16="http://schemas.microsoft.com/office/drawing/2014/main" id="{00000000-0008-0000-1C00-00001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12700</xdr:rowOff>
        </xdr:from>
        <xdr:to>
          <xdr:col>9</xdr:col>
          <xdr:colOff>165100</xdr:colOff>
          <xdr:row>8</xdr:row>
          <xdr:rowOff>222250</xdr:rowOff>
        </xdr:to>
        <xdr:sp macro="" textlink="">
          <xdr:nvSpPr>
            <xdr:cNvPr id="57364" name="Check Box 20" hidden="1">
              <a:extLst>
                <a:ext uri="{63B3BB69-23CF-44E3-9099-C40C66FF867C}">
                  <a14:compatExt spid="_x0000_s57364"/>
                </a:ext>
                <a:ext uri="{FF2B5EF4-FFF2-40B4-BE49-F238E27FC236}">
                  <a16:creationId xmlns:a16="http://schemas.microsoft.com/office/drawing/2014/main" id="{00000000-0008-0000-1C00-00001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8</xdr:row>
          <xdr:rowOff>12700</xdr:rowOff>
        </xdr:from>
        <xdr:to>
          <xdr:col>13</xdr:col>
          <xdr:colOff>165100</xdr:colOff>
          <xdr:row>8</xdr:row>
          <xdr:rowOff>222250</xdr:rowOff>
        </xdr:to>
        <xdr:sp macro="" textlink="">
          <xdr:nvSpPr>
            <xdr:cNvPr id="57365" name="Check Box 21" hidden="1">
              <a:extLst>
                <a:ext uri="{63B3BB69-23CF-44E3-9099-C40C66FF867C}">
                  <a14:compatExt spid="_x0000_s57365"/>
                </a:ext>
                <a:ext uri="{FF2B5EF4-FFF2-40B4-BE49-F238E27FC236}">
                  <a16:creationId xmlns:a16="http://schemas.microsoft.com/office/drawing/2014/main" id="{00000000-0008-0000-1C00-00001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12700</xdr:rowOff>
        </xdr:from>
        <xdr:to>
          <xdr:col>19</xdr:col>
          <xdr:colOff>165100</xdr:colOff>
          <xdr:row>8</xdr:row>
          <xdr:rowOff>222250</xdr:rowOff>
        </xdr:to>
        <xdr:sp macro="" textlink="">
          <xdr:nvSpPr>
            <xdr:cNvPr id="57366" name="Check Box 22" hidden="1">
              <a:extLst>
                <a:ext uri="{63B3BB69-23CF-44E3-9099-C40C66FF867C}">
                  <a14:compatExt spid="_x0000_s57366"/>
                </a:ext>
                <a:ext uri="{FF2B5EF4-FFF2-40B4-BE49-F238E27FC236}">
                  <a16:creationId xmlns:a16="http://schemas.microsoft.com/office/drawing/2014/main" id="{00000000-0008-0000-1C00-00001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203200</xdr:rowOff>
        </xdr:from>
        <xdr:to>
          <xdr:col>19</xdr:col>
          <xdr:colOff>165100</xdr:colOff>
          <xdr:row>10</xdr:row>
          <xdr:rowOff>12700</xdr:rowOff>
        </xdr:to>
        <xdr:sp macro="" textlink="">
          <xdr:nvSpPr>
            <xdr:cNvPr id="57367" name="Check Box 23" hidden="1">
              <a:extLst>
                <a:ext uri="{63B3BB69-23CF-44E3-9099-C40C66FF867C}">
                  <a14:compatExt spid="_x0000_s57367"/>
                </a:ext>
                <a:ext uri="{FF2B5EF4-FFF2-40B4-BE49-F238E27FC236}">
                  <a16:creationId xmlns:a16="http://schemas.microsoft.com/office/drawing/2014/main" id="{00000000-0008-0000-1C00-00001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10</xdr:row>
          <xdr:rowOff>12700</xdr:rowOff>
        </xdr:from>
        <xdr:to>
          <xdr:col>19</xdr:col>
          <xdr:colOff>165100</xdr:colOff>
          <xdr:row>10</xdr:row>
          <xdr:rowOff>222250</xdr:rowOff>
        </xdr:to>
        <xdr:sp macro="" textlink="">
          <xdr:nvSpPr>
            <xdr:cNvPr id="57368" name="Check Box 24" hidden="1">
              <a:extLst>
                <a:ext uri="{63B3BB69-23CF-44E3-9099-C40C66FF867C}">
                  <a14:compatExt spid="_x0000_s57368"/>
                </a:ext>
                <a:ext uri="{FF2B5EF4-FFF2-40B4-BE49-F238E27FC236}">
                  <a16:creationId xmlns:a16="http://schemas.microsoft.com/office/drawing/2014/main" id="{00000000-0008-0000-1C00-00001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11</xdr:row>
          <xdr:rowOff>12700</xdr:rowOff>
        </xdr:from>
        <xdr:to>
          <xdr:col>19</xdr:col>
          <xdr:colOff>165100</xdr:colOff>
          <xdr:row>11</xdr:row>
          <xdr:rowOff>222250</xdr:rowOff>
        </xdr:to>
        <xdr:sp macro="" textlink="">
          <xdr:nvSpPr>
            <xdr:cNvPr id="57369" name="Check Box 25" hidden="1">
              <a:extLst>
                <a:ext uri="{63B3BB69-23CF-44E3-9099-C40C66FF867C}">
                  <a14:compatExt spid="_x0000_s57369"/>
                </a:ext>
                <a:ext uri="{FF2B5EF4-FFF2-40B4-BE49-F238E27FC236}">
                  <a16:creationId xmlns:a16="http://schemas.microsoft.com/office/drawing/2014/main" id="{00000000-0008-0000-1C00-00001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12</xdr:row>
          <xdr:rowOff>12700</xdr:rowOff>
        </xdr:from>
        <xdr:to>
          <xdr:col>19</xdr:col>
          <xdr:colOff>165100</xdr:colOff>
          <xdr:row>12</xdr:row>
          <xdr:rowOff>222250</xdr:rowOff>
        </xdr:to>
        <xdr:sp macro="" textlink="">
          <xdr:nvSpPr>
            <xdr:cNvPr id="57370" name="Check Box 26" hidden="1">
              <a:extLst>
                <a:ext uri="{63B3BB69-23CF-44E3-9099-C40C66FF867C}">
                  <a14:compatExt spid="_x0000_s57370"/>
                </a:ext>
                <a:ext uri="{FF2B5EF4-FFF2-40B4-BE49-F238E27FC236}">
                  <a16:creationId xmlns:a16="http://schemas.microsoft.com/office/drawing/2014/main" id="{00000000-0008-0000-1C00-00001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13</xdr:row>
          <xdr:rowOff>12700</xdr:rowOff>
        </xdr:from>
        <xdr:to>
          <xdr:col>19</xdr:col>
          <xdr:colOff>165100</xdr:colOff>
          <xdr:row>13</xdr:row>
          <xdr:rowOff>222250</xdr:rowOff>
        </xdr:to>
        <xdr:sp macro="" textlink="">
          <xdr:nvSpPr>
            <xdr:cNvPr id="57371" name="Check Box 27" hidden="1">
              <a:extLst>
                <a:ext uri="{63B3BB69-23CF-44E3-9099-C40C66FF867C}">
                  <a14:compatExt spid="_x0000_s57371"/>
                </a:ext>
                <a:ext uri="{FF2B5EF4-FFF2-40B4-BE49-F238E27FC236}">
                  <a16:creationId xmlns:a16="http://schemas.microsoft.com/office/drawing/2014/main" id="{00000000-0008-0000-1C00-00001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14</xdr:row>
          <xdr:rowOff>31750</xdr:rowOff>
        </xdr:from>
        <xdr:to>
          <xdr:col>19</xdr:col>
          <xdr:colOff>165100</xdr:colOff>
          <xdr:row>14</xdr:row>
          <xdr:rowOff>241300</xdr:rowOff>
        </xdr:to>
        <xdr:sp macro="" textlink="">
          <xdr:nvSpPr>
            <xdr:cNvPr id="57372" name="Check Box 28" hidden="1">
              <a:extLst>
                <a:ext uri="{63B3BB69-23CF-44E3-9099-C40C66FF867C}">
                  <a14:compatExt spid="_x0000_s57372"/>
                </a:ext>
                <a:ext uri="{FF2B5EF4-FFF2-40B4-BE49-F238E27FC236}">
                  <a16:creationId xmlns:a16="http://schemas.microsoft.com/office/drawing/2014/main" id="{00000000-0008-0000-1C00-00001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15</xdr:row>
          <xdr:rowOff>127000</xdr:rowOff>
        </xdr:from>
        <xdr:to>
          <xdr:col>19</xdr:col>
          <xdr:colOff>165100</xdr:colOff>
          <xdr:row>16</xdr:row>
          <xdr:rowOff>88900</xdr:rowOff>
        </xdr:to>
        <xdr:sp macro="" textlink="">
          <xdr:nvSpPr>
            <xdr:cNvPr id="57373" name="Check Box 29" hidden="1">
              <a:extLst>
                <a:ext uri="{63B3BB69-23CF-44E3-9099-C40C66FF867C}">
                  <a14:compatExt spid="_x0000_s57373"/>
                </a:ext>
                <a:ext uri="{FF2B5EF4-FFF2-40B4-BE49-F238E27FC236}">
                  <a16:creationId xmlns:a16="http://schemas.microsoft.com/office/drawing/2014/main" id="{00000000-0008-0000-1C00-00001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17</xdr:row>
          <xdr:rowOff>31750</xdr:rowOff>
        </xdr:from>
        <xdr:to>
          <xdr:col>19</xdr:col>
          <xdr:colOff>165100</xdr:colOff>
          <xdr:row>17</xdr:row>
          <xdr:rowOff>241300</xdr:rowOff>
        </xdr:to>
        <xdr:sp macro="" textlink="">
          <xdr:nvSpPr>
            <xdr:cNvPr id="57374" name="Check Box 30" hidden="1">
              <a:extLst>
                <a:ext uri="{63B3BB69-23CF-44E3-9099-C40C66FF867C}">
                  <a14:compatExt spid="_x0000_s57374"/>
                </a:ext>
                <a:ext uri="{FF2B5EF4-FFF2-40B4-BE49-F238E27FC236}">
                  <a16:creationId xmlns:a16="http://schemas.microsoft.com/office/drawing/2014/main" id="{00000000-0008-0000-1C00-00001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18</xdr:row>
          <xdr:rowOff>31750</xdr:rowOff>
        </xdr:from>
        <xdr:to>
          <xdr:col>19</xdr:col>
          <xdr:colOff>165100</xdr:colOff>
          <xdr:row>18</xdr:row>
          <xdr:rowOff>241300</xdr:rowOff>
        </xdr:to>
        <xdr:sp macro="" textlink="">
          <xdr:nvSpPr>
            <xdr:cNvPr id="57375" name="Check Box 31" hidden="1">
              <a:extLst>
                <a:ext uri="{63B3BB69-23CF-44E3-9099-C40C66FF867C}">
                  <a14:compatExt spid="_x0000_s57375"/>
                </a:ext>
                <a:ext uri="{FF2B5EF4-FFF2-40B4-BE49-F238E27FC236}">
                  <a16:creationId xmlns:a16="http://schemas.microsoft.com/office/drawing/2014/main" id="{00000000-0008-0000-1C00-00001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6</xdr:row>
          <xdr:rowOff>12700</xdr:rowOff>
        </xdr:from>
        <xdr:to>
          <xdr:col>38</xdr:col>
          <xdr:colOff>165100</xdr:colOff>
          <xdr:row>6</xdr:row>
          <xdr:rowOff>222250</xdr:rowOff>
        </xdr:to>
        <xdr:sp macro="" textlink="">
          <xdr:nvSpPr>
            <xdr:cNvPr id="57376" name="Check Box 32" hidden="1">
              <a:extLst>
                <a:ext uri="{63B3BB69-23CF-44E3-9099-C40C66FF867C}">
                  <a14:compatExt spid="_x0000_s57376"/>
                </a:ext>
                <a:ext uri="{FF2B5EF4-FFF2-40B4-BE49-F238E27FC236}">
                  <a16:creationId xmlns:a16="http://schemas.microsoft.com/office/drawing/2014/main" id="{00000000-0008-0000-1C00-00002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6</xdr:row>
          <xdr:rowOff>12700</xdr:rowOff>
        </xdr:from>
        <xdr:to>
          <xdr:col>42</xdr:col>
          <xdr:colOff>165100</xdr:colOff>
          <xdr:row>6</xdr:row>
          <xdr:rowOff>222250</xdr:rowOff>
        </xdr:to>
        <xdr:sp macro="" textlink="">
          <xdr:nvSpPr>
            <xdr:cNvPr id="57377" name="Check Box 33" hidden="1">
              <a:extLst>
                <a:ext uri="{63B3BB69-23CF-44E3-9099-C40C66FF867C}">
                  <a14:compatExt spid="_x0000_s57377"/>
                </a:ext>
                <a:ext uri="{FF2B5EF4-FFF2-40B4-BE49-F238E27FC236}">
                  <a16:creationId xmlns:a16="http://schemas.microsoft.com/office/drawing/2014/main" id="{00000000-0008-0000-1C00-00002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8</xdr:row>
          <xdr:rowOff>12700</xdr:rowOff>
        </xdr:from>
        <xdr:to>
          <xdr:col>38</xdr:col>
          <xdr:colOff>165100</xdr:colOff>
          <xdr:row>8</xdr:row>
          <xdr:rowOff>222250</xdr:rowOff>
        </xdr:to>
        <xdr:sp macro="" textlink="">
          <xdr:nvSpPr>
            <xdr:cNvPr id="57378" name="Check Box 34" hidden="1">
              <a:extLst>
                <a:ext uri="{63B3BB69-23CF-44E3-9099-C40C66FF867C}">
                  <a14:compatExt spid="_x0000_s57378"/>
                </a:ext>
                <a:ext uri="{FF2B5EF4-FFF2-40B4-BE49-F238E27FC236}">
                  <a16:creationId xmlns:a16="http://schemas.microsoft.com/office/drawing/2014/main" id="{00000000-0008-0000-1C00-00002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8</xdr:row>
          <xdr:rowOff>12700</xdr:rowOff>
        </xdr:from>
        <xdr:to>
          <xdr:col>42</xdr:col>
          <xdr:colOff>165100</xdr:colOff>
          <xdr:row>8</xdr:row>
          <xdr:rowOff>222250</xdr:rowOff>
        </xdr:to>
        <xdr:sp macro="" textlink="">
          <xdr:nvSpPr>
            <xdr:cNvPr id="57379" name="Check Box 35" hidden="1">
              <a:extLst>
                <a:ext uri="{63B3BB69-23CF-44E3-9099-C40C66FF867C}">
                  <a14:compatExt spid="_x0000_s57379"/>
                </a:ext>
                <a:ext uri="{FF2B5EF4-FFF2-40B4-BE49-F238E27FC236}">
                  <a16:creationId xmlns:a16="http://schemas.microsoft.com/office/drawing/2014/main" id="{00000000-0008-0000-1C00-00002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11</xdr:row>
          <xdr:rowOff>12700</xdr:rowOff>
        </xdr:from>
        <xdr:to>
          <xdr:col>38</xdr:col>
          <xdr:colOff>165100</xdr:colOff>
          <xdr:row>11</xdr:row>
          <xdr:rowOff>222250</xdr:rowOff>
        </xdr:to>
        <xdr:sp macro="" textlink="">
          <xdr:nvSpPr>
            <xdr:cNvPr id="57380" name="Check Box 36" hidden="1">
              <a:extLst>
                <a:ext uri="{63B3BB69-23CF-44E3-9099-C40C66FF867C}">
                  <a14:compatExt spid="_x0000_s57380"/>
                </a:ext>
                <a:ext uri="{FF2B5EF4-FFF2-40B4-BE49-F238E27FC236}">
                  <a16:creationId xmlns:a16="http://schemas.microsoft.com/office/drawing/2014/main" id="{00000000-0008-0000-1C00-00002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11</xdr:row>
          <xdr:rowOff>12700</xdr:rowOff>
        </xdr:from>
        <xdr:to>
          <xdr:col>42</xdr:col>
          <xdr:colOff>165100</xdr:colOff>
          <xdr:row>11</xdr:row>
          <xdr:rowOff>222250</xdr:rowOff>
        </xdr:to>
        <xdr:sp macro="" textlink="">
          <xdr:nvSpPr>
            <xdr:cNvPr id="57381" name="Check Box 37" hidden="1">
              <a:extLst>
                <a:ext uri="{63B3BB69-23CF-44E3-9099-C40C66FF867C}">
                  <a14:compatExt spid="_x0000_s57381"/>
                </a:ext>
                <a:ext uri="{FF2B5EF4-FFF2-40B4-BE49-F238E27FC236}">
                  <a16:creationId xmlns:a16="http://schemas.microsoft.com/office/drawing/2014/main" id="{00000000-0008-0000-1C00-00002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13</xdr:row>
          <xdr:rowOff>12700</xdr:rowOff>
        </xdr:from>
        <xdr:to>
          <xdr:col>38</xdr:col>
          <xdr:colOff>165100</xdr:colOff>
          <xdr:row>13</xdr:row>
          <xdr:rowOff>222250</xdr:rowOff>
        </xdr:to>
        <xdr:sp macro="" textlink="">
          <xdr:nvSpPr>
            <xdr:cNvPr id="57382" name="Check Box 38" hidden="1">
              <a:extLst>
                <a:ext uri="{63B3BB69-23CF-44E3-9099-C40C66FF867C}">
                  <a14:compatExt spid="_x0000_s57382"/>
                </a:ext>
                <a:ext uri="{FF2B5EF4-FFF2-40B4-BE49-F238E27FC236}">
                  <a16:creationId xmlns:a16="http://schemas.microsoft.com/office/drawing/2014/main" id="{00000000-0008-0000-1C00-00002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13</xdr:row>
          <xdr:rowOff>12700</xdr:rowOff>
        </xdr:from>
        <xdr:to>
          <xdr:col>42</xdr:col>
          <xdr:colOff>165100</xdr:colOff>
          <xdr:row>13</xdr:row>
          <xdr:rowOff>222250</xdr:rowOff>
        </xdr:to>
        <xdr:sp macro="" textlink="">
          <xdr:nvSpPr>
            <xdr:cNvPr id="57383" name="Check Box 39" hidden="1">
              <a:extLst>
                <a:ext uri="{63B3BB69-23CF-44E3-9099-C40C66FF867C}">
                  <a14:compatExt spid="_x0000_s57383"/>
                </a:ext>
                <a:ext uri="{FF2B5EF4-FFF2-40B4-BE49-F238E27FC236}">
                  <a16:creationId xmlns:a16="http://schemas.microsoft.com/office/drawing/2014/main" id="{00000000-0008-0000-1C00-00002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16</xdr:row>
          <xdr:rowOff>12700</xdr:rowOff>
        </xdr:from>
        <xdr:to>
          <xdr:col>38</xdr:col>
          <xdr:colOff>165100</xdr:colOff>
          <xdr:row>16</xdr:row>
          <xdr:rowOff>222250</xdr:rowOff>
        </xdr:to>
        <xdr:sp macro="" textlink="">
          <xdr:nvSpPr>
            <xdr:cNvPr id="57384" name="Check Box 40" hidden="1">
              <a:extLst>
                <a:ext uri="{63B3BB69-23CF-44E3-9099-C40C66FF867C}">
                  <a14:compatExt spid="_x0000_s57384"/>
                </a:ext>
                <a:ext uri="{FF2B5EF4-FFF2-40B4-BE49-F238E27FC236}">
                  <a16:creationId xmlns:a16="http://schemas.microsoft.com/office/drawing/2014/main" id="{00000000-0008-0000-1C00-00002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17</xdr:row>
          <xdr:rowOff>12700</xdr:rowOff>
        </xdr:from>
        <xdr:to>
          <xdr:col>38</xdr:col>
          <xdr:colOff>165100</xdr:colOff>
          <xdr:row>17</xdr:row>
          <xdr:rowOff>222250</xdr:rowOff>
        </xdr:to>
        <xdr:sp macro="" textlink="">
          <xdr:nvSpPr>
            <xdr:cNvPr id="57385" name="Check Box 41" hidden="1">
              <a:extLst>
                <a:ext uri="{63B3BB69-23CF-44E3-9099-C40C66FF867C}">
                  <a14:compatExt spid="_x0000_s57385"/>
                </a:ext>
                <a:ext uri="{FF2B5EF4-FFF2-40B4-BE49-F238E27FC236}">
                  <a16:creationId xmlns:a16="http://schemas.microsoft.com/office/drawing/2014/main" id="{00000000-0008-0000-1C00-00002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18</xdr:row>
          <xdr:rowOff>12700</xdr:rowOff>
        </xdr:from>
        <xdr:to>
          <xdr:col>38</xdr:col>
          <xdr:colOff>165100</xdr:colOff>
          <xdr:row>18</xdr:row>
          <xdr:rowOff>222250</xdr:rowOff>
        </xdr:to>
        <xdr:sp macro="" textlink="">
          <xdr:nvSpPr>
            <xdr:cNvPr id="57386" name="Check Box 42" hidden="1">
              <a:extLst>
                <a:ext uri="{63B3BB69-23CF-44E3-9099-C40C66FF867C}">
                  <a14:compatExt spid="_x0000_s57386"/>
                </a:ext>
                <a:ext uri="{FF2B5EF4-FFF2-40B4-BE49-F238E27FC236}">
                  <a16:creationId xmlns:a16="http://schemas.microsoft.com/office/drawing/2014/main" id="{00000000-0008-0000-1C00-00002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19</xdr:row>
          <xdr:rowOff>12700</xdr:rowOff>
        </xdr:from>
        <xdr:to>
          <xdr:col>38</xdr:col>
          <xdr:colOff>165100</xdr:colOff>
          <xdr:row>19</xdr:row>
          <xdr:rowOff>222250</xdr:rowOff>
        </xdr:to>
        <xdr:sp macro="" textlink="">
          <xdr:nvSpPr>
            <xdr:cNvPr id="57387" name="Check Box 43" hidden="1">
              <a:extLst>
                <a:ext uri="{63B3BB69-23CF-44E3-9099-C40C66FF867C}">
                  <a14:compatExt spid="_x0000_s57387"/>
                </a:ext>
                <a:ext uri="{FF2B5EF4-FFF2-40B4-BE49-F238E27FC236}">
                  <a16:creationId xmlns:a16="http://schemas.microsoft.com/office/drawing/2014/main" id="{00000000-0008-0000-1C00-00002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23</xdr:row>
          <xdr:rowOff>12700</xdr:rowOff>
        </xdr:from>
        <xdr:to>
          <xdr:col>38</xdr:col>
          <xdr:colOff>165100</xdr:colOff>
          <xdr:row>23</xdr:row>
          <xdr:rowOff>222250</xdr:rowOff>
        </xdr:to>
        <xdr:sp macro="" textlink="">
          <xdr:nvSpPr>
            <xdr:cNvPr id="57388" name="Check Box 44" hidden="1">
              <a:extLst>
                <a:ext uri="{63B3BB69-23CF-44E3-9099-C40C66FF867C}">
                  <a14:compatExt spid="_x0000_s57388"/>
                </a:ext>
                <a:ext uri="{FF2B5EF4-FFF2-40B4-BE49-F238E27FC236}">
                  <a16:creationId xmlns:a16="http://schemas.microsoft.com/office/drawing/2014/main" id="{00000000-0008-0000-1C00-00002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24</xdr:row>
          <xdr:rowOff>12700</xdr:rowOff>
        </xdr:from>
        <xdr:to>
          <xdr:col>38</xdr:col>
          <xdr:colOff>165100</xdr:colOff>
          <xdr:row>25</xdr:row>
          <xdr:rowOff>31750</xdr:rowOff>
        </xdr:to>
        <xdr:sp macro="" textlink="">
          <xdr:nvSpPr>
            <xdr:cNvPr id="57389" name="Check Box 45" hidden="1">
              <a:extLst>
                <a:ext uri="{63B3BB69-23CF-44E3-9099-C40C66FF867C}">
                  <a14:compatExt spid="_x0000_s57389"/>
                </a:ext>
                <a:ext uri="{FF2B5EF4-FFF2-40B4-BE49-F238E27FC236}">
                  <a16:creationId xmlns:a16="http://schemas.microsoft.com/office/drawing/2014/main" id="{00000000-0008-0000-1C00-00002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31750</xdr:colOff>
          <xdr:row>29</xdr:row>
          <xdr:rowOff>241300</xdr:rowOff>
        </xdr:from>
        <xdr:to>
          <xdr:col>4</xdr:col>
          <xdr:colOff>88900</xdr:colOff>
          <xdr:row>30</xdr:row>
          <xdr:rowOff>222250</xdr:rowOff>
        </xdr:to>
        <xdr:sp macro="" textlink="">
          <xdr:nvSpPr>
            <xdr:cNvPr id="58369" name="Check Box 1" hidden="1">
              <a:extLst>
                <a:ext uri="{63B3BB69-23CF-44E3-9099-C40C66FF867C}">
                  <a14:compatExt spid="_x0000_s58369"/>
                </a:ext>
                <a:ext uri="{FF2B5EF4-FFF2-40B4-BE49-F238E27FC236}">
                  <a16:creationId xmlns:a16="http://schemas.microsoft.com/office/drawing/2014/main" id="{00000000-0008-0000-1D00-00000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31</xdr:row>
          <xdr:rowOff>0</xdr:rowOff>
        </xdr:from>
        <xdr:to>
          <xdr:col>4</xdr:col>
          <xdr:colOff>88900</xdr:colOff>
          <xdr:row>31</xdr:row>
          <xdr:rowOff>222250</xdr:rowOff>
        </xdr:to>
        <xdr:sp macro="" textlink="">
          <xdr:nvSpPr>
            <xdr:cNvPr id="58372" name="Check Box 4" hidden="1">
              <a:extLst>
                <a:ext uri="{63B3BB69-23CF-44E3-9099-C40C66FF867C}">
                  <a14:compatExt spid="_x0000_s58372"/>
                </a:ext>
                <a:ext uri="{FF2B5EF4-FFF2-40B4-BE49-F238E27FC236}">
                  <a16:creationId xmlns:a16="http://schemas.microsoft.com/office/drawing/2014/main" id="{00000000-0008-0000-1D00-00000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32</xdr:row>
          <xdr:rowOff>12700</xdr:rowOff>
        </xdr:from>
        <xdr:to>
          <xdr:col>4</xdr:col>
          <xdr:colOff>88900</xdr:colOff>
          <xdr:row>32</xdr:row>
          <xdr:rowOff>228600</xdr:rowOff>
        </xdr:to>
        <xdr:sp macro="" textlink="">
          <xdr:nvSpPr>
            <xdr:cNvPr id="58373" name="Check Box 5" hidden="1">
              <a:extLst>
                <a:ext uri="{63B3BB69-23CF-44E3-9099-C40C66FF867C}">
                  <a14:compatExt spid="_x0000_s58373"/>
                </a:ext>
                <a:ext uri="{FF2B5EF4-FFF2-40B4-BE49-F238E27FC236}">
                  <a16:creationId xmlns:a16="http://schemas.microsoft.com/office/drawing/2014/main" id="{00000000-0008-0000-1D00-00000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29</xdr:row>
          <xdr:rowOff>241300</xdr:rowOff>
        </xdr:from>
        <xdr:to>
          <xdr:col>13</xdr:col>
          <xdr:colOff>88900</xdr:colOff>
          <xdr:row>30</xdr:row>
          <xdr:rowOff>222250</xdr:rowOff>
        </xdr:to>
        <xdr:sp macro="" textlink="">
          <xdr:nvSpPr>
            <xdr:cNvPr id="58374" name="Check Box 6" hidden="1">
              <a:extLst>
                <a:ext uri="{63B3BB69-23CF-44E3-9099-C40C66FF867C}">
                  <a14:compatExt spid="_x0000_s58374"/>
                </a:ext>
                <a:ext uri="{FF2B5EF4-FFF2-40B4-BE49-F238E27FC236}">
                  <a16:creationId xmlns:a16="http://schemas.microsoft.com/office/drawing/2014/main" id="{00000000-0008-0000-1D00-00000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31</xdr:row>
          <xdr:rowOff>0</xdr:rowOff>
        </xdr:from>
        <xdr:to>
          <xdr:col>13</xdr:col>
          <xdr:colOff>88900</xdr:colOff>
          <xdr:row>31</xdr:row>
          <xdr:rowOff>222250</xdr:rowOff>
        </xdr:to>
        <xdr:sp macro="" textlink="">
          <xdr:nvSpPr>
            <xdr:cNvPr id="58375" name="Check Box 7" hidden="1">
              <a:extLst>
                <a:ext uri="{63B3BB69-23CF-44E3-9099-C40C66FF867C}">
                  <a14:compatExt spid="_x0000_s58375"/>
                </a:ext>
                <a:ext uri="{FF2B5EF4-FFF2-40B4-BE49-F238E27FC236}">
                  <a16:creationId xmlns:a16="http://schemas.microsoft.com/office/drawing/2014/main" id="{00000000-0008-0000-1D00-00000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32</xdr:row>
          <xdr:rowOff>0</xdr:rowOff>
        </xdr:from>
        <xdr:to>
          <xdr:col>13</xdr:col>
          <xdr:colOff>88900</xdr:colOff>
          <xdr:row>32</xdr:row>
          <xdr:rowOff>222250</xdr:rowOff>
        </xdr:to>
        <xdr:sp macro="" textlink="">
          <xdr:nvSpPr>
            <xdr:cNvPr id="58376" name="Check Box 8" hidden="1">
              <a:extLst>
                <a:ext uri="{63B3BB69-23CF-44E3-9099-C40C66FF867C}">
                  <a14:compatExt spid="_x0000_s58376"/>
                </a:ext>
                <a:ext uri="{FF2B5EF4-FFF2-40B4-BE49-F238E27FC236}">
                  <a16:creationId xmlns:a16="http://schemas.microsoft.com/office/drawing/2014/main" id="{00000000-0008-0000-1D00-00000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29</xdr:row>
          <xdr:rowOff>241300</xdr:rowOff>
        </xdr:from>
        <xdr:to>
          <xdr:col>23</xdr:col>
          <xdr:colOff>88900</xdr:colOff>
          <xdr:row>30</xdr:row>
          <xdr:rowOff>222250</xdr:rowOff>
        </xdr:to>
        <xdr:sp macro="" textlink="">
          <xdr:nvSpPr>
            <xdr:cNvPr id="58377" name="Check Box 9" hidden="1">
              <a:extLst>
                <a:ext uri="{63B3BB69-23CF-44E3-9099-C40C66FF867C}">
                  <a14:compatExt spid="_x0000_s58377"/>
                </a:ext>
                <a:ext uri="{FF2B5EF4-FFF2-40B4-BE49-F238E27FC236}">
                  <a16:creationId xmlns:a16="http://schemas.microsoft.com/office/drawing/2014/main" id="{00000000-0008-0000-1D00-00000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31</xdr:row>
          <xdr:rowOff>0</xdr:rowOff>
        </xdr:from>
        <xdr:to>
          <xdr:col>23</xdr:col>
          <xdr:colOff>88900</xdr:colOff>
          <xdr:row>31</xdr:row>
          <xdr:rowOff>222250</xdr:rowOff>
        </xdr:to>
        <xdr:sp macro="" textlink="">
          <xdr:nvSpPr>
            <xdr:cNvPr id="58378" name="Check Box 10" hidden="1">
              <a:extLst>
                <a:ext uri="{63B3BB69-23CF-44E3-9099-C40C66FF867C}">
                  <a14:compatExt spid="_x0000_s58378"/>
                </a:ext>
                <a:ext uri="{FF2B5EF4-FFF2-40B4-BE49-F238E27FC236}">
                  <a16:creationId xmlns:a16="http://schemas.microsoft.com/office/drawing/2014/main" id="{00000000-0008-0000-1D00-00000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21</xdr:col>
          <xdr:colOff>50800</xdr:colOff>
          <xdr:row>11</xdr:row>
          <xdr:rowOff>0</xdr:rowOff>
        </xdr:from>
        <xdr:to>
          <xdr:col>23</xdr:col>
          <xdr:colOff>0</xdr:colOff>
          <xdr:row>11</xdr:row>
          <xdr:rowOff>228600</xdr:rowOff>
        </xdr:to>
        <xdr:sp macro="" textlink="">
          <xdr:nvSpPr>
            <xdr:cNvPr id="79873" name="Check Box 1" hidden="1">
              <a:extLst>
                <a:ext uri="{63B3BB69-23CF-44E3-9099-C40C66FF867C}">
                  <a14:compatExt spid="_x0000_s79873"/>
                </a:ext>
                <a:ext uri="{FF2B5EF4-FFF2-40B4-BE49-F238E27FC236}">
                  <a16:creationId xmlns:a16="http://schemas.microsoft.com/office/drawing/2014/main" id="{00000000-0008-0000-1F00-00000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50800</xdr:colOff>
          <xdr:row>13</xdr:row>
          <xdr:rowOff>0</xdr:rowOff>
        </xdr:from>
        <xdr:to>
          <xdr:col>23</xdr:col>
          <xdr:colOff>0</xdr:colOff>
          <xdr:row>13</xdr:row>
          <xdr:rowOff>228600</xdr:rowOff>
        </xdr:to>
        <xdr:sp macro="" textlink="">
          <xdr:nvSpPr>
            <xdr:cNvPr id="79874" name="Check Box 2" hidden="1">
              <a:extLst>
                <a:ext uri="{63B3BB69-23CF-44E3-9099-C40C66FF867C}">
                  <a14:compatExt spid="_x0000_s79874"/>
                </a:ext>
                <a:ext uri="{FF2B5EF4-FFF2-40B4-BE49-F238E27FC236}">
                  <a16:creationId xmlns:a16="http://schemas.microsoft.com/office/drawing/2014/main" id="{00000000-0008-0000-1F00-00000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11</xdr:row>
          <xdr:rowOff>0</xdr:rowOff>
        </xdr:from>
        <xdr:to>
          <xdr:col>28</xdr:col>
          <xdr:colOff>0</xdr:colOff>
          <xdr:row>11</xdr:row>
          <xdr:rowOff>228600</xdr:rowOff>
        </xdr:to>
        <xdr:sp macro="" textlink="">
          <xdr:nvSpPr>
            <xdr:cNvPr id="79875" name="Check Box 3" hidden="1">
              <a:extLst>
                <a:ext uri="{63B3BB69-23CF-44E3-9099-C40C66FF867C}">
                  <a14:compatExt spid="_x0000_s79875"/>
                </a:ext>
                <a:ext uri="{FF2B5EF4-FFF2-40B4-BE49-F238E27FC236}">
                  <a16:creationId xmlns:a16="http://schemas.microsoft.com/office/drawing/2014/main" id="{00000000-0008-0000-1F00-00000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13</xdr:row>
          <xdr:rowOff>0</xdr:rowOff>
        </xdr:from>
        <xdr:to>
          <xdr:col>28</xdr:col>
          <xdr:colOff>0</xdr:colOff>
          <xdr:row>13</xdr:row>
          <xdr:rowOff>228600</xdr:rowOff>
        </xdr:to>
        <xdr:sp macro="" textlink="">
          <xdr:nvSpPr>
            <xdr:cNvPr id="79876" name="Check Box 4" hidden="1">
              <a:extLst>
                <a:ext uri="{63B3BB69-23CF-44E3-9099-C40C66FF867C}">
                  <a14:compatExt spid="_x0000_s79876"/>
                </a:ext>
                <a:ext uri="{FF2B5EF4-FFF2-40B4-BE49-F238E27FC236}">
                  <a16:creationId xmlns:a16="http://schemas.microsoft.com/office/drawing/2014/main" id="{00000000-0008-0000-1F00-00000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50800</xdr:colOff>
          <xdr:row>25</xdr:row>
          <xdr:rowOff>0</xdr:rowOff>
        </xdr:from>
        <xdr:to>
          <xdr:col>9</xdr:col>
          <xdr:colOff>0</xdr:colOff>
          <xdr:row>25</xdr:row>
          <xdr:rowOff>228600</xdr:rowOff>
        </xdr:to>
        <xdr:sp macro="" textlink="">
          <xdr:nvSpPr>
            <xdr:cNvPr id="79877" name="Check Box 5" hidden="1">
              <a:extLst>
                <a:ext uri="{63B3BB69-23CF-44E3-9099-C40C66FF867C}">
                  <a14:compatExt spid="_x0000_s79877"/>
                </a:ext>
                <a:ext uri="{FF2B5EF4-FFF2-40B4-BE49-F238E27FC236}">
                  <a16:creationId xmlns:a16="http://schemas.microsoft.com/office/drawing/2014/main" id="{00000000-0008-0000-1F00-00000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50800</xdr:colOff>
          <xdr:row>26</xdr:row>
          <xdr:rowOff>0</xdr:rowOff>
        </xdr:from>
        <xdr:to>
          <xdr:col>9</xdr:col>
          <xdr:colOff>0</xdr:colOff>
          <xdr:row>26</xdr:row>
          <xdr:rowOff>228600</xdr:rowOff>
        </xdr:to>
        <xdr:sp macro="" textlink="">
          <xdr:nvSpPr>
            <xdr:cNvPr id="79878" name="Check Box 6" hidden="1">
              <a:extLst>
                <a:ext uri="{63B3BB69-23CF-44E3-9099-C40C66FF867C}">
                  <a14:compatExt spid="_x0000_s79878"/>
                </a:ext>
                <a:ext uri="{FF2B5EF4-FFF2-40B4-BE49-F238E27FC236}">
                  <a16:creationId xmlns:a16="http://schemas.microsoft.com/office/drawing/2014/main" id="{00000000-0008-0000-1F00-00000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25</xdr:row>
          <xdr:rowOff>0</xdr:rowOff>
        </xdr:from>
        <xdr:to>
          <xdr:col>19</xdr:col>
          <xdr:colOff>0</xdr:colOff>
          <xdr:row>25</xdr:row>
          <xdr:rowOff>228600</xdr:rowOff>
        </xdr:to>
        <xdr:sp macro="" textlink="">
          <xdr:nvSpPr>
            <xdr:cNvPr id="79879" name="Check Box 7" hidden="1">
              <a:extLst>
                <a:ext uri="{63B3BB69-23CF-44E3-9099-C40C66FF867C}">
                  <a14:compatExt spid="_x0000_s79879"/>
                </a:ext>
                <a:ext uri="{FF2B5EF4-FFF2-40B4-BE49-F238E27FC236}">
                  <a16:creationId xmlns:a16="http://schemas.microsoft.com/office/drawing/2014/main" id="{00000000-0008-0000-1F00-00000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26</xdr:row>
          <xdr:rowOff>0</xdr:rowOff>
        </xdr:from>
        <xdr:to>
          <xdr:col>19</xdr:col>
          <xdr:colOff>0</xdr:colOff>
          <xdr:row>26</xdr:row>
          <xdr:rowOff>228600</xdr:rowOff>
        </xdr:to>
        <xdr:sp macro="" textlink="">
          <xdr:nvSpPr>
            <xdr:cNvPr id="79880" name="Check Box 8" hidden="1">
              <a:extLst>
                <a:ext uri="{63B3BB69-23CF-44E3-9099-C40C66FF867C}">
                  <a14:compatExt spid="_x0000_s79880"/>
                </a:ext>
                <a:ext uri="{FF2B5EF4-FFF2-40B4-BE49-F238E27FC236}">
                  <a16:creationId xmlns:a16="http://schemas.microsoft.com/office/drawing/2014/main" id="{00000000-0008-0000-1F00-00000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25</xdr:row>
          <xdr:rowOff>0</xdr:rowOff>
        </xdr:from>
        <xdr:to>
          <xdr:col>28</xdr:col>
          <xdr:colOff>0</xdr:colOff>
          <xdr:row>25</xdr:row>
          <xdr:rowOff>228600</xdr:rowOff>
        </xdr:to>
        <xdr:sp macro="" textlink="">
          <xdr:nvSpPr>
            <xdr:cNvPr id="79881" name="Check Box 9" hidden="1">
              <a:extLst>
                <a:ext uri="{63B3BB69-23CF-44E3-9099-C40C66FF867C}">
                  <a14:compatExt spid="_x0000_s79881"/>
                </a:ext>
                <a:ext uri="{FF2B5EF4-FFF2-40B4-BE49-F238E27FC236}">
                  <a16:creationId xmlns:a16="http://schemas.microsoft.com/office/drawing/2014/main" id="{00000000-0008-0000-1F00-00000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38100</xdr:colOff>
          <xdr:row>4</xdr:row>
          <xdr:rowOff>31750</xdr:rowOff>
        </xdr:from>
        <xdr:to>
          <xdr:col>19</xdr:col>
          <xdr:colOff>266700</xdr:colOff>
          <xdr:row>5</xdr:row>
          <xdr:rowOff>31750</xdr:rowOff>
        </xdr:to>
        <xdr:sp macro="" textlink="">
          <xdr:nvSpPr>
            <xdr:cNvPr id="80897" name="Check Box 1" hidden="1">
              <a:extLst>
                <a:ext uri="{63B3BB69-23CF-44E3-9099-C40C66FF867C}">
                  <a14:compatExt spid="_x0000_s80897"/>
                </a:ext>
                <a:ext uri="{FF2B5EF4-FFF2-40B4-BE49-F238E27FC236}">
                  <a16:creationId xmlns:a16="http://schemas.microsoft.com/office/drawing/2014/main" id="{00000000-0008-0000-2000-00000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4</xdr:row>
          <xdr:rowOff>31750</xdr:rowOff>
        </xdr:from>
        <xdr:to>
          <xdr:col>24</xdr:col>
          <xdr:colOff>266700</xdr:colOff>
          <xdr:row>5</xdr:row>
          <xdr:rowOff>31750</xdr:rowOff>
        </xdr:to>
        <xdr:sp macro="" textlink="">
          <xdr:nvSpPr>
            <xdr:cNvPr id="80898" name="Check Box 2" hidden="1">
              <a:extLst>
                <a:ext uri="{63B3BB69-23CF-44E3-9099-C40C66FF867C}">
                  <a14:compatExt spid="_x0000_s80898"/>
                </a:ext>
                <a:ext uri="{FF2B5EF4-FFF2-40B4-BE49-F238E27FC236}">
                  <a16:creationId xmlns:a16="http://schemas.microsoft.com/office/drawing/2014/main" id="{00000000-0008-0000-2000-00000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12700</xdr:rowOff>
        </xdr:from>
        <xdr:to>
          <xdr:col>13</xdr:col>
          <xdr:colOff>266700</xdr:colOff>
          <xdr:row>8</xdr:row>
          <xdr:rowOff>12700</xdr:rowOff>
        </xdr:to>
        <xdr:sp macro="" textlink="">
          <xdr:nvSpPr>
            <xdr:cNvPr id="80899" name="Check Box 3" hidden="1">
              <a:extLst>
                <a:ext uri="{63B3BB69-23CF-44E3-9099-C40C66FF867C}">
                  <a14:compatExt spid="_x0000_s80899"/>
                </a:ext>
                <a:ext uri="{FF2B5EF4-FFF2-40B4-BE49-F238E27FC236}">
                  <a16:creationId xmlns:a16="http://schemas.microsoft.com/office/drawing/2014/main" id="{00000000-0008-0000-2000-00000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260350</xdr:rowOff>
        </xdr:from>
        <xdr:to>
          <xdr:col>13</xdr:col>
          <xdr:colOff>266700</xdr:colOff>
          <xdr:row>8</xdr:row>
          <xdr:rowOff>260350</xdr:rowOff>
        </xdr:to>
        <xdr:sp macro="" textlink="">
          <xdr:nvSpPr>
            <xdr:cNvPr id="80900" name="Check Box 4" hidden="1">
              <a:extLst>
                <a:ext uri="{63B3BB69-23CF-44E3-9099-C40C66FF867C}">
                  <a14:compatExt spid="_x0000_s80900"/>
                </a:ext>
                <a:ext uri="{FF2B5EF4-FFF2-40B4-BE49-F238E27FC236}">
                  <a16:creationId xmlns:a16="http://schemas.microsoft.com/office/drawing/2014/main" id="{00000000-0008-0000-2000-00000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8</xdr:row>
          <xdr:rowOff>260350</xdr:rowOff>
        </xdr:from>
        <xdr:to>
          <xdr:col>13</xdr:col>
          <xdr:colOff>266700</xdr:colOff>
          <xdr:row>9</xdr:row>
          <xdr:rowOff>260350</xdr:rowOff>
        </xdr:to>
        <xdr:sp macro="" textlink="">
          <xdr:nvSpPr>
            <xdr:cNvPr id="80901" name="Check Box 5" hidden="1">
              <a:extLst>
                <a:ext uri="{63B3BB69-23CF-44E3-9099-C40C66FF867C}">
                  <a14:compatExt spid="_x0000_s80901"/>
                </a:ext>
                <a:ext uri="{FF2B5EF4-FFF2-40B4-BE49-F238E27FC236}">
                  <a16:creationId xmlns:a16="http://schemas.microsoft.com/office/drawing/2014/main" id="{00000000-0008-0000-2000-00000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7</xdr:row>
          <xdr:rowOff>12700</xdr:rowOff>
        </xdr:from>
        <xdr:to>
          <xdr:col>27</xdr:col>
          <xdr:colOff>266700</xdr:colOff>
          <xdr:row>8</xdr:row>
          <xdr:rowOff>12700</xdr:rowOff>
        </xdr:to>
        <xdr:sp macro="" textlink="">
          <xdr:nvSpPr>
            <xdr:cNvPr id="80902" name="Check Box 6" hidden="1">
              <a:extLst>
                <a:ext uri="{63B3BB69-23CF-44E3-9099-C40C66FF867C}">
                  <a14:compatExt spid="_x0000_s80902"/>
                </a:ext>
                <a:ext uri="{FF2B5EF4-FFF2-40B4-BE49-F238E27FC236}">
                  <a16:creationId xmlns:a16="http://schemas.microsoft.com/office/drawing/2014/main" id="{00000000-0008-0000-2000-00000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8</xdr:row>
          <xdr:rowOff>12700</xdr:rowOff>
        </xdr:from>
        <xdr:to>
          <xdr:col>27</xdr:col>
          <xdr:colOff>266700</xdr:colOff>
          <xdr:row>9</xdr:row>
          <xdr:rowOff>12700</xdr:rowOff>
        </xdr:to>
        <xdr:sp macro="" textlink="">
          <xdr:nvSpPr>
            <xdr:cNvPr id="80903" name="Check Box 7" hidden="1">
              <a:extLst>
                <a:ext uri="{63B3BB69-23CF-44E3-9099-C40C66FF867C}">
                  <a14:compatExt spid="_x0000_s80903"/>
                </a:ext>
                <a:ext uri="{FF2B5EF4-FFF2-40B4-BE49-F238E27FC236}">
                  <a16:creationId xmlns:a16="http://schemas.microsoft.com/office/drawing/2014/main" id="{00000000-0008-0000-2000-00000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0</xdr:rowOff>
        </xdr:from>
        <xdr:to>
          <xdr:col>13</xdr:col>
          <xdr:colOff>266700</xdr:colOff>
          <xdr:row>13</xdr:row>
          <xdr:rowOff>0</xdr:rowOff>
        </xdr:to>
        <xdr:sp macro="" textlink="">
          <xdr:nvSpPr>
            <xdr:cNvPr id="80904" name="Check Box 8" hidden="1">
              <a:extLst>
                <a:ext uri="{63B3BB69-23CF-44E3-9099-C40C66FF867C}">
                  <a14:compatExt spid="_x0000_s80904"/>
                </a:ext>
                <a:ext uri="{FF2B5EF4-FFF2-40B4-BE49-F238E27FC236}">
                  <a16:creationId xmlns:a16="http://schemas.microsoft.com/office/drawing/2014/main" id="{00000000-0008-0000-2000-00000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13</xdr:row>
          <xdr:rowOff>0</xdr:rowOff>
        </xdr:from>
        <xdr:to>
          <xdr:col>13</xdr:col>
          <xdr:colOff>266700</xdr:colOff>
          <xdr:row>14</xdr:row>
          <xdr:rowOff>0</xdr:rowOff>
        </xdr:to>
        <xdr:sp macro="" textlink="">
          <xdr:nvSpPr>
            <xdr:cNvPr id="80905" name="Check Box 9" hidden="1">
              <a:extLst>
                <a:ext uri="{63B3BB69-23CF-44E3-9099-C40C66FF867C}">
                  <a14:compatExt spid="_x0000_s80905"/>
                </a:ext>
                <a:ext uri="{FF2B5EF4-FFF2-40B4-BE49-F238E27FC236}">
                  <a16:creationId xmlns:a16="http://schemas.microsoft.com/office/drawing/2014/main" id="{00000000-0008-0000-2000-00000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14</xdr:row>
          <xdr:rowOff>0</xdr:rowOff>
        </xdr:from>
        <xdr:to>
          <xdr:col>13</xdr:col>
          <xdr:colOff>266700</xdr:colOff>
          <xdr:row>15</xdr:row>
          <xdr:rowOff>0</xdr:rowOff>
        </xdr:to>
        <xdr:sp macro="" textlink="">
          <xdr:nvSpPr>
            <xdr:cNvPr id="80906" name="Check Box 10" hidden="1">
              <a:extLst>
                <a:ext uri="{63B3BB69-23CF-44E3-9099-C40C66FF867C}">
                  <a14:compatExt spid="_x0000_s80906"/>
                </a:ext>
                <a:ext uri="{FF2B5EF4-FFF2-40B4-BE49-F238E27FC236}">
                  <a16:creationId xmlns:a16="http://schemas.microsoft.com/office/drawing/2014/main" id="{00000000-0008-0000-2000-00000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12700</xdr:rowOff>
        </xdr:from>
        <xdr:to>
          <xdr:col>27</xdr:col>
          <xdr:colOff>266700</xdr:colOff>
          <xdr:row>13</xdr:row>
          <xdr:rowOff>12700</xdr:rowOff>
        </xdr:to>
        <xdr:sp macro="" textlink="">
          <xdr:nvSpPr>
            <xdr:cNvPr id="80907" name="Check Box 11" hidden="1">
              <a:extLst>
                <a:ext uri="{63B3BB69-23CF-44E3-9099-C40C66FF867C}">
                  <a14:compatExt spid="_x0000_s80907"/>
                </a:ext>
                <a:ext uri="{FF2B5EF4-FFF2-40B4-BE49-F238E27FC236}">
                  <a16:creationId xmlns:a16="http://schemas.microsoft.com/office/drawing/2014/main" id="{00000000-0008-0000-2000-00000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260350</xdr:rowOff>
        </xdr:from>
        <xdr:to>
          <xdr:col>27</xdr:col>
          <xdr:colOff>266700</xdr:colOff>
          <xdr:row>13</xdr:row>
          <xdr:rowOff>260350</xdr:rowOff>
        </xdr:to>
        <xdr:sp macro="" textlink="">
          <xdr:nvSpPr>
            <xdr:cNvPr id="80908" name="Check Box 12" hidden="1">
              <a:extLst>
                <a:ext uri="{63B3BB69-23CF-44E3-9099-C40C66FF867C}">
                  <a14:compatExt spid="_x0000_s80908"/>
                </a:ext>
                <a:ext uri="{FF2B5EF4-FFF2-40B4-BE49-F238E27FC236}">
                  <a16:creationId xmlns:a16="http://schemas.microsoft.com/office/drawing/2014/main" id="{00000000-0008-0000-2000-00000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14</xdr:row>
          <xdr:rowOff>12700</xdr:rowOff>
        </xdr:from>
        <xdr:to>
          <xdr:col>27</xdr:col>
          <xdr:colOff>266700</xdr:colOff>
          <xdr:row>15</xdr:row>
          <xdr:rowOff>12700</xdr:rowOff>
        </xdr:to>
        <xdr:sp macro="" textlink="">
          <xdr:nvSpPr>
            <xdr:cNvPr id="80909" name="Check Box 13" hidden="1">
              <a:extLst>
                <a:ext uri="{63B3BB69-23CF-44E3-9099-C40C66FF867C}">
                  <a14:compatExt spid="_x0000_s80909"/>
                </a:ext>
                <a:ext uri="{FF2B5EF4-FFF2-40B4-BE49-F238E27FC236}">
                  <a16:creationId xmlns:a16="http://schemas.microsoft.com/office/drawing/2014/main" id="{00000000-0008-0000-2000-00000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15</xdr:row>
          <xdr:rowOff>31750</xdr:rowOff>
        </xdr:from>
        <xdr:to>
          <xdr:col>32</xdr:col>
          <xdr:colOff>266700</xdr:colOff>
          <xdr:row>16</xdr:row>
          <xdr:rowOff>31750</xdr:rowOff>
        </xdr:to>
        <xdr:sp macro="" textlink="">
          <xdr:nvSpPr>
            <xdr:cNvPr id="80910" name="Check Box 14" hidden="1">
              <a:extLst>
                <a:ext uri="{63B3BB69-23CF-44E3-9099-C40C66FF867C}">
                  <a14:compatExt spid="_x0000_s80910"/>
                </a:ext>
                <a:ext uri="{FF2B5EF4-FFF2-40B4-BE49-F238E27FC236}">
                  <a16:creationId xmlns:a16="http://schemas.microsoft.com/office/drawing/2014/main" id="{00000000-0008-0000-2000-00000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16</xdr:row>
          <xdr:rowOff>31750</xdr:rowOff>
        </xdr:from>
        <xdr:to>
          <xdr:col>32</xdr:col>
          <xdr:colOff>266700</xdr:colOff>
          <xdr:row>17</xdr:row>
          <xdr:rowOff>31750</xdr:rowOff>
        </xdr:to>
        <xdr:sp macro="" textlink="">
          <xdr:nvSpPr>
            <xdr:cNvPr id="80911" name="Check Box 15" hidden="1">
              <a:extLst>
                <a:ext uri="{63B3BB69-23CF-44E3-9099-C40C66FF867C}">
                  <a14:compatExt spid="_x0000_s80911"/>
                </a:ext>
                <a:ext uri="{FF2B5EF4-FFF2-40B4-BE49-F238E27FC236}">
                  <a16:creationId xmlns:a16="http://schemas.microsoft.com/office/drawing/2014/main" id="{00000000-0008-0000-2000-00000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17</xdr:row>
          <xdr:rowOff>31750</xdr:rowOff>
        </xdr:from>
        <xdr:to>
          <xdr:col>32</xdr:col>
          <xdr:colOff>266700</xdr:colOff>
          <xdr:row>18</xdr:row>
          <xdr:rowOff>31750</xdr:rowOff>
        </xdr:to>
        <xdr:sp macro="" textlink="">
          <xdr:nvSpPr>
            <xdr:cNvPr id="80912" name="Check Box 16" hidden="1">
              <a:extLst>
                <a:ext uri="{63B3BB69-23CF-44E3-9099-C40C66FF867C}">
                  <a14:compatExt spid="_x0000_s80912"/>
                </a:ext>
                <a:ext uri="{FF2B5EF4-FFF2-40B4-BE49-F238E27FC236}">
                  <a16:creationId xmlns:a16="http://schemas.microsoft.com/office/drawing/2014/main" id="{00000000-0008-0000-2000-000010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15</xdr:row>
          <xdr:rowOff>31750</xdr:rowOff>
        </xdr:from>
        <xdr:to>
          <xdr:col>36</xdr:col>
          <xdr:colOff>266700</xdr:colOff>
          <xdr:row>16</xdr:row>
          <xdr:rowOff>31750</xdr:rowOff>
        </xdr:to>
        <xdr:sp macro="" textlink="">
          <xdr:nvSpPr>
            <xdr:cNvPr id="80913" name="Check Box 17" hidden="1">
              <a:extLst>
                <a:ext uri="{63B3BB69-23CF-44E3-9099-C40C66FF867C}">
                  <a14:compatExt spid="_x0000_s80913"/>
                </a:ext>
                <a:ext uri="{FF2B5EF4-FFF2-40B4-BE49-F238E27FC236}">
                  <a16:creationId xmlns:a16="http://schemas.microsoft.com/office/drawing/2014/main" id="{00000000-0008-0000-2000-00001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16</xdr:row>
          <xdr:rowOff>31750</xdr:rowOff>
        </xdr:from>
        <xdr:to>
          <xdr:col>36</xdr:col>
          <xdr:colOff>266700</xdr:colOff>
          <xdr:row>17</xdr:row>
          <xdr:rowOff>31750</xdr:rowOff>
        </xdr:to>
        <xdr:sp macro="" textlink="">
          <xdr:nvSpPr>
            <xdr:cNvPr id="80914" name="Check Box 18" hidden="1">
              <a:extLst>
                <a:ext uri="{63B3BB69-23CF-44E3-9099-C40C66FF867C}">
                  <a14:compatExt spid="_x0000_s80914"/>
                </a:ext>
                <a:ext uri="{FF2B5EF4-FFF2-40B4-BE49-F238E27FC236}">
                  <a16:creationId xmlns:a16="http://schemas.microsoft.com/office/drawing/2014/main" id="{00000000-0008-0000-2000-00001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17</xdr:row>
          <xdr:rowOff>31750</xdr:rowOff>
        </xdr:from>
        <xdr:to>
          <xdr:col>36</xdr:col>
          <xdr:colOff>266700</xdr:colOff>
          <xdr:row>18</xdr:row>
          <xdr:rowOff>31750</xdr:rowOff>
        </xdr:to>
        <xdr:sp macro="" textlink="">
          <xdr:nvSpPr>
            <xdr:cNvPr id="80915" name="Check Box 19" hidden="1">
              <a:extLst>
                <a:ext uri="{63B3BB69-23CF-44E3-9099-C40C66FF867C}">
                  <a14:compatExt spid="_x0000_s80915"/>
                </a:ext>
                <a:ext uri="{FF2B5EF4-FFF2-40B4-BE49-F238E27FC236}">
                  <a16:creationId xmlns:a16="http://schemas.microsoft.com/office/drawing/2014/main" id="{00000000-0008-0000-2000-00001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18</xdr:row>
          <xdr:rowOff>260350</xdr:rowOff>
        </xdr:from>
        <xdr:to>
          <xdr:col>13</xdr:col>
          <xdr:colOff>266700</xdr:colOff>
          <xdr:row>19</xdr:row>
          <xdr:rowOff>260350</xdr:rowOff>
        </xdr:to>
        <xdr:sp macro="" textlink="">
          <xdr:nvSpPr>
            <xdr:cNvPr id="80916" name="Check Box 20" hidden="1">
              <a:extLst>
                <a:ext uri="{63B3BB69-23CF-44E3-9099-C40C66FF867C}">
                  <a14:compatExt spid="_x0000_s80916"/>
                </a:ext>
                <a:ext uri="{FF2B5EF4-FFF2-40B4-BE49-F238E27FC236}">
                  <a16:creationId xmlns:a16="http://schemas.microsoft.com/office/drawing/2014/main" id="{00000000-0008-0000-2000-00001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20</xdr:row>
          <xdr:rowOff>0</xdr:rowOff>
        </xdr:from>
        <xdr:to>
          <xdr:col>13</xdr:col>
          <xdr:colOff>266700</xdr:colOff>
          <xdr:row>21</xdr:row>
          <xdr:rowOff>12700</xdr:rowOff>
        </xdr:to>
        <xdr:sp macro="" textlink="">
          <xdr:nvSpPr>
            <xdr:cNvPr id="80917" name="Check Box 21" hidden="1">
              <a:extLst>
                <a:ext uri="{63B3BB69-23CF-44E3-9099-C40C66FF867C}">
                  <a14:compatExt spid="_x0000_s80917"/>
                </a:ext>
                <a:ext uri="{FF2B5EF4-FFF2-40B4-BE49-F238E27FC236}">
                  <a16:creationId xmlns:a16="http://schemas.microsoft.com/office/drawing/2014/main" id="{00000000-0008-0000-2000-00001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18</xdr:row>
          <xdr:rowOff>241300</xdr:rowOff>
        </xdr:from>
        <xdr:to>
          <xdr:col>27</xdr:col>
          <xdr:colOff>266700</xdr:colOff>
          <xdr:row>19</xdr:row>
          <xdr:rowOff>260350</xdr:rowOff>
        </xdr:to>
        <xdr:sp macro="" textlink="">
          <xdr:nvSpPr>
            <xdr:cNvPr id="80918" name="Check Box 22" hidden="1">
              <a:extLst>
                <a:ext uri="{63B3BB69-23CF-44E3-9099-C40C66FF867C}">
                  <a14:compatExt spid="_x0000_s80918"/>
                </a:ext>
                <a:ext uri="{FF2B5EF4-FFF2-40B4-BE49-F238E27FC236}">
                  <a16:creationId xmlns:a16="http://schemas.microsoft.com/office/drawing/2014/main" id="{00000000-0008-0000-2000-00001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19</xdr:row>
          <xdr:rowOff>241300</xdr:rowOff>
        </xdr:from>
        <xdr:to>
          <xdr:col>27</xdr:col>
          <xdr:colOff>266700</xdr:colOff>
          <xdr:row>21</xdr:row>
          <xdr:rowOff>12700</xdr:rowOff>
        </xdr:to>
        <xdr:sp macro="" textlink="">
          <xdr:nvSpPr>
            <xdr:cNvPr id="80919" name="Check Box 23" hidden="1">
              <a:extLst>
                <a:ext uri="{63B3BB69-23CF-44E3-9099-C40C66FF867C}">
                  <a14:compatExt spid="_x0000_s80919"/>
                </a:ext>
                <a:ext uri="{FF2B5EF4-FFF2-40B4-BE49-F238E27FC236}">
                  <a16:creationId xmlns:a16="http://schemas.microsoft.com/office/drawing/2014/main" id="{00000000-0008-0000-2000-00001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22</xdr:row>
          <xdr:rowOff>31750</xdr:rowOff>
        </xdr:from>
        <xdr:to>
          <xdr:col>32</xdr:col>
          <xdr:colOff>266700</xdr:colOff>
          <xdr:row>23</xdr:row>
          <xdr:rowOff>31750</xdr:rowOff>
        </xdr:to>
        <xdr:sp macro="" textlink="">
          <xdr:nvSpPr>
            <xdr:cNvPr id="80920" name="Check Box 24" hidden="1">
              <a:extLst>
                <a:ext uri="{63B3BB69-23CF-44E3-9099-C40C66FF867C}">
                  <a14:compatExt spid="_x0000_s80920"/>
                </a:ext>
                <a:ext uri="{FF2B5EF4-FFF2-40B4-BE49-F238E27FC236}">
                  <a16:creationId xmlns:a16="http://schemas.microsoft.com/office/drawing/2014/main" id="{00000000-0008-0000-2000-00001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24</xdr:row>
          <xdr:rowOff>31750</xdr:rowOff>
        </xdr:from>
        <xdr:to>
          <xdr:col>32</xdr:col>
          <xdr:colOff>266700</xdr:colOff>
          <xdr:row>25</xdr:row>
          <xdr:rowOff>31750</xdr:rowOff>
        </xdr:to>
        <xdr:sp macro="" textlink="">
          <xdr:nvSpPr>
            <xdr:cNvPr id="80921" name="Check Box 25" hidden="1">
              <a:extLst>
                <a:ext uri="{63B3BB69-23CF-44E3-9099-C40C66FF867C}">
                  <a14:compatExt spid="_x0000_s80921"/>
                </a:ext>
                <a:ext uri="{FF2B5EF4-FFF2-40B4-BE49-F238E27FC236}">
                  <a16:creationId xmlns:a16="http://schemas.microsoft.com/office/drawing/2014/main" id="{00000000-0008-0000-2000-00001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22</xdr:row>
          <xdr:rowOff>31750</xdr:rowOff>
        </xdr:from>
        <xdr:to>
          <xdr:col>36</xdr:col>
          <xdr:colOff>266700</xdr:colOff>
          <xdr:row>23</xdr:row>
          <xdr:rowOff>31750</xdr:rowOff>
        </xdr:to>
        <xdr:sp macro="" textlink="">
          <xdr:nvSpPr>
            <xdr:cNvPr id="80922" name="Check Box 26" hidden="1">
              <a:extLst>
                <a:ext uri="{63B3BB69-23CF-44E3-9099-C40C66FF867C}">
                  <a14:compatExt spid="_x0000_s80922"/>
                </a:ext>
                <a:ext uri="{FF2B5EF4-FFF2-40B4-BE49-F238E27FC236}">
                  <a16:creationId xmlns:a16="http://schemas.microsoft.com/office/drawing/2014/main" id="{00000000-0008-0000-2000-00001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31750</xdr:rowOff>
        </xdr:from>
        <xdr:to>
          <xdr:col>36</xdr:col>
          <xdr:colOff>266700</xdr:colOff>
          <xdr:row>25</xdr:row>
          <xdr:rowOff>31750</xdr:rowOff>
        </xdr:to>
        <xdr:sp macro="" textlink="">
          <xdr:nvSpPr>
            <xdr:cNvPr id="80923" name="Check Box 27" hidden="1">
              <a:extLst>
                <a:ext uri="{63B3BB69-23CF-44E3-9099-C40C66FF867C}">
                  <a14:compatExt spid="_x0000_s80923"/>
                </a:ext>
                <a:ext uri="{FF2B5EF4-FFF2-40B4-BE49-F238E27FC236}">
                  <a16:creationId xmlns:a16="http://schemas.microsoft.com/office/drawing/2014/main" id="{00000000-0008-0000-2000-00001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26</xdr:row>
          <xdr:rowOff>0</xdr:rowOff>
        </xdr:from>
        <xdr:to>
          <xdr:col>13</xdr:col>
          <xdr:colOff>266700</xdr:colOff>
          <xdr:row>27</xdr:row>
          <xdr:rowOff>0</xdr:rowOff>
        </xdr:to>
        <xdr:sp macro="" textlink="">
          <xdr:nvSpPr>
            <xdr:cNvPr id="80924" name="Check Box 28" hidden="1">
              <a:extLst>
                <a:ext uri="{63B3BB69-23CF-44E3-9099-C40C66FF867C}">
                  <a14:compatExt spid="_x0000_s80924"/>
                </a:ext>
                <a:ext uri="{FF2B5EF4-FFF2-40B4-BE49-F238E27FC236}">
                  <a16:creationId xmlns:a16="http://schemas.microsoft.com/office/drawing/2014/main" id="{00000000-0008-0000-2000-00001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27</xdr:row>
          <xdr:rowOff>0</xdr:rowOff>
        </xdr:from>
        <xdr:to>
          <xdr:col>13</xdr:col>
          <xdr:colOff>266700</xdr:colOff>
          <xdr:row>28</xdr:row>
          <xdr:rowOff>0</xdr:rowOff>
        </xdr:to>
        <xdr:sp macro="" textlink="">
          <xdr:nvSpPr>
            <xdr:cNvPr id="80925" name="Check Box 29" hidden="1">
              <a:extLst>
                <a:ext uri="{63B3BB69-23CF-44E3-9099-C40C66FF867C}">
                  <a14:compatExt spid="_x0000_s80925"/>
                </a:ext>
                <a:ext uri="{FF2B5EF4-FFF2-40B4-BE49-F238E27FC236}">
                  <a16:creationId xmlns:a16="http://schemas.microsoft.com/office/drawing/2014/main" id="{00000000-0008-0000-2000-00001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28</xdr:row>
          <xdr:rowOff>0</xdr:rowOff>
        </xdr:from>
        <xdr:to>
          <xdr:col>13</xdr:col>
          <xdr:colOff>266700</xdr:colOff>
          <xdr:row>29</xdr:row>
          <xdr:rowOff>0</xdr:rowOff>
        </xdr:to>
        <xdr:sp macro="" textlink="">
          <xdr:nvSpPr>
            <xdr:cNvPr id="80926" name="Check Box 30" hidden="1">
              <a:extLst>
                <a:ext uri="{63B3BB69-23CF-44E3-9099-C40C66FF867C}">
                  <a14:compatExt spid="_x0000_s80926"/>
                </a:ext>
                <a:ext uri="{FF2B5EF4-FFF2-40B4-BE49-F238E27FC236}">
                  <a16:creationId xmlns:a16="http://schemas.microsoft.com/office/drawing/2014/main" id="{00000000-0008-0000-2000-00001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29</xdr:row>
          <xdr:rowOff>0</xdr:rowOff>
        </xdr:from>
        <xdr:to>
          <xdr:col>13</xdr:col>
          <xdr:colOff>266700</xdr:colOff>
          <xdr:row>30</xdr:row>
          <xdr:rowOff>0</xdr:rowOff>
        </xdr:to>
        <xdr:sp macro="" textlink="">
          <xdr:nvSpPr>
            <xdr:cNvPr id="80927" name="Check Box 31" hidden="1">
              <a:extLst>
                <a:ext uri="{63B3BB69-23CF-44E3-9099-C40C66FF867C}">
                  <a14:compatExt spid="_x0000_s80927"/>
                </a:ext>
                <a:ext uri="{FF2B5EF4-FFF2-40B4-BE49-F238E27FC236}">
                  <a16:creationId xmlns:a16="http://schemas.microsoft.com/office/drawing/2014/main" id="{00000000-0008-0000-2000-00001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38100</xdr:colOff>
          <xdr:row>4</xdr:row>
          <xdr:rowOff>0</xdr:rowOff>
        </xdr:from>
        <xdr:to>
          <xdr:col>27</xdr:col>
          <xdr:colOff>152400</xdr:colOff>
          <xdr:row>5</xdr:row>
          <xdr:rowOff>0</xdr:rowOff>
        </xdr:to>
        <xdr:sp macro="" textlink="">
          <xdr:nvSpPr>
            <xdr:cNvPr id="103425" name="Check Box 1" hidden="1">
              <a:extLst>
                <a:ext uri="{63B3BB69-23CF-44E3-9099-C40C66FF867C}">
                  <a14:compatExt spid="_x0000_s103425"/>
                </a:ext>
                <a:ext uri="{FF2B5EF4-FFF2-40B4-BE49-F238E27FC236}">
                  <a16:creationId xmlns:a16="http://schemas.microsoft.com/office/drawing/2014/main" id="{00000000-0008-0000-2200-000001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6</xdr:row>
          <xdr:rowOff>0</xdr:rowOff>
        </xdr:from>
        <xdr:to>
          <xdr:col>27</xdr:col>
          <xdr:colOff>152400</xdr:colOff>
          <xdr:row>6</xdr:row>
          <xdr:rowOff>222250</xdr:rowOff>
        </xdr:to>
        <xdr:sp macro="" textlink="">
          <xdr:nvSpPr>
            <xdr:cNvPr id="103426" name="Check Box 2" hidden="1">
              <a:extLst>
                <a:ext uri="{63B3BB69-23CF-44E3-9099-C40C66FF867C}">
                  <a14:compatExt spid="_x0000_s103426"/>
                </a:ext>
                <a:ext uri="{FF2B5EF4-FFF2-40B4-BE49-F238E27FC236}">
                  <a16:creationId xmlns:a16="http://schemas.microsoft.com/office/drawing/2014/main" id="{00000000-0008-0000-2200-000002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4</xdr:row>
          <xdr:rowOff>0</xdr:rowOff>
        </xdr:from>
        <xdr:to>
          <xdr:col>32</xdr:col>
          <xdr:colOff>152400</xdr:colOff>
          <xdr:row>5</xdr:row>
          <xdr:rowOff>0</xdr:rowOff>
        </xdr:to>
        <xdr:sp macro="" textlink="">
          <xdr:nvSpPr>
            <xdr:cNvPr id="103427" name="Check Box 3" hidden="1">
              <a:extLst>
                <a:ext uri="{63B3BB69-23CF-44E3-9099-C40C66FF867C}">
                  <a14:compatExt spid="_x0000_s103427"/>
                </a:ext>
                <a:ext uri="{FF2B5EF4-FFF2-40B4-BE49-F238E27FC236}">
                  <a16:creationId xmlns:a16="http://schemas.microsoft.com/office/drawing/2014/main" id="{00000000-0008-0000-2200-000003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6</xdr:row>
          <xdr:rowOff>0</xdr:rowOff>
        </xdr:from>
        <xdr:to>
          <xdr:col>32</xdr:col>
          <xdr:colOff>152400</xdr:colOff>
          <xdr:row>6</xdr:row>
          <xdr:rowOff>222250</xdr:rowOff>
        </xdr:to>
        <xdr:sp macro="" textlink="">
          <xdr:nvSpPr>
            <xdr:cNvPr id="103428" name="Check Box 4" hidden="1">
              <a:extLst>
                <a:ext uri="{63B3BB69-23CF-44E3-9099-C40C66FF867C}">
                  <a14:compatExt spid="_x0000_s103428"/>
                </a:ext>
                <a:ext uri="{FF2B5EF4-FFF2-40B4-BE49-F238E27FC236}">
                  <a16:creationId xmlns:a16="http://schemas.microsoft.com/office/drawing/2014/main" id="{00000000-0008-0000-2200-000004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20</xdr:row>
          <xdr:rowOff>88900</xdr:rowOff>
        </xdr:from>
        <xdr:to>
          <xdr:col>27</xdr:col>
          <xdr:colOff>152400</xdr:colOff>
          <xdr:row>20</xdr:row>
          <xdr:rowOff>317500</xdr:rowOff>
        </xdr:to>
        <xdr:sp macro="" textlink="">
          <xdr:nvSpPr>
            <xdr:cNvPr id="103429" name="Check Box 5" hidden="1">
              <a:extLst>
                <a:ext uri="{63B3BB69-23CF-44E3-9099-C40C66FF867C}">
                  <a14:compatExt spid="_x0000_s103429"/>
                </a:ext>
                <a:ext uri="{FF2B5EF4-FFF2-40B4-BE49-F238E27FC236}">
                  <a16:creationId xmlns:a16="http://schemas.microsoft.com/office/drawing/2014/main" id="{00000000-0008-0000-2200-000005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20</xdr:row>
          <xdr:rowOff>88900</xdr:rowOff>
        </xdr:from>
        <xdr:to>
          <xdr:col>32</xdr:col>
          <xdr:colOff>152400</xdr:colOff>
          <xdr:row>20</xdr:row>
          <xdr:rowOff>317500</xdr:rowOff>
        </xdr:to>
        <xdr:sp macro="" textlink="">
          <xdr:nvSpPr>
            <xdr:cNvPr id="103430" name="Check Box 6" hidden="1">
              <a:extLst>
                <a:ext uri="{63B3BB69-23CF-44E3-9099-C40C66FF867C}">
                  <a14:compatExt spid="_x0000_s103430"/>
                </a:ext>
                <a:ext uri="{FF2B5EF4-FFF2-40B4-BE49-F238E27FC236}">
                  <a16:creationId xmlns:a16="http://schemas.microsoft.com/office/drawing/2014/main" id="{00000000-0008-0000-2200-000006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22</xdr:row>
          <xdr:rowOff>0</xdr:rowOff>
        </xdr:from>
        <xdr:to>
          <xdr:col>27</xdr:col>
          <xdr:colOff>152400</xdr:colOff>
          <xdr:row>22</xdr:row>
          <xdr:rowOff>222250</xdr:rowOff>
        </xdr:to>
        <xdr:sp macro="" textlink="">
          <xdr:nvSpPr>
            <xdr:cNvPr id="103431" name="Check Box 7" hidden="1">
              <a:extLst>
                <a:ext uri="{63B3BB69-23CF-44E3-9099-C40C66FF867C}">
                  <a14:compatExt spid="_x0000_s103431"/>
                </a:ext>
                <a:ext uri="{FF2B5EF4-FFF2-40B4-BE49-F238E27FC236}">
                  <a16:creationId xmlns:a16="http://schemas.microsoft.com/office/drawing/2014/main" id="{00000000-0008-0000-2200-000007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22</xdr:row>
          <xdr:rowOff>0</xdr:rowOff>
        </xdr:from>
        <xdr:to>
          <xdr:col>32</xdr:col>
          <xdr:colOff>152400</xdr:colOff>
          <xdr:row>22</xdr:row>
          <xdr:rowOff>222250</xdr:rowOff>
        </xdr:to>
        <xdr:sp macro="" textlink="">
          <xdr:nvSpPr>
            <xdr:cNvPr id="103432" name="Check Box 8" hidden="1">
              <a:extLst>
                <a:ext uri="{63B3BB69-23CF-44E3-9099-C40C66FF867C}">
                  <a14:compatExt spid="_x0000_s103432"/>
                </a:ext>
                <a:ext uri="{FF2B5EF4-FFF2-40B4-BE49-F238E27FC236}">
                  <a16:creationId xmlns:a16="http://schemas.microsoft.com/office/drawing/2014/main" id="{00000000-0008-0000-2200-000008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24</xdr:row>
          <xdr:rowOff>0</xdr:rowOff>
        </xdr:from>
        <xdr:to>
          <xdr:col>32</xdr:col>
          <xdr:colOff>152400</xdr:colOff>
          <xdr:row>24</xdr:row>
          <xdr:rowOff>222250</xdr:rowOff>
        </xdr:to>
        <xdr:sp macro="" textlink="">
          <xdr:nvSpPr>
            <xdr:cNvPr id="103433" name="Check Box 9" hidden="1">
              <a:extLst>
                <a:ext uri="{63B3BB69-23CF-44E3-9099-C40C66FF867C}">
                  <a14:compatExt spid="_x0000_s103433"/>
                </a:ext>
                <a:ext uri="{FF2B5EF4-FFF2-40B4-BE49-F238E27FC236}">
                  <a16:creationId xmlns:a16="http://schemas.microsoft.com/office/drawing/2014/main" id="{00000000-0008-0000-2200-000009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0</xdr:rowOff>
        </xdr:from>
        <xdr:to>
          <xdr:col>37</xdr:col>
          <xdr:colOff>152400</xdr:colOff>
          <xdr:row>24</xdr:row>
          <xdr:rowOff>222250</xdr:rowOff>
        </xdr:to>
        <xdr:sp macro="" textlink="">
          <xdr:nvSpPr>
            <xdr:cNvPr id="103434" name="Check Box 10" hidden="1">
              <a:extLst>
                <a:ext uri="{63B3BB69-23CF-44E3-9099-C40C66FF867C}">
                  <a14:compatExt spid="_x0000_s103434"/>
                </a:ext>
                <a:ext uri="{FF2B5EF4-FFF2-40B4-BE49-F238E27FC236}">
                  <a16:creationId xmlns:a16="http://schemas.microsoft.com/office/drawing/2014/main" id="{00000000-0008-0000-2200-00000A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37</xdr:row>
          <xdr:rowOff>0</xdr:rowOff>
        </xdr:from>
        <xdr:to>
          <xdr:col>32</xdr:col>
          <xdr:colOff>152400</xdr:colOff>
          <xdr:row>37</xdr:row>
          <xdr:rowOff>222250</xdr:rowOff>
        </xdr:to>
        <xdr:sp macro="" textlink="">
          <xdr:nvSpPr>
            <xdr:cNvPr id="103435" name="Check Box 11" hidden="1">
              <a:extLst>
                <a:ext uri="{63B3BB69-23CF-44E3-9099-C40C66FF867C}">
                  <a14:compatExt spid="_x0000_s103435"/>
                </a:ext>
                <a:ext uri="{FF2B5EF4-FFF2-40B4-BE49-F238E27FC236}">
                  <a16:creationId xmlns:a16="http://schemas.microsoft.com/office/drawing/2014/main" id="{00000000-0008-0000-2200-00000B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37</xdr:row>
          <xdr:rowOff>0</xdr:rowOff>
        </xdr:from>
        <xdr:to>
          <xdr:col>37</xdr:col>
          <xdr:colOff>152400</xdr:colOff>
          <xdr:row>37</xdr:row>
          <xdr:rowOff>222250</xdr:rowOff>
        </xdr:to>
        <xdr:sp macro="" textlink="">
          <xdr:nvSpPr>
            <xdr:cNvPr id="103436" name="Check Box 12" hidden="1">
              <a:extLst>
                <a:ext uri="{63B3BB69-23CF-44E3-9099-C40C66FF867C}">
                  <a14:compatExt spid="_x0000_s103436"/>
                </a:ext>
                <a:ext uri="{FF2B5EF4-FFF2-40B4-BE49-F238E27FC236}">
                  <a16:creationId xmlns:a16="http://schemas.microsoft.com/office/drawing/2014/main" id="{00000000-0008-0000-2200-00000C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23</xdr:col>
          <xdr:colOff>50800</xdr:colOff>
          <xdr:row>22</xdr:row>
          <xdr:rowOff>38100</xdr:rowOff>
        </xdr:from>
        <xdr:to>
          <xdr:col>24</xdr:col>
          <xdr:colOff>203200</xdr:colOff>
          <xdr:row>22</xdr:row>
          <xdr:rowOff>260350</xdr:rowOff>
        </xdr:to>
        <xdr:sp macro="" textlink="">
          <xdr:nvSpPr>
            <xdr:cNvPr id="126977" name="Check Box 1" hidden="1">
              <a:extLst>
                <a:ext uri="{63B3BB69-23CF-44E3-9099-C40C66FF867C}">
                  <a14:compatExt spid="_x0000_s126977"/>
                </a:ext>
                <a:ext uri="{FF2B5EF4-FFF2-40B4-BE49-F238E27FC236}">
                  <a16:creationId xmlns:a16="http://schemas.microsoft.com/office/drawing/2014/main" id="{00000000-0008-0000-2400-000001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50800</xdr:colOff>
          <xdr:row>22</xdr:row>
          <xdr:rowOff>38100</xdr:rowOff>
        </xdr:from>
        <xdr:to>
          <xdr:col>29</xdr:col>
          <xdr:colOff>203200</xdr:colOff>
          <xdr:row>22</xdr:row>
          <xdr:rowOff>260350</xdr:rowOff>
        </xdr:to>
        <xdr:sp macro="" textlink="">
          <xdr:nvSpPr>
            <xdr:cNvPr id="126978" name="Check Box 2" hidden="1">
              <a:extLst>
                <a:ext uri="{63B3BB69-23CF-44E3-9099-C40C66FF867C}">
                  <a14:compatExt spid="_x0000_s126978"/>
                </a:ext>
                <a:ext uri="{FF2B5EF4-FFF2-40B4-BE49-F238E27FC236}">
                  <a16:creationId xmlns:a16="http://schemas.microsoft.com/office/drawing/2014/main" id="{00000000-0008-0000-2400-000002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38100</xdr:colOff>
          <xdr:row>5</xdr:row>
          <xdr:rowOff>69850</xdr:rowOff>
        </xdr:from>
        <xdr:to>
          <xdr:col>36</xdr:col>
          <xdr:colOff>69850</xdr:colOff>
          <xdr:row>5</xdr:row>
          <xdr:rowOff>298450</xdr:rowOff>
        </xdr:to>
        <xdr:sp macro="" textlink="">
          <xdr:nvSpPr>
            <xdr:cNvPr id="128001" name="Check Box 1" hidden="1">
              <a:extLst>
                <a:ext uri="{63B3BB69-23CF-44E3-9099-C40C66FF867C}">
                  <a14:compatExt spid="_x0000_s128001"/>
                </a:ext>
                <a:ext uri="{FF2B5EF4-FFF2-40B4-BE49-F238E27FC236}">
                  <a16:creationId xmlns:a16="http://schemas.microsoft.com/office/drawing/2014/main" id="{00000000-0008-0000-2500-000001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6</xdr:row>
          <xdr:rowOff>69850</xdr:rowOff>
        </xdr:from>
        <xdr:to>
          <xdr:col>36</xdr:col>
          <xdr:colOff>69850</xdr:colOff>
          <xdr:row>6</xdr:row>
          <xdr:rowOff>298450</xdr:rowOff>
        </xdr:to>
        <xdr:sp macro="" textlink="">
          <xdr:nvSpPr>
            <xdr:cNvPr id="128002" name="Check Box 2" hidden="1">
              <a:extLst>
                <a:ext uri="{63B3BB69-23CF-44E3-9099-C40C66FF867C}">
                  <a14:compatExt spid="_x0000_s128002"/>
                </a:ext>
                <a:ext uri="{FF2B5EF4-FFF2-40B4-BE49-F238E27FC236}">
                  <a16:creationId xmlns:a16="http://schemas.microsoft.com/office/drawing/2014/main" id="{00000000-0008-0000-2500-000002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5</xdr:row>
          <xdr:rowOff>69850</xdr:rowOff>
        </xdr:from>
        <xdr:to>
          <xdr:col>41</xdr:col>
          <xdr:colOff>69850</xdr:colOff>
          <xdr:row>5</xdr:row>
          <xdr:rowOff>298450</xdr:rowOff>
        </xdr:to>
        <xdr:sp macro="" textlink="">
          <xdr:nvSpPr>
            <xdr:cNvPr id="128003" name="Check Box 3" hidden="1">
              <a:extLst>
                <a:ext uri="{63B3BB69-23CF-44E3-9099-C40C66FF867C}">
                  <a14:compatExt spid="_x0000_s128003"/>
                </a:ext>
                <a:ext uri="{FF2B5EF4-FFF2-40B4-BE49-F238E27FC236}">
                  <a16:creationId xmlns:a16="http://schemas.microsoft.com/office/drawing/2014/main" id="{00000000-0008-0000-2500-000003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6</xdr:row>
          <xdr:rowOff>69850</xdr:rowOff>
        </xdr:from>
        <xdr:to>
          <xdr:col>41</xdr:col>
          <xdr:colOff>69850</xdr:colOff>
          <xdr:row>6</xdr:row>
          <xdr:rowOff>298450</xdr:rowOff>
        </xdr:to>
        <xdr:sp macro="" textlink="">
          <xdr:nvSpPr>
            <xdr:cNvPr id="128004" name="Check Box 4" hidden="1">
              <a:extLst>
                <a:ext uri="{63B3BB69-23CF-44E3-9099-C40C66FF867C}">
                  <a14:compatExt spid="_x0000_s128004"/>
                </a:ext>
                <a:ext uri="{FF2B5EF4-FFF2-40B4-BE49-F238E27FC236}">
                  <a16:creationId xmlns:a16="http://schemas.microsoft.com/office/drawing/2014/main" id="{00000000-0008-0000-2500-000004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9</xdr:row>
          <xdr:rowOff>69850</xdr:rowOff>
        </xdr:from>
        <xdr:to>
          <xdr:col>36</xdr:col>
          <xdr:colOff>69850</xdr:colOff>
          <xdr:row>9</xdr:row>
          <xdr:rowOff>298450</xdr:rowOff>
        </xdr:to>
        <xdr:sp macro="" textlink="">
          <xdr:nvSpPr>
            <xdr:cNvPr id="128005" name="Check Box 5" hidden="1">
              <a:extLst>
                <a:ext uri="{63B3BB69-23CF-44E3-9099-C40C66FF867C}">
                  <a14:compatExt spid="_x0000_s128005"/>
                </a:ext>
                <a:ext uri="{FF2B5EF4-FFF2-40B4-BE49-F238E27FC236}">
                  <a16:creationId xmlns:a16="http://schemas.microsoft.com/office/drawing/2014/main" id="{00000000-0008-0000-2500-000005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10</xdr:row>
          <xdr:rowOff>69850</xdr:rowOff>
        </xdr:from>
        <xdr:to>
          <xdr:col>36</xdr:col>
          <xdr:colOff>69850</xdr:colOff>
          <xdr:row>10</xdr:row>
          <xdr:rowOff>298450</xdr:rowOff>
        </xdr:to>
        <xdr:sp macro="" textlink="">
          <xdr:nvSpPr>
            <xdr:cNvPr id="128006" name="Check Box 6" hidden="1">
              <a:extLst>
                <a:ext uri="{63B3BB69-23CF-44E3-9099-C40C66FF867C}">
                  <a14:compatExt spid="_x0000_s128006"/>
                </a:ext>
                <a:ext uri="{FF2B5EF4-FFF2-40B4-BE49-F238E27FC236}">
                  <a16:creationId xmlns:a16="http://schemas.microsoft.com/office/drawing/2014/main" id="{00000000-0008-0000-2500-000006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9</xdr:row>
          <xdr:rowOff>69850</xdr:rowOff>
        </xdr:from>
        <xdr:to>
          <xdr:col>41</xdr:col>
          <xdr:colOff>69850</xdr:colOff>
          <xdr:row>9</xdr:row>
          <xdr:rowOff>298450</xdr:rowOff>
        </xdr:to>
        <xdr:sp macro="" textlink="">
          <xdr:nvSpPr>
            <xdr:cNvPr id="128007" name="Check Box 7" hidden="1">
              <a:extLst>
                <a:ext uri="{63B3BB69-23CF-44E3-9099-C40C66FF867C}">
                  <a14:compatExt spid="_x0000_s128007"/>
                </a:ext>
                <a:ext uri="{FF2B5EF4-FFF2-40B4-BE49-F238E27FC236}">
                  <a16:creationId xmlns:a16="http://schemas.microsoft.com/office/drawing/2014/main" id="{00000000-0008-0000-2500-000007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10</xdr:row>
          <xdr:rowOff>69850</xdr:rowOff>
        </xdr:from>
        <xdr:to>
          <xdr:col>41</xdr:col>
          <xdr:colOff>69850</xdr:colOff>
          <xdr:row>10</xdr:row>
          <xdr:rowOff>298450</xdr:rowOff>
        </xdr:to>
        <xdr:sp macro="" textlink="">
          <xdr:nvSpPr>
            <xdr:cNvPr id="128008" name="Check Box 8" hidden="1">
              <a:extLst>
                <a:ext uri="{63B3BB69-23CF-44E3-9099-C40C66FF867C}">
                  <a14:compatExt spid="_x0000_s128008"/>
                </a:ext>
                <a:ext uri="{FF2B5EF4-FFF2-40B4-BE49-F238E27FC236}">
                  <a16:creationId xmlns:a16="http://schemas.microsoft.com/office/drawing/2014/main" id="{00000000-0008-0000-2500-000008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19</xdr:row>
          <xdr:rowOff>69850</xdr:rowOff>
        </xdr:from>
        <xdr:to>
          <xdr:col>8</xdr:col>
          <xdr:colOff>69850</xdr:colOff>
          <xdr:row>19</xdr:row>
          <xdr:rowOff>298450</xdr:rowOff>
        </xdr:to>
        <xdr:sp macro="" textlink="">
          <xdr:nvSpPr>
            <xdr:cNvPr id="128009" name="Check Box 9" hidden="1">
              <a:extLst>
                <a:ext uri="{63B3BB69-23CF-44E3-9099-C40C66FF867C}">
                  <a14:compatExt spid="_x0000_s128009"/>
                </a:ext>
                <a:ext uri="{FF2B5EF4-FFF2-40B4-BE49-F238E27FC236}">
                  <a16:creationId xmlns:a16="http://schemas.microsoft.com/office/drawing/2014/main" id="{00000000-0008-0000-2500-000009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20</xdr:row>
          <xdr:rowOff>69850</xdr:rowOff>
        </xdr:from>
        <xdr:to>
          <xdr:col>8</xdr:col>
          <xdr:colOff>69850</xdr:colOff>
          <xdr:row>20</xdr:row>
          <xdr:rowOff>298450</xdr:rowOff>
        </xdr:to>
        <xdr:sp macro="" textlink="">
          <xdr:nvSpPr>
            <xdr:cNvPr id="128010" name="Check Box 10" hidden="1">
              <a:extLst>
                <a:ext uri="{63B3BB69-23CF-44E3-9099-C40C66FF867C}">
                  <a14:compatExt spid="_x0000_s128010"/>
                </a:ext>
                <a:ext uri="{FF2B5EF4-FFF2-40B4-BE49-F238E27FC236}">
                  <a16:creationId xmlns:a16="http://schemas.microsoft.com/office/drawing/2014/main" id="{00000000-0008-0000-2500-00000A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21</xdr:row>
          <xdr:rowOff>69850</xdr:rowOff>
        </xdr:from>
        <xdr:to>
          <xdr:col>8</xdr:col>
          <xdr:colOff>69850</xdr:colOff>
          <xdr:row>21</xdr:row>
          <xdr:rowOff>298450</xdr:rowOff>
        </xdr:to>
        <xdr:sp macro="" textlink="">
          <xdr:nvSpPr>
            <xdr:cNvPr id="128011" name="Check Box 11" hidden="1">
              <a:extLst>
                <a:ext uri="{63B3BB69-23CF-44E3-9099-C40C66FF867C}">
                  <a14:compatExt spid="_x0000_s128011"/>
                </a:ext>
                <a:ext uri="{FF2B5EF4-FFF2-40B4-BE49-F238E27FC236}">
                  <a16:creationId xmlns:a16="http://schemas.microsoft.com/office/drawing/2014/main" id="{00000000-0008-0000-2500-00000B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22</xdr:row>
          <xdr:rowOff>69850</xdr:rowOff>
        </xdr:from>
        <xdr:to>
          <xdr:col>8</xdr:col>
          <xdr:colOff>69850</xdr:colOff>
          <xdr:row>22</xdr:row>
          <xdr:rowOff>298450</xdr:rowOff>
        </xdr:to>
        <xdr:sp macro="" textlink="">
          <xdr:nvSpPr>
            <xdr:cNvPr id="128012" name="Check Box 12" hidden="1">
              <a:extLst>
                <a:ext uri="{63B3BB69-23CF-44E3-9099-C40C66FF867C}">
                  <a14:compatExt spid="_x0000_s128012"/>
                </a:ext>
                <a:ext uri="{FF2B5EF4-FFF2-40B4-BE49-F238E27FC236}">
                  <a16:creationId xmlns:a16="http://schemas.microsoft.com/office/drawing/2014/main" id="{00000000-0008-0000-2500-00000C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29</xdr:col>
          <xdr:colOff>50800</xdr:colOff>
          <xdr:row>4</xdr:row>
          <xdr:rowOff>31750</xdr:rowOff>
        </xdr:from>
        <xdr:to>
          <xdr:col>31</xdr:col>
          <xdr:colOff>266700</xdr:colOff>
          <xdr:row>4</xdr:row>
          <xdr:rowOff>241300</xdr:rowOff>
        </xdr:to>
        <xdr:sp macro="" textlink="">
          <xdr:nvSpPr>
            <xdr:cNvPr id="151553" name="Check Box 1" hidden="1">
              <a:extLst>
                <a:ext uri="{63B3BB69-23CF-44E3-9099-C40C66FF867C}">
                  <a14:compatExt spid="_x0000_s151553"/>
                </a:ext>
                <a:ext uri="{FF2B5EF4-FFF2-40B4-BE49-F238E27FC236}">
                  <a16:creationId xmlns:a16="http://schemas.microsoft.com/office/drawing/2014/main" id="{00000000-0008-0000-2600-00000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4</xdr:row>
          <xdr:rowOff>31750</xdr:rowOff>
        </xdr:from>
        <xdr:to>
          <xdr:col>36</xdr:col>
          <xdr:colOff>266700</xdr:colOff>
          <xdr:row>4</xdr:row>
          <xdr:rowOff>241300</xdr:rowOff>
        </xdr:to>
        <xdr:sp macro="" textlink="">
          <xdr:nvSpPr>
            <xdr:cNvPr id="151554" name="Check Box 2" hidden="1">
              <a:extLst>
                <a:ext uri="{63B3BB69-23CF-44E3-9099-C40C66FF867C}">
                  <a14:compatExt spid="_x0000_s151554"/>
                </a:ext>
                <a:ext uri="{FF2B5EF4-FFF2-40B4-BE49-F238E27FC236}">
                  <a16:creationId xmlns:a16="http://schemas.microsoft.com/office/drawing/2014/main" id="{00000000-0008-0000-2600-00000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8</xdr:row>
          <xdr:rowOff>31750</xdr:rowOff>
        </xdr:from>
        <xdr:to>
          <xdr:col>31</xdr:col>
          <xdr:colOff>266700</xdr:colOff>
          <xdr:row>8</xdr:row>
          <xdr:rowOff>241300</xdr:rowOff>
        </xdr:to>
        <xdr:sp macro="" textlink="">
          <xdr:nvSpPr>
            <xdr:cNvPr id="151555" name="Check Box 3" hidden="1">
              <a:extLst>
                <a:ext uri="{63B3BB69-23CF-44E3-9099-C40C66FF867C}">
                  <a14:compatExt spid="_x0000_s151555"/>
                </a:ext>
                <a:ext uri="{FF2B5EF4-FFF2-40B4-BE49-F238E27FC236}">
                  <a16:creationId xmlns:a16="http://schemas.microsoft.com/office/drawing/2014/main" id="{00000000-0008-0000-2600-00000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8</xdr:row>
          <xdr:rowOff>31750</xdr:rowOff>
        </xdr:from>
        <xdr:to>
          <xdr:col>36</xdr:col>
          <xdr:colOff>266700</xdr:colOff>
          <xdr:row>8</xdr:row>
          <xdr:rowOff>241300</xdr:rowOff>
        </xdr:to>
        <xdr:sp macro="" textlink="">
          <xdr:nvSpPr>
            <xdr:cNvPr id="151556" name="Check Box 4" hidden="1">
              <a:extLst>
                <a:ext uri="{63B3BB69-23CF-44E3-9099-C40C66FF867C}">
                  <a14:compatExt spid="_x0000_s151556"/>
                </a:ext>
                <a:ext uri="{FF2B5EF4-FFF2-40B4-BE49-F238E27FC236}">
                  <a16:creationId xmlns:a16="http://schemas.microsoft.com/office/drawing/2014/main" id="{00000000-0008-0000-2600-00000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15</xdr:row>
          <xdr:rowOff>31750</xdr:rowOff>
        </xdr:from>
        <xdr:to>
          <xdr:col>31</xdr:col>
          <xdr:colOff>266700</xdr:colOff>
          <xdr:row>15</xdr:row>
          <xdr:rowOff>241300</xdr:rowOff>
        </xdr:to>
        <xdr:sp macro="" textlink="">
          <xdr:nvSpPr>
            <xdr:cNvPr id="151557" name="Check Box 5" hidden="1">
              <a:extLst>
                <a:ext uri="{63B3BB69-23CF-44E3-9099-C40C66FF867C}">
                  <a14:compatExt spid="_x0000_s151557"/>
                </a:ext>
                <a:ext uri="{FF2B5EF4-FFF2-40B4-BE49-F238E27FC236}">
                  <a16:creationId xmlns:a16="http://schemas.microsoft.com/office/drawing/2014/main" id="{00000000-0008-0000-2600-00000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16</xdr:row>
          <xdr:rowOff>31750</xdr:rowOff>
        </xdr:from>
        <xdr:to>
          <xdr:col>31</xdr:col>
          <xdr:colOff>266700</xdr:colOff>
          <xdr:row>16</xdr:row>
          <xdr:rowOff>241300</xdr:rowOff>
        </xdr:to>
        <xdr:sp macro="" textlink="">
          <xdr:nvSpPr>
            <xdr:cNvPr id="151558" name="Check Box 6" hidden="1">
              <a:extLst>
                <a:ext uri="{63B3BB69-23CF-44E3-9099-C40C66FF867C}">
                  <a14:compatExt spid="_x0000_s151558"/>
                </a:ext>
                <a:ext uri="{FF2B5EF4-FFF2-40B4-BE49-F238E27FC236}">
                  <a16:creationId xmlns:a16="http://schemas.microsoft.com/office/drawing/2014/main" id="{00000000-0008-0000-2600-00000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17</xdr:row>
          <xdr:rowOff>31750</xdr:rowOff>
        </xdr:from>
        <xdr:to>
          <xdr:col>31</xdr:col>
          <xdr:colOff>266700</xdr:colOff>
          <xdr:row>17</xdr:row>
          <xdr:rowOff>241300</xdr:rowOff>
        </xdr:to>
        <xdr:sp macro="" textlink="">
          <xdr:nvSpPr>
            <xdr:cNvPr id="151559" name="Check Box 7" hidden="1">
              <a:extLst>
                <a:ext uri="{63B3BB69-23CF-44E3-9099-C40C66FF867C}">
                  <a14:compatExt spid="_x0000_s151559"/>
                </a:ext>
                <a:ext uri="{FF2B5EF4-FFF2-40B4-BE49-F238E27FC236}">
                  <a16:creationId xmlns:a16="http://schemas.microsoft.com/office/drawing/2014/main" id="{00000000-0008-0000-2600-00000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15</xdr:row>
          <xdr:rowOff>31750</xdr:rowOff>
        </xdr:from>
        <xdr:to>
          <xdr:col>36</xdr:col>
          <xdr:colOff>266700</xdr:colOff>
          <xdr:row>15</xdr:row>
          <xdr:rowOff>241300</xdr:rowOff>
        </xdr:to>
        <xdr:sp macro="" textlink="">
          <xdr:nvSpPr>
            <xdr:cNvPr id="151560" name="Check Box 8" hidden="1">
              <a:extLst>
                <a:ext uri="{63B3BB69-23CF-44E3-9099-C40C66FF867C}">
                  <a14:compatExt spid="_x0000_s151560"/>
                </a:ext>
                <a:ext uri="{FF2B5EF4-FFF2-40B4-BE49-F238E27FC236}">
                  <a16:creationId xmlns:a16="http://schemas.microsoft.com/office/drawing/2014/main" id="{00000000-0008-0000-2600-00000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16</xdr:row>
          <xdr:rowOff>31750</xdr:rowOff>
        </xdr:from>
        <xdr:to>
          <xdr:col>36</xdr:col>
          <xdr:colOff>266700</xdr:colOff>
          <xdr:row>16</xdr:row>
          <xdr:rowOff>241300</xdr:rowOff>
        </xdr:to>
        <xdr:sp macro="" textlink="">
          <xdr:nvSpPr>
            <xdr:cNvPr id="151561" name="Check Box 9" hidden="1">
              <a:extLst>
                <a:ext uri="{63B3BB69-23CF-44E3-9099-C40C66FF867C}">
                  <a14:compatExt spid="_x0000_s151561"/>
                </a:ext>
                <a:ext uri="{FF2B5EF4-FFF2-40B4-BE49-F238E27FC236}">
                  <a16:creationId xmlns:a16="http://schemas.microsoft.com/office/drawing/2014/main" id="{00000000-0008-0000-2600-00000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17</xdr:row>
          <xdr:rowOff>31750</xdr:rowOff>
        </xdr:from>
        <xdr:to>
          <xdr:col>36</xdr:col>
          <xdr:colOff>266700</xdr:colOff>
          <xdr:row>17</xdr:row>
          <xdr:rowOff>241300</xdr:rowOff>
        </xdr:to>
        <xdr:sp macro="" textlink="">
          <xdr:nvSpPr>
            <xdr:cNvPr id="151562" name="Check Box 10" hidden="1">
              <a:extLst>
                <a:ext uri="{63B3BB69-23CF-44E3-9099-C40C66FF867C}">
                  <a14:compatExt spid="_x0000_s151562"/>
                </a:ext>
                <a:ext uri="{FF2B5EF4-FFF2-40B4-BE49-F238E27FC236}">
                  <a16:creationId xmlns:a16="http://schemas.microsoft.com/office/drawing/2014/main" id="{00000000-0008-0000-2600-00000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50800</xdr:colOff>
          <xdr:row>24</xdr:row>
          <xdr:rowOff>31750</xdr:rowOff>
        </xdr:from>
        <xdr:to>
          <xdr:col>17</xdr:col>
          <xdr:colOff>266700</xdr:colOff>
          <xdr:row>24</xdr:row>
          <xdr:rowOff>241300</xdr:rowOff>
        </xdr:to>
        <xdr:sp macro="" textlink="">
          <xdr:nvSpPr>
            <xdr:cNvPr id="151563" name="Check Box 11" hidden="1">
              <a:extLst>
                <a:ext uri="{63B3BB69-23CF-44E3-9099-C40C66FF867C}">
                  <a14:compatExt spid="_x0000_s151563"/>
                </a:ext>
                <a:ext uri="{FF2B5EF4-FFF2-40B4-BE49-F238E27FC236}">
                  <a16:creationId xmlns:a16="http://schemas.microsoft.com/office/drawing/2014/main" id="{00000000-0008-0000-2600-00000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24</xdr:row>
          <xdr:rowOff>31750</xdr:rowOff>
        </xdr:from>
        <xdr:to>
          <xdr:col>22</xdr:col>
          <xdr:colOff>266700</xdr:colOff>
          <xdr:row>24</xdr:row>
          <xdr:rowOff>241300</xdr:rowOff>
        </xdr:to>
        <xdr:sp macro="" textlink="">
          <xdr:nvSpPr>
            <xdr:cNvPr id="151564" name="Check Box 12" hidden="1">
              <a:extLst>
                <a:ext uri="{63B3BB69-23CF-44E3-9099-C40C66FF867C}">
                  <a14:compatExt spid="_x0000_s151564"/>
                </a:ext>
                <a:ext uri="{FF2B5EF4-FFF2-40B4-BE49-F238E27FC236}">
                  <a16:creationId xmlns:a16="http://schemas.microsoft.com/office/drawing/2014/main" id="{00000000-0008-0000-2600-00000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26</xdr:row>
          <xdr:rowOff>31750</xdr:rowOff>
        </xdr:from>
        <xdr:to>
          <xdr:col>7</xdr:col>
          <xdr:colOff>266700</xdr:colOff>
          <xdr:row>26</xdr:row>
          <xdr:rowOff>241300</xdr:rowOff>
        </xdr:to>
        <xdr:sp macro="" textlink="">
          <xdr:nvSpPr>
            <xdr:cNvPr id="151565" name="Check Box 13" hidden="1">
              <a:extLst>
                <a:ext uri="{63B3BB69-23CF-44E3-9099-C40C66FF867C}">
                  <a14:compatExt spid="_x0000_s151565"/>
                </a:ext>
                <a:ext uri="{FF2B5EF4-FFF2-40B4-BE49-F238E27FC236}">
                  <a16:creationId xmlns:a16="http://schemas.microsoft.com/office/drawing/2014/main" id="{00000000-0008-0000-2600-00000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27</xdr:row>
          <xdr:rowOff>31750</xdr:rowOff>
        </xdr:from>
        <xdr:to>
          <xdr:col>7</xdr:col>
          <xdr:colOff>266700</xdr:colOff>
          <xdr:row>27</xdr:row>
          <xdr:rowOff>241300</xdr:rowOff>
        </xdr:to>
        <xdr:sp macro="" textlink="">
          <xdr:nvSpPr>
            <xdr:cNvPr id="151566" name="Check Box 14" hidden="1">
              <a:extLst>
                <a:ext uri="{63B3BB69-23CF-44E3-9099-C40C66FF867C}">
                  <a14:compatExt spid="_x0000_s151566"/>
                </a:ext>
                <a:ext uri="{FF2B5EF4-FFF2-40B4-BE49-F238E27FC236}">
                  <a16:creationId xmlns:a16="http://schemas.microsoft.com/office/drawing/2014/main" id="{00000000-0008-0000-2600-00000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29</xdr:row>
          <xdr:rowOff>31750</xdr:rowOff>
        </xdr:from>
        <xdr:to>
          <xdr:col>7</xdr:col>
          <xdr:colOff>266700</xdr:colOff>
          <xdr:row>29</xdr:row>
          <xdr:rowOff>241300</xdr:rowOff>
        </xdr:to>
        <xdr:sp macro="" textlink="">
          <xdr:nvSpPr>
            <xdr:cNvPr id="151567" name="Check Box 15" hidden="1">
              <a:extLst>
                <a:ext uri="{63B3BB69-23CF-44E3-9099-C40C66FF867C}">
                  <a14:compatExt spid="_x0000_s151567"/>
                </a:ext>
                <a:ext uri="{FF2B5EF4-FFF2-40B4-BE49-F238E27FC236}">
                  <a16:creationId xmlns:a16="http://schemas.microsoft.com/office/drawing/2014/main" id="{00000000-0008-0000-2600-00000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30</xdr:row>
          <xdr:rowOff>31750</xdr:rowOff>
        </xdr:from>
        <xdr:to>
          <xdr:col>7</xdr:col>
          <xdr:colOff>266700</xdr:colOff>
          <xdr:row>30</xdr:row>
          <xdr:rowOff>241300</xdr:rowOff>
        </xdr:to>
        <xdr:sp macro="" textlink="">
          <xdr:nvSpPr>
            <xdr:cNvPr id="151568" name="Check Box 16" hidden="1">
              <a:extLst>
                <a:ext uri="{63B3BB69-23CF-44E3-9099-C40C66FF867C}">
                  <a14:compatExt spid="_x0000_s151568"/>
                </a:ext>
                <a:ext uri="{FF2B5EF4-FFF2-40B4-BE49-F238E27FC236}">
                  <a16:creationId xmlns:a16="http://schemas.microsoft.com/office/drawing/2014/main" id="{00000000-0008-0000-2600-00001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26</xdr:row>
          <xdr:rowOff>31750</xdr:rowOff>
        </xdr:from>
        <xdr:to>
          <xdr:col>22</xdr:col>
          <xdr:colOff>266700</xdr:colOff>
          <xdr:row>26</xdr:row>
          <xdr:rowOff>241300</xdr:rowOff>
        </xdr:to>
        <xdr:sp macro="" textlink="">
          <xdr:nvSpPr>
            <xdr:cNvPr id="151569" name="Check Box 17" hidden="1">
              <a:extLst>
                <a:ext uri="{63B3BB69-23CF-44E3-9099-C40C66FF867C}">
                  <a14:compatExt spid="_x0000_s151569"/>
                </a:ext>
                <a:ext uri="{FF2B5EF4-FFF2-40B4-BE49-F238E27FC236}">
                  <a16:creationId xmlns:a16="http://schemas.microsoft.com/office/drawing/2014/main" id="{00000000-0008-0000-2600-00001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27</xdr:row>
          <xdr:rowOff>31750</xdr:rowOff>
        </xdr:from>
        <xdr:to>
          <xdr:col>22</xdr:col>
          <xdr:colOff>266700</xdr:colOff>
          <xdr:row>27</xdr:row>
          <xdr:rowOff>241300</xdr:rowOff>
        </xdr:to>
        <xdr:sp macro="" textlink="">
          <xdr:nvSpPr>
            <xdr:cNvPr id="151570" name="Check Box 18" hidden="1">
              <a:extLst>
                <a:ext uri="{63B3BB69-23CF-44E3-9099-C40C66FF867C}">
                  <a14:compatExt spid="_x0000_s151570"/>
                </a:ext>
                <a:ext uri="{FF2B5EF4-FFF2-40B4-BE49-F238E27FC236}">
                  <a16:creationId xmlns:a16="http://schemas.microsoft.com/office/drawing/2014/main" id="{00000000-0008-0000-2600-00001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29</xdr:row>
          <xdr:rowOff>31750</xdr:rowOff>
        </xdr:from>
        <xdr:to>
          <xdr:col>22</xdr:col>
          <xdr:colOff>266700</xdr:colOff>
          <xdr:row>29</xdr:row>
          <xdr:rowOff>241300</xdr:rowOff>
        </xdr:to>
        <xdr:sp macro="" textlink="">
          <xdr:nvSpPr>
            <xdr:cNvPr id="151571" name="Check Box 19" hidden="1">
              <a:extLst>
                <a:ext uri="{63B3BB69-23CF-44E3-9099-C40C66FF867C}">
                  <a14:compatExt spid="_x0000_s151571"/>
                </a:ext>
                <a:ext uri="{FF2B5EF4-FFF2-40B4-BE49-F238E27FC236}">
                  <a16:creationId xmlns:a16="http://schemas.microsoft.com/office/drawing/2014/main" id="{00000000-0008-0000-2600-00001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30</xdr:row>
          <xdr:rowOff>31750</xdr:rowOff>
        </xdr:from>
        <xdr:to>
          <xdr:col>22</xdr:col>
          <xdr:colOff>266700</xdr:colOff>
          <xdr:row>30</xdr:row>
          <xdr:rowOff>241300</xdr:rowOff>
        </xdr:to>
        <xdr:sp macro="" textlink="">
          <xdr:nvSpPr>
            <xdr:cNvPr id="151572" name="Check Box 20" hidden="1">
              <a:extLst>
                <a:ext uri="{63B3BB69-23CF-44E3-9099-C40C66FF867C}">
                  <a14:compatExt spid="_x0000_s151572"/>
                </a:ext>
                <a:ext uri="{FF2B5EF4-FFF2-40B4-BE49-F238E27FC236}">
                  <a16:creationId xmlns:a16="http://schemas.microsoft.com/office/drawing/2014/main" id="{00000000-0008-0000-2600-00001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33</xdr:row>
          <xdr:rowOff>31750</xdr:rowOff>
        </xdr:from>
        <xdr:to>
          <xdr:col>22</xdr:col>
          <xdr:colOff>266700</xdr:colOff>
          <xdr:row>33</xdr:row>
          <xdr:rowOff>241300</xdr:rowOff>
        </xdr:to>
        <xdr:sp macro="" textlink="">
          <xdr:nvSpPr>
            <xdr:cNvPr id="151573" name="Check Box 21" hidden="1">
              <a:extLst>
                <a:ext uri="{63B3BB69-23CF-44E3-9099-C40C66FF867C}">
                  <a14:compatExt spid="_x0000_s151573"/>
                </a:ext>
                <a:ext uri="{FF2B5EF4-FFF2-40B4-BE49-F238E27FC236}">
                  <a16:creationId xmlns:a16="http://schemas.microsoft.com/office/drawing/2014/main" id="{00000000-0008-0000-2600-00001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32</xdr:row>
          <xdr:rowOff>31750</xdr:rowOff>
        </xdr:from>
        <xdr:to>
          <xdr:col>7</xdr:col>
          <xdr:colOff>266700</xdr:colOff>
          <xdr:row>32</xdr:row>
          <xdr:rowOff>241300</xdr:rowOff>
        </xdr:to>
        <xdr:sp macro="" textlink="">
          <xdr:nvSpPr>
            <xdr:cNvPr id="151574" name="Check Box 22" hidden="1">
              <a:extLst>
                <a:ext uri="{63B3BB69-23CF-44E3-9099-C40C66FF867C}">
                  <a14:compatExt spid="_x0000_s151574"/>
                </a:ext>
                <a:ext uri="{FF2B5EF4-FFF2-40B4-BE49-F238E27FC236}">
                  <a16:creationId xmlns:a16="http://schemas.microsoft.com/office/drawing/2014/main" id="{00000000-0008-0000-2600-00001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33</xdr:row>
          <xdr:rowOff>31750</xdr:rowOff>
        </xdr:from>
        <xdr:to>
          <xdr:col>10</xdr:col>
          <xdr:colOff>266700</xdr:colOff>
          <xdr:row>33</xdr:row>
          <xdr:rowOff>241300</xdr:rowOff>
        </xdr:to>
        <xdr:sp macro="" textlink="">
          <xdr:nvSpPr>
            <xdr:cNvPr id="151575" name="Check Box 23" hidden="1">
              <a:extLst>
                <a:ext uri="{63B3BB69-23CF-44E3-9099-C40C66FF867C}">
                  <a14:compatExt spid="_x0000_s151575"/>
                </a:ext>
                <a:ext uri="{FF2B5EF4-FFF2-40B4-BE49-F238E27FC236}">
                  <a16:creationId xmlns:a16="http://schemas.microsoft.com/office/drawing/2014/main" id="{00000000-0008-0000-2600-00001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50800</xdr:colOff>
          <xdr:row>33</xdr:row>
          <xdr:rowOff>31750</xdr:rowOff>
        </xdr:from>
        <xdr:to>
          <xdr:col>15</xdr:col>
          <xdr:colOff>266700</xdr:colOff>
          <xdr:row>33</xdr:row>
          <xdr:rowOff>241300</xdr:rowOff>
        </xdr:to>
        <xdr:sp macro="" textlink="">
          <xdr:nvSpPr>
            <xdr:cNvPr id="151576" name="Check Box 24" hidden="1">
              <a:extLst>
                <a:ext uri="{63B3BB69-23CF-44E3-9099-C40C66FF867C}">
                  <a14:compatExt spid="_x0000_s151576"/>
                </a:ext>
                <a:ext uri="{FF2B5EF4-FFF2-40B4-BE49-F238E27FC236}">
                  <a16:creationId xmlns:a16="http://schemas.microsoft.com/office/drawing/2014/main" id="{00000000-0008-0000-2600-00001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33</xdr:row>
          <xdr:rowOff>31750</xdr:rowOff>
        </xdr:from>
        <xdr:to>
          <xdr:col>28</xdr:col>
          <xdr:colOff>266700</xdr:colOff>
          <xdr:row>33</xdr:row>
          <xdr:rowOff>241300</xdr:rowOff>
        </xdr:to>
        <xdr:sp macro="" textlink="">
          <xdr:nvSpPr>
            <xdr:cNvPr id="151577" name="Check Box 25" hidden="1">
              <a:extLst>
                <a:ext uri="{63B3BB69-23CF-44E3-9099-C40C66FF867C}">
                  <a14:compatExt spid="_x0000_s151577"/>
                </a:ext>
                <a:ext uri="{FF2B5EF4-FFF2-40B4-BE49-F238E27FC236}">
                  <a16:creationId xmlns:a16="http://schemas.microsoft.com/office/drawing/2014/main" id="{00000000-0008-0000-2600-00001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6</xdr:row>
          <xdr:rowOff>31750</xdr:rowOff>
        </xdr:from>
        <xdr:to>
          <xdr:col>7</xdr:col>
          <xdr:colOff>266700</xdr:colOff>
          <xdr:row>6</xdr:row>
          <xdr:rowOff>241300</xdr:rowOff>
        </xdr:to>
        <xdr:sp macro="" textlink="">
          <xdr:nvSpPr>
            <xdr:cNvPr id="151578" name="Check Box 26" hidden="1">
              <a:extLst>
                <a:ext uri="{63B3BB69-23CF-44E3-9099-C40C66FF867C}">
                  <a14:compatExt spid="_x0000_s151578"/>
                </a:ext>
                <a:ext uri="{FF2B5EF4-FFF2-40B4-BE49-F238E27FC236}">
                  <a16:creationId xmlns:a16="http://schemas.microsoft.com/office/drawing/2014/main" id="{00000000-0008-0000-2600-00001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7</xdr:row>
          <xdr:rowOff>31750</xdr:rowOff>
        </xdr:from>
        <xdr:to>
          <xdr:col>7</xdr:col>
          <xdr:colOff>266700</xdr:colOff>
          <xdr:row>7</xdr:row>
          <xdr:rowOff>241300</xdr:rowOff>
        </xdr:to>
        <xdr:sp macro="" textlink="">
          <xdr:nvSpPr>
            <xdr:cNvPr id="151579" name="Check Box 27" hidden="1">
              <a:extLst>
                <a:ext uri="{63B3BB69-23CF-44E3-9099-C40C66FF867C}">
                  <a14:compatExt spid="_x0000_s151579"/>
                </a:ext>
                <a:ext uri="{FF2B5EF4-FFF2-40B4-BE49-F238E27FC236}">
                  <a16:creationId xmlns:a16="http://schemas.microsoft.com/office/drawing/2014/main" id="{00000000-0008-0000-2600-00001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6</xdr:row>
          <xdr:rowOff>31750</xdr:rowOff>
        </xdr:from>
        <xdr:to>
          <xdr:col>22</xdr:col>
          <xdr:colOff>266700</xdr:colOff>
          <xdr:row>6</xdr:row>
          <xdr:rowOff>241300</xdr:rowOff>
        </xdr:to>
        <xdr:sp macro="" textlink="">
          <xdr:nvSpPr>
            <xdr:cNvPr id="151580" name="Check Box 28" hidden="1">
              <a:extLst>
                <a:ext uri="{63B3BB69-23CF-44E3-9099-C40C66FF867C}">
                  <a14:compatExt spid="_x0000_s151580"/>
                </a:ext>
                <a:ext uri="{FF2B5EF4-FFF2-40B4-BE49-F238E27FC236}">
                  <a16:creationId xmlns:a16="http://schemas.microsoft.com/office/drawing/2014/main" id="{00000000-0008-0000-2600-00001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7</xdr:row>
          <xdr:rowOff>31750</xdr:rowOff>
        </xdr:from>
        <xdr:to>
          <xdr:col>22</xdr:col>
          <xdr:colOff>266700</xdr:colOff>
          <xdr:row>7</xdr:row>
          <xdr:rowOff>241300</xdr:rowOff>
        </xdr:to>
        <xdr:sp macro="" textlink="">
          <xdr:nvSpPr>
            <xdr:cNvPr id="151581" name="Check Box 29" hidden="1">
              <a:extLst>
                <a:ext uri="{63B3BB69-23CF-44E3-9099-C40C66FF867C}">
                  <a14:compatExt spid="_x0000_s151581"/>
                </a:ext>
                <a:ext uri="{FF2B5EF4-FFF2-40B4-BE49-F238E27FC236}">
                  <a16:creationId xmlns:a16="http://schemas.microsoft.com/office/drawing/2014/main" id="{00000000-0008-0000-2600-00001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34</xdr:row>
          <xdr:rowOff>31750</xdr:rowOff>
        </xdr:from>
        <xdr:to>
          <xdr:col>7</xdr:col>
          <xdr:colOff>266700</xdr:colOff>
          <xdr:row>34</xdr:row>
          <xdr:rowOff>241300</xdr:rowOff>
        </xdr:to>
        <xdr:sp macro="" textlink="">
          <xdr:nvSpPr>
            <xdr:cNvPr id="151582" name="Check Box 30" hidden="1">
              <a:extLst>
                <a:ext uri="{63B3BB69-23CF-44E3-9099-C40C66FF867C}">
                  <a14:compatExt spid="_x0000_s151582"/>
                </a:ext>
                <a:ext uri="{FF2B5EF4-FFF2-40B4-BE49-F238E27FC236}">
                  <a16:creationId xmlns:a16="http://schemas.microsoft.com/office/drawing/2014/main" id="{00000000-0008-0000-2600-00001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35</xdr:row>
          <xdr:rowOff>31750</xdr:rowOff>
        </xdr:from>
        <xdr:to>
          <xdr:col>7</xdr:col>
          <xdr:colOff>266700</xdr:colOff>
          <xdr:row>35</xdr:row>
          <xdr:rowOff>241300</xdr:rowOff>
        </xdr:to>
        <xdr:sp macro="" textlink="">
          <xdr:nvSpPr>
            <xdr:cNvPr id="151583" name="Check Box 31" hidden="1">
              <a:extLst>
                <a:ext uri="{63B3BB69-23CF-44E3-9099-C40C66FF867C}">
                  <a14:compatExt spid="_x0000_s151583"/>
                </a:ext>
                <a:ext uri="{FF2B5EF4-FFF2-40B4-BE49-F238E27FC236}">
                  <a16:creationId xmlns:a16="http://schemas.microsoft.com/office/drawing/2014/main" id="{00000000-0008-0000-2600-00001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36</xdr:row>
          <xdr:rowOff>31750</xdr:rowOff>
        </xdr:from>
        <xdr:to>
          <xdr:col>7</xdr:col>
          <xdr:colOff>266700</xdr:colOff>
          <xdr:row>36</xdr:row>
          <xdr:rowOff>241300</xdr:rowOff>
        </xdr:to>
        <xdr:sp macro="" textlink="">
          <xdr:nvSpPr>
            <xdr:cNvPr id="151584" name="Check Box 32" hidden="1">
              <a:extLst>
                <a:ext uri="{63B3BB69-23CF-44E3-9099-C40C66FF867C}">
                  <a14:compatExt spid="_x0000_s151584"/>
                </a:ext>
                <a:ext uri="{FF2B5EF4-FFF2-40B4-BE49-F238E27FC236}">
                  <a16:creationId xmlns:a16="http://schemas.microsoft.com/office/drawing/2014/main" id="{00000000-0008-0000-2600-00002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37</xdr:row>
          <xdr:rowOff>31750</xdr:rowOff>
        </xdr:from>
        <xdr:to>
          <xdr:col>7</xdr:col>
          <xdr:colOff>266700</xdr:colOff>
          <xdr:row>37</xdr:row>
          <xdr:rowOff>241300</xdr:rowOff>
        </xdr:to>
        <xdr:sp macro="" textlink="">
          <xdr:nvSpPr>
            <xdr:cNvPr id="151585" name="Check Box 33" hidden="1">
              <a:extLst>
                <a:ext uri="{63B3BB69-23CF-44E3-9099-C40C66FF867C}">
                  <a14:compatExt spid="_x0000_s151585"/>
                </a:ext>
                <a:ext uri="{FF2B5EF4-FFF2-40B4-BE49-F238E27FC236}">
                  <a16:creationId xmlns:a16="http://schemas.microsoft.com/office/drawing/2014/main" id="{00000000-0008-0000-2600-00002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38</xdr:row>
          <xdr:rowOff>31750</xdr:rowOff>
        </xdr:from>
        <xdr:to>
          <xdr:col>7</xdr:col>
          <xdr:colOff>266700</xdr:colOff>
          <xdr:row>38</xdr:row>
          <xdr:rowOff>241300</xdr:rowOff>
        </xdr:to>
        <xdr:sp macro="" textlink="">
          <xdr:nvSpPr>
            <xdr:cNvPr id="151586" name="Check Box 34" hidden="1">
              <a:extLst>
                <a:ext uri="{63B3BB69-23CF-44E3-9099-C40C66FF867C}">
                  <a14:compatExt spid="_x0000_s151586"/>
                </a:ext>
                <a:ext uri="{FF2B5EF4-FFF2-40B4-BE49-F238E27FC236}">
                  <a16:creationId xmlns:a16="http://schemas.microsoft.com/office/drawing/2014/main" id="{00000000-0008-0000-2600-00002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39</xdr:row>
          <xdr:rowOff>31750</xdr:rowOff>
        </xdr:from>
        <xdr:to>
          <xdr:col>22</xdr:col>
          <xdr:colOff>266700</xdr:colOff>
          <xdr:row>39</xdr:row>
          <xdr:rowOff>241300</xdr:rowOff>
        </xdr:to>
        <xdr:sp macro="" textlink="">
          <xdr:nvSpPr>
            <xdr:cNvPr id="151587" name="Check Box 35" hidden="1">
              <a:extLst>
                <a:ext uri="{63B3BB69-23CF-44E3-9099-C40C66FF867C}">
                  <a14:compatExt spid="_x0000_s151587"/>
                </a:ext>
                <a:ext uri="{FF2B5EF4-FFF2-40B4-BE49-F238E27FC236}">
                  <a16:creationId xmlns:a16="http://schemas.microsoft.com/office/drawing/2014/main" id="{00000000-0008-0000-2600-00002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39</xdr:row>
          <xdr:rowOff>31750</xdr:rowOff>
        </xdr:from>
        <xdr:to>
          <xdr:col>27</xdr:col>
          <xdr:colOff>266700</xdr:colOff>
          <xdr:row>39</xdr:row>
          <xdr:rowOff>241300</xdr:rowOff>
        </xdr:to>
        <xdr:sp macro="" textlink="">
          <xdr:nvSpPr>
            <xdr:cNvPr id="151588" name="Check Box 36" hidden="1">
              <a:extLst>
                <a:ext uri="{63B3BB69-23CF-44E3-9099-C40C66FF867C}">
                  <a14:compatExt spid="_x0000_s151588"/>
                </a:ext>
                <a:ext uri="{FF2B5EF4-FFF2-40B4-BE49-F238E27FC236}">
                  <a16:creationId xmlns:a16="http://schemas.microsoft.com/office/drawing/2014/main" id="{00000000-0008-0000-2600-00002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41</xdr:row>
          <xdr:rowOff>31750</xdr:rowOff>
        </xdr:from>
        <xdr:to>
          <xdr:col>7</xdr:col>
          <xdr:colOff>266700</xdr:colOff>
          <xdr:row>41</xdr:row>
          <xdr:rowOff>241300</xdr:rowOff>
        </xdr:to>
        <xdr:sp macro="" textlink="">
          <xdr:nvSpPr>
            <xdr:cNvPr id="151589" name="Check Box 37" hidden="1">
              <a:extLst>
                <a:ext uri="{63B3BB69-23CF-44E3-9099-C40C66FF867C}">
                  <a14:compatExt spid="_x0000_s151589"/>
                </a:ext>
                <a:ext uri="{FF2B5EF4-FFF2-40B4-BE49-F238E27FC236}">
                  <a16:creationId xmlns:a16="http://schemas.microsoft.com/office/drawing/2014/main" id="{00000000-0008-0000-2600-00002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42</xdr:row>
          <xdr:rowOff>31750</xdr:rowOff>
        </xdr:from>
        <xdr:to>
          <xdr:col>7</xdr:col>
          <xdr:colOff>266700</xdr:colOff>
          <xdr:row>42</xdr:row>
          <xdr:rowOff>241300</xdr:rowOff>
        </xdr:to>
        <xdr:sp macro="" textlink="">
          <xdr:nvSpPr>
            <xdr:cNvPr id="151590" name="Check Box 38" hidden="1">
              <a:extLst>
                <a:ext uri="{63B3BB69-23CF-44E3-9099-C40C66FF867C}">
                  <a14:compatExt spid="_x0000_s151590"/>
                </a:ext>
                <a:ext uri="{FF2B5EF4-FFF2-40B4-BE49-F238E27FC236}">
                  <a16:creationId xmlns:a16="http://schemas.microsoft.com/office/drawing/2014/main" id="{00000000-0008-0000-2600-00002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44</xdr:row>
          <xdr:rowOff>31750</xdr:rowOff>
        </xdr:from>
        <xdr:to>
          <xdr:col>7</xdr:col>
          <xdr:colOff>266700</xdr:colOff>
          <xdr:row>44</xdr:row>
          <xdr:rowOff>241300</xdr:rowOff>
        </xdr:to>
        <xdr:sp macro="" textlink="">
          <xdr:nvSpPr>
            <xdr:cNvPr id="151591" name="Check Box 39" hidden="1">
              <a:extLst>
                <a:ext uri="{63B3BB69-23CF-44E3-9099-C40C66FF867C}">
                  <a14:compatExt spid="_x0000_s151591"/>
                </a:ext>
                <a:ext uri="{FF2B5EF4-FFF2-40B4-BE49-F238E27FC236}">
                  <a16:creationId xmlns:a16="http://schemas.microsoft.com/office/drawing/2014/main" id="{00000000-0008-0000-2600-00002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45</xdr:row>
          <xdr:rowOff>31750</xdr:rowOff>
        </xdr:from>
        <xdr:to>
          <xdr:col>7</xdr:col>
          <xdr:colOff>266700</xdr:colOff>
          <xdr:row>45</xdr:row>
          <xdr:rowOff>241300</xdr:rowOff>
        </xdr:to>
        <xdr:sp macro="" textlink="">
          <xdr:nvSpPr>
            <xdr:cNvPr id="151592" name="Check Box 40" hidden="1">
              <a:extLst>
                <a:ext uri="{63B3BB69-23CF-44E3-9099-C40C66FF867C}">
                  <a14:compatExt spid="_x0000_s151592"/>
                </a:ext>
                <a:ext uri="{FF2B5EF4-FFF2-40B4-BE49-F238E27FC236}">
                  <a16:creationId xmlns:a16="http://schemas.microsoft.com/office/drawing/2014/main" id="{00000000-0008-0000-2600-00002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41</xdr:row>
          <xdr:rowOff>31750</xdr:rowOff>
        </xdr:from>
        <xdr:to>
          <xdr:col>22</xdr:col>
          <xdr:colOff>266700</xdr:colOff>
          <xdr:row>41</xdr:row>
          <xdr:rowOff>241300</xdr:rowOff>
        </xdr:to>
        <xdr:sp macro="" textlink="">
          <xdr:nvSpPr>
            <xdr:cNvPr id="151593" name="Check Box 41" hidden="1">
              <a:extLst>
                <a:ext uri="{63B3BB69-23CF-44E3-9099-C40C66FF867C}">
                  <a14:compatExt spid="_x0000_s151593"/>
                </a:ext>
                <a:ext uri="{FF2B5EF4-FFF2-40B4-BE49-F238E27FC236}">
                  <a16:creationId xmlns:a16="http://schemas.microsoft.com/office/drawing/2014/main" id="{00000000-0008-0000-2600-00002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42</xdr:row>
          <xdr:rowOff>31750</xdr:rowOff>
        </xdr:from>
        <xdr:to>
          <xdr:col>22</xdr:col>
          <xdr:colOff>266700</xdr:colOff>
          <xdr:row>42</xdr:row>
          <xdr:rowOff>241300</xdr:rowOff>
        </xdr:to>
        <xdr:sp macro="" textlink="">
          <xdr:nvSpPr>
            <xdr:cNvPr id="151594" name="Check Box 42" hidden="1">
              <a:extLst>
                <a:ext uri="{63B3BB69-23CF-44E3-9099-C40C66FF867C}">
                  <a14:compatExt spid="_x0000_s151594"/>
                </a:ext>
                <a:ext uri="{FF2B5EF4-FFF2-40B4-BE49-F238E27FC236}">
                  <a16:creationId xmlns:a16="http://schemas.microsoft.com/office/drawing/2014/main" id="{00000000-0008-0000-2600-00002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44</xdr:row>
          <xdr:rowOff>31750</xdr:rowOff>
        </xdr:from>
        <xdr:to>
          <xdr:col>22</xdr:col>
          <xdr:colOff>266700</xdr:colOff>
          <xdr:row>44</xdr:row>
          <xdr:rowOff>241300</xdr:rowOff>
        </xdr:to>
        <xdr:sp macro="" textlink="">
          <xdr:nvSpPr>
            <xdr:cNvPr id="151595" name="Check Box 43" hidden="1">
              <a:extLst>
                <a:ext uri="{63B3BB69-23CF-44E3-9099-C40C66FF867C}">
                  <a14:compatExt spid="_x0000_s151595"/>
                </a:ext>
                <a:ext uri="{FF2B5EF4-FFF2-40B4-BE49-F238E27FC236}">
                  <a16:creationId xmlns:a16="http://schemas.microsoft.com/office/drawing/2014/main" id="{00000000-0008-0000-2600-00002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51</xdr:row>
          <xdr:rowOff>31750</xdr:rowOff>
        </xdr:from>
        <xdr:to>
          <xdr:col>14</xdr:col>
          <xdr:colOff>266700</xdr:colOff>
          <xdr:row>51</xdr:row>
          <xdr:rowOff>241300</xdr:rowOff>
        </xdr:to>
        <xdr:sp macro="" textlink="">
          <xdr:nvSpPr>
            <xdr:cNvPr id="151596" name="Check Box 44" hidden="1">
              <a:extLst>
                <a:ext uri="{63B3BB69-23CF-44E3-9099-C40C66FF867C}">
                  <a14:compatExt spid="_x0000_s151596"/>
                </a:ext>
                <a:ext uri="{FF2B5EF4-FFF2-40B4-BE49-F238E27FC236}">
                  <a16:creationId xmlns:a16="http://schemas.microsoft.com/office/drawing/2014/main" id="{00000000-0008-0000-2600-00002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51</xdr:row>
          <xdr:rowOff>31750</xdr:rowOff>
        </xdr:from>
        <xdr:to>
          <xdr:col>19</xdr:col>
          <xdr:colOff>266700</xdr:colOff>
          <xdr:row>51</xdr:row>
          <xdr:rowOff>241300</xdr:rowOff>
        </xdr:to>
        <xdr:sp macro="" textlink="">
          <xdr:nvSpPr>
            <xdr:cNvPr id="151597" name="Check Box 45" hidden="1">
              <a:extLst>
                <a:ext uri="{63B3BB69-23CF-44E3-9099-C40C66FF867C}">
                  <a14:compatExt spid="_x0000_s151597"/>
                </a:ext>
                <a:ext uri="{FF2B5EF4-FFF2-40B4-BE49-F238E27FC236}">
                  <a16:creationId xmlns:a16="http://schemas.microsoft.com/office/drawing/2014/main" id="{00000000-0008-0000-2600-00002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54</xdr:row>
          <xdr:rowOff>107950</xdr:rowOff>
        </xdr:from>
        <xdr:to>
          <xdr:col>6</xdr:col>
          <xdr:colOff>266700</xdr:colOff>
          <xdr:row>54</xdr:row>
          <xdr:rowOff>317500</xdr:rowOff>
        </xdr:to>
        <xdr:sp macro="" textlink="">
          <xdr:nvSpPr>
            <xdr:cNvPr id="151598" name="Check Box 46" hidden="1">
              <a:extLst>
                <a:ext uri="{63B3BB69-23CF-44E3-9099-C40C66FF867C}">
                  <a14:compatExt spid="_x0000_s151598"/>
                </a:ext>
                <a:ext uri="{FF2B5EF4-FFF2-40B4-BE49-F238E27FC236}">
                  <a16:creationId xmlns:a16="http://schemas.microsoft.com/office/drawing/2014/main" id="{00000000-0008-0000-2600-00002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56</xdr:row>
          <xdr:rowOff>127000</xdr:rowOff>
        </xdr:from>
        <xdr:to>
          <xdr:col>6</xdr:col>
          <xdr:colOff>266700</xdr:colOff>
          <xdr:row>56</xdr:row>
          <xdr:rowOff>336550</xdr:rowOff>
        </xdr:to>
        <xdr:sp macro="" textlink="">
          <xdr:nvSpPr>
            <xdr:cNvPr id="151599" name="Check Box 47" hidden="1">
              <a:extLst>
                <a:ext uri="{63B3BB69-23CF-44E3-9099-C40C66FF867C}">
                  <a14:compatExt spid="_x0000_s151599"/>
                </a:ext>
                <a:ext uri="{FF2B5EF4-FFF2-40B4-BE49-F238E27FC236}">
                  <a16:creationId xmlns:a16="http://schemas.microsoft.com/office/drawing/2014/main" id="{00000000-0008-0000-2600-00002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58</xdr:row>
          <xdr:rowOff>88900</xdr:rowOff>
        </xdr:from>
        <xdr:to>
          <xdr:col>7</xdr:col>
          <xdr:colOff>0</xdr:colOff>
          <xdr:row>59</xdr:row>
          <xdr:rowOff>12700</xdr:rowOff>
        </xdr:to>
        <xdr:sp macro="" textlink="">
          <xdr:nvSpPr>
            <xdr:cNvPr id="151600" name="Check Box 48" hidden="1">
              <a:extLst>
                <a:ext uri="{63B3BB69-23CF-44E3-9099-C40C66FF867C}">
                  <a14:compatExt spid="_x0000_s151600"/>
                </a:ext>
                <a:ext uri="{FF2B5EF4-FFF2-40B4-BE49-F238E27FC236}">
                  <a16:creationId xmlns:a16="http://schemas.microsoft.com/office/drawing/2014/main" id="{00000000-0008-0000-2600-00003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54</xdr:row>
          <xdr:rowOff>127000</xdr:rowOff>
        </xdr:from>
        <xdr:to>
          <xdr:col>31</xdr:col>
          <xdr:colOff>266700</xdr:colOff>
          <xdr:row>54</xdr:row>
          <xdr:rowOff>336550</xdr:rowOff>
        </xdr:to>
        <xdr:sp macro="" textlink="">
          <xdr:nvSpPr>
            <xdr:cNvPr id="151601" name="Check Box 49" hidden="1">
              <a:extLst>
                <a:ext uri="{63B3BB69-23CF-44E3-9099-C40C66FF867C}">
                  <a14:compatExt spid="_x0000_s151601"/>
                </a:ext>
                <a:ext uri="{FF2B5EF4-FFF2-40B4-BE49-F238E27FC236}">
                  <a16:creationId xmlns:a16="http://schemas.microsoft.com/office/drawing/2014/main" id="{00000000-0008-0000-2600-00003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56</xdr:row>
          <xdr:rowOff>127000</xdr:rowOff>
        </xdr:from>
        <xdr:to>
          <xdr:col>31</xdr:col>
          <xdr:colOff>266700</xdr:colOff>
          <xdr:row>56</xdr:row>
          <xdr:rowOff>342900</xdr:rowOff>
        </xdr:to>
        <xdr:sp macro="" textlink="">
          <xdr:nvSpPr>
            <xdr:cNvPr id="151602" name="Check Box 50" hidden="1">
              <a:extLst>
                <a:ext uri="{63B3BB69-23CF-44E3-9099-C40C66FF867C}">
                  <a14:compatExt spid="_x0000_s151602"/>
                </a:ext>
                <a:ext uri="{FF2B5EF4-FFF2-40B4-BE49-F238E27FC236}">
                  <a16:creationId xmlns:a16="http://schemas.microsoft.com/office/drawing/2014/main" id="{00000000-0008-0000-2600-00003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59</xdr:row>
          <xdr:rowOff>50800</xdr:rowOff>
        </xdr:from>
        <xdr:to>
          <xdr:col>32</xdr:col>
          <xdr:colOff>0</xdr:colOff>
          <xdr:row>59</xdr:row>
          <xdr:rowOff>266700</xdr:rowOff>
        </xdr:to>
        <xdr:sp macro="" textlink="">
          <xdr:nvSpPr>
            <xdr:cNvPr id="151603" name="Check Box 51" hidden="1">
              <a:extLst>
                <a:ext uri="{63B3BB69-23CF-44E3-9099-C40C66FF867C}">
                  <a14:compatExt spid="_x0000_s151603"/>
                </a:ext>
                <a:ext uri="{FF2B5EF4-FFF2-40B4-BE49-F238E27FC236}">
                  <a16:creationId xmlns:a16="http://schemas.microsoft.com/office/drawing/2014/main" id="{00000000-0008-0000-2600-00003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54</xdr:row>
          <xdr:rowOff>127000</xdr:rowOff>
        </xdr:from>
        <xdr:to>
          <xdr:col>36</xdr:col>
          <xdr:colOff>266700</xdr:colOff>
          <xdr:row>54</xdr:row>
          <xdr:rowOff>336550</xdr:rowOff>
        </xdr:to>
        <xdr:sp macro="" textlink="">
          <xdr:nvSpPr>
            <xdr:cNvPr id="151604" name="Check Box 52" hidden="1">
              <a:extLst>
                <a:ext uri="{63B3BB69-23CF-44E3-9099-C40C66FF867C}">
                  <a14:compatExt spid="_x0000_s151604"/>
                </a:ext>
                <a:ext uri="{FF2B5EF4-FFF2-40B4-BE49-F238E27FC236}">
                  <a16:creationId xmlns:a16="http://schemas.microsoft.com/office/drawing/2014/main" id="{00000000-0008-0000-2600-00003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56</xdr:row>
          <xdr:rowOff>127000</xdr:rowOff>
        </xdr:from>
        <xdr:to>
          <xdr:col>36</xdr:col>
          <xdr:colOff>266700</xdr:colOff>
          <xdr:row>56</xdr:row>
          <xdr:rowOff>336550</xdr:rowOff>
        </xdr:to>
        <xdr:sp macro="" textlink="">
          <xdr:nvSpPr>
            <xdr:cNvPr id="151605" name="Check Box 53" hidden="1">
              <a:extLst>
                <a:ext uri="{63B3BB69-23CF-44E3-9099-C40C66FF867C}">
                  <a14:compatExt spid="_x0000_s151605"/>
                </a:ext>
                <a:ext uri="{FF2B5EF4-FFF2-40B4-BE49-F238E27FC236}">
                  <a16:creationId xmlns:a16="http://schemas.microsoft.com/office/drawing/2014/main" id="{00000000-0008-0000-2600-00003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59</xdr:row>
          <xdr:rowOff>50800</xdr:rowOff>
        </xdr:from>
        <xdr:to>
          <xdr:col>37</xdr:col>
          <xdr:colOff>0</xdr:colOff>
          <xdr:row>59</xdr:row>
          <xdr:rowOff>266700</xdr:rowOff>
        </xdr:to>
        <xdr:sp macro="" textlink="">
          <xdr:nvSpPr>
            <xdr:cNvPr id="151606" name="Check Box 54" hidden="1">
              <a:extLst>
                <a:ext uri="{63B3BB69-23CF-44E3-9099-C40C66FF867C}">
                  <a14:compatExt spid="_x0000_s151606"/>
                </a:ext>
                <a:ext uri="{FF2B5EF4-FFF2-40B4-BE49-F238E27FC236}">
                  <a16:creationId xmlns:a16="http://schemas.microsoft.com/office/drawing/2014/main" id="{00000000-0008-0000-2600-00003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50800</xdr:colOff>
          <xdr:row>4</xdr:row>
          <xdr:rowOff>50800</xdr:rowOff>
        </xdr:from>
        <xdr:to>
          <xdr:col>30</xdr:col>
          <xdr:colOff>31750</xdr:colOff>
          <xdr:row>4</xdr:row>
          <xdr:rowOff>260350</xdr:rowOff>
        </xdr:to>
        <xdr:sp macro="" textlink="">
          <xdr:nvSpPr>
            <xdr:cNvPr id="152577" name="Check Box 1" hidden="1">
              <a:extLst>
                <a:ext uri="{63B3BB69-23CF-44E3-9099-C40C66FF867C}">
                  <a14:compatExt spid="_x0000_s152577"/>
                </a:ext>
                <a:ext uri="{FF2B5EF4-FFF2-40B4-BE49-F238E27FC236}">
                  <a16:creationId xmlns:a16="http://schemas.microsoft.com/office/drawing/2014/main" id="{00000000-0008-0000-2700-00000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50800</xdr:colOff>
          <xdr:row>4</xdr:row>
          <xdr:rowOff>50800</xdr:rowOff>
        </xdr:from>
        <xdr:to>
          <xdr:col>35</xdr:col>
          <xdr:colOff>31750</xdr:colOff>
          <xdr:row>4</xdr:row>
          <xdr:rowOff>260350</xdr:rowOff>
        </xdr:to>
        <xdr:sp macro="" textlink="">
          <xdr:nvSpPr>
            <xdr:cNvPr id="152578" name="Check Box 2" hidden="1">
              <a:extLst>
                <a:ext uri="{63B3BB69-23CF-44E3-9099-C40C66FF867C}">
                  <a14:compatExt spid="_x0000_s152578"/>
                </a:ext>
                <a:ext uri="{FF2B5EF4-FFF2-40B4-BE49-F238E27FC236}">
                  <a16:creationId xmlns:a16="http://schemas.microsoft.com/office/drawing/2014/main" id="{00000000-0008-0000-2700-00000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31750</xdr:rowOff>
        </xdr:from>
        <xdr:to>
          <xdr:col>11</xdr:col>
          <xdr:colOff>12700</xdr:colOff>
          <xdr:row>7</xdr:row>
          <xdr:rowOff>241300</xdr:rowOff>
        </xdr:to>
        <xdr:sp macro="" textlink="">
          <xdr:nvSpPr>
            <xdr:cNvPr id="152579" name="Check Box 3" hidden="1">
              <a:extLst>
                <a:ext uri="{63B3BB69-23CF-44E3-9099-C40C66FF867C}">
                  <a14:compatExt spid="_x0000_s152579"/>
                </a:ext>
                <a:ext uri="{FF2B5EF4-FFF2-40B4-BE49-F238E27FC236}">
                  <a16:creationId xmlns:a16="http://schemas.microsoft.com/office/drawing/2014/main" id="{00000000-0008-0000-2700-00000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31750</xdr:rowOff>
        </xdr:from>
        <xdr:to>
          <xdr:col>11</xdr:col>
          <xdr:colOff>12700</xdr:colOff>
          <xdr:row>8</xdr:row>
          <xdr:rowOff>241300</xdr:rowOff>
        </xdr:to>
        <xdr:sp macro="" textlink="">
          <xdr:nvSpPr>
            <xdr:cNvPr id="152580" name="Check Box 4" hidden="1">
              <a:extLst>
                <a:ext uri="{63B3BB69-23CF-44E3-9099-C40C66FF867C}">
                  <a14:compatExt spid="_x0000_s152580"/>
                </a:ext>
                <a:ext uri="{FF2B5EF4-FFF2-40B4-BE49-F238E27FC236}">
                  <a16:creationId xmlns:a16="http://schemas.microsoft.com/office/drawing/2014/main" id="{00000000-0008-0000-2700-00000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9</xdr:row>
          <xdr:rowOff>31750</xdr:rowOff>
        </xdr:from>
        <xdr:to>
          <xdr:col>11</xdr:col>
          <xdr:colOff>12700</xdr:colOff>
          <xdr:row>9</xdr:row>
          <xdr:rowOff>241300</xdr:rowOff>
        </xdr:to>
        <xdr:sp macro="" textlink="">
          <xdr:nvSpPr>
            <xdr:cNvPr id="152581" name="Check Box 5" hidden="1">
              <a:extLst>
                <a:ext uri="{63B3BB69-23CF-44E3-9099-C40C66FF867C}">
                  <a14:compatExt spid="_x0000_s152581"/>
                </a:ext>
                <a:ext uri="{FF2B5EF4-FFF2-40B4-BE49-F238E27FC236}">
                  <a16:creationId xmlns:a16="http://schemas.microsoft.com/office/drawing/2014/main" id="{00000000-0008-0000-2700-00000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7</xdr:row>
          <xdr:rowOff>31750</xdr:rowOff>
        </xdr:from>
        <xdr:to>
          <xdr:col>23</xdr:col>
          <xdr:colOff>12700</xdr:colOff>
          <xdr:row>7</xdr:row>
          <xdr:rowOff>241300</xdr:rowOff>
        </xdr:to>
        <xdr:sp macro="" textlink="">
          <xdr:nvSpPr>
            <xdr:cNvPr id="152582" name="Check Box 6" hidden="1">
              <a:extLst>
                <a:ext uri="{63B3BB69-23CF-44E3-9099-C40C66FF867C}">
                  <a14:compatExt spid="_x0000_s152582"/>
                </a:ext>
                <a:ext uri="{FF2B5EF4-FFF2-40B4-BE49-F238E27FC236}">
                  <a16:creationId xmlns:a16="http://schemas.microsoft.com/office/drawing/2014/main" id="{00000000-0008-0000-2700-00000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8</xdr:row>
          <xdr:rowOff>31750</xdr:rowOff>
        </xdr:from>
        <xdr:to>
          <xdr:col>23</xdr:col>
          <xdr:colOff>12700</xdr:colOff>
          <xdr:row>8</xdr:row>
          <xdr:rowOff>241300</xdr:rowOff>
        </xdr:to>
        <xdr:sp macro="" textlink="">
          <xdr:nvSpPr>
            <xdr:cNvPr id="152583" name="Check Box 7" hidden="1">
              <a:extLst>
                <a:ext uri="{63B3BB69-23CF-44E3-9099-C40C66FF867C}">
                  <a14:compatExt spid="_x0000_s152583"/>
                </a:ext>
                <a:ext uri="{FF2B5EF4-FFF2-40B4-BE49-F238E27FC236}">
                  <a16:creationId xmlns:a16="http://schemas.microsoft.com/office/drawing/2014/main" id="{00000000-0008-0000-2700-00000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9</xdr:row>
          <xdr:rowOff>31750</xdr:rowOff>
        </xdr:from>
        <xdr:to>
          <xdr:col>23</xdr:col>
          <xdr:colOff>12700</xdr:colOff>
          <xdr:row>9</xdr:row>
          <xdr:rowOff>241300</xdr:rowOff>
        </xdr:to>
        <xdr:sp macro="" textlink="">
          <xdr:nvSpPr>
            <xdr:cNvPr id="152584" name="Check Box 8" hidden="1">
              <a:extLst>
                <a:ext uri="{63B3BB69-23CF-44E3-9099-C40C66FF867C}">
                  <a14:compatExt spid="_x0000_s152584"/>
                </a:ext>
                <a:ext uri="{FF2B5EF4-FFF2-40B4-BE49-F238E27FC236}">
                  <a16:creationId xmlns:a16="http://schemas.microsoft.com/office/drawing/2014/main" id="{00000000-0008-0000-2700-00000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7</xdr:row>
          <xdr:rowOff>31750</xdr:rowOff>
        </xdr:from>
        <xdr:to>
          <xdr:col>35</xdr:col>
          <xdr:colOff>12700</xdr:colOff>
          <xdr:row>7</xdr:row>
          <xdr:rowOff>241300</xdr:rowOff>
        </xdr:to>
        <xdr:sp macro="" textlink="">
          <xdr:nvSpPr>
            <xdr:cNvPr id="152585" name="Check Box 9" hidden="1">
              <a:extLst>
                <a:ext uri="{63B3BB69-23CF-44E3-9099-C40C66FF867C}">
                  <a14:compatExt spid="_x0000_s152585"/>
                </a:ext>
                <a:ext uri="{FF2B5EF4-FFF2-40B4-BE49-F238E27FC236}">
                  <a16:creationId xmlns:a16="http://schemas.microsoft.com/office/drawing/2014/main" id="{00000000-0008-0000-2700-00000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8</xdr:row>
          <xdr:rowOff>31750</xdr:rowOff>
        </xdr:from>
        <xdr:to>
          <xdr:col>35</xdr:col>
          <xdr:colOff>12700</xdr:colOff>
          <xdr:row>8</xdr:row>
          <xdr:rowOff>241300</xdr:rowOff>
        </xdr:to>
        <xdr:sp macro="" textlink="">
          <xdr:nvSpPr>
            <xdr:cNvPr id="152586" name="Check Box 10" hidden="1">
              <a:extLst>
                <a:ext uri="{63B3BB69-23CF-44E3-9099-C40C66FF867C}">
                  <a14:compatExt spid="_x0000_s152586"/>
                </a:ext>
                <a:ext uri="{FF2B5EF4-FFF2-40B4-BE49-F238E27FC236}">
                  <a16:creationId xmlns:a16="http://schemas.microsoft.com/office/drawing/2014/main" id="{00000000-0008-0000-2700-00000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9</xdr:row>
          <xdr:rowOff>31750</xdr:rowOff>
        </xdr:from>
        <xdr:to>
          <xdr:col>35</xdr:col>
          <xdr:colOff>12700</xdr:colOff>
          <xdr:row>9</xdr:row>
          <xdr:rowOff>241300</xdr:rowOff>
        </xdr:to>
        <xdr:sp macro="" textlink="">
          <xdr:nvSpPr>
            <xdr:cNvPr id="152587" name="Check Box 11" hidden="1">
              <a:extLst>
                <a:ext uri="{63B3BB69-23CF-44E3-9099-C40C66FF867C}">
                  <a14:compatExt spid="_x0000_s152587"/>
                </a:ext>
                <a:ext uri="{FF2B5EF4-FFF2-40B4-BE49-F238E27FC236}">
                  <a16:creationId xmlns:a16="http://schemas.microsoft.com/office/drawing/2014/main" id="{00000000-0008-0000-2700-00000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10</xdr:row>
          <xdr:rowOff>31750</xdr:rowOff>
        </xdr:from>
        <xdr:to>
          <xdr:col>35</xdr:col>
          <xdr:colOff>12700</xdr:colOff>
          <xdr:row>10</xdr:row>
          <xdr:rowOff>241300</xdr:rowOff>
        </xdr:to>
        <xdr:sp macro="" textlink="">
          <xdr:nvSpPr>
            <xdr:cNvPr id="152588" name="Check Box 12" hidden="1">
              <a:extLst>
                <a:ext uri="{63B3BB69-23CF-44E3-9099-C40C66FF867C}">
                  <a14:compatExt spid="_x0000_s152588"/>
                </a:ext>
                <a:ext uri="{FF2B5EF4-FFF2-40B4-BE49-F238E27FC236}">
                  <a16:creationId xmlns:a16="http://schemas.microsoft.com/office/drawing/2014/main" id="{00000000-0008-0000-2700-00000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13</xdr:row>
          <xdr:rowOff>31750</xdr:rowOff>
        </xdr:from>
        <xdr:to>
          <xdr:col>35</xdr:col>
          <xdr:colOff>12700</xdr:colOff>
          <xdr:row>13</xdr:row>
          <xdr:rowOff>241300</xdr:rowOff>
        </xdr:to>
        <xdr:sp macro="" textlink="">
          <xdr:nvSpPr>
            <xdr:cNvPr id="152589" name="Check Box 13" hidden="1">
              <a:extLst>
                <a:ext uri="{63B3BB69-23CF-44E3-9099-C40C66FF867C}">
                  <a14:compatExt spid="_x0000_s152589"/>
                </a:ext>
                <a:ext uri="{FF2B5EF4-FFF2-40B4-BE49-F238E27FC236}">
                  <a16:creationId xmlns:a16="http://schemas.microsoft.com/office/drawing/2014/main" id="{00000000-0008-0000-2700-00000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13</xdr:row>
          <xdr:rowOff>31750</xdr:rowOff>
        </xdr:from>
        <xdr:to>
          <xdr:col>23</xdr:col>
          <xdr:colOff>12700</xdr:colOff>
          <xdr:row>13</xdr:row>
          <xdr:rowOff>241300</xdr:rowOff>
        </xdr:to>
        <xdr:sp macro="" textlink="">
          <xdr:nvSpPr>
            <xdr:cNvPr id="152590" name="Check Box 14" hidden="1">
              <a:extLst>
                <a:ext uri="{63B3BB69-23CF-44E3-9099-C40C66FF867C}">
                  <a14:compatExt spid="_x0000_s152590"/>
                </a:ext>
                <a:ext uri="{FF2B5EF4-FFF2-40B4-BE49-F238E27FC236}">
                  <a16:creationId xmlns:a16="http://schemas.microsoft.com/office/drawing/2014/main" id="{00000000-0008-0000-2700-00000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14</xdr:row>
          <xdr:rowOff>31750</xdr:rowOff>
        </xdr:from>
        <xdr:to>
          <xdr:col>23</xdr:col>
          <xdr:colOff>12700</xdr:colOff>
          <xdr:row>14</xdr:row>
          <xdr:rowOff>241300</xdr:rowOff>
        </xdr:to>
        <xdr:sp macro="" textlink="">
          <xdr:nvSpPr>
            <xdr:cNvPr id="152591" name="Check Box 15" hidden="1">
              <a:extLst>
                <a:ext uri="{63B3BB69-23CF-44E3-9099-C40C66FF867C}">
                  <a14:compatExt spid="_x0000_s152591"/>
                </a:ext>
                <a:ext uri="{FF2B5EF4-FFF2-40B4-BE49-F238E27FC236}">
                  <a16:creationId xmlns:a16="http://schemas.microsoft.com/office/drawing/2014/main" id="{00000000-0008-0000-2700-00000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13</xdr:row>
          <xdr:rowOff>31750</xdr:rowOff>
        </xdr:from>
        <xdr:to>
          <xdr:col>11</xdr:col>
          <xdr:colOff>12700</xdr:colOff>
          <xdr:row>13</xdr:row>
          <xdr:rowOff>241300</xdr:rowOff>
        </xdr:to>
        <xdr:sp macro="" textlink="">
          <xdr:nvSpPr>
            <xdr:cNvPr id="152592" name="Check Box 16" hidden="1">
              <a:extLst>
                <a:ext uri="{63B3BB69-23CF-44E3-9099-C40C66FF867C}">
                  <a14:compatExt spid="_x0000_s152592"/>
                </a:ext>
                <a:ext uri="{FF2B5EF4-FFF2-40B4-BE49-F238E27FC236}">
                  <a16:creationId xmlns:a16="http://schemas.microsoft.com/office/drawing/2014/main" id="{00000000-0008-0000-2700-00001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14</xdr:row>
          <xdr:rowOff>31750</xdr:rowOff>
        </xdr:from>
        <xdr:to>
          <xdr:col>11</xdr:col>
          <xdr:colOff>12700</xdr:colOff>
          <xdr:row>14</xdr:row>
          <xdr:rowOff>241300</xdr:rowOff>
        </xdr:to>
        <xdr:sp macro="" textlink="">
          <xdr:nvSpPr>
            <xdr:cNvPr id="152593" name="Check Box 17" hidden="1">
              <a:extLst>
                <a:ext uri="{63B3BB69-23CF-44E3-9099-C40C66FF867C}">
                  <a14:compatExt spid="_x0000_s152593"/>
                </a:ext>
                <a:ext uri="{FF2B5EF4-FFF2-40B4-BE49-F238E27FC236}">
                  <a16:creationId xmlns:a16="http://schemas.microsoft.com/office/drawing/2014/main" id="{00000000-0008-0000-2700-00001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21</xdr:row>
          <xdr:rowOff>31750</xdr:rowOff>
        </xdr:from>
        <xdr:to>
          <xdr:col>11</xdr:col>
          <xdr:colOff>12700</xdr:colOff>
          <xdr:row>21</xdr:row>
          <xdr:rowOff>228600</xdr:rowOff>
        </xdr:to>
        <xdr:sp macro="" textlink="">
          <xdr:nvSpPr>
            <xdr:cNvPr id="152594" name="Check Box 18" hidden="1">
              <a:extLst>
                <a:ext uri="{63B3BB69-23CF-44E3-9099-C40C66FF867C}">
                  <a14:compatExt spid="_x0000_s152594"/>
                </a:ext>
                <a:ext uri="{FF2B5EF4-FFF2-40B4-BE49-F238E27FC236}">
                  <a16:creationId xmlns:a16="http://schemas.microsoft.com/office/drawing/2014/main" id="{00000000-0008-0000-2700-00001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22</xdr:row>
          <xdr:rowOff>12700</xdr:rowOff>
        </xdr:from>
        <xdr:to>
          <xdr:col>11</xdr:col>
          <xdr:colOff>12700</xdr:colOff>
          <xdr:row>22</xdr:row>
          <xdr:rowOff>222250</xdr:rowOff>
        </xdr:to>
        <xdr:sp macro="" textlink="">
          <xdr:nvSpPr>
            <xdr:cNvPr id="152595" name="Check Box 19" hidden="1">
              <a:extLst>
                <a:ext uri="{63B3BB69-23CF-44E3-9099-C40C66FF867C}">
                  <a14:compatExt spid="_x0000_s152595"/>
                </a:ext>
                <a:ext uri="{FF2B5EF4-FFF2-40B4-BE49-F238E27FC236}">
                  <a16:creationId xmlns:a16="http://schemas.microsoft.com/office/drawing/2014/main" id="{00000000-0008-0000-2700-00001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25</xdr:row>
          <xdr:rowOff>31750</xdr:rowOff>
        </xdr:from>
        <xdr:to>
          <xdr:col>11</xdr:col>
          <xdr:colOff>12700</xdr:colOff>
          <xdr:row>25</xdr:row>
          <xdr:rowOff>228600</xdr:rowOff>
        </xdr:to>
        <xdr:sp macro="" textlink="">
          <xdr:nvSpPr>
            <xdr:cNvPr id="152596" name="Check Box 20" hidden="1">
              <a:extLst>
                <a:ext uri="{63B3BB69-23CF-44E3-9099-C40C66FF867C}">
                  <a14:compatExt spid="_x0000_s152596"/>
                </a:ext>
                <a:ext uri="{FF2B5EF4-FFF2-40B4-BE49-F238E27FC236}">
                  <a16:creationId xmlns:a16="http://schemas.microsoft.com/office/drawing/2014/main" id="{00000000-0008-0000-2700-00001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26</xdr:row>
          <xdr:rowOff>12700</xdr:rowOff>
        </xdr:from>
        <xdr:to>
          <xdr:col>11</xdr:col>
          <xdr:colOff>12700</xdr:colOff>
          <xdr:row>26</xdr:row>
          <xdr:rowOff>222250</xdr:rowOff>
        </xdr:to>
        <xdr:sp macro="" textlink="">
          <xdr:nvSpPr>
            <xdr:cNvPr id="152597" name="Check Box 21" hidden="1">
              <a:extLst>
                <a:ext uri="{63B3BB69-23CF-44E3-9099-C40C66FF867C}">
                  <a14:compatExt spid="_x0000_s152597"/>
                </a:ext>
                <a:ext uri="{FF2B5EF4-FFF2-40B4-BE49-F238E27FC236}">
                  <a16:creationId xmlns:a16="http://schemas.microsoft.com/office/drawing/2014/main" id="{00000000-0008-0000-2700-00001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27</xdr:row>
          <xdr:rowOff>31750</xdr:rowOff>
        </xdr:from>
        <xdr:to>
          <xdr:col>11</xdr:col>
          <xdr:colOff>12700</xdr:colOff>
          <xdr:row>27</xdr:row>
          <xdr:rowOff>228600</xdr:rowOff>
        </xdr:to>
        <xdr:sp macro="" textlink="">
          <xdr:nvSpPr>
            <xdr:cNvPr id="152598" name="Check Box 22" hidden="1">
              <a:extLst>
                <a:ext uri="{63B3BB69-23CF-44E3-9099-C40C66FF867C}">
                  <a14:compatExt spid="_x0000_s152598"/>
                </a:ext>
                <a:ext uri="{FF2B5EF4-FFF2-40B4-BE49-F238E27FC236}">
                  <a16:creationId xmlns:a16="http://schemas.microsoft.com/office/drawing/2014/main" id="{00000000-0008-0000-2700-00001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21</xdr:row>
          <xdr:rowOff>31750</xdr:rowOff>
        </xdr:from>
        <xdr:to>
          <xdr:col>23</xdr:col>
          <xdr:colOff>12700</xdr:colOff>
          <xdr:row>21</xdr:row>
          <xdr:rowOff>228600</xdr:rowOff>
        </xdr:to>
        <xdr:sp macro="" textlink="">
          <xdr:nvSpPr>
            <xdr:cNvPr id="152599" name="Check Box 23" hidden="1">
              <a:extLst>
                <a:ext uri="{63B3BB69-23CF-44E3-9099-C40C66FF867C}">
                  <a14:compatExt spid="_x0000_s152599"/>
                </a:ext>
                <a:ext uri="{FF2B5EF4-FFF2-40B4-BE49-F238E27FC236}">
                  <a16:creationId xmlns:a16="http://schemas.microsoft.com/office/drawing/2014/main" id="{00000000-0008-0000-2700-00001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22</xdr:row>
          <xdr:rowOff>31750</xdr:rowOff>
        </xdr:from>
        <xdr:to>
          <xdr:col>23</xdr:col>
          <xdr:colOff>12700</xdr:colOff>
          <xdr:row>22</xdr:row>
          <xdr:rowOff>228600</xdr:rowOff>
        </xdr:to>
        <xdr:sp macro="" textlink="">
          <xdr:nvSpPr>
            <xdr:cNvPr id="152600" name="Check Box 24" hidden="1">
              <a:extLst>
                <a:ext uri="{63B3BB69-23CF-44E3-9099-C40C66FF867C}">
                  <a14:compatExt spid="_x0000_s152600"/>
                </a:ext>
                <a:ext uri="{FF2B5EF4-FFF2-40B4-BE49-F238E27FC236}">
                  <a16:creationId xmlns:a16="http://schemas.microsoft.com/office/drawing/2014/main" id="{00000000-0008-0000-2700-00001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25</xdr:row>
          <xdr:rowOff>31750</xdr:rowOff>
        </xdr:from>
        <xdr:to>
          <xdr:col>23</xdr:col>
          <xdr:colOff>12700</xdr:colOff>
          <xdr:row>25</xdr:row>
          <xdr:rowOff>228600</xdr:rowOff>
        </xdr:to>
        <xdr:sp macro="" textlink="">
          <xdr:nvSpPr>
            <xdr:cNvPr id="152601" name="Check Box 25" hidden="1">
              <a:extLst>
                <a:ext uri="{63B3BB69-23CF-44E3-9099-C40C66FF867C}">
                  <a14:compatExt spid="_x0000_s152601"/>
                </a:ext>
                <a:ext uri="{FF2B5EF4-FFF2-40B4-BE49-F238E27FC236}">
                  <a16:creationId xmlns:a16="http://schemas.microsoft.com/office/drawing/2014/main" id="{00000000-0008-0000-2700-00001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26</xdr:row>
          <xdr:rowOff>31750</xdr:rowOff>
        </xdr:from>
        <xdr:to>
          <xdr:col>23</xdr:col>
          <xdr:colOff>12700</xdr:colOff>
          <xdr:row>26</xdr:row>
          <xdr:rowOff>228600</xdr:rowOff>
        </xdr:to>
        <xdr:sp macro="" textlink="">
          <xdr:nvSpPr>
            <xdr:cNvPr id="152602" name="Check Box 26" hidden="1">
              <a:extLst>
                <a:ext uri="{63B3BB69-23CF-44E3-9099-C40C66FF867C}">
                  <a14:compatExt spid="_x0000_s152602"/>
                </a:ext>
                <a:ext uri="{FF2B5EF4-FFF2-40B4-BE49-F238E27FC236}">
                  <a16:creationId xmlns:a16="http://schemas.microsoft.com/office/drawing/2014/main" id="{00000000-0008-0000-2700-00001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xdr:row>
          <xdr:rowOff>31750</xdr:rowOff>
        </xdr:from>
        <xdr:to>
          <xdr:col>23</xdr:col>
          <xdr:colOff>12700</xdr:colOff>
          <xdr:row>27</xdr:row>
          <xdr:rowOff>228600</xdr:rowOff>
        </xdr:to>
        <xdr:sp macro="" textlink="">
          <xdr:nvSpPr>
            <xdr:cNvPr id="152603" name="Check Box 27" hidden="1">
              <a:extLst>
                <a:ext uri="{63B3BB69-23CF-44E3-9099-C40C66FF867C}">
                  <a14:compatExt spid="_x0000_s152603"/>
                </a:ext>
                <a:ext uri="{FF2B5EF4-FFF2-40B4-BE49-F238E27FC236}">
                  <a16:creationId xmlns:a16="http://schemas.microsoft.com/office/drawing/2014/main" id="{00000000-0008-0000-2700-00001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xdr:row>
          <xdr:rowOff>31750</xdr:rowOff>
        </xdr:from>
        <xdr:to>
          <xdr:col>23</xdr:col>
          <xdr:colOff>12700</xdr:colOff>
          <xdr:row>35</xdr:row>
          <xdr:rowOff>228600</xdr:rowOff>
        </xdr:to>
        <xdr:sp macro="" textlink="">
          <xdr:nvSpPr>
            <xdr:cNvPr id="152604" name="Check Box 28" hidden="1">
              <a:extLst>
                <a:ext uri="{63B3BB69-23CF-44E3-9099-C40C66FF867C}">
                  <a14:compatExt spid="_x0000_s152604"/>
                </a:ext>
                <a:ext uri="{FF2B5EF4-FFF2-40B4-BE49-F238E27FC236}">
                  <a16:creationId xmlns:a16="http://schemas.microsoft.com/office/drawing/2014/main" id="{00000000-0008-0000-2700-00001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36</xdr:row>
          <xdr:rowOff>31750</xdr:rowOff>
        </xdr:from>
        <xdr:to>
          <xdr:col>23</xdr:col>
          <xdr:colOff>12700</xdr:colOff>
          <xdr:row>36</xdr:row>
          <xdr:rowOff>228600</xdr:rowOff>
        </xdr:to>
        <xdr:sp macro="" textlink="">
          <xdr:nvSpPr>
            <xdr:cNvPr id="152605" name="Check Box 29" hidden="1">
              <a:extLst>
                <a:ext uri="{63B3BB69-23CF-44E3-9099-C40C66FF867C}">
                  <a14:compatExt spid="_x0000_s152605"/>
                </a:ext>
                <a:ext uri="{FF2B5EF4-FFF2-40B4-BE49-F238E27FC236}">
                  <a16:creationId xmlns:a16="http://schemas.microsoft.com/office/drawing/2014/main" id="{00000000-0008-0000-2700-00001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35</xdr:row>
          <xdr:rowOff>31750</xdr:rowOff>
        </xdr:from>
        <xdr:to>
          <xdr:col>11</xdr:col>
          <xdr:colOff>12700</xdr:colOff>
          <xdr:row>35</xdr:row>
          <xdr:rowOff>228600</xdr:rowOff>
        </xdr:to>
        <xdr:sp macro="" textlink="">
          <xdr:nvSpPr>
            <xdr:cNvPr id="152606" name="Check Box 30" hidden="1">
              <a:extLst>
                <a:ext uri="{63B3BB69-23CF-44E3-9099-C40C66FF867C}">
                  <a14:compatExt spid="_x0000_s152606"/>
                </a:ext>
                <a:ext uri="{FF2B5EF4-FFF2-40B4-BE49-F238E27FC236}">
                  <a16:creationId xmlns:a16="http://schemas.microsoft.com/office/drawing/2014/main" id="{00000000-0008-0000-2700-00001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36</xdr:row>
          <xdr:rowOff>31750</xdr:rowOff>
        </xdr:from>
        <xdr:to>
          <xdr:col>11</xdr:col>
          <xdr:colOff>12700</xdr:colOff>
          <xdr:row>36</xdr:row>
          <xdr:rowOff>228600</xdr:rowOff>
        </xdr:to>
        <xdr:sp macro="" textlink="">
          <xdr:nvSpPr>
            <xdr:cNvPr id="152607" name="Check Box 31" hidden="1">
              <a:extLst>
                <a:ext uri="{63B3BB69-23CF-44E3-9099-C40C66FF867C}">
                  <a14:compatExt spid="_x0000_s152607"/>
                </a:ext>
                <a:ext uri="{FF2B5EF4-FFF2-40B4-BE49-F238E27FC236}">
                  <a16:creationId xmlns:a16="http://schemas.microsoft.com/office/drawing/2014/main" id="{00000000-0008-0000-2700-00001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33</xdr:row>
          <xdr:rowOff>69850</xdr:rowOff>
        </xdr:from>
        <xdr:to>
          <xdr:col>26</xdr:col>
          <xdr:colOff>12700</xdr:colOff>
          <xdr:row>33</xdr:row>
          <xdr:rowOff>266700</xdr:rowOff>
        </xdr:to>
        <xdr:sp macro="" textlink="">
          <xdr:nvSpPr>
            <xdr:cNvPr id="152608" name="Check Box 32" hidden="1">
              <a:extLst>
                <a:ext uri="{63B3BB69-23CF-44E3-9099-C40C66FF867C}">
                  <a14:compatExt spid="_x0000_s152608"/>
                </a:ext>
                <a:ext uri="{FF2B5EF4-FFF2-40B4-BE49-F238E27FC236}">
                  <a16:creationId xmlns:a16="http://schemas.microsoft.com/office/drawing/2014/main" id="{00000000-0008-0000-2700-00002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33</xdr:row>
          <xdr:rowOff>69850</xdr:rowOff>
        </xdr:from>
        <xdr:to>
          <xdr:col>31</xdr:col>
          <xdr:colOff>12700</xdr:colOff>
          <xdr:row>33</xdr:row>
          <xdr:rowOff>279400</xdr:rowOff>
        </xdr:to>
        <xdr:sp macro="" textlink="">
          <xdr:nvSpPr>
            <xdr:cNvPr id="152609" name="Check Box 33" hidden="1">
              <a:extLst>
                <a:ext uri="{63B3BB69-23CF-44E3-9099-C40C66FF867C}">
                  <a14:compatExt spid="_x0000_s152609"/>
                </a:ext>
                <a:ext uri="{FF2B5EF4-FFF2-40B4-BE49-F238E27FC236}">
                  <a16:creationId xmlns:a16="http://schemas.microsoft.com/office/drawing/2014/main" id="{00000000-0008-0000-2700-00002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31750</xdr:colOff>
          <xdr:row>4</xdr:row>
          <xdr:rowOff>165100</xdr:rowOff>
        </xdr:from>
        <xdr:to>
          <xdr:col>30</xdr:col>
          <xdr:colOff>38100</xdr:colOff>
          <xdr:row>5</xdr:row>
          <xdr:rowOff>0</xdr:rowOff>
        </xdr:to>
        <xdr:sp macro="" textlink="">
          <xdr:nvSpPr>
            <xdr:cNvPr id="153601" name="Check Box 1" hidden="1">
              <a:extLst>
                <a:ext uri="{63B3BB69-23CF-44E3-9099-C40C66FF867C}">
                  <a14:compatExt spid="_x0000_s153601"/>
                </a:ext>
                <a:ext uri="{FF2B5EF4-FFF2-40B4-BE49-F238E27FC236}">
                  <a16:creationId xmlns:a16="http://schemas.microsoft.com/office/drawing/2014/main" id="{00000000-0008-0000-2800-000001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5</xdr:row>
          <xdr:rowOff>88900</xdr:rowOff>
        </xdr:from>
        <xdr:to>
          <xdr:col>30</xdr:col>
          <xdr:colOff>38100</xdr:colOff>
          <xdr:row>5</xdr:row>
          <xdr:rowOff>298450</xdr:rowOff>
        </xdr:to>
        <xdr:sp macro="" textlink="">
          <xdr:nvSpPr>
            <xdr:cNvPr id="153602" name="Check Box 2" hidden="1">
              <a:extLst>
                <a:ext uri="{63B3BB69-23CF-44E3-9099-C40C66FF867C}">
                  <a14:compatExt spid="_x0000_s153602"/>
                </a:ext>
                <a:ext uri="{FF2B5EF4-FFF2-40B4-BE49-F238E27FC236}">
                  <a16:creationId xmlns:a16="http://schemas.microsoft.com/office/drawing/2014/main" id="{00000000-0008-0000-2800-000002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8</xdr:row>
          <xdr:rowOff>165100</xdr:rowOff>
        </xdr:from>
        <xdr:to>
          <xdr:col>30</xdr:col>
          <xdr:colOff>38100</xdr:colOff>
          <xdr:row>9</xdr:row>
          <xdr:rowOff>0</xdr:rowOff>
        </xdr:to>
        <xdr:sp macro="" textlink="">
          <xdr:nvSpPr>
            <xdr:cNvPr id="153603" name="Check Box 3" hidden="1">
              <a:extLst>
                <a:ext uri="{63B3BB69-23CF-44E3-9099-C40C66FF867C}">
                  <a14:compatExt spid="_x0000_s153603"/>
                </a:ext>
                <a:ext uri="{FF2B5EF4-FFF2-40B4-BE49-F238E27FC236}">
                  <a16:creationId xmlns:a16="http://schemas.microsoft.com/office/drawing/2014/main" id="{00000000-0008-0000-2800-000003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88900</xdr:rowOff>
        </xdr:from>
        <xdr:to>
          <xdr:col>18</xdr:col>
          <xdr:colOff>38100</xdr:colOff>
          <xdr:row>5</xdr:row>
          <xdr:rowOff>298450</xdr:rowOff>
        </xdr:to>
        <xdr:sp macro="" textlink="">
          <xdr:nvSpPr>
            <xdr:cNvPr id="153604" name="Check Box 4" hidden="1">
              <a:extLst>
                <a:ext uri="{63B3BB69-23CF-44E3-9099-C40C66FF867C}">
                  <a14:compatExt spid="_x0000_s153604"/>
                </a:ext>
                <a:ext uri="{FF2B5EF4-FFF2-40B4-BE49-F238E27FC236}">
                  <a16:creationId xmlns:a16="http://schemas.microsoft.com/office/drawing/2014/main" id="{00000000-0008-0000-2800-000004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5</xdr:row>
          <xdr:rowOff>88900</xdr:rowOff>
        </xdr:from>
        <xdr:to>
          <xdr:col>22</xdr:col>
          <xdr:colOff>38100</xdr:colOff>
          <xdr:row>5</xdr:row>
          <xdr:rowOff>298450</xdr:rowOff>
        </xdr:to>
        <xdr:sp macro="" textlink="">
          <xdr:nvSpPr>
            <xdr:cNvPr id="153605" name="Check Box 5" hidden="1">
              <a:extLst>
                <a:ext uri="{63B3BB69-23CF-44E3-9099-C40C66FF867C}">
                  <a14:compatExt spid="_x0000_s153605"/>
                </a:ext>
                <a:ext uri="{FF2B5EF4-FFF2-40B4-BE49-F238E27FC236}">
                  <a16:creationId xmlns:a16="http://schemas.microsoft.com/office/drawing/2014/main" id="{00000000-0008-0000-2800-000005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31750</xdr:colOff>
          <xdr:row>5</xdr:row>
          <xdr:rowOff>88900</xdr:rowOff>
        </xdr:from>
        <xdr:to>
          <xdr:col>26</xdr:col>
          <xdr:colOff>38100</xdr:colOff>
          <xdr:row>5</xdr:row>
          <xdr:rowOff>298450</xdr:rowOff>
        </xdr:to>
        <xdr:sp macro="" textlink="">
          <xdr:nvSpPr>
            <xdr:cNvPr id="153606" name="Check Box 6" hidden="1">
              <a:extLst>
                <a:ext uri="{63B3BB69-23CF-44E3-9099-C40C66FF867C}">
                  <a14:compatExt spid="_x0000_s153606"/>
                </a:ext>
                <a:ext uri="{FF2B5EF4-FFF2-40B4-BE49-F238E27FC236}">
                  <a16:creationId xmlns:a16="http://schemas.microsoft.com/office/drawing/2014/main" id="{00000000-0008-0000-2800-000006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4</xdr:row>
          <xdr:rowOff>184150</xdr:rowOff>
        </xdr:from>
        <xdr:to>
          <xdr:col>35</xdr:col>
          <xdr:colOff>38100</xdr:colOff>
          <xdr:row>5</xdr:row>
          <xdr:rowOff>12700</xdr:rowOff>
        </xdr:to>
        <xdr:sp macro="" textlink="">
          <xdr:nvSpPr>
            <xdr:cNvPr id="153607" name="Check Box 7" hidden="1">
              <a:extLst>
                <a:ext uri="{63B3BB69-23CF-44E3-9099-C40C66FF867C}">
                  <a14:compatExt spid="_x0000_s153607"/>
                </a:ext>
                <a:ext uri="{FF2B5EF4-FFF2-40B4-BE49-F238E27FC236}">
                  <a16:creationId xmlns:a16="http://schemas.microsoft.com/office/drawing/2014/main" id="{00000000-0008-0000-2800-000007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8</xdr:row>
          <xdr:rowOff>165100</xdr:rowOff>
        </xdr:from>
        <xdr:to>
          <xdr:col>35</xdr:col>
          <xdr:colOff>38100</xdr:colOff>
          <xdr:row>8</xdr:row>
          <xdr:rowOff>381000</xdr:rowOff>
        </xdr:to>
        <xdr:sp macro="" textlink="">
          <xdr:nvSpPr>
            <xdr:cNvPr id="153608" name="Check Box 8" hidden="1">
              <a:extLst>
                <a:ext uri="{63B3BB69-23CF-44E3-9099-C40C66FF867C}">
                  <a14:compatExt spid="_x0000_s153608"/>
                </a:ext>
                <a:ext uri="{FF2B5EF4-FFF2-40B4-BE49-F238E27FC236}">
                  <a16:creationId xmlns:a16="http://schemas.microsoft.com/office/drawing/2014/main" id="{00000000-0008-0000-2800-000008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31750</xdr:colOff>
          <xdr:row>4</xdr:row>
          <xdr:rowOff>88900</xdr:rowOff>
        </xdr:from>
        <xdr:to>
          <xdr:col>17</xdr:col>
          <xdr:colOff>241300</xdr:colOff>
          <xdr:row>4</xdr:row>
          <xdr:rowOff>298450</xdr:rowOff>
        </xdr:to>
        <xdr:sp macro="" textlink="">
          <xdr:nvSpPr>
            <xdr:cNvPr id="155649" name="Check Box 1" hidden="1">
              <a:extLst>
                <a:ext uri="{63B3BB69-23CF-44E3-9099-C40C66FF867C}">
                  <a14:compatExt spid="_x0000_s155649"/>
                </a:ext>
                <a:ext uri="{FF2B5EF4-FFF2-40B4-BE49-F238E27FC236}">
                  <a16:creationId xmlns:a16="http://schemas.microsoft.com/office/drawing/2014/main" id="{00000000-0008-0000-2B00-00000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76200</xdr:rowOff>
        </xdr:from>
        <xdr:to>
          <xdr:col>16</xdr:col>
          <xdr:colOff>0</xdr:colOff>
          <xdr:row>5</xdr:row>
          <xdr:rowOff>317500</xdr:rowOff>
        </xdr:to>
        <xdr:sp macro="" textlink="">
          <xdr:nvSpPr>
            <xdr:cNvPr id="155651" name="Check Box 3" hidden="1">
              <a:extLst>
                <a:ext uri="{63B3BB69-23CF-44E3-9099-C40C66FF867C}">
                  <a14:compatExt spid="_x0000_s155651"/>
                </a:ext>
                <a:ext uri="{FF2B5EF4-FFF2-40B4-BE49-F238E27FC236}">
                  <a16:creationId xmlns:a16="http://schemas.microsoft.com/office/drawing/2014/main" id="{00000000-0008-0000-2B00-00000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6</xdr:row>
          <xdr:rowOff>76200</xdr:rowOff>
        </xdr:from>
        <xdr:to>
          <xdr:col>15</xdr:col>
          <xdr:colOff>279400</xdr:colOff>
          <xdr:row>6</xdr:row>
          <xdr:rowOff>317500</xdr:rowOff>
        </xdr:to>
        <xdr:sp macro="" textlink="">
          <xdr:nvSpPr>
            <xdr:cNvPr id="155653" name="Check Box 5" hidden="1">
              <a:extLst>
                <a:ext uri="{63B3BB69-23CF-44E3-9099-C40C66FF867C}">
                  <a14:compatExt spid="_x0000_s155653"/>
                </a:ext>
                <a:ext uri="{FF2B5EF4-FFF2-40B4-BE49-F238E27FC236}">
                  <a16:creationId xmlns:a16="http://schemas.microsoft.com/office/drawing/2014/main" id="{00000000-0008-0000-2B00-00000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7</xdr:row>
          <xdr:rowOff>76200</xdr:rowOff>
        </xdr:from>
        <xdr:to>
          <xdr:col>15</xdr:col>
          <xdr:colOff>260350</xdr:colOff>
          <xdr:row>7</xdr:row>
          <xdr:rowOff>317500</xdr:rowOff>
        </xdr:to>
        <xdr:sp macro="" textlink="">
          <xdr:nvSpPr>
            <xdr:cNvPr id="155654" name="Check Box 6" hidden="1">
              <a:extLst>
                <a:ext uri="{63B3BB69-23CF-44E3-9099-C40C66FF867C}">
                  <a14:compatExt spid="_x0000_s155654"/>
                </a:ext>
                <a:ext uri="{FF2B5EF4-FFF2-40B4-BE49-F238E27FC236}">
                  <a16:creationId xmlns:a16="http://schemas.microsoft.com/office/drawing/2014/main" id="{00000000-0008-0000-2B00-00000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8</xdr:row>
          <xdr:rowOff>76200</xdr:rowOff>
        </xdr:from>
        <xdr:to>
          <xdr:col>15</xdr:col>
          <xdr:colOff>260350</xdr:colOff>
          <xdr:row>8</xdr:row>
          <xdr:rowOff>317500</xdr:rowOff>
        </xdr:to>
        <xdr:sp macro="" textlink="">
          <xdr:nvSpPr>
            <xdr:cNvPr id="155655" name="Check Box 7" hidden="1">
              <a:extLst>
                <a:ext uri="{63B3BB69-23CF-44E3-9099-C40C66FF867C}">
                  <a14:compatExt spid="_x0000_s155655"/>
                </a:ext>
                <a:ext uri="{FF2B5EF4-FFF2-40B4-BE49-F238E27FC236}">
                  <a16:creationId xmlns:a16="http://schemas.microsoft.com/office/drawing/2014/main" id="{00000000-0008-0000-2B00-00000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9</xdr:row>
          <xdr:rowOff>76200</xdr:rowOff>
        </xdr:from>
        <xdr:to>
          <xdr:col>15</xdr:col>
          <xdr:colOff>260350</xdr:colOff>
          <xdr:row>9</xdr:row>
          <xdr:rowOff>317500</xdr:rowOff>
        </xdr:to>
        <xdr:sp macro="" textlink="">
          <xdr:nvSpPr>
            <xdr:cNvPr id="155656" name="Check Box 8" hidden="1">
              <a:extLst>
                <a:ext uri="{63B3BB69-23CF-44E3-9099-C40C66FF867C}">
                  <a14:compatExt spid="_x0000_s155656"/>
                </a:ext>
                <a:ext uri="{FF2B5EF4-FFF2-40B4-BE49-F238E27FC236}">
                  <a16:creationId xmlns:a16="http://schemas.microsoft.com/office/drawing/2014/main" id="{00000000-0008-0000-2B00-00000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10</xdr:row>
          <xdr:rowOff>76200</xdr:rowOff>
        </xdr:from>
        <xdr:to>
          <xdr:col>15</xdr:col>
          <xdr:colOff>260350</xdr:colOff>
          <xdr:row>10</xdr:row>
          <xdr:rowOff>317500</xdr:rowOff>
        </xdr:to>
        <xdr:sp macro="" textlink="">
          <xdr:nvSpPr>
            <xdr:cNvPr id="155657" name="Check Box 9" hidden="1">
              <a:extLst>
                <a:ext uri="{63B3BB69-23CF-44E3-9099-C40C66FF867C}">
                  <a14:compatExt spid="_x0000_s155657"/>
                </a:ext>
                <a:ext uri="{FF2B5EF4-FFF2-40B4-BE49-F238E27FC236}">
                  <a16:creationId xmlns:a16="http://schemas.microsoft.com/office/drawing/2014/main" id="{00000000-0008-0000-2B00-00000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11</xdr:row>
          <xdr:rowOff>76200</xdr:rowOff>
        </xdr:from>
        <xdr:to>
          <xdr:col>15</xdr:col>
          <xdr:colOff>260350</xdr:colOff>
          <xdr:row>11</xdr:row>
          <xdr:rowOff>317500</xdr:rowOff>
        </xdr:to>
        <xdr:sp macro="" textlink="">
          <xdr:nvSpPr>
            <xdr:cNvPr id="155658" name="Check Box 10" hidden="1">
              <a:extLst>
                <a:ext uri="{63B3BB69-23CF-44E3-9099-C40C66FF867C}">
                  <a14:compatExt spid="_x0000_s155658"/>
                </a:ext>
                <a:ext uri="{FF2B5EF4-FFF2-40B4-BE49-F238E27FC236}">
                  <a16:creationId xmlns:a16="http://schemas.microsoft.com/office/drawing/2014/main" id="{00000000-0008-0000-2B00-00000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12</xdr:row>
          <xdr:rowOff>76200</xdr:rowOff>
        </xdr:from>
        <xdr:to>
          <xdr:col>15</xdr:col>
          <xdr:colOff>260350</xdr:colOff>
          <xdr:row>12</xdr:row>
          <xdr:rowOff>317500</xdr:rowOff>
        </xdr:to>
        <xdr:sp macro="" textlink="">
          <xdr:nvSpPr>
            <xdr:cNvPr id="155659" name="Check Box 11" hidden="1">
              <a:extLst>
                <a:ext uri="{63B3BB69-23CF-44E3-9099-C40C66FF867C}">
                  <a14:compatExt spid="_x0000_s155659"/>
                </a:ext>
                <a:ext uri="{FF2B5EF4-FFF2-40B4-BE49-F238E27FC236}">
                  <a16:creationId xmlns:a16="http://schemas.microsoft.com/office/drawing/2014/main" id="{00000000-0008-0000-2B00-00000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13</xdr:row>
          <xdr:rowOff>76200</xdr:rowOff>
        </xdr:from>
        <xdr:to>
          <xdr:col>15</xdr:col>
          <xdr:colOff>260350</xdr:colOff>
          <xdr:row>13</xdr:row>
          <xdr:rowOff>317500</xdr:rowOff>
        </xdr:to>
        <xdr:sp macro="" textlink="">
          <xdr:nvSpPr>
            <xdr:cNvPr id="155660" name="Check Box 12" hidden="1">
              <a:extLst>
                <a:ext uri="{63B3BB69-23CF-44E3-9099-C40C66FF867C}">
                  <a14:compatExt spid="_x0000_s155660"/>
                </a:ext>
                <a:ext uri="{FF2B5EF4-FFF2-40B4-BE49-F238E27FC236}">
                  <a16:creationId xmlns:a16="http://schemas.microsoft.com/office/drawing/2014/main" id="{00000000-0008-0000-2B00-00000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14</xdr:row>
          <xdr:rowOff>76200</xdr:rowOff>
        </xdr:from>
        <xdr:to>
          <xdr:col>15</xdr:col>
          <xdr:colOff>260350</xdr:colOff>
          <xdr:row>14</xdr:row>
          <xdr:rowOff>317500</xdr:rowOff>
        </xdr:to>
        <xdr:sp macro="" textlink="">
          <xdr:nvSpPr>
            <xdr:cNvPr id="155661" name="Check Box 13" hidden="1">
              <a:extLst>
                <a:ext uri="{63B3BB69-23CF-44E3-9099-C40C66FF867C}">
                  <a14:compatExt spid="_x0000_s155661"/>
                </a:ext>
                <a:ext uri="{FF2B5EF4-FFF2-40B4-BE49-F238E27FC236}">
                  <a16:creationId xmlns:a16="http://schemas.microsoft.com/office/drawing/2014/main" id="{00000000-0008-0000-2B00-00000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15</xdr:row>
          <xdr:rowOff>76200</xdr:rowOff>
        </xdr:from>
        <xdr:to>
          <xdr:col>15</xdr:col>
          <xdr:colOff>260350</xdr:colOff>
          <xdr:row>15</xdr:row>
          <xdr:rowOff>317500</xdr:rowOff>
        </xdr:to>
        <xdr:sp macro="" textlink="">
          <xdr:nvSpPr>
            <xdr:cNvPr id="155662" name="Check Box 14" hidden="1">
              <a:extLst>
                <a:ext uri="{63B3BB69-23CF-44E3-9099-C40C66FF867C}">
                  <a14:compatExt spid="_x0000_s155662"/>
                </a:ext>
                <a:ext uri="{FF2B5EF4-FFF2-40B4-BE49-F238E27FC236}">
                  <a16:creationId xmlns:a16="http://schemas.microsoft.com/office/drawing/2014/main" id="{00000000-0008-0000-2B00-00000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16</xdr:row>
          <xdr:rowOff>76200</xdr:rowOff>
        </xdr:from>
        <xdr:to>
          <xdr:col>15</xdr:col>
          <xdr:colOff>260350</xdr:colOff>
          <xdr:row>16</xdr:row>
          <xdr:rowOff>317500</xdr:rowOff>
        </xdr:to>
        <xdr:sp macro="" textlink="">
          <xdr:nvSpPr>
            <xdr:cNvPr id="155663" name="Check Box 15" hidden="1">
              <a:extLst>
                <a:ext uri="{63B3BB69-23CF-44E3-9099-C40C66FF867C}">
                  <a14:compatExt spid="_x0000_s155663"/>
                </a:ext>
                <a:ext uri="{FF2B5EF4-FFF2-40B4-BE49-F238E27FC236}">
                  <a16:creationId xmlns:a16="http://schemas.microsoft.com/office/drawing/2014/main" id="{00000000-0008-0000-2B00-00000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17</xdr:row>
          <xdr:rowOff>76200</xdr:rowOff>
        </xdr:from>
        <xdr:to>
          <xdr:col>15</xdr:col>
          <xdr:colOff>260350</xdr:colOff>
          <xdr:row>17</xdr:row>
          <xdr:rowOff>317500</xdr:rowOff>
        </xdr:to>
        <xdr:sp macro="" textlink="">
          <xdr:nvSpPr>
            <xdr:cNvPr id="155664" name="Check Box 16" hidden="1">
              <a:extLst>
                <a:ext uri="{63B3BB69-23CF-44E3-9099-C40C66FF867C}">
                  <a14:compatExt spid="_x0000_s155664"/>
                </a:ext>
                <a:ext uri="{FF2B5EF4-FFF2-40B4-BE49-F238E27FC236}">
                  <a16:creationId xmlns:a16="http://schemas.microsoft.com/office/drawing/2014/main" id="{00000000-0008-0000-2B00-00001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18</xdr:row>
          <xdr:rowOff>76200</xdr:rowOff>
        </xdr:from>
        <xdr:to>
          <xdr:col>15</xdr:col>
          <xdr:colOff>260350</xdr:colOff>
          <xdr:row>18</xdr:row>
          <xdr:rowOff>317500</xdr:rowOff>
        </xdr:to>
        <xdr:sp macro="" textlink="">
          <xdr:nvSpPr>
            <xdr:cNvPr id="155665" name="Check Box 17" hidden="1">
              <a:extLst>
                <a:ext uri="{63B3BB69-23CF-44E3-9099-C40C66FF867C}">
                  <a14:compatExt spid="_x0000_s155665"/>
                </a:ext>
                <a:ext uri="{FF2B5EF4-FFF2-40B4-BE49-F238E27FC236}">
                  <a16:creationId xmlns:a16="http://schemas.microsoft.com/office/drawing/2014/main" id="{00000000-0008-0000-2B00-00001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4</xdr:row>
          <xdr:rowOff>76200</xdr:rowOff>
        </xdr:from>
        <xdr:to>
          <xdr:col>18</xdr:col>
          <xdr:colOff>266700</xdr:colOff>
          <xdr:row>4</xdr:row>
          <xdr:rowOff>317500</xdr:rowOff>
        </xdr:to>
        <xdr:sp macro="" textlink="">
          <xdr:nvSpPr>
            <xdr:cNvPr id="155666" name="Check Box 18" hidden="1">
              <a:extLst>
                <a:ext uri="{63B3BB69-23CF-44E3-9099-C40C66FF867C}">
                  <a14:compatExt spid="_x0000_s155666"/>
                </a:ext>
                <a:ext uri="{FF2B5EF4-FFF2-40B4-BE49-F238E27FC236}">
                  <a16:creationId xmlns:a16="http://schemas.microsoft.com/office/drawing/2014/main" id="{00000000-0008-0000-2B00-00001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5</xdr:row>
          <xdr:rowOff>76200</xdr:rowOff>
        </xdr:from>
        <xdr:to>
          <xdr:col>18</xdr:col>
          <xdr:colOff>266700</xdr:colOff>
          <xdr:row>5</xdr:row>
          <xdr:rowOff>317500</xdr:rowOff>
        </xdr:to>
        <xdr:sp macro="" textlink="">
          <xdr:nvSpPr>
            <xdr:cNvPr id="155667" name="Check Box 19" hidden="1">
              <a:extLst>
                <a:ext uri="{63B3BB69-23CF-44E3-9099-C40C66FF867C}">
                  <a14:compatExt spid="_x0000_s155667"/>
                </a:ext>
                <a:ext uri="{FF2B5EF4-FFF2-40B4-BE49-F238E27FC236}">
                  <a16:creationId xmlns:a16="http://schemas.microsoft.com/office/drawing/2014/main" id="{00000000-0008-0000-2B00-00001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6</xdr:row>
          <xdr:rowOff>76200</xdr:rowOff>
        </xdr:from>
        <xdr:to>
          <xdr:col>18</xdr:col>
          <xdr:colOff>266700</xdr:colOff>
          <xdr:row>6</xdr:row>
          <xdr:rowOff>317500</xdr:rowOff>
        </xdr:to>
        <xdr:sp macro="" textlink="">
          <xdr:nvSpPr>
            <xdr:cNvPr id="155668" name="Check Box 20" hidden="1">
              <a:extLst>
                <a:ext uri="{63B3BB69-23CF-44E3-9099-C40C66FF867C}">
                  <a14:compatExt spid="_x0000_s155668"/>
                </a:ext>
                <a:ext uri="{FF2B5EF4-FFF2-40B4-BE49-F238E27FC236}">
                  <a16:creationId xmlns:a16="http://schemas.microsoft.com/office/drawing/2014/main" id="{00000000-0008-0000-2B00-00001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7</xdr:row>
          <xdr:rowOff>76200</xdr:rowOff>
        </xdr:from>
        <xdr:to>
          <xdr:col>18</xdr:col>
          <xdr:colOff>266700</xdr:colOff>
          <xdr:row>7</xdr:row>
          <xdr:rowOff>317500</xdr:rowOff>
        </xdr:to>
        <xdr:sp macro="" textlink="">
          <xdr:nvSpPr>
            <xdr:cNvPr id="155669" name="Check Box 21" hidden="1">
              <a:extLst>
                <a:ext uri="{63B3BB69-23CF-44E3-9099-C40C66FF867C}">
                  <a14:compatExt spid="_x0000_s155669"/>
                </a:ext>
                <a:ext uri="{FF2B5EF4-FFF2-40B4-BE49-F238E27FC236}">
                  <a16:creationId xmlns:a16="http://schemas.microsoft.com/office/drawing/2014/main" id="{00000000-0008-0000-2B00-00001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8</xdr:row>
          <xdr:rowOff>76200</xdr:rowOff>
        </xdr:from>
        <xdr:to>
          <xdr:col>18</xdr:col>
          <xdr:colOff>266700</xdr:colOff>
          <xdr:row>8</xdr:row>
          <xdr:rowOff>317500</xdr:rowOff>
        </xdr:to>
        <xdr:sp macro="" textlink="">
          <xdr:nvSpPr>
            <xdr:cNvPr id="155670" name="Check Box 22" hidden="1">
              <a:extLst>
                <a:ext uri="{63B3BB69-23CF-44E3-9099-C40C66FF867C}">
                  <a14:compatExt spid="_x0000_s155670"/>
                </a:ext>
                <a:ext uri="{FF2B5EF4-FFF2-40B4-BE49-F238E27FC236}">
                  <a16:creationId xmlns:a16="http://schemas.microsoft.com/office/drawing/2014/main" id="{00000000-0008-0000-2B00-00001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9</xdr:row>
          <xdr:rowOff>76200</xdr:rowOff>
        </xdr:from>
        <xdr:to>
          <xdr:col>18</xdr:col>
          <xdr:colOff>266700</xdr:colOff>
          <xdr:row>9</xdr:row>
          <xdr:rowOff>317500</xdr:rowOff>
        </xdr:to>
        <xdr:sp macro="" textlink="">
          <xdr:nvSpPr>
            <xdr:cNvPr id="155671" name="Check Box 23" hidden="1">
              <a:extLst>
                <a:ext uri="{63B3BB69-23CF-44E3-9099-C40C66FF867C}">
                  <a14:compatExt spid="_x0000_s155671"/>
                </a:ext>
                <a:ext uri="{FF2B5EF4-FFF2-40B4-BE49-F238E27FC236}">
                  <a16:creationId xmlns:a16="http://schemas.microsoft.com/office/drawing/2014/main" id="{00000000-0008-0000-2B00-00001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10</xdr:row>
          <xdr:rowOff>76200</xdr:rowOff>
        </xdr:from>
        <xdr:to>
          <xdr:col>18</xdr:col>
          <xdr:colOff>266700</xdr:colOff>
          <xdr:row>10</xdr:row>
          <xdr:rowOff>317500</xdr:rowOff>
        </xdr:to>
        <xdr:sp macro="" textlink="">
          <xdr:nvSpPr>
            <xdr:cNvPr id="155672" name="Check Box 24" hidden="1">
              <a:extLst>
                <a:ext uri="{63B3BB69-23CF-44E3-9099-C40C66FF867C}">
                  <a14:compatExt spid="_x0000_s155672"/>
                </a:ext>
                <a:ext uri="{FF2B5EF4-FFF2-40B4-BE49-F238E27FC236}">
                  <a16:creationId xmlns:a16="http://schemas.microsoft.com/office/drawing/2014/main" id="{00000000-0008-0000-2B00-00001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11</xdr:row>
          <xdr:rowOff>76200</xdr:rowOff>
        </xdr:from>
        <xdr:to>
          <xdr:col>18</xdr:col>
          <xdr:colOff>266700</xdr:colOff>
          <xdr:row>11</xdr:row>
          <xdr:rowOff>317500</xdr:rowOff>
        </xdr:to>
        <xdr:sp macro="" textlink="">
          <xdr:nvSpPr>
            <xdr:cNvPr id="155673" name="Check Box 25" hidden="1">
              <a:extLst>
                <a:ext uri="{63B3BB69-23CF-44E3-9099-C40C66FF867C}">
                  <a14:compatExt spid="_x0000_s155673"/>
                </a:ext>
                <a:ext uri="{FF2B5EF4-FFF2-40B4-BE49-F238E27FC236}">
                  <a16:creationId xmlns:a16="http://schemas.microsoft.com/office/drawing/2014/main" id="{00000000-0008-0000-2B00-00001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12</xdr:row>
          <xdr:rowOff>76200</xdr:rowOff>
        </xdr:from>
        <xdr:to>
          <xdr:col>18</xdr:col>
          <xdr:colOff>266700</xdr:colOff>
          <xdr:row>12</xdr:row>
          <xdr:rowOff>317500</xdr:rowOff>
        </xdr:to>
        <xdr:sp macro="" textlink="">
          <xdr:nvSpPr>
            <xdr:cNvPr id="155674" name="Check Box 26" hidden="1">
              <a:extLst>
                <a:ext uri="{63B3BB69-23CF-44E3-9099-C40C66FF867C}">
                  <a14:compatExt spid="_x0000_s155674"/>
                </a:ext>
                <a:ext uri="{FF2B5EF4-FFF2-40B4-BE49-F238E27FC236}">
                  <a16:creationId xmlns:a16="http://schemas.microsoft.com/office/drawing/2014/main" id="{00000000-0008-0000-2B00-00001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13</xdr:row>
          <xdr:rowOff>76200</xdr:rowOff>
        </xdr:from>
        <xdr:to>
          <xdr:col>18</xdr:col>
          <xdr:colOff>266700</xdr:colOff>
          <xdr:row>13</xdr:row>
          <xdr:rowOff>317500</xdr:rowOff>
        </xdr:to>
        <xdr:sp macro="" textlink="">
          <xdr:nvSpPr>
            <xdr:cNvPr id="155675" name="Check Box 27" hidden="1">
              <a:extLst>
                <a:ext uri="{63B3BB69-23CF-44E3-9099-C40C66FF867C}">
                  <a14:compatExt spid="_x0000_s155675"/>
                </a:ext>
                <a:ext uri="{FF2B5EF4-FFF2-40B4-BE49-F238E27FC236}">
                  <a16:creationId xmlns:a16="http://schemas.microsoft.com/office/drawing/2014/main" id="{00000000-0008-0000-2B00-00001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14</xdr:row>
          <xdr:rowOff>76200</xdr:rowOff>
        </xdr:from>
        <xdr:to>
          <xdr:col>18</xdr:col>
          <xdr:colOff>266700</xdr:colOff>
          <xdr:row>14</xdr:row>
          <xdr:rowOff>317500</xdr:rowOff>
        </xdr:to>
        <xdr:sp macro="" textlink="">
          <xdr:nvSpPr>
            <xdr:cNvPr id="155676" name="Check Box 28" hidden="1">
              <a:extLst>
                <a:ext uri="{63B3BB69-23CF-44E3-9099-C40C66FF867C}">
                  <a14:compatExt spid="_x0000_s155676"/>
                </a:ext>
                <a:ext uri="{FF2B5EF4-FFF2-40B4-BE49-F238E27FC236}">
                  <a16:creationId xmlns:a16="http://schemas.microsoft.com/office/drawing/2014/main" id="{00000000-0008-0000-2B00-00001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15</xdr:row>
          <xdr:rowOff>76200</xdr:rowOff>
        </xdr:from>
        <xdr:to>
          <xdr:col>18</xdr:col>
          <xdr:colOff>266700</xdr:colOff>
          <xdr:row>15</xdr:row>
          <xdr:rowOff>317500</xdr:rowOff>
        </xdr:to>
        <xdr:sp macro="" textlink="">
          <xdr:nvSpPr>
            <xdr:cNvPr id="155677" name="Check Box 29" hidden="1">
              <a:extLst>
                <a:ext uri="{63B3BB69-23CF-44E3-9099-C40C66FF867C}">
                  <a14:compatExt spid="_x0000_s155677"/>
                </a:ext>
                <a:ext uri="{FF2B5EF4-FFF2-40B4-BE49-F238E27FC236}">
                  <a16:creationId xmlns:a16="http://schemas.microsoft.com/office/drawing/2014/main" id="{00000000-0008-0000-2B00-00001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16</xdr:row>
          <xdr:rowOff>76200</xdr:rowOff>
        </xdr:from>
        <xdr:to>
          <xdr:col>18</xdr:col>
          <xdr:colOff>266700</xdr:colOff>
          <xdr:row>16</xdr:row>
          <xdr:rowOff>317500</xdr:rowOff>
        </xdr:to>
        <xdr:sp macro="" textlink="">
          <xdr:nvSpPr>
            <xdr:cNvPr id="155678" name="Check Box 30" hidden="1">
              <a:extLst>
                <a:ext uri="{63B3BB69-23CF-44E3-9099-C40C66FF867C}">
                  <a14:compatExt spid="_x0000_s155678"/>
                </a:ext>
                <a:ext uri="{FF2B5EF4-FFF2-40B4-BE49-F238E27FC236}">
                  <a16:creationId xmlns:a16="http://schemas.microsoft.com/office/drawing/2014/main" id="{00000000-0008-0000-2B00-00001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17</xdr:row>
          <xdr:rowOff>76200</xdr:rowOff>
        </xdr:from>
        <xdr:to>
          <xdr:col>18</xdr:col>
          <xdr:colOff>266700</xdr:colOff>
          <xdr:row>17</xdr:row>
          <xdr:rowOff>317500</xdr:rowOff>
        </xdr:to>
        <xdr:sp macro="" textlink="">
          <xdr:nvSpPr>
            <xdr:cNvPr id="155679" name="Check Box 31" hidden="1">
              <a:extLst>
                <a:ext uri="{63B3BB69-23CF-44E3-9099-C40C66FF867C}">
                  <a14:compatExt spid="_x0000_s155679"/>
                </a:ext>
                <a:ext uri="{FF2B5EF4-FFF2-40B4-BE49-F238E27FC236}">
                  <a16:creationId xmlns:a16="http://schemas.microsoft.com/office/drawing/2014/main" id="{00000000-0008-0000-2B00-00001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18</xdr:row>
          <xdr:rowOff>76200</xdr:rowOff>
        </xdr:from>
        <xdr:to>
          <xdr:col>18</xdr:col>
          <xdr:colOff>266700</xdr:colOff>
          <xdr:row>18</xdr:row>
          <xdr:rowOff>317500</xdr:rowOff>
        </xdr:to>
        <xdr:sp macro="" textlink="">
          <xdr:nvSpPr>
            <xdr:cNvPr id="155680" name="Check Box 32" hidden="1">
              <a:extLst>
                <a:ext uri="{63B3BB69-23CF-44E3-9099-C40C66FF867C}">
                  <a14:compatExt spid="_x0000_s155680"/>
                </a:ext>
                <a:ext uri="{FF2B5EF4-FFF2-40B4-BE49-F238E27FC236}">
                  <a16:creationId xmlns:a16="http://schemas.microsoft.com/office/drawing/2014/main" id="{00000000-0008-0000-2B00-00002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4</xdr:row>
          <xdr:rowOff>76200</xdr:rowOff>
        </xdr:from>
        <xdr:to>
          <xdr:col>21</xdr:col>
          <xdr:colOff>241300</xdr:colOff>
          <xdr:row>4</xdr:row>
          <xdr:rowOff>317500</xdr:rowOff>
        </xdr:to>
        <xdr:sp macro="" textlink="">
          <xdr:nvSpPr>
            <xdr:cNvPr id="155681" name="Check Box 33" hidden="1">
              <a:extLst>
                <a:ext uri="{63B3BB69-23CF-44E3-9099-C40C66FF867C}">
                  <a14:compatExt spid="_x0000_s155681"/>
                </a:ext>
                <a:ext uri="{FF2B5EF4-FFF2-40B4-BE49-F238E27FC236}">
                  <a16:creationId xmlns:a16="http://schemas.microsoft.com/office/drawing/2014/main" id="{00000000-0008-0000-2B00-00002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5</xdr:row>
          <xdr:rowOff>76200</xdr:rowOff>
        </xdr:from>
        <xdr:to>
          <xdr:col>21</xdr:col>
          <xdr:colOff>241300</xdr:colOff>
          <xdr:row>5</xdr:row>
          <xdr:rowOff>317500</xdr:rowOff>
        </xdr:to>
        <xdr:sp macro="" textlink="">
          <xdr:nvSpPr>
            <xdr:cNvPr id="155682" name="Check Box 34" hidden="1">
              <a:extLst>
                <a:ext uri="{63B3BB69-23CF-44E3-9099-C40C66FF867C}">
                  <a14:compatExt spid="_x0000_s155682"/>
                </a:ext>
                <a:ext uri="{FF2B5EF4-FFF2-40B4-BE49-F238E27FC236}">
                  <a16:creationId xmlns:a16="http://schemas.microsoft.com/office/drawing/2014/main" id="{00000000-0008-0000-2B00-00002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6</xdr:row>
          <xdr:rowOff>76200</xdr:rowOff>
        </xdr:from>
        <xdr:to>
          <xdr:col>21</xdr:col>
          <xdr:colOff>241300</xdr:colOff>
          <xdr:row>6</xdr:row>
          <xdr:rowOff>317500</xdr:rowOff>
        </xdr:to>
        <xdr:sp macro="" textlink="">
          <xdr:nvSpPr>
            <xdr:cNvPr id="155683" name="Check Box 35" hidden="1">
              <a:extLst>
                <a:ext uri="{63B3BB69-23CF-44E3-9099-C40C66FF867C}">
                  <a14:compatExt spid="_x0000_s155683"/>
                </a:ext>
                <a:ext uri="{FF2B5EF4-FFF2-40B4-BE49-F238E27FC236}">
                  <a16:creationId xmlns:a16="http://schemas.microsoft.com/office/drawing/2014/main" id="{00000000-0008-0000-2B00-00002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7</xdr:row>
          <xdr:rowOff>76200</xdr:rowOff>
        </xdr:from>
        <xdr:to>
          <xdr:col>21</xdr:col>
          <xdr:colOff>241300</xdr:colOff>
          <xdr:row>7</xdr:row>
          <xdr:rowOff>317500</xdr:rowOff>
        </xdr:to>
        <xdr:sp macro="" textlink="">
          <xdr:nvSpPr>
            <xdr:cNvPr id="155684" name="Check Box 36" hidden="1">
              <a:extLst>
                <a:ext uri="{63B3BB69-23CF-44E3-9099-C40C66FF867C}">
                  <a14:compatExt spid="_x0000_s155684"/>
                </a:ext>
                <a:ext uri="{FF2B5EF4-FFF2-40B4-BE49-F238E27FC236}">
                  <a16:creationId xmlns:a16="http://schemas.microsoft.com/office/drawing/2014/main" id="{00000000-0008-0000-2B00-00002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8</xdr:row>
          <xdr:rowOff>76200</xdr:rowOff>
        </xdr:from>
        <xdr:to>
          <xdr:col>21</xdr:col>
          <xdr:colOff>241300</xdr:colOff>
          <xdr:row>8</xdr:row>
          <xdr:rowOff>317500</xdr:rowOff>
        </xdr:to>
        <xdr:sp macro="" textlink="">
          <xdr:nvSpPr>
            <xdr:cNvPr id="155685" name="Check Box 37" hidden="1">
              <a:extLst>
                <a:ext uri="{63B3BB69-23CF-44E3-9099-C40C66FF867C}">
                  <a14:compatExt spid="_x0000_s155685"/>
                </a:ext>
                <a:ext uri="{FF2B5EF4-FFF2-40B4-BE49-F238E27FC236}">
                  <a16:creationId xmlns:a16="http://schemas.microsoft.com/office/drawing/2014/main" id="{00000000-0008-0000-2B00-00002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9</xdr:row>
          <xdr:rowOff>76200</xdr:rowOff>
        </xdr:from>
        <xdr:to>
          <xdr:col>21</xdr:col>
          <xdr:colOff>241300</xdr:colOff>
          <xdr:row>9</xdr:row>
          <xdr:rowOff>317500</xdr:rowOff>
        </xdr:to>
        <xdr:sp macro="" textlink="">
          <xdr:nvSpPr>
            <xdr:cNvPr id="155686" name="Check Box 38" hidden="1">
              <a:extLst>
                <a:ext uri="{63B3BB69-23CF-44E3-9099-C40C66FF867C}">
                  <a14:compatExt spid="_x0000_s155686"/>
                </a:ext>
                <a:ext uri="{FF2B5EF4-FFF2-40B4-BE49-F238E27FC236}">
                  <a16:creationId xmlns:a16="http://schemas.microsoft.com/office/drawing/2014/main" id="{00000000-0008-0000-2B00-00002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10</xdr:row>
          <xdr:rowOff>76200</xdr:rowOff>
        </xdr:from>
        <xdr:to>
          <xdr:col>21</xdr:col>
          <xdr:colOff>241300</xdr:colOff>
          <xdr:row>10</xdr:row>
          <xdr:rowOff>317500</xdr:rowOff>
        </xdr:to>
        <xdr:sp macro="" textlink="">
          <xdr:nvSpPr>
            <xdr:cNvPr id="155687" name="Check Box 39" hidden="1">
              <a:extLst>
                <a:ext uri="{63B3BB69-23CF-44E3-9099-C40C66FF867C}">
                  <a14:compatExt spid="_x0000_s155687"/>
                </a:ext>
                <a:ext uri="{FF2B5EF4-FFF2-40B4-BE49-F238E27FC236}">
                  <a16:creationId xmlns:a16="http://schemas.microsoft.com/office/drawing/2014/main" id="{00000000-0008-0000-2B00-00002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11</xdr:row>
          <xdr:rowOff>76200</xdr:rowOff>
        </xdr:from>
        <xdr:to>
          <xdr:col>21</xdr:col>
          <xdr:colOff>241300</xdr:colOff>
          <xdr:row>11</xdr:row>
          <xdr:rowOff>317500</xdr:rowOff>
        </xdr:to>
        <xdr:sp macro="" textlink="">
          <xdr:nvSpPr>
            <xdr:cNvPr id="155688" name="Check Box 40" hidden="1">
              <a:extLst>
                <a:ext uri="{63B3BB69-23CF-44E3-9099-C40C66FF867C}">
                  <a14:compatExt spid="_x0000_s155688"/>
                </a:ext>
                <a:ext uri="{FF2B5EF4-FFF2-40B4-BE49-F238E27FC236}">
                  <a16:creationId xmlns:a16="http://schemas.microsoft.com/office/drawing/2014/main" id="{00000000-0008-0000-2B00-00002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12</xdr:row>
          <xdr:rowOff>76200</xdr:rowOff>
        </xdr:from>
        <xdr:to>
          <xdr:col>21</xdr:col>
          <xdr:colOff>241300</xdr:colOff>
          <xdr:row>12</xdr:row>
          <xdr:rowOff>317500</xdr:rowOff>
        </xdr:to>
        <xdr:sp macro="" textlink="">
          <xdr:nvSpPr>
            <xdr:cNvPr id="155689" name="Check Box 41" hidden="1">
              <a:extLst>
                <a:ext uri="{63B3BB69-23CF-44E3-9099-C40C66FF867C}">
                  <a14:compatExt spid="_x0000_s155689"/>
                </a:ext>
                <a:ext uri="{FF2B5EF4-FFF2-40B4-BE49-F238E27FC236}">
                  <a16:creationId xmlns:a16="http://schemas.microsoft.com/office/drawing/2014/main" id="{00000000-0008-0000-2B00-00002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13</xdr:row>
          <xdr:rowOff>76200</xdr:rowOff>
        </xdr:from>
        <xdr:to>
          <xdr:col>21</xdr:col>
          <xdr:colOff>241300</xdr:colOff>
          <xdr:row>13</xdr:row>
          <xdr:rowOff>317500</xdr:rowOff>
        </xdr:to>
        <xdr:sp macro="" textlink="">
          <xdr:nvSpPr>
            <xdr:cNvPr id="155690" name="Check Box 42" hidden="1">
              <a:extLst>
                <a:ext uri="{63B3BB69-23CF-44E3-9099-C40C66FF867C}">
                  <a14:compatExt spid="_x0000_s155690"/>
                </a:ext>
                <a:ext uri="{FF2B5EF4-FFF2-40B4-BE49-F238E27FC236}">
                  <a16:creationId xmlns:a16="http://schemas.microsoft.com/office/drawing/2014/main" id="{00000000-0008-0000-2B00-00002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14</xdr:row>
          <xdr:rowOff>76200</xdr:rowOff>
        </xdr:from>
        <xdr:to>
          <xdr:col>21</xdr:col>
          <xdr:colOff>241300</xdr:colOff>
          <xdr:row>14</xdr:row>
          <xdr:rowOff>317500</xdr:rowOff>
        </xdr:to>
        <xdr:sp macro="" textlink="">
          <xdr:nvSpPr>
            <xdr:cNvPr id="155691" name="Check Box 43" hidden="1">
              <a:extLst>
                <a:ext uri="{63B3BB69-23CF-44E3-9099-C40C66FF867C}">
                  <a14:compatExt spid="_x0000_s155691"/>
                </a:ext>
                <a:ext uri="{FF2B5EF4-FFF2-40B4-BE49-F238E27FC236}">
                  <a16:creationId xmlns:a16="http://schemas.microsoft.com/office/drawing/2014/main" id="{00000000-0008-0000-2B00-00002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15</xdr:row>
          <xdr:rowOff>76200</xdr:rowOff>
        </xdr:from>
        <xdr:to>
          <xdr:col>21</xdr:col>
          <xdr:colOff>241300</xdr:colOff>
          <xdr:row>15</xdr:row>
          <xdr:rowOff>317500</xdr:rowOff>
        </xdr:to>
        <xdr:sp macro="" textlink="">
          <xdr:nvSpPr>
            <xdr:cNvPr id="155692" name="Check Box 44" hidden="1">
              <a:extLst>
                <a:ext uri="{63B3BB69-23CF-44E3-9099-C40C66FF867C}">
                  <a14:compatExt spid="_x0000_s155692"/>
                </a:ext>
                <a:ext uri="{FF2B5EF4-FFF2-40B4-BE49-F238E27FC236}">
                  <a16:creationId xmlns:a16="http://schemas.microsoft.com/office/drawing/2014/main" id="{00000000-0008-0000-2B00-00002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16</xdr:row>
          <xdr:rowOff>76200</xdr:rowOff>
        </xdr:from>
        <xdr:to>
          <xdr:col>21</xdr:col>
          <xdr:colOff>241300</xdr:colOff>
          <xdr:row>16</xdr:row>
          <xdr:rowOff>317500</xdr:rowOff>
        </xdr:to>
        <xdr:sp macro="" textlink="">
          <xdr:nvSpPr>
            <xdr:cNvPr id="155693" name="Check Box 45" hidden="1">
              <a:extLst>
                <a:ext uri="{63B3BB69-23CF-44E3-9099-C40C66FF867C}">
                  <a14:compatExt spid="_x0000_s155693"/>
                </a:ext>
                <a:ext uri="{FF2B5EF4-FFF2-40B4-BE49-F238E27FC236}">
                  <a16:creationId xmlns:a16="http://schemas.microsoft.com/office/drawing/2014/main" id="{00000000-0008-0000-2B00-00002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17</xdr:row>
          <xdr:rowOff>76200</xdr:rowOff>
        </xdr:from>
        <xdr:to>
          <xdr:col>21</xdr:col>
          <xdr:colOff>241300</xdr:colOff>
          <xdr:row>17</xdr:row>
          <xdr:rowOff>317500</xdr:rowOff>
        </xdr:to>
        <xdr:sp macro="" textlink="">
          <xdr:nvSpPr>
            <xdr:cNvPr id="155694" name="Check Box 46" hidden="1">
              <a:extLst>
                <a:ext uri="{63B3BB69-23CF-44E3-9099-C40C66FF867C}">
                  <a14:compatExt spid="_x0000_s155694"/>
                </a:ext>
                <a:ext uri="{FF2B5EF4-FFF2-40B4-BE49-F238E27FC236}">
                  <a16:creationId xmlns:a16="http://schemas.microsoft.com/office/drawing/2014/main" id="{00000000-0008-0000-2B00-00002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18</xdr:row>
          <xdr:rowOff>76200</xdr:rowOff>
        </xdr:from>
        <xdr:to>
          <xdr:col>21</xdr:col>
          <xdr:colOff>241300</xdr:colOff>
          <xdr:row>18</xdr:row>
          <xdr:rowOff>317500</xdr:rowOff>
        </xdr:to>
        <xdr:sp macro="" textlink="">
          <xdr:nvSpPr>
            <xdr:cNvPr id="155695" name="Check Box 47" hidden="1">
              <a:extLst>
                <a:ext uri="{63B3BB69-23CF-44E3-9099-C40C66FF867C}">
                  <a14:compatExt spid="_x0000_s155695"/>
                </a:ext>
                <a:ext uri="{FF2B5EF4-FFF2-40B4-BE49-F238E27FC236}">
                  <a16:creationId xmlns:a16="http://schemas.microsoft.com/office/drawing/2014/main" id="{00000000-0008-0000-2B00-00002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4</xdr:row>
          <xdr:rowOff>76200</xdr:rowOff>
        </xdr:from>
        <xdr:to>
          <xdr:col>35</xdr:col>
          <xdr:colOff>12700</xdr:colOff>
          <xdr:row>4</xdr:row>
          <xdr:rowOff>317500</xdr:rowOff>
        </xdr:to>
        <xdr:sp macro="" textlink="">
          <xdr:nvSpPr>
            <xdr:cNvPr id="155696" name="Check Box 48" hidden="1">
              <a:extLst>
                <a:ext uri="{63B3BB69-23CF-44E3-9099-C40C66FF867C}">
                  <a14:compatExt spid="_x0000_s155696"/>
                </a:ext>
                <a:ext uri="{FF2B5EF4-FFF2-40B4-BE49-F238E27FC236}">
                  <a16:creationId xmlns:a16="http://schemas.microsoft.com/office/drawing/2014/main" id="{00000000-0008-0000-2B00-00003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5</xdr:row>
          <xdr:rowOff>76200</xdr:rowOff>
        </xdr:from>
        <xdr:to>
          <xdr:col>35</xdr:col>
          <xdr:colOff>12700</xdr:colOff>
          <xdr:row>5</xdr:row>
          <xdr:rowOff>317500</xdr:rowOff>
        </xdr:to>
        <xdr:sp macro="" textlink="">
          <xdr:nvSpPr>
            <xdr:cNvPr id="155697" name="Check Box 49" hidden="1">
              <a:extLst>
                <a:ext uri="{63B3BB69-23CF-44E3-9099-C40C66FF867C}">
                  <a14:compatExt spid="_x0000_s155697"/>
                </a:ext>
                <a:ext uri="{FF2B5EF4-FFF2-40B4-BE49-F238E27FC236}">
                  <a16:creationId xmlns:a16="http://schemas.microsoft.com/office/drawing/2014/main" id="{00000000-0008-0000-2B00-00003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6</xdr:row>
          <xdr:rowOff>76200</xdr:rowOff>
        </xdr:from>
        <xdr:to>
          <xdr:col>35</xdr:col>
          <xdr:colOff>12700</xdr:colOff>
          <xdr:row>6</xdr:row>
          <xdr:rowOff>317500</xdr:rowOff>
        </xdr:to>
        <xdr:sp macro="" textlink="">
          <xdr:nvSpPr>
            <xdr:cNvPr id="155698" name="Check Box 50" hidden="1">
              <a:extLst>
                <a:ext uri="{63B3BB69-23CF-44E3-9099-C40C66FF867C}">
                  <a14:compatExt spid="_x0000_s155698"/>
                </a:ext>
                <a:ext uri="{FF2B5EF4-FFF2-40B4-BE49-F238E27FC236}">
                  <a16:creationId xmlns:a16="http://schemas.microsoft.com/office/drawing/2014/main" id="{00000000-0008-0000-2B00-00003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7</xdr:row>
          <xdr:rowOff>76200</xdr:rowOff>
        </xdr:from>
        <xdr:to>
          <xdr:col>35</xdr:col>
          <xdr:colOff>12700</xdr:colOff>
          <xdr:row>7</xdr:row>
          <xdr:rowOff>317500</xdr:rowOff>
        </xdr:to>
        <xdr:sp macro="" textlink="">
          <xdr:nvSpPr>
            <xdr:cNvPr id="155699" name="Check Box 51" hidden="1">
              <a:extLst>
                <a:ext uri="{63B3BB69-23CF-44E3-9099-C40C66FF867C}">
                  <a14:compatExt spid="_x0000_s155699"/>
                </a:ext>
                <a:ext uri="{FF2B5EF4-FFF2-40B4-BE49-F238E27FC236}">
                  <a16:creationId xmlns:a16="http://schemas.microsoft.com/office/drawing/2014/main" id="{00000000-0008-0000-2B00-00003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8</xdr:row>
          <xdr:rowOff>76200</xdr:rowOff>
        </xdr:from>
        <xdr:to>
          <xdr:col>35</xdr:col>
          <xdr:colOff>12700</xdr:colOff>
          <xdr:row>8</xdr:row>
          <xdr:rowOff>317500</xdr:rowOff>
        </xdr:to>
        <xdr:sp macro="" textlink="">
          <xdr:nvSpPr>
            <xdr:cNvPr id="155700" name="Check Box 52" hidden="1">
              <a:extLst>
                <a:ext uri="{63B3BB69-23CF-44E3-9099-C40C66FF867C}">
                  <a14:compatExt spid="_x0000_s155700"/>
                </a:ext>
                <a:ext uri="{FF2B5EF4-FFF2-40B4-BE49-F238E27FC236}">
                  <a16:creationId xmlns:a16="http://schemas.microsoft.com/office/drawing/2014/main" id="{00000000-0008-0000-2B00-00003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9</xdr:row>
          <xdr:rowOff>76200</xdr:rowOff>
        </xdr:from>
        <xdr:to>
          <xdr:col>35</xdr:col>
          <xdr:colOff>12700</xdr:colOff>
          <xdr:row>9</xdr:row>
          <xdr:rowOff>317500</xdr:rowOff>
        </xdr:to>
        <xdr:sp macro="" textlink="">
          <xdr:nvSpPr>
            <xdr:cNvPr id="155701" name="Check Box 53" hidden="1">
              <a:extLst>
                <a:ext uri="{63B3BB69-23CF-44E3-9099-C40C66FF867C}">
                  <a14:compatExt spid="_x0000_s155701"/>
                </a:ext>
                <a:ext uri="{FF2B5EF4-FFF2-40B4-BE49-F238E27FC236}">
                  <a16:creationId xmlns:a16="http://schemas.microsoft.com/office/drawing/2014/main" id="{00000000-0008-0000-2B00-00003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10</xdr:row>
          <xdr:rowOff>76200</xdr:rowOff>
        </xdr:from>
        <xdr:to>
          <xdr:col>35</xdr:col>
          <xdr:colOff>12700</xdr:colOff>
          <xdr:row>10</xdr:row>
          <xdr:rowOff>317500</xdr:rowOff>
        </xdr:to>
        <xdr:sp macro="" textlink="">
          <xdr:nvSpPr>
            <xdr:cNvPr id="155702" name="Check Box 54" hidden="1">
              <a:extLst>
                <a:ext uri="{63B3BB69-23CF-44E3-9099-C40C66FF867C}">
                  <a14:compatExt spid="_x0000_s155702"/>
                </a:ext>
                <a:ext uri="{FF2B5EF4-FFF2-40B4-BE49-F238E27FC236}">
                  <a16:creationId xmlns:a16="http://schemas.microsoft.com/office/drawing/2014/main" id="{00000000-0008-0000-2B00-00003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11</xdr:row>
          <xdr:rowOff>76200</xdr:rowOff>
        </xdr:from>
        <xdr:to>
          <xdr:col>35</xdr:col>
          <xdr:colOff>12700</xdr:colOff>
          <xdr:row>11</xdr:row>
          <xdr:rowOff>317500</xdr:rowOff>
        </xdr:to>
        <xdr:sp macro="" textlink="">
          <xdr:nvSpPr>
            <xdr:cNvPr id="155703" name="Check Box 55" hidden="1">
              <a:extLst>
                <a:ext uri="{63B3BB69-23CF-44E3-9099-C40C66FF867C}">
                  <a14:compatExt spid="_x0000_s155703"/>
                </a:ext>
                <a:ext uri="{FF2B5EF4-FFF2-40B4-BE49-F238E27FC236}">
                  <a16:creationId xmlns:a16="http://schemas.microsoft.com/office/drawing/2014/main" id="{00000000-0008-0000-2B00-00003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12</xdr:row>
          <xdr:rowOff>76200</xdr:rowOff>
        </xdr:from>
        <xdr:to>
          <xdr:col>35</xdr:col>
          <xdr:colOff>12700</xdr:colOff>
          <xdr:row>12</xdr:row>
          <xdr:rowOff>317500</xdr:rowOff>
        </xdr:to>
        <xdr:sp macro="" textlink="">
          <xdr:nvSpPr>
            <xdr:cNvPr id="155704" name="Check Box 56" hidden="1">
              <a:extLst>
                <a:ext uri="{63B3BB69-23CF-44E3-9099-C40C66FF867C}">
                  <a14:compatExt spid="_x0000_s155704"/>
                </a:ext>
                <a:ext uri="{FF2B5EF4-FFF2-40B4-BE49-F238E27FC236}">
                  <a16:creationId xmlns:a16="http://schemas.microsoft.com/office/drawing/2014/main" id="{00000000-0008-0000-2B00-00003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13</xdr:row>
          <xdr:rowOff>76200</xdr:rowOff>
        </xdr:from>
        <xdr:to>
          <xdr:col>35</xdr:col>
          <xdr:colOff>12700</xdr:colOff>
          <xdr:row>13</xdr:row>
          <xdr:rowOff>317500</xdr:rowOff>
        </xdr:to>
        <xdr:sp macro="" textlink="">
          <xdr:nvSpPr>
            <xdr:cNvPr id="155705" name="Check Box 57" hidden="1">
              <a:extLst>
                <a:ext uri="{63B3BB69-23CF-44E3-9099-C40C66FF867C}">
                  <a14:compatExt spid="_x0000_s155705"/>
                </a:ext>
                <a:ext uri="{FF2B5EF4-FFF2-40B4-BE49-F238E27FC236}">
                  <a16:creationId xmlns:a16="http://schemas.microsoft.com/office/drawing/2014/main" id="{00000000-0008-0000-2B00-00003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14</xdr:row>
          <xdr:rowOff>76200</xdr:rowOff>
        </xdr:from>
        <xdr:to>
          <xdr:col>35</xdr:col>
          <xdr:colOff>12700</xdr:colOff>
          <xdr:row>14</xdr:row>
          <xdr:rowOff>317500</xdr:rowOff>
        </xdr:to>
        <xdr:sp macro="" textlink="">
          <xdr:nvSpPr>
            <xdr:cNvPr id="155706" name="Check Box 58" hidden="1">
              <a:extLst>
                <a:ext uri="{63B3BB69-23CF-44E3-9099-C40C66FF867C}">
                  <a14:compatExt spid="_x0000_s155706"/>
                </a:ext>
                <a:ext uri="{FF2B5EF4-FFF2-40B4-BE49-F238E27FC236}">
                  <a16:creationId xmlns:a16="http://schemas.microsoft.com/office/drawing/2014/main" id="{00000000-0008-0000-2B00-00003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15</xdr:row>
          <xdr:rowOff>76200</xdr:rowOff>
        </xdr:from>
        <xdr:to>
          <xdr:col>35</xdr:col>
          <xdr:colOff>12700</xdr:colOff>
          <xdr:row>15</xdr:row>
          <xdr:rowOff>317500</xdr:rowOff>
        </xdr:to>
        <xdr:sp macro="" textlink="">
          <xdr:nvSpPr>
            <xdr:cNvPr id="155707" name="Check Box 59" hidden="1">
              <a:extLst>
                <a:ext uri="{63B3BB69-23CF-44E3-9099-C40C66FF867C}">
                  <a14:compatExt spid="_x0000_s155707"/>
                </a:ext>
                <a:ext uri="{FF2B5EF4-FFF2-40B4-BE49-F238E27FC236}">
                  <a16:creationId xmlns:a16="http://schemas.microsoft.com/office/drawing/2014/main" id="{00000000-0008-0000-2B00-00003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16</xdr:row>
          <xdr:rowOff>76200</xdr:rowOff>
        </xdr:from>
        <xdr:to>
          <xdr:col>35</xdr:col>
          <xdr:colOff>12700</xdr:colOff>
          <xdr:row>16</xdr:row>
          <xdr:rowOff>317500</xdr:rowOff>
        </xdr:to>
        <xdr:sp macro="" textlink="">
          <xdr:nvSpPr>
            <xdr:cNvPr id="155708" name="Check Box 60" hidden="1">
              <a:extLst>
                <a:ext uri="{63B3BB69-23CF-44E3-9099-C40C66FF867C}">
                  <a14:compatExt spid="_x0000_s155708"/>
                </a:ext>
                <a:ext uri="{FF2B5EF4-FFF2-40B4-BE49-F238E27FC236}">
                  <a16:creationId xmlns:a16="http://schemas.microsoft.com/office/drawing/2014/main" id="{00000000-0008-0000-2B00-00003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17</xdr:row>
          <xdr:rowOff>76200</xdr:rowOff>
        </xdr:from>
        <xdr:to>
          <xdr:col>35</xdr:col>
          <xdr:colOff>12700</xdr:colOff>
          <xdr:row>17</xdr:row>
          <xdr:rowOff>317500</xdr:rowOff>
        </xdr:to>
        <xdr:sp macro="" textlink="">
          <xdr:nvSpPr>
            <xdr:cNvPr id="155709" name="Check Box 61" hidden="1">
              <a:extLst>
                <a:ext uri="{63B3BB69-23CF-44E3-9099-C40C66FF867C}">
                  <a14:compatExt spid="_x0000_s155709"/>
                </a:ext>
                <a:ext uri="{FF2B5EF4-FFF2-40B4-BE49-F238E27FC236}">
                  <a16:creationId xmlns:a16="http://schemas.microsoft.com/office/drawing/2014/main" id="{00000000-0008-0000-2B00-00003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4</xdr:row>
          <xdr:rowOff>76200</xdr:rowOff>
        </xdr:from>
        <xdr:to>
          <xdr:col>38</xdr:col>
          <xdr:colOff>12700</xdr:colOff>
          <xdr:row>4</xdr:row>
          <xdr:rowOff>317500</xdr:rowOff>
        </xdr:to>
        <xdr:sp macro="" textlink="">
          <xdr:nvSpPr>
            <xdr:cNvPr id="155710" name="Check Box 62" hidden="1">
              <a:extLst>
                <a:ext uri="{63B3BB69-23CF-44E3-9099-C40C66FF867C}">
                  <a14:compatExt spid="_x0000_s155710"/>
                </a:ext>
                <a:ext uri="{FF2B5EF4-FFF2-40B4-BE49-F238E27FC236}">
                  <a16:creationId xmlns:a16="http://schemas.microsoft.com/office/drawing/2014/main" id="{00000000-0008-0000-2B00-00003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5</xdr:row>
          <xdr:rowOff>76200</xdr:rowOff>
        </xdr:from>
        <xdr:to>
          <xdr:col>38</xdr:col>
          <xdr:colOff>12700</xdr:colOff>
          <xdr:row>5</xdr:row>
          <xdr:rowOff>317500</xdr:rowOff>
        </xdr:to>
        <xdr:sp macro="" textlink="">
          <xdr:nvSpPr>
            <xdr:cNvPr id="155711" name="Check Box 63" hidden="1">
              <a:extLst>
                <a:ext uri="{63B3BB69-23CF-44E3-9099-C40C66FF867C}">
                  <a14:compatExt spid="_x0000_s155711"/>
                </a:ext>
                <a:ext uri="{FF2B5EF4-FFF2-40B4-BE49-F238E27FC236}">
                  <a16:creationId xmlns:a16="http://schemas.microsoft.com/office/drawing/2014/main" id="{00000000-0008-0000-2B00-00003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6</xdr:row>
          <xdr:rowOff>76200</xdr:rowOff>
        </xdr:from>
        <xdr:to>
          <xdr:col>38</xdr:col>
          <xdr:colOff>12700</xdr:colOff>
          <xdr:row>6</xdr:row>
          <xdr:rowOff>317500</xdr:rowOff>
        </xdr:to>
        <xdr:sp macro="" textlink="">
          <xdr:nvSpPr>
            <xdr:cNvPr id="155712" name="Check Box 64" hidden="1">
              <a:extLst>
                <a:ext uri="{63B3BB69-23CF-44E3-9099-C40C66FF867C}">
                  <a14:compatExt spid="_x0000_s155712"/>
                </a:ext>
                <a:ext uri="{FF2B5EF4-FFF2-40B4-BE49-F238E27FC236}">
                  <a16:creationId xmlns:a16="http://schemas.microsoft.com/office/drawing/2014/main" id="{00000000-0008-0000-2B00-00004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7</xdr:row>
          <xdr:rowOff>76200</xdr:rowOff>
        </xdr:from>
        <xdr:to>
          <xdr:col>38</xdr:col>
          <xdr:colOff>12700</xdr:colOff>
          <xdr:row>7</xdr:row>
          <xdr:rowOff>317500</xdr:rowOff>
        </xdr:to>
        <xdr:sp macro="" textlink="">
          <xdr:nvSpPr>
            <xdr:cNvPr id="155713" name="Check Box 65" hidden="1">
              <a:extLst>
                <a:ext uri="{63B3BB69-23CF-44E3-9099-C40C66FF867C}">
                  <a14:compatExt spid="_x0000_s155713"/>
                </a:ext>
                <a:ext uri="{FF2B5EF4-FFF2-40B4-BE49-F238E27FC236}">
                  <a16:creationId xmlns:a16="http://schemas.microsoft.com/office/drawing/2014/main" id="{00000000-0008-0000-2B00-00004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8</xdr:row>
          <xdr:rowOff>76200</xdr:rowOff>
        </xdr:from>
        <xdr:to>
          <xdr:col>38</xdr:col>
          <xdr:colOff>12700</xdr:colOff>
          <xdr:row>8</xdr:row>
          <xdr:rowOff>317500</xdr:rowOff>
        </xdr:to>
        <xdr:sp macro="" textlink="">
          <xdr:nvSpPr>
            <xdr:cNvPr id="155714" name="Check Box 66" hidden="1">
              <a:extLst>
                <a:ext uri="{63B3BB69-23CF-44E3-9099-C40C66FF867C}">
                  <a14:compatExt spid="_x0000_s155714"/>
                </a:ext>
                <a:ext uri="{FF2B5EF4-FFF2-40B4-BE49-F238E27FC236}">
                  <a16:creationId xmlns:a16="http://schemas.microsoft.com/office/drawing/2014/main" id="{00000000-0008-0000-2B00-00004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9</xdr:row>
          <xdr:rowOff>76200</xdr:rowOff>
        </xdr:from>
        <xdr:to>
          <xdr:col>38</xdr:col>
          <xdr:colOff>12700</xdr:colOff>
          <xdr:row>9</xdr:row>
          <xdr:rowOff>317500</xdr:rowOff>
        </xdr:to>
        <xdr:sp macro="" textlink="">
          <xdr:nvSpPr>
            <xdr:cNvPr id="155715" name="Check Box 67" hidden="1">
              <a:extLst>
                <a:ext uri="{63B3BB69-23CF-44E3-9099-C40C66FF867C}">
                  <a14:compatExt spid="_x0000_s155715"/>
                </a:ext>
                <a:ext uri="{FF2B5EF4-FFF2-40B4-BE49-F238E27FC236}">
                  <a16:creationId xmlns:a16="http://schemas.microsoft.com/office/drawing/2014/main" id="{00000000-0008-0000-2B00-00004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10</xdr:row>
          <xdr:rowOff>76200</xdr:rowOff>
        </xdr:from>
        <xdr:to>
          <xdr:col>38</xdr:col>
          <xdr:colOff>12700</xdr:colOff>
          <xdr:row>10</xdr:row>
          <xdr:rowOff>317500</xdr:rowOff>
        </xdr:to>
        <xdr:sp macro="" textlink="">
          <xdr:nvSpPr>
            <xdr:cNvPr id="155716" name="Check Box 68" hidden="1">
              <a:extLst>
                <a:ext uri="{63B3BB69-23CF-44E3-9099-C40C66FF867C}">
                  <a14:compatExt spid="_x0000_s155716"/>
                </a:ext>
                <a:ext uri="{FF2B5EF4-FFF2-40B4-BE49-F238E27FC236}">
                  <a16:creationId xmlns:a16="http://schemas.microsoft.com/office/drawing/2014/main" id="{00000000-0008-0000-2B00-00004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11</xdr:row>
          <xdr:rowOff>76200</xdr:rowOff>
        </xdr:from>
        <xdr:to>
          <xdr:col>38</xdr:col>
          <xdr:colOff>12700</xdr:colOff>
          <xdr:row>11</xdr:row>
          <xdr:rowOff>317500</xdr:rowOff>
        </xdr:to>
        <xdr:sp macro="" textlink="">
          <xdr:nvSpPr>
            <xdr:cNvPr id="155717" name="Check Box 69" hidden="1">
              <a:extLst>
                <a:ext uri="{63B3BB69-23CF-44E3-9099-C40C66FF867C}">
                  <a14:compatExt spid="_x0000_s155717"/>
                </a:ext>
                <a:ext uri="{FF2B5EF4-FFF2-40B4-BE49-F238E27FC236}">
                  <a16:creationId xmlns:a16="http://schemas.microsoft.com/office/drawing/2014/main" id="{00000000-0008-0000-2B00-00004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12</xdr:row>
          <xdr:rowOff>76200</xdr:rowOff>
        </xdr:from>
        <xdr:to>
          <xdr:col>38</xdr:col>
          <xdr:colOff>12700</xdr:colOff>
          <xdr:row>12</xdr:row>
          <xdr:rowOff>317500</xdr:rowOff>
        </xdr:to>
        <xdr:sp macro="" textlink="">
          <xdr:nvSpPr>
            <xdr:cNvPr id="155718" name="Check Box 70" hidden="1">
              <a:extLst>
                <a:ext uri="{63B3BB69-23CF-44E3-9099-C40C66FF867C}">
                  <a14:compatExt spid="_x0000_s155718"/>
                </a:ext>
                <a:ext uri="{FF2B5EF4-FFF2-40B4-BE49-F238E27FC236}">
                  <a16:creationId xmlns:a16="http://schemas.microsoft.com/office/drawing/2014/main" id="{00000000-0008-0000-2B00-00004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13</xdr:row>
          <xdr:rowOff>76200</xdr:rowOff>
        </xdr:from>
        <xdr:to>
          <xdr:col>38</xdr:col>
          <xdr:colOff>12700</xdr:colOff>
          <xdr:row>13</xdr:row>
          <xdr:rowOff>317500</xdr:rowOff>
        </xdr:to>
        <xdr:sp macro="" textlink="">
          <xdr:nvSpPr>
            <xdr:cNvPr id="155719" name="Check Box 71" hidden="1">
              <a:extLst>
                <a:ext uri="{63B3BB69-23CF-44E3-9099-C40C66FF867C}">
                  <a14:compatExt spid="_x0000_s155719"/>
                </a:ext>
                <a:ext uri="{FF2B5EF4-FFF2-40B4-BE49-F238E27FC236}">
                  <a16:creationId xmlns:a16="http://schemas.microsoft.com/office/drawing/2014/main" id="{00000000-0008-0000-2B00-00004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14</xdr:row>
          <xdr:rowOff>76200</xdr:rowOff>
        </xdr:from>
        <xdr:to>
          <xdr:col>38</xdr:col>
          <xdr:colOff>12700</xdr:colOff>
          <xdr:row>14</xdr:row>
          <xdr:rowOff>317500</xdr:rowOff>
        </xdr:to>
        <xdr:sp macro="" textlink="">
          <xdr:nvSpPr>
            <xdr:cNvPr id="155720" name="Check Box 72" hidden="1">
              <a:extLst>
                <a:ext uri="{63B3BB69-23CF-44E3-9099-C40C66FF867C}">
                  <a14:compatExt spid="_x0000_s155720"/>
                </a:ext>
                <a:ext uri="{FF2B5EF4-FFF2-40B4-BE49-F238E27FC236}">
                  <a16:creationId xmlns:a16="http://schemas.microsoft.com/office/drawing/2014/main" id="{00000000-0008-0000-2B00-00004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15</xdr:row>
          <xdr:rowOff>76200</xdr:rowOff>
        </xdr:from>
        <xdr:to>
          <xdr:col>38</xdr:col>
          <xdr:colOff>12700</xdr:colOff>
          <xdr:row>15</xdr:row>
          <xdr:rowOff>317500</xdr:rowOff>
        </xdr:to>
        <xdr:sp macro="" textlink="">
          <xdr:nvSpPr>
            <xdr:cNvPr id="155721" name="Check Box 73" hidden="1">
              <a:extLst>
                <a:ext uri="{63B3BB69-23CF-44E3-9099-C40C66FF867C}">
                  <a14:compatExt spid="_x0000_s155721"/>
                </a:ext>
                <a:ext uri="{FF2B5EF4-FFF2-40B4-BE49-F238E27FC236}">
                  <a16:creationId xmlns:a16="http://schemas.microsoft.com/office/drawing/2014/main" id="{00000000-0008-0000-2B00-00004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16</xdr:row>
          <xdr:rowOff>76200</xdr:rowOff>
        </xdr:from>
        <xdr:to>
          <xdr:col>38</xdr:col>
          <xdr:colOff>12700</xdr:colOff>
          <xdr:row>16</xdr:row>
          <xdr:rowOff>317500</xdr:rowOff>
        </xdr:to>
        <xdr:sp macro="" textlink="">
          <xdr:nvSpPr>
            <xdr:cNvPr id="155722" name="Check Box 74" hidden="1">
              <a:extLst>
                <a:ext uri="{63B3BB69-23CF-44E3-9099-C40C66FF867C}">
                  <a14:compatExt spid="_x0000_s155722"/>
                </a:ext>
                <a:ext uri="{FF2B5EF4-FFF2-40B4-BE49-F238E27FC236}">
                  <a16:creationId xmlns:a16="http://schemas.microsoft.com/office/drawing/2014/main" id="{00000000-0008-0000-2B00-00004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17</xdr:row>
          <xdr:rowOff>76200</xdr:rowOff>
        </xdr:from>
        <xdr:to>
          <xdr:col>38</xdr:col>
          <xdr:colOff>12700</xdr:colOff>
          <xdr:row>17</xdr:row>
          <xdr:rowOff>317500</xdr:rowOff>
        </xdr:to>
        <xdr:sp macro="" textlink="">
          <xdr:nvSpPr>
            <xdr:cNvPr id="155723" name="Check Box 75" hidden="1">
              <a:extLst>
                <a:ext uri="{63B3BB69-23CF-44E3-9099-C40C66FF867C}">
                  <a14:compatExt spid="_x0000_s155723"/>
                </a:ext>
                <a:ext uri="{FF2B5EF4-FFF2-40B4-BE49-F238E27FC236}">
                  <a16:creationId xmlns:a16="http://schemas.microsoft.com/office/drawing/2014/main" id="{00000000-0008-0000-2B00-00004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4</xdr:row>
          <xdr:rowOff>76200</xdr:rowOff>
        </xdr:from>
        <xdr:to>
          <xdr:col>41</xdr:col>
          <xdr:colOff>12700</xdr:colOff>
          <xdr:row>4</xdr:row>
          <xdr:rowOff>317500</xdr:rowOff>
        </xdr:to>
        <xdr:sp macro="" textlink="">
          <xdr:nvSpPr>
            <xdr:cNvPr id="155724" name="Check Box 76" hidden="1">
              <a:extLst>
                <a:ext uri="{63B3BB69-23CF-44E3-9099-C40C66FF867C}">
                  <a14:compatExt spid="_x0000_s155724"/>
                </a:ext>
                <a:ext uri="{FF2B5EF4-FFF2-40B4-BE49-F238E27FC236}">
                  <a16:creationId xmlns:a16="http://schemas.microsoft.com/office/drawing/2014/main" id="{00000000-0008-0000-2B00-00004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5</xdr:row>
          <xdr:rowOff>76200</xdr:rowOff>
        </xdr:from>
        <xdr:to>
          <xdr:col>41</xdr:col>
          <xdr:colOff>12700</xdr:colOff>
          <xdr:row>5</xdr:row>
          <xdr:rowOff>317500</xdr:rowOff>
        </xdr:to>
        <xdr:sp macro="" textlink="">
          <xdr:nvSpPr>
            <xdr:cNvPr id="155725" name="Check Box 77" hidden="1">
              <a:extLst>
                <a:ext uri="{63B3BB69-23CF-44E3-9099-C40C66FF867C}">
                  <a14:compatExt spid="_x0000_s155725"/>
                </a:ext>
                <a:ext uri="{FF2B5EF4-FFF2-40B4-BE49-F238E27FC236}">
                  <a16:creationId xmlns:a16="http://schemas.microsoft.com/office/drawing/2014/main" id="{00000000-0008-0000-2B00-00004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6</xdr:row>
          <xdr:rowOff>76200</xdr:rowOff>
        </xdr:from>
        <xdr:to>
          <xdr:col>41</xdr:col>
          <xdr:colOff>12700</xdr:colOff>
          <xdr:row>6</xdr:row>
          <xdr:rowOff>317500</xdr:rowOff>
        </xdr:to>
        <xdr:sp macro="" textlink="">
          <xdr:nvSpPr>
            <xdr:cNvPr id="155726" name="Check Box 78" hidden="1">
              <a:extLst>
                <a:ext uri="{63B3BB69-23CF-44E3-9099-C40C66FF867C}">
                  <a14:compatExt spid="_x0000_s155726"/>
                </a:ext>
                <a:ext uri="{FF2B5EF4-FFF2-40B4-BE49-F238E27FC236}">
                  <a16:creationId xmlns:a16="http://schemas.microsoft.com/office/drawing/2014/main" id="{00000000-0008-0000-2B00-00004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7</xdr:row>
          <xdr:rowOff>76200</xdr:rowOff>
        </xdr:from>
        <xdr:to>
          <xdr:col>41</xdr:col>
          <xdr:colOff>12700</xdr:colOff>
          <xdr:row>7</xdr:row>
          <xdr:rowOff>317500</xdr:rowOff>
        </xdr:to>
        <xdr:sp macro="" textlink="">
          <xdr:nvSpPr>
            <xdr:cNvPr id="155727" name="Check Box 79" hidden="1">
              <a:extLst>
                <a:ext uri="{63B3BB69-23CF-44E3-9099-C40C66FF867C}">
                  <a14:compatExt spid="_x0000_s155727"/>
                </a:ext>
                <a:ext uri="{FF2B5EF4-FFF2-40B4-BE49-F238E27FC236}">
                  <a16:creationId xmlns:a16="http://schemas.microsoft.com/office/drawing/2014/main" id="{00000000-0008-0000-2B00-00004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8</xdr:row>
          <xdr:rowOff>76200</xdr:rowOff>
        </xdr:from>
        <xdr:to>
          <xdr:col>41</xdr:col>
          <xdr:colOff>12700</xdr:colOff>
          <xdr:row>8</xdr:row>
          <xdr:rowOff>317500</xdr:rowOff>
        </xdr:to>
        <xdr:sp macro="" textlink="">
          <xdr:nvSpPr>
            <xdr:cNvPr id="155728" name="Check Box 80" hidden="1">
              <a:extLst>
                <a:ext uri="{63B3BB69-23CF-44E3-9099-C40C66FF867C}">
                  <a14:compatExt spid="_x0000_s155728"/>
                </a:ext>
                <a:ext uri="{FF2B5EF4-FFF2-40B4-BE49-F238E27FC236}">
                  <a16:creationId xmlns:a16="http://schemas.microsoft.com/office/drawing/2014/main" id="{00000000-0008-0000-2B00-00005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9</xdr:row>
          <xdr:rowOff>76200</xdr:rowOff>
        </xdr:from>
        <xdr:to>
          <xdr:col>41</xdr:col>
          <xdr:colOff>12700</xdr:colOff>
          <xdr:row>9</xdr:row>
          <xdr:rowOff>317500</xdr:rowOff>
        </xdr:to>
        <xdr:sp macro="" textlink="">
          <xdr:nvSpPr>
            <xdr:cNvPr id="155729" name="Check Box 81" hidden="1">
              <a:extLst>
                <a:ext uri="{63B3BB69-23CF-44E3-9099-C40C66FF867C}">
                  <a14:compatExt spid="_x0000_s155729"/>
                </a:ext>
                <a:ext uri="{FF2B5EF4-FFF2-40B4-BE49-F238E27FC236}">
                  <a16:creationId xmlns:a16="http://schemas.microsoft.com/office/drawing/2014/main" id="{00000000-0008-0000-2B00-00005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10</xdr:row>
          <xdr:rowOff>76200</xdr:rowOff>
        </xdr:from>
        <xdr:to>
          <xdr:col>41</xdr:col>
          <xdr:colOff>12700</xdr:colOff>
          <xdr:row>10</xdr:row>
          <xdr:rowOff>317500</xdr:rowOff>
        </xdr:to>
        <xdr:sp macro="" textlink="">
          <xdr:nvSpPr>
            <xdr:cNvPr id="155730" name="Check Box 82" hidden="1">
              <a:extLst>
                <a:ext uri="{63B3BB69-23CF-44E3-9099-C40C66FF867C}">
                  <a14:compatExt spid="_x0000_s155730"/>
                </a:ext>
                <a:ext uri="{FF2B5EF4-FFF2-40B4-BE49-F238E27FC236}">
                  <a16:creationId xmlns:a16="http://schemas.microsoft.com/office/drawing/2014/main" id="{00000000-0008-0000-2B00-00005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11</xdr:row>
          <xdr:rowOff>76200</xdr:rowOff>
        </xdr:from>
        <xdr:to>
          <xdr:col>41</xdr:col>
          <xdr:colOff>12700</xdr:colOff>
          <xdr:row>11</xdr:row>
          <xdr:rowOff>317500</xdr:rowOff>
        </xdr:to>
        <xdr:sp macro="" textlink="">
          <xdr:nvSpPr>
            <xdr:cNvPr id="155731" name="Check Box 83" hidden="1">
              <a:extLst>
                <a:ext uri="{63B3BB69-23CF-44E3-9099-C40C66FF867C}">
                  <a14:compatExt spid="_x0000_s155731"/>
                </a:ext>
                <a:ext uri="{FF2B5EF4-FFF2-40B4-BE49-F238E27FC236}">
                  <a16:creationId xmlns:a16="http://schemas.microsoft.com/office/drawing/2014/main" id="{00000000-0008-0000-2B00-00005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12</xdr:row>
          <xdr:rowOff>76200</xdr:rowOff>
        </xdr:from>
        <xdr:to>
          <xdr:col>41</xdr:col>
          <xdr:colOff>12700</xdr:colOff>
          <xdr:row>12</xdr:row>
          <xdr:rowOff>317500</xdr:rowOff>
        </xdr:to>
        <xdr:sp macro="" textlink="">
          <xdr:nvSpPr>
            <xdr:cNvPr id="155732" name="Check Box 84" hidden="1">
              <a:extLst>
                <a:ext uri="{63B3BB69-23CF-44E3-9099-C40C66FF867C}">
                  <a14:compatExt spid="_x0000_s155732"/>
                </a:ext>
                <a:ext uri="{FF2B5EF4-FFF2-40B4-BE49-F238E27FC236}">
                  <a16:creationId xmlns:a16="http://schemas.microsoft.com/office/drawing/2014/main" id="{00000000-0008-0000-2B00-00005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13</xdr:row>
          <xdr:rowOff>76200</xdr:rowOff>
        </xdr:from>
        <xdr:to>
          <xdr:col>41</xdr:col>
          <xdr:colOff>12700</xdr:colOff>
          <xdr:row>13</xdr:row>
          <xdr:rowOff>317500</xdr:rowOff>
        </xdr:to>
        <xdr:sp macro="" textlink="">
          <xdr:nvSpPr>
            <xdr:cNvPr id="155733" name="Check Box 85" hidden="1">
              <a:extLst>
                <a:ext uri="{63B3BB69-23CF-44E3-9099-C40C66FF867C}">
                  <a14:compatExt spid="_x0000_s155733"/>
                </a:ext>
                <a:ext uri="{FF2B5EF4-FFF2-40B4-BE49-F238E27FC236}">
                  <a16:creationId xmlns:a16="http://schemas.microsoft.com/office/drawing/2014/main" id="{00000000-0008-0000-2B00-00005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14</xdr:row>
          <xdr:rowOff>76200</xdr:rowOff>
        </xdr:from>
        <xdr:to>
          <xdr:col>41</xdr:col>
          <xdr:colOff>12700</xdr:colOff>
          <xdr:row>14</xdr:row>
          <xdr:rowOff>317500</xdr:rowOff>
        </xdr:to>
        <xdr:sp macro="" textlink="">
          <xdr:nvSpPr>
            <xdr:cNvPr id="155734" name="Check Box 86" hidden="1">
              <a:extLst>
                <a:ext uri="{63B3BB69-23CF-44E3-9099-C40C66FF867C}">
                  <a14:compatExt spid="_x0000_s155734"/>
                </a:ext>
                <a:ext uri="{FF2B5EF4-FFF2-40B4-BE49-F238E27FC236}">
                  <a16:creationId xmlns:a16="http://schemas.microsoft.com/office/drawing/2014/main" id="{00000000-0008-0000-2B00-00005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15</xdr:row>
          <xdr:rowOff>76200</xdr:rowOff>
        </xdr:from>
        <xdr:to>
          <xdr:col>41</xdr:col>
          <xdr:colOff>12700</xdr:colOff>
          <xdr:row>15</xdr:row>
          <xdr:rowOff>317500</xdr:rowOff>
        </xdr:to>
        <xdr:sp macro="" textlink="">
          <xdr:nvSpPr>
            <xdr:cNvPr id="155735" name="Check Box 87" hidden="1">
              <a:extLst>
                <a:ext uri="{63B3BB69-23CF-44E3-9099-C40C66FF867C}">
                  <a14:compatExt spid="_x0000_s155735"/>
                </a:ext>
                <a:ext uri="{FF2B5EF4-FFF2-40B4-BE49-F238E27FC236}">
                  <a16:creationId xmlns:a16="http://schemas.microsoft.com/office/drawing/2014/main" id="{00000000-0008-0000-2B00-00005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16</xdr:row>
          <xdr:rowOff>76200</xdr:rowOff>
        </xdr:from>
        <xdr:to>
          <xdr:col>41</xdr:col>
          <xdr:colOff>12700</xdr:colOff>
          <xdr:row>16</xdr:row>
          <xdr:rowOff>317500</xdr:rowOff>
        </xdr:to>
        <xdr:sp macro="" textlink="">
          <xdr:nvSpPr>
            <xdr:cNvPr id="155736" name="Check Box 88" hidden="1">
              <a:extLst>
                <a:ext uri="{63B3BB69-23CF-44E3-9099-C40C66FF867C}">
                  <a14:compatExt spid="_x0000_s155736"/>
                </a:ext>
                <a:ext uri="{FF2B5EF4-FFF2-40B4-BE49-F238E27FC236}">
                  <a16:creationId xmlns:a16="http://schemas.microsoft.com/office/drawing/2014/main" id="{00000000-0008-0000-2B00-00005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17</xdr:row>
          <xdr:rowOff>76200</xdr:rowOff>
        </xdr:from>
        <xdr:to>
          <xdr:col>41</xdr:col>
          <xdr:colOff>12700</xdr:colOff>
          <xdr:row>17</xdr:row>
          <xdr:rowOff>317500</xdr:rowOff>
        </xdr:to>
        <xdr:sp macro="" textlink="">
          <xdr:nvSpPr>
            <xdr:cNvPr id="155737" name="Check Box 89" hidden="1">
              <a:extLst>
                <a:ext uri="{63B3BB69-23CF-44E3-9099-C40C66FF867C}">
                  <a14:compatExt spid="_x0000_s155737"/>
                </a:ext>
                <a:ext uri="{FF2B5EF4-FFF2-40B4-BE49-F238E27FC236}">
                  <a16:creationId xmlns:a16="http://schemas.microsoft.com/office/drawing/2014/main" id="{00000000-0008-0000-2B00-00005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9</xdr:row>
          <xdr:rowOff>31750</xdr:rowOff>
        </xdr:from>
        <xdr:to>
          <xdr:col>5</xdr:col>
          <xdr:colOff>241300</xdr:colOff>
          <xdr:row>9</xdr:row>
          <xdr:rowOff>228600</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30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10</xdr:row>
          <xdr:rowOff>31750</xdr:rowOff>
        </xdr:from>
        <xdr:to>
          <xdr:col>5</xdr:col>
          <xdr:colOff>241300</xdr:colOff>
          <xdr:row>10</xdr:row>
          <xdr:rowOff>228600</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30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11</xdr:row>
          <xdr:rowOff>31750</xdr:rowOff>
        </xdr:from>
        <xdr:to>
          <xdr:col>5</xdr:col>
          <xdr:colOff>241300</xdr:colOff>
          <xdr:row>11</xdr:row>
          <xdr:rowOff>228600</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30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12</xdr:row>
          <xdr:rowOff>31750</xdr:rowOff>
        </xdr:from>
        <xdr:to>
          <xdr:col>5</xdr:col>
          <xdr:colOff>241300</xdr:colOff>
          <xdr:row>12</xdr:row>
          <xdr:rowOff>228600</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30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13</xdr:row>
          <xdr:rowOff>31750</xdr:rowOff>
        </xdr:from>
        <xdr:to>
          <xdr:col>5</xdr:col>
          <xdr:colOff>241300</xdr:colOff>
          <xdr:row>13</xdr:row>
          <xdr:rowOff>228600</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30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14</xdr:row>
          <xdr:rowOff>31750</xdr:rowOff>
        </xdr:from>
        <xdr:to>
          <xdr:col>5</xdr:col>
          <xdr:colOff>241300</xdr:colOff>
          <xdr:row>14</xdr:row>
          <xdr:rowOff>228600</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30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15</xdr:row>
          <xdr:rowOff>31750</xdr:rowOff>
        </xdr:from>
        <xdr:to>
          <xdr:col>5</xdr:col>
          <xdr:colOff>241300</xdr:colOff>
          <xdr:row>15</xdr:row>
          <xdr:rowOff>228600</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30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16</xdr:row>
          <xdr:rowOff>31750</xdr:rowOff>
        </xdr:from>
        <xdr:to>
          <xdr:col>5</xdr:col>
          <xdr:colOff>241300</xdr:colOff>
          <xdr:row>16</xdr:row>
          <xdr:rowOff>228600</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30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17</xdr:row>
          <xdr:rowOff>107950</xdr:rowOff>
        </xdr:from>
        <xdr:to>
          <xdr:col>5</xdr:col>
          <xdr:colOff>241300</xdr:colOff>
          <xdr:row>17</xdr:row>
          <xdr:rowOff>304800</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30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18</xdr:row>
          <xdr:rowOff>190500</xdr:rowOff>
        </xdr:from>
        <xdr:to>
          <xdr:col>5</xdr:col>
          <xdr:colOff>241300</xdr:colOff>
          <xdr:row>18</xdr:row>
          <xdr:rowOff>393700</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30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19</xdr:row>
          <xdr:rowOff>31750</xdr:rowOff>
        </xdr:from>
        <xdr:to>
          <xdr:col>5</xdr:col>
          <xdr:colOff>241300</xdr:colOff>
          <xdr:row>19</xdr:row>
          <xdr:rowOff>228600</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30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21</xdr:row>
          <xdr:rowOff>31750</xdr:rowOff>
        </xdr:from>
        <xdr:to>
          <xdr:col>5</xdr:col>
          <xdr:colOff>241300</xdr:colOff>
          <xdr:row>21</xdr:row>
          <xdr:rowOff>228600</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30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22</xdr:row>
          <xdr:rowOff>31750</xdr:rowOff>
        </xdr:from>
        <xdr:to>
          <xdr:col>5</xdr:col>
          <xdr:colOff>241300</xdr:colOff>
          <xdr:row>22</xdr:row>
          <xdr:rowOff>228600</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30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23</xdr:row>
          <xdr:rowOff>31750</xdr:rowOff>
        </xdr:from>
        <xdr:to>
          <xdr:col>5</xdr:col>
          <xdr:colOff>241300</xdr:colOff>
          <xdr:row>23</xdr:row>
          <xdr:rowOff>228600</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30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24</xdr:row>
          <xdr:rowOff>31750</xdr:rowOff>
        </xdr:from>
        <xdr:to>
          <xdr:col>5</xdr:col>
          <xdr:colOff>241300</xdr:colOff>
          <xdr:row>24</xdr:row>
          <xdr:rowOff>228600</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30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25</xdr:row>
          <xdr:rowOff>31750</xdr:rowOff>
        </xdr:from>
        <xdr:to>
          <xdr:col>5</xdr:col>
          <xdr:colOff>241300</xdr:colOff>
          <xdr:row>25</xdr:row>
          <xdr:rowOff>228600</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30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5</xdr:col>
          <xdr:colOff>241300</xdr:colOff>
          <xdr:row>3</xdr:row>
          <xdr:rowOff>260350</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31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5</xdr:row>
          <xdr:rowOff>31750</xdr:rowOff>
        </xdr:from>
        <xdr:to>
          <xdr:col>8</xdr:col>
          <xdr:colOff>184150</xdr:colOff>
          <xdr:row>5</xdr:row>
          <xdr:rowOff>228600</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31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50800</xdr:colOff>
          <xdr:row>5</xdr:row>
          <xdr:rowOff>31750</xdr:rowOff>
        </xdr:from>
        <xdr:to>
          <xdr:col>15</xdr:col>
          <xdr:colOff>241300</xdr:colOff>
          <xdr:row>5</xdr:row>
          <xdr:rowOff>228600</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31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50800</xdr:colOff>
          <xdr:row>5</xdr:row>
          <xdr:rowOff>31750</xdr:rowOff>
        </xdr:from>
        <xdr:to>
          <xdr:col>20</xdr:col>
          <xdr:colOff>241300</xdr:colOff>
          <xdr:row>5</xdr:row>
          <xdr:rowOff>228600</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31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50800</xdr:colOff>
          <xdr:row>5</xdr:row>
          <xdr:rowOff>31750</xdr:rowOff>
        </xdr:from>
        <xdr:to>
          <xdr:col>24</xdr:col>
          <xdr:colOff>241300</xdr:colOff>
          <xdr:row>5</xdr:row>
          <xdr:rowOff>228600</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31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6</xdr:row>
          <xdr:rowOff>31750</xdr:rowOff>
        </xdr:from>
        <xdr:to>
          <xdr:col>5</xdr:col>
          <xdr:colOff>241300</xdr:colOff>
          <xdr:row>6</xdr:row>
          <xdr:rowOff>228600</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31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7</xdr:row>
          <xdr:rowOff>38100</xdr:rowOff>
        </xdr:from>
        <xdr:to>
          <xdr:col>5</xdr:col>
          <xdr:colOff>241300</xdr:colOff>
          <xdr:row>7</xdr:row>
          <xdr:rowOff>241300</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31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8</xdr:row>
          <xdr:rowOff>50800</xdr:rowOff>
        </xdr:from>
        <xdr:to>
          <xdr:col>5</xdr:col>
          <xdr:colOff>241300</xdr:colOff>
          <xdr:row>8</xdr:row>
          <xdr:rowOff>260350</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31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9</xdr:row>
          <xdr:rowOff>50800</xdr:rowOff>
        </xdr:from>
        <xdr:to>
          <xdr:col>5</xdr:col>
          <xdr:colOff>241300</xdr:colOff>
          <xdr:row>9</xdr:row>
          <xdr:rowOff>260350</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31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21</xdr:row>
          <xdr:rowOff>50800</xdr:rowOff>
        </xdr:from>
        <xdr:to>
          <xdr:col>5</xdr:col>
          <xdr:colOff>241300</xdr:colOff>
          <xdr:row>21</xdr:row>
          <xdr:rowOff>260350</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31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22</xdr:row>
          <xdr:rowOff>50800</xdr:rowOff>
        </xdr:from>
        <xdr:to>
          <xdr:col>5</xdr:col>
          <xdr:colOff>241300</xdr:colOff>
          <xdr:row>22</xdr:row>
          <xdr:rowOff>260350</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31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42</xdr:row>
          <xdr:rowOff>69850</xdr:rowOff>
        </xdr:from>
        <xdr:to>
          <xdr:col>5</xdr:col>
          <xdr:colOff>241300</xdr:colOff>
          <xdr:row>44</xdr:row>
          <xdr:rowOff>12700</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31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2</xdr:row>
          <xdr:rowOff>50800</xdr:rowOff>
        </xdr:from>
        <xdr:to>
          <xdr:col>5</xdr:col>
          <xdr:colOff>260350</xdr:colOff>
          <xdr:row>4</xdr:row>
          <xdr:rowOff>12700</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32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4</xdr:row>
          <xdr:rowOff>190500</xdr:rowOff>
        </xdr:from>
        <xdr:to>
          <xdr:col>5</xdr:col>
          <xdr:colOff>260350</xdr:colOff>
          <xdr:row>6</xdr:row>
          <xdr:rowOff>12700</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32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31750</xdr:colOff>
          <xdr:row>21</xdr:row>
          <xdr:rowOff>31750</xdr:rowOff>
        </xdr:from>
        <xdr:to>
          <xdr:col>8</xdr:col>
          <xdr:colOff>222250</xdr:colOff>
          <xdr:row>21</xdr:row>
          <xdr:rowOff>241300</xdr:rowOff>
        </xdr:to>
        <xdr:sp macro="" textlink="">
          <xdr:nvSpPr>
            <xdr:cNvPr id="217089" name="Check Box 1" hidden="1">
              <a:extLst>
                <a:ext uri="{63B3BB69-23CF-44E3-9099-C40C66FF867C}">
                  <a14:compatExt spid="_x0000_s217089"/>
                </a:ext>
                <a:ext uri="{FF2B5EF4-FFF2-40B4-BE49-F238E27FC236}">
                  <a16:creationId xmlns:a16="http://schemas.microsoft.com/office/drawing/2014/main" id="{00000000-0008-0000-3300-00000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22</xdr:row>
          <xdr:rowOff>31750</xdr:rowOff>
        </xdr:from>
        <xdr:to>
          <xdr:col>8</xdr:col>
          <xdr:colOff>222250</xdr:colOff>
          <xdr:row>22</xdr:row>
          <xdr:rowOff>241300</xdr:rowOff>
        </xdr:to>
        <xdr:sp macro="" textlink="">
          <xdr:nvSpPr>
            <xdr:cNvPr id="217090" name="Check Box 2" hidden="1">
              <a:extLst>
                <a:ext uri="{63B3BB69-23CF-44E3-9099-C40C66FF867C}">
                  <a14:compatExt spid="_x0000_s217090"/>
                </a:ext>
                <a:ext uri="{FF2B5EF4-FFF2-40B4-BE49-F238E27FC236}">
                  <a16:creationId xmlns:a16="http://schemas.microsoft.com/office/drawing/2014/main" id="{00000000-0008-0000-3300-00000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23</xdr:row>
          <xdr:rowOff>31750</xdr:rowOff>
        </xdr:from>
        <xdr:to>
          <xdr:col>8</xdr:col>
          <xdr:colOff>222250</xdr:colOff>
          <xdr:row>23</xdr:row>
          <xdr:rowOff>241300</xdr:rowOff>
        </xdr:to>
        <xdr:sp macro="" textlink="">
          <xdr:nvSpPr>
            <xdr:cNvPr id="217091" name="Check Box 3" hidden="1">
              <a:extLst>
                <a:ext uri="{63B3BB69-23CF-44E3-9099-C40C66FF867C}">
                  <a14:compatExt spid="_x0000_s217091"/>
                </a:ext>
                <a:ext uri="{FF2B5EF4-FFF2-40B4-BE49-F238E27FC236}">
                  <a16:creationId xmlns:a16="http://schemas.microsoft.com/office/drawing/2014/main" id="{00000000-0008-0000-3300-00000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25</xdr:row>
          <xdr:rowOff>31750</xdr:rowOff>
        </xdr:from>
        <xdr:to>
          <xdr:col>8</xdr:col>
          <xdr:colOff>222250</xdr:colOff>
          <xdr:row>25</xdr:row>
          <xdr:rowOff>241300</xdr:rowOff>
        </xdr:to>
        <xdr:sp macro="" textlink="">
          <xdr:nvSpPr>
            <xdr:cNvPr id="217092" name="Check Box 4" hidden="1">
              <a:extLst>
                <a:ext uri="{63B3BB69-23CF-44E3-9099-C40C66FF867C}">
                  <a14:compatExt spid="_x0000_s217092"/>
                </a:ext>
                <a:ext uri="{FF2B5EF4-FFF2-40B4-BE49-F238E27FC236}">
                  <a16:creationId xmlns:a16="http://schemas.microsoft.com/office/drawing/2014/main" id="{00000000-0008-0000-3300-00000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26</xdr:row>
          <xdr:rowOff>31750</xdr:rowOff>
        </xdr:from>
        <xdr:to>
          <xdr:col>8</xdr:col>
          <xdr:colOff>222250</xdr:colOff>
          <xdr:row>26</xdr:row>
          <xdr:rowOff>241300</xdr:rowOff>
        </xdr:to>
        <xdr:sp macro="" textlink="">
          <xdr:nvSpPr>
            <xdr:cNvPr id="217093" name="Check Box 5" hidden="1">
              <a:extLst>
                <a:ext uri="{63B3BB69-23CF-44E3-9099-C40C66FF867C}">
                  <a14:compatExt spid="_x0000_s217093"/>
                </a:ext>
                <a:ext uri="{FF2B5EF4-FFF2-40B4-BE49-F238E27FC236}">
                  <a16:creationId xmlns:a16="http://schemas.microsoft.com/office/drawing/2014/main" id="{00000000-0008-0000-3300-00000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27</xdr:row>
          <xdr:rowOff>31750</xdr:rowOff>
        </xdr:from>
        <xdr:to>
          <xdr:col>8</xdr:col>
          <xdr:colOff>222250</xdr:colOff>
          <xdr:row>27</xdr:row>
          <xdr:rowOff>241300</xdr:rowOff>
        </xdr:to>
        <xdr:sp macro="" textlink="">
          <xdr:nvSpPr>
            <xdr:cNvPr id="217094" name="Check Box 6" hidden="1">
              <a:extLst>
                <a:ext uri="{63B3BB69-23CF-44E3-9099-C40C66FF867C}">
                  <a14:compatExt spid="_x0000_s217094"/>
                </a:ext>
                <a:ext uri="{FF2B5EF4-FFF2-40B4-BE49-F238E27FC236}">
                  <a16:creationId xmlns:a16="http://schemas.microsoft.com/office/drawing/2014/main" id="{00000000-0008-0000-3300-00000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28</xdr:row>
          <xdr:rowOff>50800</xdr:rowOff>
        </xdr:from>
        <xdr:to>
          <xdr:col>5</xdr:col>
          <xdr:colOff>222250</xdr:colOff>
          <xdr:row>28</xdr:row>
          <xdr:rowOff>260350</xdr:rowOff>
        </xdr:to>
        <xdr:sp macro="" textlink="">
          <xdr:nvSpPr>
            <xdr:cNvPr id="217095" name="Check Box 7" hidden="1">
              <a:extLst>
                <a:ext uri="{63B3BB69-23CF-44E3-9099-C40C66FF867C}">
                  <a14:compatExt spid="_x0000_s217095"/>
                </a:ext>
                <a:ext uri="{FF2B5EF4-FFF2-40B4-BE49-F238E27FC236}">
                  <a16:creationId xmlns:a16="http://schemas.microsoft.com/office/drawing/2014/main" id="{00000000-0008-0000-3300-00000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29</xdr:row>
          <xdr:rowOff>50800</xdr:rowOff>
        </xdr:from>
        <xdr:to>
          <xdr:col>5</xdr:col>
          <xdr:colOff>222250</xdr:colOff>
          <xdr:row>29</xdr:row>
          <xdr:rowOff>260350</xdr:rowOff>
        </xdr:to>
        <xdr:sp macro="" textlink="">
          <xdr:nvSpPr>
            <xdr:cNvPr id="217096" name="Check Box 8" hidden="1">
              <a:extLst>
                <a:ext uri="{63B3BB69-23CF-44E3-9099-C40C66FF867C}">
                  <a14:compatExt spid="_x0000_s217096"/>
                </a:ext>
                <a:ext uri="{FF2B5EF4-FFF2-40B4-BE49-F238E27FC236}">
                  <a16:creationId xmlns:a16="http://schemas.microsoft.com/office/drawing/2014/main" id="{00000000-0008-0000-3300-00000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30</xdr:row>
          <xdr:rowOff>50800</xdr:rowOff>
        </xdr:from>
        <xdr:to>
          <xdr:col>5</xdr:col>
          <xdr:colOff>222250</xdr:colOff>
          <xdr:row>30</xdr:row>
          <xdr:rowOff>260350</xdr:rowOff>
        </xdr:to>
        <xdr:sp macro="" textlink="">
          <xdr:nvSpPr>
            <xdr:cNvPr id="217097" name="Check Box 9" hidden="1">
              <a:extLst>
                <a:ext uri="{63B3BB69-23CF-44E3-9099-C40C66FF867C}">
                  <a14:compatExt spid="_x0000_s217097"/>
                </a:ext>
                <a:ext uri="{FF2B5EF4-FFF2-40B4-BE49-F238E27FC236}">
                  <a16:creationId xmlns:a16="http://schemas.microsoft.com/office/drawing/2014/main" id="{00000000-0008-0000-3300-00000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21</xdr:row>
          <xdr:rowOff>31750</xdr:rowOff>
        </xdr:from>
        <xdr:to>
          <xdr:col>20</xdr:col>
          <xdr:colOff>222250</xdr:colOff>
          <xdr:row>21</xdr:row>
          <xdr:rowOff>241300</xdr:rowOff>
        </xdr:to>
        <xdr:sp macro="" textlink="">
          <xdr:nvSpPr>
            <xdr:cNvPr id="217098" name="Check Box 10" hidden="1">
              <a:extLst>
                <a:ext uri="{63B3BB69-23CF-44E3-9099-C40C66FF867C}">
                  <a14:compatExt spid="_x0000_s217098"/>
                </a:ext>
                <a:ext uri="{FF2B5EF4-FFF2-40B4-BE49-F238E27FC236}">
                  <a16:creationId xmlns:a16="http://schemas.microsoft.com/office/drawing/2014/main" id="{00000000-0008-0000-3300-00000A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22</xdr:row>
          <xdr:rowOff>31750</xdr:rowOff>
        </xdr:from>
        <xdr:to>
          <xdr:col>20</xdr:col>
          <xdr:colOff>222250</xdr:colOff>
          <xdr:row>22</xdr:row>
          <xdr:rowOff>241300</xdr:rowOff>
        </xdr:to>
        <xdr:sp macro="" textlink="">
          <xdr:nvSpPr>
            <xdr:cNvPr id="217099" name="Check Box 11" hidden="1">
              <a:extLst>
                <a:ext uri="{63B3BB69-23CF-44E3-9099-C40C66FF867C}">
                  <a14:compatExt spid="_x0000_s217099"/>
                </a:ext>
                <a:ext uri="{FF2B5EF4-FFF2-40B4-BE49-F238E27FC236}">
                  <a16:creationId xmlns:a16="http://schemas.microsoft.com/office/drawing/2014/main" id="{00000000-0008-0000-3300-00000B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25</xdr:row>
          <xdr:rowOff>31750</xdr:rowOff>
        </xdr:from>
        <xdr:to>
          <xdr:col>20</xdr:col>
          <xdr:colOff>222250</xdr:colOff>
          <xdr:row>25</xdr:row>
          <xdr:rowOff>241300</xdr:rowOff>
        </xdr:to>
        <xdr:sp macro="" textlink="">
          <xdr:nvSpPr>
            <xdr:cNvPr id="217100" name="Check Box 12" hidden="1">
              <a:extLst>
                <a:ext uri="{63B3BB69-23CF-44E3-9099-C40C66FF867C}">
                  <a14:compatExt spid="_x0000_s217100"/>
                </a:ext>
                <a:ext uri="{FF2B5EF4-FFF2-40B4-BE49-F238E27FC236}">
                  <a16:creationId xmlns:a16="http://schemas.microsoft.com/office/drawing/2014/main" id="{00000000-0008-0000-3300-00000C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26</xdr:row>
          <xdr:rowOff>31750</xdr:rowOff>
        </xdr:from>
        <xdr:to>
          <xdr:col>20</xdr:col>
          <xdr:colOff>222250</xdr:colOff>
          <xdr:row>26</xdr:row>
          <xdr:rowOff>241300</xdr:rowOff>
        </xdr:to>
        <xdr:sp macro="" textlink="">
          <xdr:nvSpPr>
            <xdr:cNvPr id="217101" name="Check Box 13" hidden="1">
              <a:extLst>
                <a:ext uri="{63B3BB69-23CF-44E3-9099-C40C66FF867C}">
                  <a14:compatExt spid="_x0000_s217101"/>
                </a:ext>
                <a:ext uri="{FF2B5EF4-FFF2-40B4-BE49-F238E27FC236}">
                  <a16:creationId xmlns:a16="http://schemas.microsoft.com/office/drawing/2014/main" id="{00000000-0008-0000-3300-00000D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35</xdr:row>
          <xdr:rowOff>31750</xdr:rowOff>
        </xdr:from>
        <xdr:to>
          <xdr:col>15</xdr:col>
          <xdr:colOff>222250</xdr:colOff>
          <xdr:row>35</xdr:row>
          <xdr:rowOff>241300</xdr:rowOff>
        </xdr:to>
        <xdr:sp macro="" textlink="">
          <xdr:nvSpPr>
            <xdr:cNvPr id="217102" name="Check Box 14" hidden="1">
              <a:extLst>
                <a:ext uri="{63B3BB69-23CF-44E3-9099-C40C66FF867C}">
                  <a14:compatExt spid="_x0000_s217102"/>
                </a:ext>
                <a:ext uri="{FF2B5EF4-FFF2-40B4-BE49-F238E27FC236}">
                  <a16:creationId xmlns:a16="http://schemas.microsoft.com/office/drawing/2014/main" id="{00000000-0008-0000-3300-00000E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35</xdr:row>
          <xdr:rowOff>31750</xdr:rowOff>
        </xdr:from>
        <xdr:to>
          <xdr:col>18</xdr:col>
          <xdr:colOff>222250</xdr:colOff>
          <xdr:row>35</xdr:row>
          <xdr:rowOff>241300</xdr:rowOff>
        </xdr:to>
        <xdr:sp macro="" textlink="">
          <xdr:nvSpPr>
            <xdr:cNvPr id="217103" name="Check Box 15" hidden="1">
              <a:extLst>
                <a:ext uri="{63B3BB69-23CF-44E3-9099-C40C66FF867C}">
                  <a14:compatExt spid="_x0000_s217103"/>
                </a:ext>
                <a:ext uri="{FF2B5EF4-FFF2-40B4-BE49-F238E27FC236}">
                  <a16:creationId xmlns:a16="http://schemas.microsoft.com/office/drawing/2014/main" id="{00000000-0008-0000-3300-00000F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35</xdr:row>
          <xdr:rowOff>31750</xdr:rowOff>
        </xdr:from>
        <xdr:to>
          <xdr:col>21</xdr:col>
          <xdr:colOff>222250</xdr:colOff>
          <xdr:row>35</xdr:row>
          <xdr:rowOff>241300</xdr:rowOff>
        </xdr:to>
        <xdr:sp macro="" textlink="">
          <xdr:nvSpPr>
            <xdr:cNvPr id="217104" name="Check Box 16" hidden="1">
              <a:extLst>
                <a:ext uri="{63B3BB69-23CF-44E3-9099-C40C66FF867C}">
                  <a14:compatExt spid="_x0000_s217104"/>
                </a:ext>
                <a:ext uri="{FF2B5EF4-FFF2-40B4-BE49-F238E27FC236}">
                  <a16:creationId xmlns:a16="http://schemas.microsoft.com/office/drawing/2014/main" id="{00000000-0008-0000-3300-000010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37</xdr:row>
          <xdr:rowOff>31750</xdr:rowOff>
        </xdr:from>
        <xdr:to>
          <xdr:col>21</xdr:col>
          <xdr:colOff>222250</xdr:colOff>
          <xdr:row>37</xdr:row>
          <xdr:rowOff>241300</xdr:rowOff>
        </xdr:to>
        <xdr:sp macro="" textlink="">
          <xdr:nvSpPr>
            <xdr:cNvPr id="217105" name="Check Box 17" hidden="1">
              <a:extLst>
                <a:ext uri="{63B3BB69-23CF-44E3-9099-C40C66FF867C}">
                  <a14:compatExt spid="_x0000_s217105"/>
                </a:ext>
                <a:ext uri="{FF2B5EF4-FFF2-40B4-BE49-F238E27FC236}">
                  <a16:creationId xmlns:a16="http://schemas.microsoft.com/office/drawing/2014/main" id="{00000000-0008-0000-3300-00001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37</xdr:row>
          <xdr:rowOff>31750</xdr:rowOff>
        </xdr:from>
        <xdr:to>
          <xdr:col>18</xdr:col>
          <xdr:colOff>222250</xdr:colOff>
          <xdr:row>37</xdr:row>
          <xdr:rowOff>241300</xdr:rowOff>
        </xdr:to>
        <xdr:sp macro="" textlink="">
          <xdr:nvSpPr>
            <xdr:cNvPr id="217106" name="Check Box 18" hidden="1">
              <a:extLst>
                <a:ext uri="{63B3BB69-23CF-44E3-9099-C40C66FF867C}">
                  <a14:compatExt spid="_x0000_s217106"/>
                </a:ext>
                <a:ext uri="{FF2B5EF4-FFF2-40B4-BE49-F238E27FC236}">
                  <a16:creationId xmlns:a16="http://schemas.microsoft.com/office/drawing/2014/main" id="{00000000-0008-0000-3300-00001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37</xdr:row>
          <xdr:rowOff>31750</xdr:rowOff>
        </xdr:from>
        <xdr:to>
          <xdr:col>15</xdr:col>
          <xdr:colOff>222250</xdr:colOff>
          <xdr:row>37</xdr:row>
          <xdr:rowOff>241300</xdr:rowOff>
        </xdr:to>
        <xdr:sp macro="" textlink="">
          <xdr:nvSpPr>
            <xdr:cNvPr id="217107" name="Check Box 19" hidden="1">
              <a:extLst>
                <a:ext uri="{63B3BB69-23CF-44E3-9099-C40C66FF867C}">
                  <a14:compatExt spid="_x0000_s217107"/>
                </a:ext>
                <a:ext uri="{FF2B5EF4-FFF2-40B4-BE49-F238E27FC236}">
                  <a16:creationId xmlns:a16="http://schemas.microsoft.com/office/drawing/2014/main" id="{00000000-0008-0000-3300-00001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35</xdr:row>
          <xdr:rowOff>31750</xdr:rowOff>
        </xdr:from>
        <xdr:to>
          <xdr:col>24</xdr:col>
          <xdr:colOff>222250</xdr:colOff>
          <xdr:row>35</xdr:row>
          <xdr:rowOff>241300</xdr:rowOff>
        </xdr:to>
        <xdr:sp macro="" textlink="">
          <xdr:nvSpPr>
            <xdr:cNvPr id="217108" name="Check Box 20" hidden="1">
              <a:extLst>
                <a:ext uri="{63B3BB69-23CF-44E3-9099-C40C66FF867C}">
                  <a14:compatExt spid="_x0000_s217108"/>
                </a:ext>
                <a:ext uri="{FF2B5EF4-FFF2-40B4-BE49-F238E27FC236}">
                  <a16:creationId xmlns:a16="http://schemas.microsoft.com/office/drawing/2014/main" id="{00000000-0008-0000-3300-00001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37</xdr:row>
          <xdr:rowOff>31750</xdr:rowOff>
        </xdr:from>
        <xdr:to>
          <xdr:col>24</xdr:col>
          <xdr:colOff>222250</xdr:colOff>
          <xdr:row>37</xdr:row>
          <xdr:rowOff>241300</xdr:rowOff>
        </xdr:to>
        <xdr:sp macro="" textlink="">
          <xdr:nvSpPr>
            <xdr:cNvPr id="217109" name="Check Box 21" hidden="1">
              <a:extLst>
                <a:ext uri="{63B3BB69-23CF-44E3-9099-C40C66FF867C}">
                  <a14:compatExt spid="_x0000_s217109"/>
                </a:ext>
                <a:ext uri="{FF2B5EF4-FFF2-40B4-BE49-F238E27FC236}">
                  <a16:creationId xmlns:a16="http://schemas.microsoft.com/office/drawing/2014/main" id="{00000000-0008-0000-3300-00001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35</xdr:row>
          <xdr:rowOff>31750</xdr:rowOff>
        </xdr:from>
        <xdr:to>
          <xdr:col>27</xdr:col>
          <xdr:colOff>222250</xdr:colOff>
          <xdr:row>35</xdr:row>
          <xdr:rowOff>241300</xdr:rowOff>
        </xdr:to>
        <xdr:sp macro="" textlink="">
          <xdr:nvSpPr>
            <xdr:cNvPr id="217110" name="Check Box 22" hidden="1">
              <a:extLst>
                <a:ext uri="{63B3BB69-23CF-44E3-9099-C40C66FF867C}">
                  <a14:compatExt spid="_x0000_s217110"/>
                </a:ext>
                <a:ext uri="{FF2B5EF4-FFF2-40B4-BE49-F238E27FC236}">
                  <a16:creationId xmlns:a16="http://schemas.microsoft.com/office/drawing/2014/main" id="{00000000-0008-0000-3300-00001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37</xdr:row>
          <xdr:rowOff>31750</xdr:rowOff>
        </xdr:from>
        <xdr:to>
          <xdr:col>27</xdr:col>
          <xdr:colOff>222250</xdr:colOff>
          <xdr:row>37</xdr:row>
          <xdr:rowOff>241300</xdr:rowOff>
        </xdr:to>
        <xdr:sp macro="" textlink="">
          <xdr:nvSpPr>
            <xdr:cNvPr id="217111" name="Check Box 23" hidden="1">
              <a:extLst>
                <a:ext uri="{63B3BB69-23CF-44E3-9099-C40C66FF867C}">
                  <a14:compatExt spid="_x0000_s217111"/>
                </a:ext>
                <a:ext uri="{FF2B5EF4-FFF2-40B4-BE49-F238E27FC236}">
                  <a16:creationId xmlns:a16="http://schemas.microsoft.com/office/drawing/2014/main" id="{00000000-0008-0000-3300-00001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35</xdr:row>
          <xdr:rowOff>31750</xdr:rowOff>
        </xdr:from>
        <xdr:to>
          <xdr:col>30</xdr:col>
          <xdr:colOff>222250</xdr:colOff>
          <xdr:row>35</xdr:row>
          <xdr:rowOff>241300</xdr:rowOff>
        </xdr:to>
        <xdr:sp macro="" textlink="">
          <xdr:nvSpPr>
            <xdr:cNvPr id="217112" name="Check Box 24" hidden="1">
              <a:extLst>
                <a:ext uri="{63B3BB69-23CF-44E3-9099-C40C66FF867C}">
                  <a14:compatExt spid="_x0000_s217112"/>
                </a:ext>
                <a:ext uri="{FF2B5EF4-FFF2-40B4-BE49-F238E27FC236}">
                  <a16:creationId xmlns:a16="http://schemas.microsoft.com/office/drawing/2014/main" id="{00000000-0008-0000-3300-00001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37</xdr:row>
          <xdr:rowOff>31750</xdr:rowOff>
        </xdr:from>
        <xdr:to>
          <xdr:col>30</xdr:col>
          <xdr:colOff>222250</xdr:colOff>
          <xdr:row>37</xdr:row>
          <xdr:rowOff>241300</xdr:rowOff>
        </xdr:to>
        <xdr:sp macro="" textlink="">
          <xdr:nvSpPr>
            <xdr:cNvPr id="217113" name="Check Box 25" hidden="1">
              <a:extLst>
                <a:ext uri="{63B3BB69-23CF-44E3-9099-C40C66FF867C}">
                  <a14:compatExt spid="_x0000_s217113"/>
                </a:ext>
                <a:ext uri="{FF2B5EF4-FFF2-40B4-BE49-F238E27FC236}">
                  <a16:creationId xmlns:a16="http://schemas.microsoft.com/office/drawing/2014/main" id="{00000000-0008-0000-3300-00001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6</xdr:col>
          <xdr:colOff>31750</xdr:colOff>
          <xdr:row>3</xdr:row>
          <xdr:rowOff>260350</xdr:rowOff>
        </xdr:to>
        <xdr:sp macro="" textlink="">
          <xdr:nvSpPr>
            <xdr:cNvPr id="218113" name="Check Box 1" hidden="1">
              <a:extLst>
                <a:ext uri="{63B3BB69-23CF-44E3-9099-C40C66FF867C}">
                  <a14:compatExt spid="_x0000_s218113"/>
                </a:ext>
                <a:ext uri="{FF2B5EF4-FFF2-40B4-BE49-F238E27FC236}">
                  <a16:creationId xmlns:a16="http://schemas.microsoft.com/office/drawing/2014/main" id="{00000000-0008-0000-3400-0000015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6</xdr:row>
          <xdr:rowOff>50800</xdr:rowOff>
        </xdr:from>
        <xdr:to>
          <xdr:col>5</xdr:col>
          <xdr:colOff>260350</xdr:colOff>
          <xdr:row>6</xdr:row>
          <xdr:rowOff>260350</xdr:rowOff>
        </xdr:to>
        <xdr:sp macro="" textlink="">
          <xdr:nvSpPr>
            <xdr:cNvPr id="219137" name="Check Box 1" hidden="1">
              <a:extLst>
                <a:ext uri="{63B3BB69-23CF-44E3-9099-C40C66FF867C}">
                  <a14:compatExt spid="_x0000_s219137"/>
                </a:ext>
                <a:ext uri="{FF2B5EF4-FFF2-40B4-BE49-F238E27FC236}">
                  <a16:creationId xmlns:a16="http://schemas.microsoft.com/office/drawing/2014/main" id="{00000000-0008-0000-3500-00000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6</xdr:row>
          <xdr:rowOff>304800</xdr:rowOff>
        </xdr:from>
        <xdr:to>
          <xdr:col>5</xdr:col>
          <xdr:colOff>260350</xdr:colOff>
          <xdr:row>8</xdr:row>
          <xdr:rowOff>12700</xdr:rowOff>
        </xdr:to>
        <xdr:sp macro="" textlink="">
          <xdr:nvSpPr>
            <xdr:cNvPr id="219138" name="Check Box 2" hidden="1">
              <a:extLst>
                <a:ext uri="{63B3BB69-23CF-44E3-9099-C40C66FF867C}">
                  <a14:compatExt spid="_x0000_s219138"/>
                </a:ext>
                <a:ext uri="{FF2B5EF4-FFF2-40B4-BE49-F238E27FC236}">
                  <a16:creationId xmlns:a16="http://schemas.microsoft.com/office/drawing/2014/main" id="{00000000-0008-0000-3500-00000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8</xdr:row>
          <xdr:rowOff>190500</xdr:rowOff>
        </xdr:from>
        <xdr:to>
          <xdr:col>5</xdr:col>
          <xdr:colOff>260350</xdr:colOff>
          <xdr:row>10</xdr:row>
          <xdr:rowOff>12700</xdr:rowOff>
        </xdr:to>
        <xdr:sp macro="" textlink="">
          <xdr:nvSpPr>
            <xdr:cNvPr id="219139" name="Check Box 3" hidden="1">
              <a:extLst>
                <a:ext uri="{63B3BB69-23CF-44E3-9099-C40C66FF867C}">
                  <a14:compatExt spid="_x0000_s219139"/>
                </a:ext>
                <a:ext uri="{FF2B5EF4-FFF2-40B4-BE49-F238E27FC236}">
                  <a16:creationId xmlns:a16="http://schemas.microsoft.com/office/drawing/2014/main" id="{00000000-0008-0000-3500-00000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12700</xdr:rowOff>
        </xdr:from>
        <xdr:to>
          <xdr:col>5</xdr:col>
          <xdr:colOff>260350</xdr:colOff>
          <xdr:row>12</xdr:row>
          <xdr:rowOff>31750</xdr:rowOff>
        </xdr:to>
        <xdr:sp macro="" textlink="">
          <xdr:nvSpPr>
            <xdr:cNvPr id="219140" name="Check Box 4" hidden="1">
              <a:extLst>
                <a:ext uri="{63B3BB69-23CF-44E3-9099-C40C66FF867C}">
                  <a14:compatExt spid="_x0000_s219140"/>
                </a:ext>
                <a:ext uri="{FF2B5EF4-FFF2-40B4-BE49-F238E27FC236}">
                  <a16:creationId xmlns:a16="http://schemas.microsoft.com/office/drawing/2014/main" id="{00000000-0008-0000-3500-00000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12</xdr:row>
          <xdr:rowOff>190500</xdr:rowOff>
        </xdr:from>
        <xdr:to>
          <xdr:col>5</xdr:col>
          <xdr:colOff>260350</xdr:colOff>
          <xdr:row>14</xdr:row>
          <xdr:rowOff>12700</xdr:rowOff>
        </xdr:to>
        <xdr:sp macro="" textlink="">
          <xdr:nvSpPr>
            <xdr:cNvPr id="219141" name="Check Box 5" hidden="1">
              <a:extLst>
                <a:ext uri="{63B3BB69-23CF-44E3-9099-C40C66FF867C}">
                  <a14:compatExt spid="_x0000_s219141"/>
                </a:ext>
                <a:ext uri="{FF2B5EF4-FFF2-40B4-BE49-F238E27FC236}">
                  <a16:creationId xmlns:a16="http://schemas.microsoft.com/office/drawing/2014/main" id="{00000000-0008-0000-3500-00000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17</xdr:row>
          <xdr:rowOff>31750</xdr:rowOff>
        </xdr:from>
        <xdr:to>
          <xdr:col>5</xdr:col>
          <xdr:colOff>260350</xdr:colOff>
          <xdr:row>17</xdr:row>
          <xdr:rowOff>241300</xdr:rowOff>
        </xdr:to>
        <xdr:sp macro="" textlink="">
          <xdr:nvSpPr>
            <xdr:cNvPr id="219142" name="Check Box 6" hidden="1">
              <a:extLst>
                <a:ext uri="{63B3BB69-23CF-44E3-9099-C40C66FF867C}">
                  <a14:compatExt spid="_x0000_s219142"/>
                </a:ext>
                <a:ext uri="{FF2B5EF4-FFF2-40B4-BE49-F238E27FC236}">
                  <a16:creationId xmlns:a16="http://schemas.microsoft.com/office/drawing/2014/main" id="{00000000-0008-0000-3500-00000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18</xdr:row>
          <xdr:rowOff>31750</xdr:rowOff>
        </xdr:from>
        <xdr:to>
          <xdr:col>5</xdr:col>
          <xdr:colOff>260350</xdr:colOff>
          <xdr:row>18</xdr:row>
          <xdr:rowOff>241300</xdr:rowOff>
        </xdr:to>
        <xdr:sp macro="" textlink="">
          <xdr:nvSpPr>
            <xdr:cNvPr id="219143" name="Check Box 7" hidden="1">
              <a:extLst>
                <a:ext uri="{63B3BB69-23CF-44E3-9099-C40C66FF867C}">
                  <a14:compatExt spid="_x0000_s219143"/>
                </a:ext>
                <a:ext uri="{FF2B5EF4-FFF2-40B4-BE49-F238E27FC236}">
                  <a16:creationId xmlns:a16="http://schemas.microsoft.com/office/drawing/2014/main" id="{00000000-0008-0000-3500-00000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19</xdr:row>
          <xdr:rowOff>31750</xdr:rowOff>
        </xdr:from>
        <xdr:to>
          <xdr:col>5</xdr:col>
          <xdr:colOff>260350</xdr:colOff>
          <xdr:row>19</xdr:row>
          <xdr:rowOff>241300</xdr:rowOff>
        </xdr:to>
        <xdr:sp macro="" textlink="">
          <xdr:nvSpPr>
            <xdr:cNvPr id="219144" name="Check Box 8" hidden="1">
              <a:extLst>
                <a:ext uri="{63B3BB69-23CF-44E3-9099-C40C66FF867C}">
                  <a14:compatExt spid="_x0000_s219144"/>
                </a:ext>
                <a:ext uri="{FF2B5EF4-FFF2-40B4-BE49-F238E27FC236}">
                  <a16:creationId xmlns:a16="http://schemas.microsoft.com/office/drawing/2014/main" id="{00000000-0008-0000-3500-00000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20</xdr:row>
          <xdr:rowOff>31750</xdr:rowOff>
        </xdr:from>
        <xdr:to>
          <xdr:col>5</xdr:col>
          <xdr:colOff>260350</xdr:colOff>
          <xdr:row>20</xdr:row>
          <xdr:rowOff>241300</xdr:rowOff>
        </xdr:to>
        <xdr:sp macro="" textlink="">
          <xdr:nvSpPr>
            <xdr:cNvPr id="219145" name="Check Box 9" hidden="1">
              <a:extLst>
                <a:ext uri="{63B3BB69-23CF-44E3-9099-C40C66FF867C}">
                  <a14:compatExt spid="_x0000_s219145"/>
                </a:ext>
                <a:ext uri="{FF2B5EF4-FFF2-40B4-BE49-F238E27FC236}">
                  <a16:creationId xmlns:a16="http://schemas.microsoft.com/office/drawing/2014/main" id="{00000000-0008-0000-3500-00000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21</xdr:row>
          <xdr:rowOff>31750</xdr:rowOff>
        </xdr:from>
        <xdr:to>
          <xdr:col>5</xdr:col>
          <xdr:colOff>260350</xdr:colOff>
          <xdr:row>21</xdr:row>
          <xdr:rowOff>241300</xdr:rowOff>
        </xdr:to>
        <xdr:sp macro="" textlink="">
          <xdr:nvSpPr>
            <xdr:cNvPr id="219146" name="Check Box 10" hidden="1">
              <a:extLst>
                <a:ext uri="{63B3BB69-23CF-44E3-9099-C40C66FF867C}">
                  <a14:compatExt spid="_x0000_s219146"/>
                </a:ext>
                <a:ext uri="{FF2B5EF4-FFF2-40B4-BE49-F238E27FC236}">
                  <a16:creationId xmlns:a16="http://schemas.microsoft.com/office/drawing/2014/main" id="{00000000-0008-0000-3500-00000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25</xdr:row>
          <xdr:rowOff>12700</xdr:rowOff>
        </xdr:from>
        <xdr:to>
          <xdr:col>5</xdr:col>
          <xdr:colOff>260350</xdr:colOff>
          <xdr:row>26</xdr:row>
          <xdr:rowOff>12700</xdr:rowOff>
        </xdr:to>
        <xdr:sp macro="" textlink="">
          <xdr:nvSpPr>
            <xdr:cNvPr id="219147" name="Check Box 11" hidden="1">
              <a:extLst>
                <a:ext uri="{63B3BB69-23CF-44E3-9099-C40C66FF867C}">
                  <a14:compatExt spid="_x0000_s219147"/>
                </a:ext>
                <a:ext uri="{FF2B5EF4-FFF2-40B4-BE49-F238E27FC236}">
                  <a16:creationId xmlns:a16="http://schemas.microsoft.com/office/drawing/2014/main" id="{00000000-0008-0000-3500-00000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27</xdr:row>
          <xdr:rowOff>12700</xdr:rowOff>
        </xdr:from>
        <xdr:to>
          <xdr:col>5</xdr:col>
          <xdr:colOff>260350</xdr:colOff>
          <xdr:row>28</xdr:row>
          <xdr:rowOff>12700</xdr:rowOff>
        </xdr:to>
        <xdr:sp macro="" textlink="">
          <xdr:nvSpPr>
            <xdr:cNvPr id="219148" name="Check Box 12" hidden="1">
              <a:extLst>
                <a:ext uri="{63B3BB69-23CF-44E3-9099-C40C66FF867C}">
                  <a14:compatExt spid="_x0000_s219148"/>
                </a:ext>
                <a:ext uri="{FF2B5EF4-FFF2-40B4-BE49-F238E27FC236}">
                  <a16:creationId xmlns:a16="http://schemas.microsoft.com/office/drawing/2014/main" id="{00000000-0008-0000-3500-00000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28</xdr:row>
          <xdr:rowOff>12700</xdr:rowOff>
        </xdr:from>
        <xdr:to>
          <xdr:col>5</xdr:col>
          <xdr:colOff>260350</xdr:colOff>
          <xdr:row>29</xdr:row>
          <xdr:rowOff>12700</xdr:rowOff>
        </xdr:to>
        <xdr:sp macro="" textlink="">
          <xdr:nvSpPr>
            <xdr:cNvPr id="219149" name="Check Box 13" hidden="1">
              <a:extLst>
                <a:ext uri="{63B3BB69-23CF-44E3-9099-C40C66FF867C}">
                  <a14:compatExt spid="_x0000_s219149"/>
                </a:ext>
                <a:ext uri="{FF2B5EF4-FFF2-40B4-BE49-F238E27FC236}">
                  <a16:creationId xmlns:a16="http://schemas.microsoft.com/office/drawing/2014/main" id="{00000000-0008-0000-3500-00000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30</xdr:row>
          <xdr:rowOff>12700</xdr:rowOff>
        </xdr:from>
        <xdr:to>
          <xdr:col>5</xdr:col>
          <xdr:colOff>260350</xdr:colOff>
          <xdr:row>31</xdr:row>
          <xdr:rowOff>12700</xdr:rowOff>
        </xdr:to>
        <xdr:sp macro="" textlink="">
          <xdr:nvSpPr>
            <xdr:cNvPr id="219150" name="Check Box 14" hidden="1">
              <a:extLst>
                <a:ext uri="{63B3BB69-23CF-44E3-9099-C40C66FF867C}">
                  <a14:compatExt spid="_x0000_s219150"/>
                </a:ext>
                <a:ext uri="{FF2B5EF4-FFF2-40B4-BE49-F238E27FC236}">
                  <a16:creationId xmlns:a16="http://schemas.microsoft.com/office/drawing/2014/main" id="{00000000-0008-0000-3500-00000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32</xdr:row>
          <xdr:rowOff>12700</xdr:rowOff>
        </xdr:from>
        <xdr:to>
          <xdr:col>5</xdr:col>
          <xdr:colOff>260350</xdr:colOff>
          <xdr:row>33</xdr:row>
          <xdr:rowOff>12700</xdr:rowOff>
        </xdr:to>
        <xdr:sp macro="" textlink="">
          <xdr:nvSpPr>
            <xdr:cNvPr id="219151" name="Check Box 15" hidden="1">
              <a:extLst>
                <a:ext uri="{63B3BB69-23CF-44E3-9099-C40C66FF867C}">
                  <a14:compatExt spid="_x0000_s219151"/>
                </a:ext>
                <a:ext uri="{FF2B5EF4-FFF2-40B4-BE49-F238E27FC236}">
                  <a16:creationId xmlns:a16="http://schemas.microsoft.com/office/drawing/2014/main" id="{00000000-0008-0000-3500-00000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33</xdr:row>
          <xdr:rowOff>12700</xdr:rowOff>
        </xdr:from>
        <xdr:to>
          <xdr:col>5</xdr:col>
          <xdr:colOff>260350</xdr:colOff>
          <xdr:row>34</xdr:row>
          <xdr:rowOff>12700</xdr:rowOff>
        </xdr:to>
        <xdr:sp macro="" textlink="">
          <xdr:nvSpPr>
            <xdr:cNvPr id="219152" name="Check Box 16" hidden="1">
              <a:extLst>
                <a:ext uri="{63B3BB69-23CF-44E3-9099-C40C66FF867C}">
                  <a14:compatExt spid="_x0000_s219152"/>
                </a:ext>
                <a:ext uri="{FF2B5EF4-FFF2-40B4-BE49-F238E27FC236}">
                  <a16:creationId xmlns:a16="http://schemas.microsoft.com/office/drawing/2014/main" id="{00000000-0008-0000-3500-00001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35</xdr:row>
          <xdr:rowOff>12700</xdr:rowOff>
        </xdr:from>
        <xdr:to>
          <xdr:col>5</xdr:col>
          <xdr:colOff>260350</xdr:colOff>
          <xdr:row>36</xdr:row>
          <xdr:rowOff>12700</xdr:rowOff>
        </xdr:to>
        <xdr:sp macro="" textlink="">
          <xdr:nvSpPr>
            <xdr:cNvPr id="219153" name="Check Box 17" hidden="1">
              <a:extLst>
                <a:ext uri="{63B3BB69-23CF-44E3-9099-C40C66FF867C}">
                  <a14:compatExt spid="_x0000_s219153"/>
                </a:ext>
                <a:ext uri="{FF2B5EF4-FFF2-40B4-BE49-F238E27FC236}">
                  <a16:creationId xmlns:a16="http://schemas.microsoft.com/office/drawing/2014/main" id="{00000000-0008-0000-3500-00001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38</xdr:row>
          <xdr:rowOff>12700</xdr:rowOff>
        </xdr:from>
        <xdr:to>
          <xdr:col>5</xdr:col>
          <xdr:colOff>260350</xdr:colOff>
          <xdr:row>39</xdr:row>
          <xdr:rowOff>12700</xdr:rowOff>
        </xdr:to>
        <xdr:sp macro="" textlink="">
          <xdr:nvSpPr>
            <xdr:cNvPr id="219154" name="Check Box 18" hidden="1">
              <a:extLst>
                <a:ext uri="{63B3BB69-23CF-44E3-9099-C40C66FF867C}">
                  <a14:compatExt spid="_x0000_s219154"/>
                </a:ext>
                <a:ext uri="{FF2B5EF4-FFF2-40B4-BE49-F238E27FC236}">
                  <a16:creationId xmlns:a16="http://schemas.microsoft.com/office/drawing/2014/main" id="{00000000-0008-0000-3500-00001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41</xdr:row>
          <xdr:rowOff>12700</xdr:rowOff>
        </xdr:from>
        <xdr:to>
          <xdr:col>5</xdr:col>
          <xdr:colOff>260350</xdr:colOff>
          <xdr:row>42</xdr:row>
          <xdr:rowOff>12700</xdr:rowOff>
        </xdr:to>
        <xdr:sp macro="" textlink="">
          <xdr:nvSpPr>
            <xdr:cNvPr id="219155" name="Check Box 19" hidden="1">
              <a:extLst>
                <a:ext uri="{63B3BB69-23CF-44E3-9099-C40C66FF867C}">
                  <a14:compatExt spid="_x0000_s219155"/>
                </a:ext>
                <a:ext uri="{FF2B5EF4-FFF2-40B4-BE49-F238E27FC236}">
                  <a16:creationId xmlns:a16="http://schemas.microsoft.com/office/drawing/2014/main" id="{00000000-0008-0000-3500-00001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45</xdr:row>
          <xdr:rowOff>12700</xdr:rowOff>
        </xdr:from>
        <xdr:to>
          <xdr:col>5</xdr:col>
          <xdr:colOff>260350</xdr:colOff>
          <xdr:row>46</xdr:row>
          <xdr:rowOff>31750</xdr:rowOff>
        </xdr:to>
        <xdr:sp macro="" textlink="">
          <xdr:nvSpPr>
            <xdr:cNvPr id="219156" name="Check Box 20" hidden="1">
              <a:extLst>
                <a:ext uri="{63B3BB69-23CF-44E3-9099-C40C66FF867C}">
                  <a14:compatExt spid="_x0000_s219156"/>
                </a:ext>
                <a:ext uri="{FF2B5EF4-FFF2-40B4-BE49-F238E27FC236}">
                  <a16:creationId xmlns:a16="http://schemas.microsoft.com/office/drawing/2014/main" id="{00000000-0008-0000-3500-00001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47</xdr:row>
          <xdr:rowOff>12700</xdr:rowOff>
        </xdr:from>
        <xdr:to>
          <xdr:col>5</xdr:col>
          <xdr:colOff>260350</xdr:colOff>
          <xdr:row>48</xdr:row>
          <xdr:rowOff>31750</xdr:rowOff>
        </xdr:to>
        <xdr:sp macro="" textlink="">
          <xdr:nvSpPr>
            <xdr:cNvPr id="219157" name="Check Box 21" hidden="1">
              <a:extLst>
                <a:ext uri="{63B3BB69-23CF-44E3-9099-C40C66FF867C}">
                  <a14:compatExt spid="_x0000_s219157"/>
                </a:ext>
                <a:ext uri="{FF2B5EF4-FFF2-40B4-BE49-F238E27FC236}">
                  <a16:creationId xmlns:a16="http://schemas.microsoft.com/office/drawing/2014/main" id="{00000000-0008-0000-3500-00001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49</xdr:row>
          <xdr:rowOff>31750</xdr:rowOff>
        </xdr:from>
        <xdr:to>
          <xdr:col>5</xdr:col>
          <xdr:colOff>260350</xdr:colOff>
          <xdr:row>49</xdr:row>
          <xdr:rowOff>241300</xdr:rowOff>
        </xdr:to>
        <xdr:sp macro="" textlink="">
          <xdr:nvSpPr>
            <xdr:cNvPr id="219158" name="Check Box 22" hidden="1">
              <a:extLst>
                <a:ext uri="{63B3BB69-23CF-44E3-9099-C40C66FF867C}">
                  <a14:compatExt spid="_x0000_s219158"/>
                </a:ext>
                <a:ext uri="{FF2B5EF4-FFF2-40B4-BE49-F238E27FC236}">
                  <a16:creationId xmlns:a16="http://schemas.microsoft.com/office/drawing/2014/main" id="{00000000-0008-0000-3500-00001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50</xdr:row>
          <xdr:rowOff>31750</xdr:rowOff>
        </xdr:from>
        <xdr:to>
          <xdr:col>5</xdr:col>
          <xdr:colOff>260350</xdr:colOff>
          <xdr:row>50</xdr:row>
          <xdr:rowOff>241300</xdr:rowOff>
        </xdr:to>
        <xdr:sp macro="" textlink="">
          <xdr:nvSpPr>
            <xdr:cNvPr id="219159" name="Check Box 23" hidden="1">
              <a:extLst>
                <a:ext uri="{63B3BB69-23CF-44E3-9099-C40C66FF867C}">
                  <a14:compatExt spid="_x0000_s219159"/>
                </a:ext>
                <a:ext uri="{FF2B5EF4-FFF2-40B4-BE49-F238E27FC236}">
                  <a16:creationId xmlns:a16="http://schemas.microsoft.com/office/drawing/2014/main" id="{00000000-0008-0000-3500-00001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51</xdr:row>
          <xdr:rowOff>31750</xdr:rowOff>
        </xdr:from>
        <xdr:to>
          <xdr:col>5</xdr:col>
          <xdr:colOff>260350</xdr:colOff>
          <xdr:row>51</xdr:row>
          <xdr:rowOff>241300</xdr:rowOff>
        </xdr:to>
        <xdr:sp macro="" textlink="">
          <xdr:nvSpPr>
            <xdr:cNvPr id="219160" name="Check Box 24" hidden="1">
              <a:extLst>
                <a:ext uri="{63B3BB69-23CF-44E3-9099-C40C66FF867C}">
                  <a14:compatExt spid="_x0000_s219160"/>
                </a:ext>
                <a:ext uri="{FF2B5EF4-FFF2-40B4-BE49-F238E27FC236}">
                  <a16:creationId xmlns:a16="http://schemas.microsoft.com/office/drawing/2014/main" id="{00000000-0008-0000-3500-00001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52</xdr:row>
          <xdr:rowOff>31750</xdr:rowOff>
        </xdr:from>
        <xdr:to>
          <xdr:col>5</xdr:col>
          <xdr:colOff>260350</xdr:colOff>
          <xdr:row>52</xdr:row>
          <xdr:rowOff>241300</xdr:rowOff>
        </xdr:to>
        <xdr:sp macro="" textlink="">
          <xdr:nvSpPr>
            <xdr:cNvPr id="219161" name="Check Box 25" hidden="1">
              <a:extLst>
                <a:ext uri="{63B3BB69-23CF-44E3-9099-C40C66FF867C}">
                  <a14:compatExt spid="_x0000_s219161"/>
                </a:ext>
                <a:ext uri="{FF2B5EF4-FFF2-40B4-BE49-F238E27FC236}">
                  <a16:creationId xmlns:a16="http://schemas.microsoft.com/office/drawing/2014/main" id="{00000000-0008-0000-3500-00001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53</xdr:row>
          <xdr:rowOff>31750</xdr:rowOff>
        </xdr:from>
        <xdr:to>
          <xdr:col>5</xdr:col>
          <xdr:colOff>260350</xdr:colOff>
          <xdr:row>53</xdr:row>
          <xdr:rowOff>241300</xdr:rowOff>
        </xdr:to>
        <xdr:sp macro="" textlink="">
          <xdr:nvSpPr>
            <xdr:cNvPr id="219162" name="Check Box 26" hidden="1">
              <a:extLst>
                <a:ext uri="{63B3BB69-23CF-44E3-9099-C40C66FF867C}">
                  <a14:compatExt spid="_x0000_s219162"/>
                </a:ext>
                <a:ext uri="{FF2B5EF4-FFF2-40B4-BE49-F238E27FC236}">
                  <a16:creationId xmlns:a16="http://schemas.microsoft.com/office/drawing/2014/main" id="{00000000-0008-0000-3500-00001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17</xdr:row>
          <xdr:rowOff>31750</xdr:rowOff>
        </xdr:from>
        <xdr:to>
          <xdr:col>11</xdr:col>
          <xdr:colOff>260350</xdr:colOff>
          <xdr:row>17</xdr:row>
          <xdr:rowOff>241300</xdr:rowOff>
        </xdr:to>
        <xdr:sp macro="" textlink="">
          <xdr:nvSpPr>
            <xdr:cNvPr id="219163" name="Check Box 27" hidden="1">
              <a:extLst>
                <a:ext uri="{63B3BB69-23CF-44E3-9099-C40C66FF867C}">
                  <a14:compatExt spid="_x0000_s219163"/>
                </a:ext>
                <a:ext uri="{FF2B5EF4-FFF2-40B4-BE49-F238E27FC236}">
                  <a16:creationId xmlns:a16="http://schemas.microsoft.com/office/drawing/2014/main" id="{00000000-0008-0000-3500-00001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18</xdr:row>
          <xdr:rowOff>31750</xdr:rowOff>
        </xdr:from>
        <xdr:to>
          <xdr:col>11</xdr:col>
          <xdr:colOff>260350</xdr:colOff>
          <xdr:row>18</xdr:row>
          <xdr:rowOff>241300</xdr:rowOff>
        </xdr:to>
        <xdr:sp macro="" textlink="">
          <xdr:nvSpPr>
            <xdr:cNvPr id="219164" name="Check Box 28" hidden="1">
              <a:extLst>
                <a:ext uri="{63B3BB69-23CF-44E3-9099-C40C66FF867C}">
                  <a14:compatExt spid="_x0000_s219164"/>
                </a:ext>
                <a:ext uri="{FF2B5EF4-FFF2-40B4-BE49-F238E27FC236}">
                  <a16:creationId xmlns:a16="http://schemas.microsoft.com/office/drawing/2014/main" id="{00000000-0008-0000-3500-00001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19</xdr:row>
          <xdr:rowOff>31750</xdr:rowOff>
        </xdr:from>
        <xdr:to>
          <xdr:col>11</xdr:col>
          <xdr:colOff>260350</xdr:colOff>
          <xdr:row>19</xdr:row>
          <xdr:rowOff>241300</xdr:rowOff>
        </xdr:to>
        <xdr:sp macro="" textlink="">
          <xdr:nvSpPr>
            <xdr:cNvPr id="219165" name="Check Box 29" hidden="1">
              <a:extLst>
                <a:ext uri="{63B3BB69-23CF-44E3-9099-C40C66FF867C}">
                  <a14:compatExt spid="_x0000_s219165"/>
                </a:ext>
                <a:ext uri="{FF2B5EF4-FFF2-40B4-BE49-F238E27FC236}">
                  <a16:creationId xmlns:a16="http://schemas.microsoft.com/office/drawing/2014/main" id="{00000000-0008-0000-3500-00001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20</xdr:row>
          <xdr:rowOff>31750</xdr:rowOff>
        </xdr:from>
        <xdr:to>
          <xdr:col>11</xdr:col>
          <xdr:colOff>260350</xdr:colOff>
          <xdr:row>20</xdr:row>
          <xdr:rowOff>241300</xdr:rowOff>
        </xdr:to>
        <xdr:sp macro="" textlink="">
          <xdr:nvSpPr>
            <xdr:cNvPr id="219166" name="Check Box 30" hidden="1">
              <a:extLst>
                <a:ext uri="{63B3BB69-23CF-44E3-9099-C40C66FF867C}">
                  <a14:compatExt spid="_x0000_s219166"/>
                </a:ext>
                <a:ext uri="{FF2B5EF4-FFF2-40B4-BE49-F238E27FC236}">
                  <a16:creationId xmlns:a16="http://schemas.microsoft.com/office/drawing/2014/main" id="{00000000-0008-0000-3500-00001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21</xdr:row>
          <xdr:rowOff>31750</xdr:rowOff>
        </xdr:from>
        <xdr:to>
          <xdr:col>11</xdr:col>
          <xdr:colOff>260350</xdr:colOff>
          <xdr:row>21</xdr:row>
          <xdr:rowOff>241300</xdr:rowOff>
        </xdr:to>
        <xdr:sp macro="" textlink="">
          <xdr:nvSpPr>
            <xdr:cNvPr id="219167" name="Check Box 31" hidden="1">
              <a:extLst>
                <a:ext uri="{63B3BB69-23CF-44E3-9099-C40C66FF867C}">
                  <a14:compatExt spid="_x0000_s219167"/>
                </a:ext>
                <a:ext uri="{FF2B5EF4-FFF2-40B4-BE49-F238E27FC236}">
                  <a16:creationId xmlns:a16="http://schemas.microsoft.com/office/drawing/2014/main" id="{00000000-0008-0000-3500-00001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44</xdr:row>
          <xdr:rowOff>31750</xdr:rowOff>
        </xdr:from>
        <xdr:to>
          <xdr:col>8</xdr:col>
          <xdr:colOff>260350</xdr:colOff>
          <xdr:row>44</xdr:row>
          <xdr:rowOff>241300</xdr:rowOff>
        </xdr:to>
        <xdr:sp macro="" textlink="">
          <xdr:nvSpPr>
            <xdr:cNvPr id="219168" name="Check Box 32" hidden="1">
              <a:extLst>
                <a:ext uri="{63B3BB69-23CF-44E3-9099-C40C66FF867C}">
                  <a14:compatExt spid="_x0000_s219168"/>
                </a:ext>
                <a:ext uri="{FF2B5EF4-FFF2-40B4-BE49-F238E27FC236}">
                  <a16:creationId xmlns:a16="http://schemas.microsoft.com/office/drawing/2014/main" id="{00000000-0008-0000-3500-00002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44</xdr:row>
          <xdr:rowOff>31750</xdr:rowOff>
        </xdr:from>
        <xdr:to>
          <xdr:col>13</xdr:col>
          <xdr:colOff>260350</xdr:colOff>
          <xdr:row>44</xdr:row>
          <xdr:rowOff>241300</xdr:rowOff>
        </xdr:to>
        <xdr:sp macro="" textlink="">
          <xdr:nvSpPr>
            <xdr:cNvPr id="219169" name="Check Box 33" hidden="1">
              <a:extLst>
                <a:ext uri="{63B3BB69-23CF-44E3-9099-C40C66FF867C}">
                  <a14:compatExt spid="_x0000_s219169"/>
                </a:ext>
                <a:ext uri="{FF2B5EF4-FFF2-40B4-BE49-F238E27FC236}">
                  <a16:creationId xmlns:a16="http://schemas.microsoft.com/office/drawing/2014/main" id="{00000000-0008-0000-3500-00002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44</xdr:row>
          <xdr:rowOff>31750</xdr:rowOff>
        </xdr:from>
        <xdr:to>
          <xdr:col>19</xdr:col>
          <xdr:colOff>260350</xdr:colOff>
          <xdr:row>44</xdr:row>
          <xdr:rowOff>241300</xdr:rowOff>
        </xdr:to>
        <xdr:sp macro="" textlink="">
          <xdr:nvSpPr>
            <xdr:cNvPr id="219170" name="Check Box 34" hidden="1">
              <a:extLst>
                <a:ext uri="{63B3BB69-23CF-44E3-9099-C40C66FF867C}">
                  <a14:compatExt spid="_x0000_s219170"/>
                </a:ext>
                <a:ext uri="{FF2B5EF4-FFF2-40B4-BE49-F238E27FC236}">
                  <a16:creationId xmlns:a16="http://schemas.microsoft.com/office/drawing/2014/main" id="{00000000-0008-0000-3500-00002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44</xdr:row>
          <xdr:rowOff>31750</xdr:rowOff>
        </xdr:from>
        <xdr:to>
          <xdr:col>24</xdr:col>
          <xdr:colOff>260350</xdr:colOff>
          <xdr:row>44</xdr:row>
          <xdr:rowOff>241300</xdr:rowOff>
        </xdr:to>
        <xdr:sp macro="" textlink="">
          <xdr:nvSpPr>
            <xdr:cNvPr id="219171" name="Check Box 35" hidden="1">
              <a:extLst>
                <a:ext uri="{63B3BB69-23CF-44E3-9099-C40C66FF867C}">
                  <a14:compatExt spid="_x0000_s219171"/>
                </a:ext>
                <a:ext uri="{FF2B5EF4-FFF2-40B4-BE49-F238E27FC236}">
                  <a16:creationId xmlns:a16="http://schemas.microsoft.com/office/drawing/2014/main" id="{00000000-0008-0000-3500-00002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44</xdr:row>
          <xdr:rowOff>31750</xdr:rowOff>
        </xdr:from>
        <xdr:to>
          <xdr:col>29</xdr:col>
          <xdr:colOff>260350</xdr:colOff>
          <xdr:row>44</xdr:row>
          <xdr:rowOff>241300</xdr:rowOff>
        </xdr:to>
        <xdr:sp macro="" textlink="">
          <xdr:nvSpPr>
            <xdr:cNvPr id="219172" name="Check Box 36" hidden="1">
              <a:extLst>
                <a:ext uri="{63B3BB69-23CF-44E3-9099-C40C66FF867C}">
                  <a14:compatExt spid="_x0000_s219172"/>
                </a:ext>
                <a:ext uri="{FF2B5EF4-FFF2-40B4-BE49-F238E27FC236}">
                  <a16:creationId xmlns:a16="http://schemas.microsoft.com/office/drawing/2014/main" id="{00000000-0008-0000-3500-00002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17</xdr:row>
          <xdr:rowOff>31750</xdr:rowOff>
        </xdr:from>
        <xdr:to>
          <xdr:col>23</xdr:col>
          <xdr:colOff>260350</xdr:colOff>
          <xdr:row>17</xdr:row>
          <xdr:rowOff>241300</xdr:rowOff>
        </xdr:to>
        <xdr:sp macro="" textlink="">
          <xdr:nvSpPr>
            <xdr:cNvPr id="219173" name="Check Box 37" hidden="1">
              <a:extLst>
                <a:ext uri="{63B3BB69-23CF-44E3-9099-C40C66FF867C}">
                  <a14:compatExt spid="_x0000_s219173"/>
                </a:ext>
                <a:ext uri="{FF2B5EF4-FFF2-40B4-BE49-F238E27FC236}">
                  <a16:creationId xmlns:a16="http://schemas.microsoft.com/office/drawing/2014/main" id="{00000000-0008-0000-3500-00002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xdr:row>
          <xdr:rowOff>31750</xdr:rowOff>
        </xdr:from>
        <xdr:to>
          <xdr:col>23</xdr:col>
          <xdr:colOff>260350</xdr:colOff>
          <xdr:row>18</xdr:row>
          <xdr:rowOff>241300</xdr:rowOff>
        </xdr:to>
        <xdr:sp macro="" textlink="">
          <xdr:nvSpPr>
            <xdr:cNvPr id="219174" name="Check Box 38" hidden="1">
              <a:extLst>
                <a:ext uri="{63B3BB69-23CF-44E3-9099-C40C66FF867C}">
                  <a14:compatExt spid="_x0000_s219174"/>
                </a:ext>
                <a:ext uri="{FF2B5EF4-FFF2-40B4-BE49-F238E27FC236}">
                  <a16:creationId xmlns:a16="http://schemas.microsoft.com/office/drawing/2014/main" id="{00000000-0008-0000-3500-00002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19</xdr:row>
          <xdr:rowOff>31750</xdr:rowOff>
        </xdr:from>
        <xdr:to>
          <xdr:col>23</xdr:col>
          <xdr:colOff>260350</xdr:colOff>
          <xdr:row>19</xdr:row>
          <xdr:rowOff>241300</xdr:rowOff>
        </xdr:to>
        <xdr:sp macro="" textlink="">
          <xdr:nvSpPr>
            <xdr:cNvPr id="219175" name="Check Box 39" hidden="1">
              <a:extLst>
                <a:ext uri="{63B3BB69-23CF-44E3-9099-C40C66FF867C}">
                  <a14:compatExt spid="_x0000_s219175"/>
                </a:ext>
                <a:ext uri="{FF2B5EF4-FFF2-40B4-BE49-F238E27FC236}">
                  <a16:creationId xmlns:a16="http://schemas.microsoft.com/office/drawing/2014/main" id="{00000000-0008-0000-3500-00002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20</xdr:row>
          <xdr:rowOff>31750</xdr:rowOff>
        </xdr:from>
        <xdr:to>
          <xdr:col>23</xdr:col>
          <xdr:colOff>260350</xdr:colOff>
          <xdr:row>20</xdr:row>
          <xdr:rowOff>241300</xdr:rowOff>
        </xdr:to>
        <xdr:sp macro="" textlink="">
          <xdr:nvSpPr>
            <xdr:cNvPr id="219176" name="Check Box 40" hidden="1">
              <a:extLst>
                <a:ext uri="{63B3BB69-23CF-44E3-9099-C40C66FF867C}">
                  <a14:compatExt spid="_x0000_s219176"/>
                </a:ext>
                <a:ext uri="{FF2B5EF4-FFF2-40B4-BE49-F238E27FC236}">
                  <a16:creationId xmlns:a16="http://schemas.microsoft.com/office/drawing/2014/main" id="{00000000-0008-0000-3500-00002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21</xdr:row>
          <xdr:rowOff>31750</xdr:rowOff>
        </xdr:from>
        <xdr:to>
          <xdr:col>23</xdr:col>
          <xdr:colOff>260350</xdr:colOff>
          <xdr:row>21</xdr:row>
          <xdr:rowOff>241300</xdr:rowOff>
        </xdr:to>
        <xdr:sp macro="" textlink="">
          <xdr:nvSpPr>
            <xdr:cNvPr id="219177" name="Check Box 41" hidden="1">
              <a:extLst>
                <a:ext uri="{63B3BB69-23CF-44E3-9099-C40C66FF867C}">
                  <a14:compatExt spid="_x0000_s219177"/>
                </a:ext>
                <a:ext uri="{FF2B5EF4-FFF2-40B4-BE49-F238E27FC236}">
                  <a16:creationId xmlns:a16="http://schemas.microsoft.com/office/drawing/2014/main" id="{00000000-0008-0000-3500-00002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xdr:row>
          <xdr:rowOff>260350</xdr:rowOff>
        </xdr:from>
        <xdr:to>
          <xdr:col>21</xdr:col>
          <xdr:colOff>260350</xdr:colOff>
          <xdr:row>25</xdr:row>
          <xdr:rowOff>203200</xdr:rowOff>
        </xdr:to>
        <xdr:sp macro="" textlink="">
          <xdr:nvSpPr>
            <xdr:cNvPr id="219178" name="Check Box 42" hidden="1">
              <a:extLst>
                <a:ext uri="{63B3BB69-23CF-44E3-9099-C40C66FF867C}">
                  <a14:compatExt spid="_x0000_s219178"/>
                </a:ext>
                <a:ext uri="{FF2B5EF4-FFF2-40B4-BE49-F238E27FC236}">
                  <a16:creationId xmlns:a16="http://schemas.microsoft.com/office/drawing/2014/main" id="{00000000-0008-0000-3500-00002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28</xdr:row>
          <xdr:rowOff>12700</xdr:rowOff>
        </xdr:from>
        <xdr:to>
          <xdr:col>21</xdr:col>
          <xdr:colOff>260350</xdr:colOff>
          <xdr:row>29</xdr:row>
          <xdr:rowOff>12700</xdr:rowOff>
        </xdr:to>
        <xdr:sp macro="" textlink="">
          <xdr:nvSpPr>
            <xdr:cNvPr id="219179" name="Check Box 43" hidden="1">
              <a:extLst>
                <a:ext uri="{63B3BB69-23CF-44E3-9099-C40C66FF867C}">
                  <a14:compatExt spid="_x0000_s219179"/>
                </a:ext>
                <a:ext uri="{FF2B5EF4-FFF2-40B4-BE49-F238E27FC236}">
                  <a16:creationId xmlns:a16="http://schemas.microsoft.com/office/drawing/2014/main" id="{00000000-0008-0000-3500-00002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29</xdr:row>
          <xdr:rowOff>12700</xdr:rowOff>
        </xdr:from>
        <xdr:to>
          <xdr:col>21</xdr:col>
          <xdr:colOff>260350</xdr:colOff>
          <xdr:row>30</xdr:row>
          <xdr:rowOff>12700</xdr:rowOff>
        </xdr:to>
        <xdr:sp macro="" textlink="">
          <xdr:nvSpPr>
            <xdr:cNvPr id="219180" name="Check Box 44" hidden="1">
              <a:extLst>
                <a:ext uri="{63B3BB69-23CF-44E3-9099-C40C66FF867C}">
                  <a14:compatExt spid="_x0000_s219180"/>
                </a:ext>
                <a:ext uri="{FF2B5EF4-FFF2-40B4-BE49-F238E27FC236}">
                  <a16:creationId xmlns:a16="http://schemas.microsoft.com/office/drawing/2014/main" id="{00000000-0008-0000-3500-00002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31</xdr:row>
          <xdr:rowOff>12700</xdr:rowOff>
        </xdr:from>
        <xdr:to>
          <xdr:col>21</xdr:col>
          <xdr:colOff>260350</xdr:colOff>
          <xdr:row>32</xdr:row>
          <xdr:rowOff>12700</xdr:rowOff>
        </xdr:to>
        <xdr:sp macro="" textlink="">
          <xdr:nvSpPr>
            <xdr:cNvPr id="219181" name="Check Box 45" hidden="1">
              <a:extLst>
                <a:ext uri="{63B3BB69-23CF-44E3-9099-C40C66FF867C}">
                  <a14:compatExt spid="_x0000_s219181"/>
                </a:ext>
                <a:ext uri="{FF2B5EF4-FFF2-40B4-BE49-F238E27FC236}">
                  <a16:creationId xmlns:a16="http://schemas.microsoft.com/office/drawing/2014/main" id="{00000000-0008-0000-3500-00002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33</xdr:row>
          <xdr:rowOff>12700</xdr:rowOff>
        </xdr:from>
        <xdr:to>
          <xdr:col>21</xdr:col>
          <xdr:colOff>260350</xdr:colOff>
          <xdr:row>34</xdr:row>
          <xdr:rowOff>12700</xdr:rowOff>
        </xdr:to>
        <xdr:sp macro="" textlink="">
          <xdr:nvSpPr>
            <xdr:cNvPr id="219182" name="Check Box 46" hidden="1">
              <a:extLst>
                <a:ext uri="{63B3BB69-23CF-44E3-9099-C40C66FF867C}">
                  <a14:compatExt spid="_x0000_s219182"/>
                </a:ext>
                <a:ext uri="{FF2B5EF4-FFF2-40B4-BE49-F238E27FC236}">
                  <a16:creationId xmlns:a16="http://schemas.microsoft.com/office/drawing/2014/main" id="{00000000-0008-0000-3500-00002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xdr:row>
          <xdr:rowOff>222250</xdr:rowOff>
        </xdr:from>
        <xdr:to>
          <xdr:col>21</xdr:col>
          <xdr:colOff>260350</xdr:colOff>
          <xdr:row>36</xdr:row>
          <xdr:rowOff>0</xdr:rowOff>
        </xdr:to>
        <xdr:sp macro="" textlink="">
          <xdr:nvSpPr>
            <xdr:cNvPr id="219183" name="Check Box 47" hidden="1">
              <a:extLst>
                <a:ext uri="{63B3BB69-23CF-44E3-9099-C40C66FF867C}">
                  <a14:compatExt spid="_x0000_s219183"/>
                </a:ext>
                <a:ext uri="{FF2B5EF4-FFF2-40B4-BE49-F238E27FC236}">
                  <a16:creationId xmlns:a16="http://schemas.microsoft.com/office/drawing/2014/main" id="{00000000-0008-0000-3500-00002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38</xdr:row>
          <xdr:rowOff>12700</xdr:rowOff>
        </xdr:from>
        <xdr:to>
          <xdr:col>21</xdr:col>
          <xdr:colOff>260350</xdr:colOff>
          <xdr:row>39</xdr:row>
          <xdr:rowOff>12700</xdr:rowOff>
        </xdr:to>
        <xdr:sp macro="" textlink="">
          <xdr:nvSpPr>
            <xdr:cNvPr id="219184" name="Check Box 48" hidden="1">
              <a:extLst>
                <a:ext uri="{63B3BB69-23CF-44E3-9099-C40C66FF867C}">
                  <a14:compatExt spid="_x0000_s219184"/>
                </a:ext>
                <a:ext uri="{FF2B5EF4-FFF2-40B4-BE49-F238E27FC236}">
                  <a16:creationId xmlns:a16="http://schemas.microsoft.com/office/drawing/2014/main" id="{00000000-0008-0000-3500-00003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xdr:row>
          <xdr:rowOff>12700</xdr:rowOff>
        </xdr:from>
        <xdr:to>
          <xdr:col>21</xdr:col>
          <xdr:colOff>260350</xdr:colOff>
          <xdr:row>41</xdr:row>
          <xdr:rowOff>12700</xdr:rowOff>
        </xdr:to>
        <xdr:sp macro="" textlink="">
          <xdr:nvSpPr>
            <xdr:cNvPr id="219185" name="Check Box 49" hidden="1">
              <a:extLst>
                <a:ext uri="{63B3BB69-23CF-44E3-9099-C40C66FF867C}">
                  <a14:compatExt spid="_x0000_s219185"/>
                </a:ext>
                <a:ext uri="{FF2B5EF4-FFF2-40B4-BE49-F238E27FC236}">
                  <a16:creationId xmlns:a16="http://schemas.microsoft.com/office/drawing/2014/main" id="{00000000-0008-0000-3500-00003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50800</xdr:colOff>
          <xdr:row>3</xdr:row>
          <xdr:rowOff>50800</xdr:rowOff>
        </xdr:from>
        <xdr:to>
          <xdr:col>7</xdr:col>
          <xdr:colOff>266700</xdr:colOff>
          <xdr:row>3</xdr:row>
          <xdr:rowOff>266700</xdr:rowOff>
        </xdr:to>
        <xdr:sp macro="" textlink="">
          <xdr:nvSpPr>
            <xdr:cNvPr id="220161" name="Check Box 1" hidden="1">
              <a:extLst>
                <a:ext uri="{63B3BB69-23CF-44E3-9099-C40C66FF867C}">
                  <a14:compatExt spid="_x0000_s220161"/>
                </a:ext>
                <a:ext uri="{FF2B5EF4-FFF2-40B4-BE49-F238E27FC236}">
                  <a16:creationId xmlns:a16="http://schemas.microsoft.com/office/drawing/2014/main" id="{00000000-0008-0000-3600-000001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xdr:row>
          <xdr:rowOff>304800</xdr:rowOff>
        </xdr:from>
        <xdr:to>
          <xdr:col>7</xdr:col>
          <xdr:colOff>266700</xdr:colOff>
          <xdr:row>5</xdr:row>
          <xdr:rowOff>12700</xdr:rowOff>
        </xdr:to>
        <xdr:sp macro="" textlink="">
          <xdr:nvSpPr>
            <xdr:cNvPr id="220162" name="Check Box 2" hidden="1">
              <a:extLst>
                <a:ext uri="{63B3BB69-23CF-44E3-9099-C40C66FF867C}">
                  <a14:compatExt spid="_x0000_s220162"/>
                </a:ext>
                <a:ext uri="{FF2B5EF4-FFF2-40B4-BE49-F238E27FC236}">
                  <a16:creationId xmlns:a16="http://schemas.microsoft.com/office/drawing/2014/main" id="{00000000-0008-0000-3600-000002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6</xdr:row>
          <xdr:rowOff>50800</xdr:rowOff>
        </xdr:from>
        <xdr:to>
          <xdr:col>7</xdr:col>
          <xdr:colOff>266700</xdr:colOff>
          <xdr:row>6</xdr:row>
          <xdr:rowOff>266700</xdr:rowOff>
        </xdr:to>
        <xdr:sp macro="" textlink="">
          <xdr:nvSpPr>
            <xdr:cNvPr id="220163" name="Check Box 3" hidden="1">
              <a:extLst>
                <a:ext uri="{63B3BB69-23CF-44E3-9099-C40C66FF867C}">
                  <a14:compatExt spid="_x0000_s220163"/>
                </a:ext>
                <a:ext uri="{FF2B5EF4-FFF2-40B4-BE49-F238E27FC236}">
                  <a16:creationId xmlns:a16="http://schemas.microsoft.com/office/drawing/2014/main" id="{00000000-0008-0000-3600-000003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50800</xdr:colOff>
          <xdr:row>3</xdr:row>
          <xdr:rowOff>50800</xdr:rowOff>
        </xdr:from>
        <xdr:to>
          <xdr:col>6</xdr:col>
          <xdr:colOff>260350</xdr:colOff>
          <xdr:row>3</xdr:row>
          <xdr:rowOff>260350</xdr:rowOff>
        </xdr:to>
        <xdr:sp macro="" textlink="">
          <xdr:nvSpPr>
            <xdr:cNvPr id="221185" name="Check Box 1" hidden="1">
              <a:extLst>
                <a:ext uri="{63B3BB69-23CF-44E3-9099-C40C66FF867C}">
                  <a14:compatExt spid="_x0000_s221185"/>
                </a:ext>
                <a:ext uri="{FF2B5EF4-FFF2-40B4-BE49-F238E27FC236}">
                  <a16:creationId xmlns:a16="http://schemas.microsoft.com/office/drawing/2014/main" id="{00000000-0008-0000-37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6</xdr:row>
          <xdr:rowOff>0</xdr:rowOff>
        </xdr:from>
        <xdr:to>
          <xdr:col>6</xdr:col>
          <xdr:colOff>260350</xdr:colOff>
          <xdr:row>7</xdr:row>
          <xdr:rowOff>12700</xdr:rowOff>
        </xdr:to>
        <xdr:sp macro="" textlink="">
          <xdr:nvSpPr>
            <xdr:cNvPr id="221186" name="Check Box 2" hidden="1">
              <a:extLst>
                <a:ext uri="{63B3BB69-23CF-44E3-9099-C40C66FF867C}">
                  <a14:compatExt spid="_x0000_s221186"/>
                </a:ext>
                <a:ext uri="{FF2B5EF4-FFF2-40B4-BE49-F238E27FC236}">
                  <a16:creationId xmlns:a16="http://schemas.microsoft.com/office/drawing/2014/main" id="{00000000-0008-0000-37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33</xdr:row>
          <xdr:rowOff>0</xdr:rowOff>
        </xdr:from>
        <xdr:to>
          <xdr:col>6</xdr:col>
          <xdr:colOff>260350</xdr:colOff>
          <xdr:row>34</xdr:row>
          <xdr:rowOff>12700</xdr:rowOff>
        </xdr:to>
        <xdr:sp macro="" textlink="">
          <xdr:nvSpPr>
            <xdr:cNvPr id="221187" name="Check Box 3" hidden="1">
              <a:extLst>
                <a:ext uri="{63B3BB69-23CF-44E3-9099-C40C66FF867C}">
                  <a14:compatExt spid="_x0000_s221187"/>
                </a:ext>
                <a:ext uri="{FF2B5EF4-FFF2-40B4-BE49-F238E27FC236}">
                  <a16:creationId xmlns:a16="http://schemas.microsoft.com/office/drawing/2014/main" id="{00000000-0008-0000-37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35</xdr:row>
          <xdr:rowOff>0</xdr:rowOff>
        </xdr:from>
        <xdr:to>
          <xdr:col>6</xdr:col>
          <xdr:colOff>260350</xdr:colOff>
          <xdr:row>36</xdr:row>
          <xdr:rowOff>12700</xdr:rowOff>
        </xdr:to>
        <xdr:sp macro="" textlink="">
          <xdr:nvSpPr>
            <xdr:cNvPr id="221188" name="Check Box 4" hidden="1">
              <a:extLst>
                <a:ext uri="{63B3BB69-23CF-44E3-9099-C40C66FF867C}">
                  <a14:compatExt spid="_x0000_s221188"/>
                </a:ext>
                <a:ext uri="{FF2B5EF4-FFF2-40B4-BE49-F238E27FC236}">
                  <a16:creationId xmlns:a16="http://schemas.microsoft.com/office/drawing/2014/main" id="{00000000-0008-0000-37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40</xdr:row>
          <xdr:rowOff>38100</xdr:rowOff>
        </xdr:from>
        <xdr:to>
          <xdr:col>6</xdr:col>
          <xdr:colOff>260350</xdr:colOff>
          <xdr:row>40</xdr:row>
          <xdr:rowOff>241300</xdr:rowOff>
        </xdr:to>
        <xdr:sp macro="" textlink="">
          <xdr:nvSpPr>
            <xdr:cNvPr id="221189" name="Check Box 5" hidden="1">
              <a:extLst>
                <a:ext uri="{63B3BB69-23CF-44E3-9099-C40C66FF867C}">
                  <a14:compatExt spid="_x0000_s221189"/>
                </a:ext>
                <a:ext uri="{FF2B5EF4-FFF2-40B4-BE49-F238E27FC236}">
                  <a16:creationId xmlns:a16="http://schemas.microsoft.com/office/drawing/2014/main" id="{00000000-0008-0000-37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41</xdr:row>
          <xdr:rowOff>31750</xdr:rowOff>
        </xdr:from>
        <xdr:to>
          <xdr:col>6</xdr:col>
          <xdr:colOff>260350</xdr:colOff>
          <xdr:row>41</xdr:row>
          <xdr:rowOff>241300</xdr:rowOff>
        </xdr:to>
        <xdr:sp macro="" textlink="">
          <xdr:nvSpPr>
            <xdr:cNvPr id="221190" name="Check Box 6" hidden="1">
              <a:extLst>
                <a:ext uri="{63B3BB69-23CF-44E3-9099-C40C66FF867C}">
                  <a14:compatExt spid="_x0000_s221190"/>
                </a:ext>
                <a:ext uri="{FF2B5EF4-FFF2-40B4-BE49-F238E27FC236}">
                  <a16:creationId xmlns:a16="http://schemas.microsoft.com/office/drawing/2014/main" id="{00000000-0008-0000-37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42</xdr:row>
          <xdr:rowOff>38100</xdr:rowOff>
        </xdr:from>
        <xdr:to>
          <xdr:col>6</xdr:col>
          <xdr:colOff>260350</xdr:colOff>
          <xdr:row>43</xdr:row>
          <xdr:rowOff>0</xdr:rowOff>
        </xdr:to>
        <xdr:sp macro="" textlink="">
          <xdr:nvSpPr>
            <xdr:cNvPr id="221191" name="Check Box 7" hidden="1">
              <a:extLst>
                <a:ext uri="{63B3BB69-23CF-44E3-9099-C40C66FF867C}">
                  <a14:compatExt spid="_x0000_s221191"/>
                </a:ext>
                <a:ext uri="{FF2B5EF4-FFF2-40B4-BE49-F238E27FC236}">
                  <a16:creationId xmlns:a16="http://schemas.microsoft.com/office/drawing/2014/main" id="{00000000-0008-0000-37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43</xdr:row>
          <xdr:rowOff>38100</xdr:rowOff>
        </xdr:from>
        <xdr:to>
          <xdr:col>6</xdr:col>
          <xdr:colOff>260350</xdr:colOff>
          <xdr:row>44</xdr:row>
          <xdr:rowOff>0</xdr:rowOff>
        </xdr:to>
        <xdr:sp macro="" textlink="">
          <xdr:nvSpPr>
            <xdr:cNvPr id="221192" name="Check Box 8" hidden="1">
              <a:extLst>
                <a:ext uri="{63B3BB69-23CF-44E3-9099-C40C66FF867C}">
                  <a14:compatExt spid="_x0000_s221192"/>
                </a:ext>
                <a:ext uri="{FF2B5EF4-FFF2-40B4-BE49-F238E27FC236}">
                  <a16:creationId xmlns:a16="http://schemas.microsoft.com/office/drawing/2014/main" id="{00000000-0008-0000-37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44</xdr:row>
          <xdr:rowOff>38100</xdr:rowOff>
        </xdr:from>
        <xdr:to>
          <xdr:col>6</xdr:col>
          <xdr:colOff>260350</xdr:colOff>
          <xdr:row>45</xdr:row>
          <xdr:rowOff>0</xdr:rowOff>
        </xdr:to>
        <xdr:sp macro="" textlink="">
          <xdr:nvSpPr>
            <xdr:cNvPr id="221193" name="Check Box 9" hidden="1">
              <a:extLst>
                <a:ext uri="{63B3BB69-23CF-44E3-9099-C40C66FF867C}">
                  <a14:compatExt spid="_x0000_s221193"/>
                </a:ext>
                <a:ext uri="{FF2B5EF4-FFF2-40B4-BE49-F238E27FC236}">
                  <a16:creationId xmlns:a16="http://schemas.microsoft.com/office/drawing/2014/main" id="{00000000-0008-0000-37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45</xdr:row>
          <xdr:rowOff>31750</xdr:rowOff>
        </xdr:from>
        <xdr:to>
          <xdr:col>6</xdr:col>
          <xdr:colOff>260350</xdr:colOff>
          <xdr:row>45</xdr:row>
          <xdr:rowOff>241300</xdr:rowOff>
        </xdr:to>
        <xdr:sp macro="" textlink="">
          <xdr:nvSpPr>
            <xdr:cNvPr id="221194" name="Check Box 10" hidden="1">
              <a:extLst>
                <a:ext uri="{63B3BB69-23CF-44E3-9099-C40C66FF867C}">
                  <a14:compatExt spid="_x0000_s221194"/>
                </a:ext>
                <a:ext uri="{FF2B5EF4-FFF2-40B4-BE49-F238E27FC236}">
                  <a16:creationId xmlns:a16="http://schemas.microsoft.com/office/drawing/2014/main" id="{00000000-0008-0000-37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40</xdr:row>
          <xdr:rowOff>38100</xdr:rowOff>
        </xdr:from>
        <xdr:to>
          <xdr:col>27</xdr:col>
          <xdr:colOff>260350</xdr:colOff>
          <xdr:row>41</xdr:row>
          <xdr:rowOff>0</xdr:rowOff>
        </xdr:to>
        <xdr:sp macro="" textlink="">
          <xdr:nvSpPr>
            <xdr:cNvPr id="221195" name="Check Box 11" hidden="1">
              <a:extLst>
                <a:ext uri="{63B3BB69-23CF-44E3-9099-C40C66FF867C}">
                  <a14:compatExt spid="_x0000_s221195"/>
                </a:ext>
                <a:ext uri="{FF2B5EF4-FFF2-40B4-BE49-F238E27FC236}">
                  <a16:creationId xmlns:a16="http://schemas.microsoft.com/office/drawing/2014/main" id="{00000000-0008-0000-37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41</xdr:row>
          <xdr:rowOff>38100</xdr:rowOff>
        </xdr:from>
        <xdr:to>
          <xdr:col>27</xdr:col>
          <xdr:colOff>260350</xdr:colOff>
          <xdr:row>42</xdr:row>
          <xdr:rowOff>0</xdr:rowOff>
        </xdr:to>
        <xdr:sp macro="" textlink="">
          <xdr:nvSpPr>
            <xdr:cNvPr id="221196" name="Check Box 12" hidden="1">
              <a:extLst>
                <a:ext uri="{63B3BB69-23CF-44E3-9099-C40C66FF867C}">
                  <a14:compatExt spid="_x0000_s221196"/>
                </a:ext>
                <a:ext uri="{FF2B5EF4-FFF2-40B4-BE49-F238E27FC236}">
                  <a16:creationId xmlns:a16="http://schemas.microsoft.com/office/drawing/2014/main" id="{00000000-0008-0000-37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42</xdr:row>
          <xdr:rowOff>38100</xdr:rowOff>
        </xdr:from>
        <xdr:to>
          <xdr:col>27</xdr:col>
          <xdr:colOff>260350</xdr:colOff>
          <xdr:row>43</xdr:row>
          <xdr:rowOff>0</xdr:rowOff>
        </xdr:to>
        <xdr:sp macro="" textlink="">
          <xdr:nvSpPr>
            <xdr:cNvPr id="221197" name="Check Box 13" hidden="1">
              <a:extLst>
                <a:ext uri="{63B3BB69-23CF-44E3-9099-C40C66FF867C}">
                  <a14:compatExt spid="_x0000_s221197"/>
                </a:ext>
                <a:ext uri="{FF2B5EF4-FFF2-40B4-BE49-F238E27FC236}">
                  <a16:creationId xmlns:a16="http://schemas.microsoft.com/office/drawing/2014/main" id="{00000000-0008-0000-37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43</xdr:row>
          <xdr:rowOff>38100</xdr:rowOff>
        </xdr:from>
        <xdr:to>
          <xdr:col>27</xdr:col>
          <xdr:colOff>260350</xdr:colOff>
          <xdr:row>44</xdr:row>
          <xdr:rowOff>0</xdr:rowOff>
        </xdr:to>
        <xdr:sp macro="" textlink="">
          <xdr:nvSpPr>
            <xdr:cNvPr id="221198" name="Check Box 14" hidden="1">
              <a:extLst>
                <a:ext uri="{63B3BB69-23CF-44E3-9099-C40C66FF867C}">
                  <a14:compatExt spid="_x0000_s221198"/>
                </a:ext>
                <a:ext uri="{FF2B5EF4-FFF2-40B4-BE49-F238E27FC236}">
                  <a16:creationId xmlns:a16="http://schemas.microsoft.com/office/drawing/2014/main" id="{00000000-0008-0000-37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44</xdr:row>
          <xdr:rowOff>38100</xdr:rowOff>
        </xdr:from>
        <xdr:to>
          <xdr:col>27</xdr:col>
          <xdr:colOff>260350</xdr:colOff>
          <xdr:row>45</xdr:row>
          <xdr:rowOff>0</xdr:rowOff>
        </xdr:to>
        <xdr:sp macro="" textlink="">
          <xdr:nvSpPr>
            <xdr:cNvPr id="221199" name="Check Box 15" hidden="1">
              <a:extLst>
                <a:ext uri="{63B3BB69-23CF-44E3-9099-C40C66FF867C}">
                  <a14:compatExt spid="_x0000_s221199"/>
                </a:ext>
                <a:ext uri="{FF2B5EF4-FFF2-40B4-BE49-F238E27FC236}">
                  <a16:creationId xmlns:a16="http://schemas.microsoft.com/office/drawing/2014/main" id="{00000000-0008-0000-37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50800</xdr:colOff>
          <xdr:row>8</xdr:row>
          <xdr:rowOff>69850</xdr:rowOff>
        </xdr:from>
        <xdr:to>
          <xdr:col>33</xdr:col>
          <xdr:colOff>260350</xdr:colOff>
          <xdr:row>10</xdr:row>
          <xdr:rowOff>12700</xdr:rowOff>
        </xdr:to>
        <xdr:sp macro="" textlink="">
          <xdr:nvSpPr>
            <xdr:cNvPr id="222209" name="Check Box 1" hidden="1">
              <a:extLst>
                <a:ext uri="{63B3BB69-23CF-44E3-9099-C40C66FF867C}">
                  <a14:compatExt spid="_x0000_s222209"/>
                </a:ext>
                <a:ext uri="{FF2B5EF4-FFF2-40B4-BE49-F238E27FC236}">
                  <a16:creationId xmlns:a16="http://schemas.microsoft.com/office/drawing/2014/main" id="{00000000-0008-0000-38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50800</xdr:colOff>
          <xdr:row>11</xdr:row>
          <xdr:rowOff>0</xdr:rowOff>
        </xdr:from>
        <xdr:to>
          <xdr:col>33</xdr:col>
          <xdr:colOff>260350</xdr:colOff>
          <xdr:row>12</xdr:row>
          <xdr:rowOff>12700</xdr:rowOff>
        </xdr:to>
        <xdr:sp macro="" textlink="">
          <xdr:nvSpPr>
            <xdr:cNvPr id="222210" name="Check Box 2" hidden="1">
              <a:extLst>
                <a:ext uri="{63B3BB69-23CF-44E3-9099-C40C66FF867C}">
                  <a14:compatExt spid="_x0000_s222210"/>
                </a:ext>
                <a:ext uri="{FF2B5EF4-FFF2-40B4-BE49-F238E27FC236}">
                  <a16:creationId xmlns:a16="http://schemas.microsoft.com/office/drawing/2014/main" id="{00000000-0008-0000-38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50800</xdr:colOff>
          <xdr:row>13</xdr:row>
          <xdr:rowOff>0</xdr:rowOff>
        </xdr:from>
        <xdr:to>
          <xdr:col>33</xdr:col>
          <xdr:colOff>260350</xdr:colOff>
          <xdr:row>14</xdr:row>
          <xdr:rowOff>12700</xdr:rowOff>
        </xdr:to>
        <xdr:sp macro="" textlink="">
          <xdr:nvSpPr>
            <xdr:cNvPr id="222211" name="Check Box 3" hidden="1">
              <a:extLst>
                <a:ext uri="{63B3BB69-23CF-44E3-9099-C40C66FF867C}">
                  <a14:compatExt spid="_x0000_s222211"/>
                </a:ext>
                <a:ext uri="{FF2B5EF4-FFF2-40B4-BE49-F238E27FC236}">
                  <a16:creationId xmlns:a16="http://schemas.microsoft.com/office/drawing/2014/main" id="{00000000-0008-0000-38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50800</xdr:colOff>
          <xdr:row>15</xdr:row>
          <xdr:rowOff>0</xdr:rowOff>
        </xdr:from>
        <xdr:to>
          <xdr:col>33</xdr:col>
          <xdr:colOff>260350</xdr:colOff>
          <xdr:row>16</xdr:row>
          <xdr:rowOff>12700</xdr:rowOff>
        </xdr:to>
        <xdr:sp macro="" textlink="">
          <xdr:nvSpPr>
            <xdr:cNvPr id="222212" name="Check Box 4" hidden="1">
              <a:extLst>
                <a:ext uri="{63B3BB69-23CF-44E3-9099-C40C66FF867C}">
                  <a14:compatExt spid="_x0000_s222212"/>
                </a:ext>
                <a:ext uri="{FF2B5EF4-FFF2-40B4-BE49-F238E27FC236}">
                  <a16:creationId xmlns:a16="http://schemas.microsoft.com/office/drawing/2014/main" id="{00000000-0008-0000-38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431800</xdr:colOff>
          <xdr:row>34</xdr:row>
          <xdr:rowOff>12700</xdr:rowOff>
        </xdr:from>
        <xdr:to>
          <xdr:col>3</xdr:col>
          <xdr:colOff>222250</xdr:colOff>
          <xdr:row>34</xdr:row>
          <xdr:rowOff>222250</xdr:rowOff>
        </xdr:to>
        <xdr:sp macro="" textlink="">
          <xdr:nvSpPr>
            <xdr:cNvPr id="224257" name="Check Box 1" hidden="1">
              <a:extLst>
                <a:ext uri="{63B3BB69-23CF-44E3-9099-C40C66FF867C}">
                  <a14:compatExt spid="_x0000_s224257"/>
                </a:ext>
                <a:ext uri="{FF2B5EF4-FFF2-40B4-BE49-F238E27FC236}">
                  <a16:creationId xmlns:a16="http://schemas.microsoft.com/office/drawing/2014/main" id="{00000000-0008-0000-3A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37</xdr:row>
          <xdr:rowOff>50800</xdr:rowOff>
        </xdr:from>
        <xdr:to>
          <xdr:col>3</xdr:col>
          <xdr:colOff>222250</xdr:colOff>
          <xdr:row>39</xdr:row>
          <xdr:rowOff>12700</xdr:rowOff>
        </xdr:to>
        <xdr:sp macro="" textlink="">
          <xdr:nvSpPr>
            <xdr:cNvPr id="224258" name="Check Box 2" hidden="1">
              <a:extLst>
                <a:ext uri="{63B3BB69-23CF-44E3-9099-C40C66FF867C}">
                  <a14:compatExt spid="_x0000_s224258"/>
                </a:ext>
                <a:ext uri="{FF2B5EF4-FFF2-40B4-BE49-F238E27FC236}">
                  <a16:creationId xmlns:a16="http://schemas.microsoft.com/office/drawing/2014/main" id="{00000000-0008-0000-3A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39</xdr:row>
          <xdr:rowOff>31750</xdr:rowOff>
        </xdr:from>
        <xdr:to>
          <xdr:col>3</xdr:col>
          <xdr:colOff>222250</xdr:colOff>
          <xdr:row>39</xdr:row>
          <xdr:rowOff>241300</xdr:rowOff>
        </xdr:to>
        <xdr:sp macro="" textlink="">
          <xdr:nvSpPr>
            <xdr:cNvPr id="224259" name="Check Box 3" hidden="1">
              <a:extLst>
                <a:ext uri="{63B3BB69-23CF-44E3-9099-C40C66FF867C}">
                  <a14:compatExt spid="_x0000_s224259"/>
                </a:ext>
                <a:ext uri="{FF2B5EF4-FFF2-40B4-BE49-F238E27FC236}">
                  <a16:creationId xmlns:a16="http://schemas.microsoft.com/office/drawing/2014/main" id="{00000000-0008-0000-3A00-00000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8</xdr:row>
          <xdr:rowOff>165100</xdr:rowOff>
        </xdr:from>
        <xdr:to>
          <xdr:col>6</xdr:col>
          <xdr:colOff>431800</xdr:colOff>
          <xdr:row>10</xdr:row>
          <xdr:rowOff>12700</xdr:rowOff>
        </xdr:to>
        <xdr:sp macro="" textlink="">
          <xdr:nvSpPr>
            <xdr:cNvPr id="224260" name="Check Box 4" hidden="1">
              <a:extLst>
                <a:ext uri="{63B3BB69-23CF-44E3-9099-C40C66FF867C}">
                  <a14:compatExt spid="_x0000_s224260"/>
                </a:ext>
                <a:ext uri="{FF2B5EF4-FFF2-40B4-BE49-F238E27FC236}">
                  <a16:creationId xmlns:a16="http://schemas.microsoft.com/office/drawing/2014/main" id="{00000000-0008-0000-3A00-00000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9</xdr:row>
          <xdr:rowOff>165100</xdr:rowOff>
        </xdr:from>
        <xdr:to>
          <xdr:col>6</xdr:col>
          <xdr:colOff>431800</xdr:colOff>
          <xdr:row>11</xdr:row>
          <xdr:rowOff>0</xdr:rowOff>
        </xdr:to>
        <xdr:sp macro="" textlink="">
          <xdr:nvSpPr>
            <xdr:cNvPr id="224985" name="Check Box 729" hidden="1">
              <a:extLst>
                <a:ext uri="{63B3BB69-23CF-44E3-9099-C40C66FF867C}">
                  <a14:compatExt spid="_x0000_s224985"/>
                </a:ext>
                <a:ext uri="{FF2B5EF4-FFF2-40B4-BE49-F238E27FC236}">
                  <a16:creationId xmlns:a16="http://schemas.microsoft.com/office/drawing/2014/main" id="{00000000-0008-0000-3A00-0000D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10</xdr:row>
          <xdr:rowOff>165100</xdr:rowOff>
        </xdr:from>
        <xdr:to>
          <xdr:col>6</xdr:col>
          <xdr:colOff>431800</xdr:colOff>
          <xdr:row>12</xdr:row>
          <xdr:rowOff>0</xdr:rowOff>
        </xdr:to>
        <xdr:sp macro="" textlink="">
          <xdr:nvSpPr>
            <xdr:cNvPr id="224986" name="Check Box 730" hidden="1">
              <a:extLst>
                <a:ext uri="{63B3BB69-23CF-44E3-9099-C40C66FF867C}">
                  <a14:compatExt spid="_x0000_s224986"/>
                </a:ext>
                <a:ext uri="{FF2B5EF4-FFF2-40B4-BE49-F238E27FC236}">
                  <a16:creationId xmlns:a16="http://schemas.microsoft.com/office/drawing/2014/main" id="{00000000-0008-0000-3A00-0000D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165100</xdr:rowOff>
        </xdr:from>
        <xdr:to>
          <xdr:col>6</xdr:col>
          <xdr:colOff>431800</xdr:colOff>
          <xdr:row>13</xdr:row>
          <xdr:rowOff>0</xdr:rowOff>
        </xdr:to>
        <xdr:sp macro="" textlink="">
          <xdr:nvSpPr>
            <xdr:cNvPr id="224987" name="Check Box 731" hidden="1">
              <a:extLst>
                <a:ext uri="{63B3BB69-23CF-44E3-9099-C40C66FF867C}">
                  <a14:compatExt spid="_x0000_s224987"/>
                </a:ext>
                <a:ext uri="{FF2B5EF4-FFF2-40B4-BE49-F238E27FC236}">
                  <a16:creationId xmlns:a16="http://schemas.microsoft.com/office/drawing/2014/main" id="{00000000-0008-0000-3A00-0000D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165100</xdr:rowOff>
        </xdr:from>
        <xdr:to>
          <xdr:col>6</xdr:col>
          <xdr:colOff>431800</xdr:colOff>
          <xdr:row>13</xdr:row>
          <xdr:rowOff>0</xdr:rowOff>
        </xdr:to>
        <xdr:sp macro="" textlink="">
          <xdr:nvSpPr>
            <xdr:cNvPr id="224988" name="Check Box 732" hidden="1">
              <a:extLst>
                <a:ext uri="{63B3BB69-23CF-44E3-9099-C40C66FF867C}">
                  <a14:compatExt spid="_x0000_s224988"/>
                </a:ext>
                <a:ext uri="{FF2B5EF4-FFF2-40B4-BE49-F238E27FC236}">
                  <a16:creationId xmlns:a16="http://schemas.microsoft.com/office/drawing/2014/main" id="{00000000-0008-0000-3A00-0000D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165100</xdr:rowOff>
        </xdr:from>
        <xdr:to>
          <xdr:col>6</xdr:col>
          <xdr:colOff>431800</xdr:colOff>
          <xdr:row>14</xdr:row>
          <xdr:rowOff>0</xdr:rowOff>
        </xdr:to>
        <xdr:sp macro="" textlink="">
          <xdr:nvSpPr>
            <xdr:cNvPr id="224989" name="Check Box 733" hidden="1">
              <a:extLst>
                <a:ext uri="{63B3BB69-23CF-44E3-9099-C40C66FF867C}">
                  <a14:compatExt spid="_x0000_s224989"/>
                </a:ext>
                <a:ext uri="{FF2B5EF4-FFF2-40B4-BE49-F238E27FC236}">
                  <a16:creationId xmlns:a16="http://schemas.microsoft.com/office/drawing/2014/main" id="{00000000-0008-0000-3A00-0000D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165100</xdr:rowOff>
        </xdr:from>
        <xdr:to>
          <xdr:col>6</xdr:col>
          <xdr:colOff>431800</xdr:colOff>
          <xdr:row>14</xdr:row>
          <xdr:rowOff>0</xdr:rowOff>
        </xdr:to>
        <xdr:sp macro="" textlink="">
          <xdr:nvSpPr>
            <xdr:cNvPr id="224990" name="Check Box 734" hidden="1">
              <a:extLst>
                <a:ext uri="{63B3BB69-23CF-44E3-9099-C40C66FF867C}">
                  <a14:compatExt spid="_x0000_s224990"/>
                </a:ext>
                <a:ext uri="{FF2B5EF4-FFF2-40B4-BE49-F238E27FC236}">
                  <a16:creationId xmlns:a16="http://schemas.microsoft.com/office/drawing/2014/main" id="{00000000-0008-0000-3A00-0000D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165100</xdr:rowOff>
        </xdr:from>
        <xdr:to>
          <xdr:col>6</xdr:col>
          <xdr:colOff>431800</xdr:colOff>
          <xdr:row>15</xdr:row>
          <xdr:rowOff>0</xdr:rowOff>
        </xdr:to>
        <xdr:sp macro="" textlink="">
          <xdr:nvSpPr>
            <xdr:cNvPr id="224991" name="Check Box 735" hidden="1">
              <a:extLst>
                <a:ext uri="{63B3BB69-23CF-44E3-9099-C40C66FF867C}">
                  <a14:compatExt spid="_x0000_s224991"/>
                </a:ext>
                <a:ext uri="{FF2B5EF4-FFF2-40B4-BE49-F238E27FC236}">
                  <a16:creationId xmlns:a16="http://schemas.microsoft.com/office/drawing/2014/main" id="{00000000-0008-0000-3A00-0000D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165100</xdr:rowOff>
        </xdr:from>
        <xdr:to>
          <xdr:col>6</xdr:col>
          <xdr:colOff>431800</xdr:colOff>
          <xdr:row>15</xdr:row>
          <xdr:rowOff>0</xdr:rowOff>
        </xdr:to>
        <xdr:sp macro="" textlink="">
          <xdr:nvSpPr>
            <xdr:cNvPr id="224992" name="Check Box 736" hidden="1">
              <a:extLst>
                <a:ext uri="{63B3BB69-23CF-44E3-9099-C40C66FF867C}">
                  <a14:compatExt spid="_x0000_s224992"/>
                </a:ext>
                <a:ext uri="{FF2B5EF4-FFF2-40B4-BE49-F238E27FC236}">
                  <a16:creationId xmlns:a16="http://schemas.microsoft.com/office/drawing/2014/main" id="{00000000-0008-0000-3A00-0000E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14</xdr:row>
          <xdr:rowOff>165100</xdr:rowOff>
        </xdr:from>
        <xdr:to>
          <xdr:col>6</xdr:col>
          <xdr:colOff>431800</xdr:colOff>
          <xdr:row>15</xdr:row>
          <xdr:rowOff>203200</xdr:rowOff>
        </xdr:to>
        <xdr:sp macro="" textlink="">
          <xdr:nvSpPr>
            <xdr:cNvPr id="224993" name="Check Box 737" hidden="1">
              <a:extLst>
                <a:ext uri="{63B3BB69-23CF-44E3-9099-C40C66FF867C}">
                  <a14:compatExt spid="_x0000_s224993"/>
                </a:ext>
                <a:ext uri="{FF2B5EF4-FFF2-40B4-BE49-F238E27FC236}">
                  <a16:creationId xmlns:a16="http://schemas.microsoft.com/office/drawing/2014/main" id="{00000000-0008-0000-3A00-0000E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8</xdr:row>
          <xdr:rowOff>165100</xdr:rowOff>
        </xdr:from>
        <xdr:to>
          <xdr:col>7</xdr:col>
          <xdr:colOff>431800</xdr:colOff>
          <xdr:row>10</xdr:row>
          <xdr:rowOff>12700</xdr:rowOff>
        </xdr:to>
        <xdr:sp macro="" textlink="">
          <xdr:nvSpPr>
            <xdr:cNvPr id="224994" name="Check Box 738" hidden="1">
              <a:extLst>
                <a:ext uri="{63B3BB69-23CF-44E3-9099-C40C66FF867C}">
                  <a14:compatExt spid="_x0000_s224994"/>
                </a:ext>
                <a:ext uri="{FF2B5EF4-FFF2-40B4-BE49-F238E27FC236}">
                  <a16:creationId xmlns:a16="http://schemas.microsoft.com/office/drawing/2014/main" id="{00000000-0008-0000-3A00-0000E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9</xdr:row>
          <xdr:rowOff>165100</xdr:rowOff>
        </xdr:from>
        <xdr:to>
          <xdr:col>7</xdr:col>
          <xdr:colOff>431800</xdr:colOff>
          <xdr:row>11</xdr:row>
          <xdr:rowOff>0</xdr:rowOff>
        </xdr:to>
        <xdr:sp macro="" textlink="">
          <xdr:nvSpPr>
            <xdr:cNvPr id="224995" name="Check Box 739" hidden="1">
              <a:extLst>
                <a:ext uri="{63B3BB69-23CF-44E3-9099-C40C66FF867C}">
                  <a14:compatExt spid="_x0000_s224995"/>
                </a:ext>
                <a:ext uri="{FF2B5EF4-FFF2-40B4-BE49-F238E27FC236}">
                  <a16:creationId xmlns:a16="http://schemas.microsoft.com/office/drawing/2014/main" id="{00000000-0008-0000-3A00-0000E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10</xdr:row>
          <xdr:rowOff>165100</xdr:rowOff>
        </xdr:from>
        <xdr:to>
          <xdr:col>7</xdr:col>
          <xdr:colOff>431800</xdr:colOff>
          <xdr:row>12</xdr:row>
          <xdr:rowOff>0</xdr:rowOff>
        </xdr:to>
        <xdr:sp macro="" textlink="">
          <xdr:nvSpPr>
            <xdr:cNvPr id="224996" name="Check Box 740" hidden="1">
              <a:extLst>
                <a:ext uri="{63B3BB69-23CF-44E3-9099-C40C66FF867C}">
                  <a14:compatExt spid="_x0000_s224996"/>
                </a:ext>
                <a:ext uri="{FF2B5EF4-FFF2-40B4-BE49-F238E27FC236}">
                  <a16:creationId xmlns:a16="http://schemas.microsoft.com/office/drawing/2014/main" id="{00000000-0008-0000-3A00-0000E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165100</xdr:rowOff>
        </xdr:from>
        <xdr:to>
          <xdr:col>7</xdr:col>
          <xdr:colOff>431800</xdr:colOff>
          <xdr:row>13</xdr:row>
          <xdr:rowOff>0</xdr:rowOff>
        </xdr:to>
        <xdr:sp macro="" textlink="">
          <xdr:nvSpPr>
            <xdr:cNvPr id="224997" name="Check Box 741" hidden="1">
              <a:extLst>
                <a:ext uri="{63B3BB69-23CF-44E3-9099-C40C66FF867C}">
                  <a14:compatExt spid="_x0000_s224997"/>
                </a:ext>
                <a:ext uri="{FF2B5EF4-FFF2-40B4-BE49-F238E27FC236}">
                  <a16:creationId xmlns:a16="http://schemas.microsoft.com/office/drawing/2014/main" id="{00000000-0008-0000-3A00-0000E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165100</xdr:rowOff>
        </xdr:from>
        <xdr:to>
          <xdr:col>7</xdr:col>
          <xdr:colOff>431800</xdr:colOff>
          <xdr:row>13</xdr:row>
          <xdr:rowOff>0</xdr:rowOff>
        </xdr:to>
        <xdr:sp macro="" textlink="">
          <xdr:nvSpPr>
            <xdr:cNvPr id="224998" name="Check Box 742" hidden="1">
              <a:extLst>
                <a:ext uri="{63B3BB69-23CF-44E3-9099-C40C66FF867C}">
                  <a14:compatExt spid="_x0000_s224998"/>
                </a:ext>
                <a:ext uri="{FF2B5EF4-FFF2-40B4-BE49-F238E27FC236}">
                  <a16:creationId xmlns:a16="http://schemas.microsoft.com/office/drawing/2014/main" id="{00000000-0008-0000-3A00-0000E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165100</xdr:rowOff>
        </xdr:from>
        <xdr:to>
          <xdr:col>7</xdr:col>
          <xdr:colOff>431800</xdr:colOff>
          <xdr:row>14</xdr:row>
          <xdr:rowOff>0</xdr:rowOff>
        </xdr:to>
        <xdr:sp macro="" textlink="">
          <xdr:nvSpPr>
            <xdr:cNvPr id="224999" name="Check Box 743" hidden="1">
              <a:extLst>
                <a:ext uri="{63B3BB69-23CF-44E3-9099-C40C66FF867C}">
                  <a14:compatExt spid="_x0000_s224999"/>
                </a:ext>
                <a:ext uri="{FF2B5EF4-FFF2-40B4-BE49-F238E27FC236}">
                  <a16:creationId xmlns:a16="http://schemas.microsoft.com/office/drawing/2014/main" id="{00000000-0008-0000-3A00-0000E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165100</xdr:rowOff>
        </xdr:from>
        <xdr:to>
          <xdr:col>7</xdr:col>
          <xdr:colOff>431800</xdr:colOff>
          <xdr:row>14</xdr:row>
          <xdr:rowOff>0</xdr:rowOff>
        </xdr:to>
        <xdr:sp macro="" textlink="">
          <xdr:nvSpPr>
            <xdr:cNvPr id="225000" name="Check Box 744" hidden="1">
              <a:extLst>
                <a:ext uri="{63B3BB69-23CF-44E3-9099-C40C66FF867C}">
                  <a14:compatExt spid="_x0000_s225000"/>
                </a:ext>
                <a:ext uri="{FF2B5EF4-FFF2-40B4-BE49-F238E27FC236}">
                  <a16:creationId xmlns:a16="http://schemas.microsoft.com/office/drawing/2014/main" id="{00000000-0008-0000-3A00-0000E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165100</xdr:rowOff>
        </xdr:from>
        <xdr:to>
          <xdr:col>7</xdr:col>
          <xdr:colOff>431800</xdr:colOff>
          <xdr:row>15</xdr:row>
          <xdr:rowOff>0</xdr:rowOff>
        </xdr:to>
        <xdr:sp macro="" textlink="">
          <xdr:nvSpPr>
            <xdr:cNvPr id="225001" name="Check Box 745" hidden="1">
              <a:extLst>
                <a:ext uri="{63B3BB69-23CF-44E3-9099-C40C66FF867C}">
                  <a14:compatExt spid="_x0000_s225001"/>
                </a:ext>
                <a:ext uri="{FF2B5EF4-FFF2-40B4-BE49-F238E27FC236}">
                  <a16:creationId xmlns:a16="http://schemas.microsoft.com/office/drawing/2014/main" id="{00000000-0008-0000-3A00-0000E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165100</xdr:rowOff>
        </xdr:from>
        <xdr:to>
          <xdr:col>7</xdr:col>
          <xdr:colOff>431800</xdr:colOff>
          <xdr:row>15</xdr:row>
          <xdr:rowOff>0</xdr:rowOff>
        </xdr:to>
        <xdr:sp macro="" textlink="">
          <xdr:nvSpPr>
            <xdr:cNvPr id="225002" name="Check Box 746" hidden="1">
              <a:extLst>
                <a:ext uri="{63B3BB69-23CF-44E3-9099-C40C66FF867C}">
                  <a14:compatExt spid="_x0000_s225002"/>
                </a:ext>
                <a:ext uri="{FF2B5EF4-FFF2-40B4-BE49-F238E27FC236}">
                  <a16:creationId xmlns:a16="http://schemas.microsoft.com/office/drawing/2014/main" id="{00000000-0008-0000-3A00-0000E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14</xdr:row>
          <xdr:rowOff>165100</xdr:rowOff>
        </xdr:from>
        <xdr:to>
          <xdr:col>7</xdr:col>
          <xdr:colOff>431800</xdr:colOff>
          <xdr:row>15</xdr:row>
          <xdr:rowOff>203200</xdr:rowOff>
        </xdr:to>
        <xdr:sp macro="" textlink="">
          <xdr:nvSpPr>
            <xdr:cNvPr id="225003" name="Check Box 747" hidden="1">
              <a:extLst>
                <a:ext uri="{63B3BB69-23CF-44E3-9099-C40C66FF867C}">
                  <a14:compatExt spid="_x0000_s225003"/>
                </a:ext>
                <a:ext uri="{FF2B5EF4-FFF2-40B4-BE49-F238E27FC236}">
                  <a16:creationId xmlns:a16="http://schemas.microsoft.com/office/drawing/2014/main" id="{00000000-0008-0000-3A00-0000E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8</xdr:row>
          <xdr:rowOff>165100</xdr:rowOff>
        </xdr:from>
        <xdr:to>
          <xdr:col>8</xdr:col>
          <xdr:colOff>431800</xdr:colOff>
          <xdr:row>10</xdr:row>
          <xdr:rowOff>12700</xdr:rowOff>
        </xdr:to>
        <xdr:sp macro="" textlink="">
          <xdr:nvSpPr>
            <xdr:cNvPr id="225004" name="Check Box 748" hidden="1">
              <a:extLst>
                <a:ext uri="{63B3BB69-23CF-44E3-9099-C40C66FF867C}">
                  <a14:compatExt spid="_x0000_s225004"/>
                </a:ext>
                <a:ext uri="{FF2B5EF4-FFF2-40B4-BE49-F238E27FC236}">
                  <a16:creationId xmlns:a16="http://schemas.microsoft.com/office/drawing/2014/main" id="{00000000-0008-0000-3A00-0000E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9</xdr:row>
          <xdr:rowOff>165100</xdr:rowOff>
        </xdr:from>
        <xdr:to>
          <xdr:col>8</xdr:col>
          <xdr:colOff>431800</xdr:colOff>
          <xdr:row>11</xdr:row>
          <xdr:rowOff>0</xdr:rowOff>
        </xdr:to>
        <xdr:sp macro="" textlink="">
          <xdr:nvSpPr>
            <xdr:cNvPr id="225005" name="Check Box 749" hidden="1">
              <a:extLst>
                <a:ext uri="{63B3BB69-23CF-44E3-9099-C40C66FF867C}">
                  <a14:compatExt spid="_x0000_s225005"/>
                </a:ext>
                <a:ext uri="{FF2B5EF4-FFF2-40B4-BE49-F238E27FC236}">
                  <a16:creationId xmlns:a16="http://schemas.microsoft.com/office/drawing/2014/main" id="{00000000-0008-0000-3A00-0000E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10</xdr:row>
          <xdr:rowOff>165100</xdr:rowOff>
        </xdr:from>
        <xdr:to>
          <xdr:col>8</xdr:col>
          <xdr:colOff>431800</xdr:colOff>
          <xdr:row>12</xdr:row>
          <xdr:rowOff>0</xdr:rowOff>
        </xdr:to>
        <xdr:sp macro="" textlink="">
          <xdr:nvSpPr>
            <xdr:cNvPr id="225006" name="Check Box 750" hidden="1">
              <a:extLst>
                <a:ext uri="{63B3BB69-23CF-44E3-9099-C40C66FF867C}">
                  <a14:compatExt spid="_x0000_s225006"/>
                </a:ext>
                <a:ext uri="{FF2B5EF4-FFF2-40B4-BE49-F238E27FC236}">
                  <a16:creationId xmlns:a16="http://schemas.microsoft.com/office/drawing/2014/main" id="{00000000-0008-0000-3A00-0000E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165100</xdr:rowOff>
        </xdr:from>
        <xdr:to>
          <xdr:col>8</xdr:col>
          <xdr:colOff>431800</xdr:colOff>
          <xdr:row>13</xdr:row>
          <xdr:rowOff>0</xdr:rowOff>
        </xdr:to>
        <xdr:sp macro="" textlink="">
          <xdr:nvSpPr>
            <xdr:cNvPr id="225007" name="Check Box 751" hidden="1">
              <a:extLst>
                <a:ext uri="{63B3BB69-23CF-44E3-9099-C40C66FF867C}">
                  <a14:compatExt spid="_x0000_s225007"/>
                </a:ext>
                <a:ext uri="{FF2B5EF4-FFF2-40B4-BE49-F238E27FC236}">
                  <a16:creationId xmlns:a16="http://schemas.microsoft.com/office/drawing/2014/main" id="{00000000-0008-0000-3A00-0000E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165100</xdr:rowOff>
        </xdr:from>
        <xdr:to>
          <xdr:col>8</xdr:col>
          <xdr:colOff>431800</xdr:colOff>
          <xdr:row>13</xdr:row>
          <xdr:rowOff>0</xdr:rowOff>
        </xdr:to>
        <xdr:sp macro="" textlink="">
          <xdr:nvSpPr>
            <xdr:cNvPr id="225008" name="Check Box 752" hidden="1">
              <a:extLst>
                <a:ext uri="{63B3BB69-23CF-44E3-9099-C40C66FF867C}">
                  <a14:compatExt spid="_x0000_s225008"/>
                </a:ext>
                <a:ext uri="{FF2B5EF4-FFF2-40B4-BE49-F238E27FC236}">
                  <a16:creationId xmlns:a16="http://schemas.microsoft.com/office/drawing/2014/main" id="{00000000-0008-0000-3A00-0000F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165100</xdr:rowOff>
        </xdr:from>
        <xdr:to>
          <xdr:col>8</xdr:col>
          <xdr:colOff>431800</xdr:colOff>
          <xdr:row>14</xdr:row>
          <xdr:rowOff>0</xdr:rowOff>
        </xdr:to>
        <xdr:sp macro="" textlink="">
          <xdr:nvSpPr>
            <xdr:cNvPr id="225009" name="Check Box 753" hidden="1">
              <a:extLst>
                <a:ext uri="{63B3BB69-23CF-44E3-9099-C40C66FF867C}">
                  <a14:compatExt spid="_x0000_s225009"/>
                </a:ext>
                <a:ext uri="{FF2B5EF4-FFF2-40B4-BE49-F238E27FC236}">
                  <a16:creationId xmlns:a16="http://schemas.microsoft.com/office/drawing/2014/main" id="{00000000-0008-0000-3A00-0000F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165100</xdr:rowOff>
        </xdr:from>
        <xdr:to>
          <xdr:col>8</xdr:col>
          <xdr:colOff>431800</xdr:colOff>
          <xdr:row>14</xdr:row>
          <xdr:rowOff>0</xdr:rowOff>
        </xdr:to>
        <xdr:sp macro="" textlink="">
          <xdr:nvSpPr>
            <xdr:cNvPr id="225010" name="Check Box 754" hidden="1">
              <a:extLst>
                <a:ext uri="{63B3BB69-23CF-44E3-9099-C40C66FF867C}">
                  <a14:compatExt spid="_x0000_s225010"/>
                </a:ext>
                <a:ext uri="{FF2B5EF4-FFF2-40B4-BE49-F238E27FC236}">
                  <a16:creationId xmlns:a16="http://schemas.microsoft.com/office/drawing/2014/main" id="{00000000-0008-0000-3A00-0000F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165100</xdr:rowOff>
        </xdr:from>
        <xdr:to>
          <xdr:col>8</xdr:col>
          <xdr:colOff>431800</xdr:colOff>
          <xdr:row>15</xdr:row>
          <xdr:rowOff>0</xdr:rowOff>
        </xdr:to>
        <xdr:sp macro="" textlink="">
          <xdr:nvSpPr>
            <xdr:cNvPr id="225011" name="Check Box 755" hidden="1">
              <a:extLst>
                <a:ext uri="{63B3BB69-23CF-44E3-9099-C40C66FF867C}">
                  <a14:compatExt spid="_x0000_s225011"/>
                </a:ext>
                <a:ext uri="{FF2B5EF4-FFF2-40B4-BE49-F238E27FC236}">
                  <a16:creationId xmlns:a16="http://schemas.microsoft.com/office/drawing/2014/main" id="{00000000-0008-0000-3A00-0000F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165100</xdr:rowOff>
        </xdr:from>
        <xdr:to>
          <xdr:col>8</xdr:col>
          <xdr:colOff>431800</xdr:colOff>
          <xdr:row>15</xdr:row>
          <xdr:rowOff>0</xdr:rowOff>
        </xdr:to>
        <xdr:sp macro="" textlink="">
          <xdr:nvSpPr>
            <xdr:cNvPr id="225012" name="Check Box 756" hidden="1">
              <a:extLst>
                <a:ext uri="{63B3BB69-23CF-44E3-9099-C40C66FF867C}">
                  <a14:compatExt spid="_x0000_s225012"/>
                </a:ext>
                <a:ext uri="{FF2B5EF4-FFF2-40B4-BE49-F238E27FC236}">
                  <a16:creationId xmlns:a16="http://schemas.microsoft.com/office/drawing/2014/main" id="{00000000-0008-0000-3A00-0000F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14</xdr:row>
          <xdr:rowOff>165100</xdr:rowOff>
        </xdr:from>
        <xdr:to>
          <xdr:col>8</xdr:col>
          <xdr:colOff>431800</xdr:colOff>
          <xdr:row>15</xdr:row>
          <xdr:rowOff>203200</xdr:rowOff>
        </xdr:to>
        <xdr:sp macro="" textlink="">
          <xdr:nvSpPr>
            <xdr:cNvPr id="225013" name="Check Box 757" hidden="1">
              <a:extLst>
                <a:ext uri="{63B3BB69-23CF-44E3-9099-C40C66FF867C}">
                  <a14:compatExt spid="_x0000_s225013"/>
                </a:ext>
                <a:ext uri="{FF2B5EF4-FFF2-40B4-BE49-F238E27FC236}">
                  <a16:creationId xmlns:a16="http://schemas.microsoft.com/office/drawing/2014/main" id="{00000000-0008-0000-3A00-0000F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8</xdr:row>
          <xdr:rowOff>165100</xdr:rowOff>
        </xdr:from>
        <xdr:to>
          <xdr:col>9</xdr:col>
          <xdr:colOff>431800</xdr:colOff>
          <xdr:row>10</xdr:row>
          <xdr:rowOff>12700</xdr:rowOff>
        </xdr:to>
        <xdr:sp macro="" textlink="">
          <xdr:nvSpPr>
            <xdr:cNvPr id="225014" name="Check Box 758" hidden="1">
              <a:extLst>
                <a:ext uri="{63B3BB69-23CF-44E3-9099-C40C66FF867C}">
                  <a14:compatExt spid="_x0000_s225014"/>
                </a:ext>
                <a:ext uri="{FF2B5EF4-FFF2-40B4-BE49-F238E27FC236}">
                  <a16:creationId xmlns:a16="http://schemas.microsoft.com/office/drawing/2014/main" id="{00000000-0008-0000-3A00-0000F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9</xdr:row>
          <xdr:rowOff>165100</xdr:rowOff>
        </xdr:from>
        <xdr:to>
          <xdr:col>9</xdr:col>
          <xdr:colOff>431800</xdr:colOff>
          <xdr:row>11</xdr:row>
          <xdr:rowOff>0</xdr:rowOff>
        </xdr:to>
        <xdr:sp macro="" textlink="">
          <xdr:nvSpPr>
            <xdr:cNvPr id="225015" name="Check Box 759" hidden="1">
              <a:extLst>
                <a:ext uri="{63B3BB69-23CF-44E3-9099-C40C66FF867C}">
                  <a14:compatExt spid="_x0000_s225015"/>
                </a:ext>
                <a:ext uri="{FF2B5EF4-FFF2-40B4-BE49-F238E27FC236}">
                  <a16:creationId xmlns:a16="http://schemas.microsoft.com/office/drawing/2014/main" id="{00000000-0008-0000-3A00-0000F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10</xdr:row>
          <xdr:rowOff>165100</xdr:rowOff>
        </xdr:from>
        <xdr:to>
          <xdr:col>9</xdr:col>
          <xdr:colOff>431800</xdr:colOff>
          <xdr:row>12</xdr:row>
          <xdr:rowOff>0</xdr:rowOff>
        </xdr:to>
        <xdr:sp macro="" textlink="">
          <xdr:nvSpPr>
            <xdr:cNvPr id="225016" name="Check Box 760" hidden="1">
              <a:extLst>
                <a:ext uri="{63B3BB69-23CF-44E3-9099-C40C66FF867C}">
                  <a14:compatExt spid="_x0000_s225016"/>
                </a:ext>
                <a:ext uri="{FF2B5EF4-FFF2-40B4-BE49-F238E27FC236}">
                  <a16:creationId xmlns:a16="http://schemas.microsoft.com/office/drawing/2014/main" id="{00000000-0008-0000-3A00-0000F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165100</xdr:rowOff>
        </xdr:from>
        <xdr:to>
          <xdr:col>9</xdr:col>
          <xdr:colOff>431800</xdr:colOff>
          <xdr:row>13</xdr:row>
          <xdr:rowOff>0</xdr:rowOff>
        </xdr:to>
        <xdr:sp macro="" textlink="">
          <xdr:nvSpPr>
            <xdr:cNvPr id="225017" name="Check Box 761" hidden="1">
              <a:extLst>
                <a:ext uri="{63B3BB69-23CF-44E3-9099-C40C66FF867C}">
                  <a14:compatExt spid="_x0000_s225017"/>
                </a:ext>
                <a:ext uri="{FF2B5EF4-FFF2-40B4-BE49-F238E27FC236}">
                  <a16:creationId xmlns:a16="http://schemas.microsoft.com/office/drawing/2014/main" id="{00000000-0008-0000-3A00-0000F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165100</xdr:rowOff>
        </xdr:from>
        <xdr:to>
          <xdr:col>9</xdr:col>
          <xdr:colOff>431800</xdr:colOff>
          <xdr:row>13</xdr:row>
          <xdr:rowOff>0</xdr:rowOff>
        </xdr:to>
        <xdr:sp macro="" textlink="">
          <xdr:nvSpPr>
            <xdr:cNvPr id="225018" name="Check Box 762" hidden="1">
              <a:extLst>
                <a:ext uri="{63B3BB69-23CF-44E3-9099-C40C66FF867C}">
                  <a14:compatExt spid="_x0000_s225018"/>
                </a:ext>
                <a:ext uri="{FF2B5EF4-FFF2-40B4-BE49-F238E27FC236}">
                  <a16:creationId xmlns:a16="http://schemas.microsoft.com/office/drawing/2014/main" id="{00000000-0008-0000-3A00-0000F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165100</xdr:rowOff>
        </xdr:from>
        <xdr:to>
          <xdr:col>9</xdr:col>
          <xdr:colOff>431800</xdr:colOff>
          <xdr:row>14</xdr:row>
          <xdr:rowOff>0</xdr:rowOff>
        </xdr:to>
        <xdr:sp macro="" textlink="">
          <xdr:nvSpPr>
            <xdr:cNvPr id="225019" name="Check Box 763" hidden="1">
              <a:extLst>
                <a:ext uri="{63B3BB69-23CF-44E3-9099-C40C66FF867C}">
                  <a14:compatExt spid="_x0000_s225019"/>
                </a:ext>
                <a:ext uri="{FF2B5EF4-FFF2-40B4-BE49-F238E27FC236}">
                  <a16:creationId xmlns:a16="http://schemas.microsoft.com/office/drawing/2014/main" id="{00000000-0008-0000-3A00-0000F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165100</xdr:rowOff>
        </xdr:from>
        <xdr:to>
          <xdr:col>9</xdr:col>
          <xdr:colOff>431800</xdr:colOff>
          <xdr:row>14</xdr:row>
          <xdr:rowOff>0</xdr:rowOff>
        </xdr:to>
        <xdr:sp macro="" textlink="">
          <xdr:nvSpPr>
            <xdr:cNvPr id="225020" name="Check Box 764" hidden="1">
              <a:extLst>
                <a:ext uri="{63B3BB69-23CF-44E3-9099-C40C66FF867C}">
                  <a14:compatExt spid="_x0000_s225020"/>
                </a:ext>
                <a:ext uri="{FF2B5EF4-FFF2-40B4-BE49-F238E27FC236}">
                  <a16:creationId xmlns:a16="http://schemas.microsoft.com/office/drawing/2014/main" id="{00000000-0008-0000-3A00-0000F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165100</xdr:rowOff>
        </xdr:from>
        <xdr:to>
          <xdr:col>9</xdr:col>
          <xdr:colOff>431800</xdr:colOff>
          <xdr:row>15</xdr:row>
          <xdr:rowOff>0</xdr:rowOff>
        </xdr:to>
        <xdr:sp macro="" textlink="">
          <xdr:nvSpPr>
            <xdr:cNvPr id="225021" name="Check Box 765" hidden="1">
              <a:extLst>
                <a:ext uri="{63B3BB69-23CF-44E3-9099-C40C66FF867C}">
                  <a14:compatExt spid="_x0000_s225021"/>
                </a:ext>
                <a:ext uri="{FF2B5EF4-FFF2-40B4-BE49-F238E27FC236}">
                  <a16:creationId xmlns:a16="http://schemas.microsoft.com/office/drawing/2014/main" id="{00000000-0008-0000-3A00-0000F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165100</xdr:rowOff>
        </xdr:from>
        <xdr:to>
          <xdr:col>9</xdr:col>
          <xdr:colOff>431800</xdr:colOff>
          <xdr:row>15</xdr:row>
          <xdr:rowOff>0</xdr:rowOff>
        </xdr:to>
        <xdr:sp macro="" textlink="">
          <xdr:nvSpPr>
            <xdr:cNvPr id="225022" name="Check Box 766" hidden="1">
              <a:extLst>
                <a:ext uri="{63B3BB69-23CF-44E3-9099-C40C66FF867C}">
                  <a14:compatExt spid="_x0000_s225022"/>
                </a:ext>
                <a:ext uri="{FF2B5EF4-FFF2-40B4-BE49-F238E27FC236}">
                  <a16:creationId xmlns:a16="http://schemas.microsoft.com/office/drawing/2014/main" id="{00000000-0008-0000-3A00-0000F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14</xdr:row>
          <xdr:rowOff>165100</xdr:rowOff>
        </xdr:from>
        <xdr:to>
          <xdr:col>9</xdr:col>
          <xdr:colOff>431800</xdr:colOff>
          <xdr:row>15</xdr:row>
          <xdr:rowOff>203200</xdr:rowOff>
        </xdr:to>
        <xdr:sp macro="" textlink="">
          <xdr:nvSpPr>
            <xdr:cNvPr id="225023" name="Check Box 767" hidden="1">
              <a:extLst>
                <a:ext uri="{63B3BB69-23CF-44E3-9099-C40C66FF867C}">
                  <a14:compatExt spid="_x0000_s225023"/>
                </a:ext>
                <a:ext uri="{FF2B5EF4-FFF2-40B4-BE49-F238E27FC236}">
                  <a16:creationId xmlns:a16="http://schemas.microsoft.com/office/drawing/2014/main" id="{00000000-0008-0000-3A00-0000F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8</xdr:row>
          <xdr:rowOff>165100</xdr:rowOff>
        </xdr:from>
        <xdr:to>
          <xdr:col>10</xdr:col>
          <xdr:colOff>431800</xdr:colOff>
          <xdr:row>10</xdr:row>
          <xdr:rowOff>12700</xdr:rowOff>
        </xdr:to>
        <xdr:sp macro="" textlink="">
          <xdr:nvSpPr>
            <xdr:cNvPr id="225024" name="Check Box 768" hidden="1">
              <a:extLst>
                <a:ext uri="{63B3BB69-23CF-44E3-9099-C40C66FF867C}">
                  <a14:compatExt spid="_x0000_s225024"/>
                </a:ext>
                <a:ext uri="{FF2B5EF4-FFF2-40B4-BE49-F238E27FC236}">
                  <a16:creationId xmlns:a16="http://schemas.microsoft.com/office/drawing/2014/main" id="{00000000-0008-0000-3A00-00000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9</xdr:row>
          <xdr:rowOff>165100</xdr:rowOff>
        </xdr:from>
        <xdr:to>
          <xdr:col>10</xdr:col>
          <xdr:colOff>431800</xdr:colOff>
          <xdr:row>11</xdr:row>
          <xdr:rowOff>0</xdr:rowOff>
        </xdr:to>
        <xdr:sp macro="" textlink="">
          <xdr:nvSpPr>
            <xdr:cNvPr id="225025" name="Check Box 769" hidden="1">
              <a:extLst>
                <a:ext uri="{63B3BB69-23CF-44E3-9099-C40C66FF867C}">
                  <a14:compatExt spid="_x0000_s225025"/>
                </a:ext>
                <a:ext uri="{FF2B5EF4-FFF2-40B4-BE49-F238E27FC236}">
                  <a16:creationId xmlns:a16="http://schemas.microsoft.com/office/drawing/2014/main" id="{00000000-0008-0000-3A00-00000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10</xdr:row>
          <xdr:rowOff>165100</xdr:rowOff>
        </xdr:from>
        <xdr:to>
          <xdr:col>10</xdr:col>
          <xdr:colOff>431800</xdr:colOff>
          <xdr:row>12</xdr:row>
          <xdr:rowOff>0</xdr:rowOff>
        </xdr:to>
        <xdr:sp macro="" textlink="">
          <xdr:nvSpPr>
            <xdr:cNvPr id="225026" name="Check Box 770" hidden="1">
              <a:extLst>
                <a:ext uri="{63B3BB69-23CF-44E3-9099-C40C66FF867C}">
                  <a14:compatExt spid="_x0000_s225026"/>
                </a:ext>
                <a:ext uri="{FF2B5EF4-FFF2-40B4-BE49-F238E27FC236}">
                  <a16:creationId xmlns:a16="http://schemas.microsoft.com/office/drawing/2014/main" id="{00000000-0008-0000-3A00-00000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165100</xdr:rowOff>
        </xdr:from>
        <xdr:to>
          <xdr:col>10</xdr:col>
          <xdr:colOff>431800</xdr:colOff>
          <xdr:row>13</xdr:row>
          <xdr:rowOff>0</xdr:rowOff>
        </xdr:to>
        <xdr:sp macro="" textlink="">
          <xdr:nvSpPr>
            <xdr:cNvPr id="225027" name="Check Box 771" hidden="1">
              <a:extLst>
                <a:ext uri="{63B3BB69-23CF-44E3-9099-C40C66FF867C}">
                  <a14:compatExt spid="_x0000_s225027"/>
                </a:ext>
                <a:ext uri="{FF2B5EF4-FFF2-40B4-BE49-F238E27FC236}">
                  <a16:creationId xmlns:a16="http://schemas.microsoft.com/office/drawing/2014/main" id="{00000000-0008-0000-3A00-00000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165100</xdr:rowOff>
        </xdr:from>
        <xdr:to>
          <xdr:col>10</xdr:col>
          <xdr:colOff>431800</xdr:colOff>
          <xdr:row>13</xdr:row>
          <xdr:rowOff>0</xdr:rowOff>
        </xdr:to>
        <xdr:sp macro="" textlink="">
          <xdr:nvSpPr>
            <xdr:cNvPr id="225028" name="Check Box 772" hidden="1">
              <a:extLst>
                <a:ext uri="{63B3BB69-23CF-44E3-9099-C40C66FF867C}">
                  <a14:compatExt spid="_x0000_s225028"/>
                </a:ext>
                <a:ext uri="{FF2B5EF4-FFF2-40B4-BE49-F238E27FC236}">
                  <a16:creationId xmlns:a16="http://schemas.microsoft.com/office/drawing/2014/main" id="{00000000-0008-0000-3A00-00000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165100</xdr:rowOff>
        </xdr:from>
        <xdr:to>
          <xdr:col>10</xdr:col>
          <xdr:colOff>431800</xdr:colOff>
          <xdr:row>14</xdr:row>
          <xdr:rowOff>0</xdr:rowOff>
        </xdr:to>
        <xdr:sp macro="" textlink="">
          <xdr:nvSpPr>
            <xdr:cNvPr id="225029" name="Check Box 773" hidden="1">
              <a:extLst>
                <a:ext uri="{63B3BB69-23CF-44E3-9099-C40C66FF867C}">
                  <a14:compatExt spid="_x0000_s225029"/>
                </a:ext>
                <a:ext uri="{FF2B5EF4-FFF2-40B4-BE49-F238E27FC236}">
                  <a16:creationId xmlns:a16="http://schemas.microsoft.com/office/drawing/2014/main" id="{00000000-0008-0000-3A00-00000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165100</xdr:rowOff>
        </xdr:from>
        <xdr:to>
          <xdr:col>10</xdr:col>
          <xdr:colOff>431800</xdr:colOff>
          <xdr:row>14</xdr:row>
          <xdr:rowOff>0</xdr:rowOff>
        </xdr:to>
        <xdr:sp macro="" textlink="">
          <xdr:nvSpPr>
            <xdr:cNvPr id="225030" name="Check Box 774" hidden="1">
              <a:extLst>
                <a:ext uri="{63B3BB69-23CF-44E3-9099-C40C66FF867C}">
                  <a14:compatExt spid="_x0000_s225030"/>
                </a:ext>
                <a:ext uri="{FF2B5EF4-FFF2-40B4-BE49-F238E27FC236}">
                  <a16:creationId xmlns:a16="http://schemas.microsoft.com/office/drawing/2014/main" id="{00000000-0008-0000-3A00-00000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165100</xdr:rowOff>
        </xdr:from>
        <xdr:to>
          <xdr:col>10</xdr:col>
          <xdr:colOff>431800</xdr:colOff>
          <xdr:row>15</xdr:row>
          <xdr:rowOff>0</xdr:rowOff>
        </xdr:to>
        <xdr:sp macro="" textlink="">
          <xdr:nvSpPr>
            <xdr:cNvPr id="225031" name="Check Box 775" hidden="1">
              <a:extLst>
                <a:ext uri="{63B3BB69-23CF-44E3-9099-C40C66FF867C}">
                  <a14:compatExt spid="_x0000_s225031"/>
                </a:ext>
                <a:ext uri="{FF2B5EF4-FFF2-40B4-BE49-F238E27FC236}">
                  <a16:creationId xmlns:a16="http://schemas.microsoft.com/office/drawing/2014/main" id="{00000000-0008-0000-3A00-00000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165100</xdr:rowOff>
        </xdr:from>
        <xdr:to>
          <xdr:col>10</xdr:col>
          <xdr:colOff>431800</xdr:colOff>
          <xdr:row>15</xdr:row>
          <xdr:rowOff>0</xdr:rowOff>
        </xdr:to>
        <xdr:sp macro="" textlink="">
          <xdr:nvSpPr>
            <xdr:cNvPr id="225032" name="Check Box 776" hidden="1">
              <a:extLst>
                <a:ext uri="{63B3BB69-23CF-44E3-9099-C40C66FF867C}">
                  <a14:compatExt spid="_x0000_s225032"/>
                </a:ext>
                <a:ext uri="{FF2B5EF4-FFF2-40B4-BE49-F238E27FC236}">
                  <a16:creationId xmlns:a16="http://schemas.microsoft.com/office/drawing/2014/main" id="{00000000-0008-0000-3A00-00000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14</xdr:row>
          <xdr:rowOff>165100</xdr:rowOff>
        </xdr:from>
        <xdr:to>
          <xdr:col>10</xdr:col>
          <xdr:colOff>431800</xdr:colOff>
          <xdr:row>15</xdr:row>
          <xdr:rowOff>203200</xdr:rowOff>
        </xdr:to>
        <xdr:sp macro="" textlink="">
          <xdr:nvSpPr>
            <xdr:cNvPr id="225033" name="Check Box 777" hidden="1">
              <a:extLst>
                <a:ext uri="{63B3BB69-23CF-44E3-9099-C40C66FF867C}">
                  <a14:compatExt spid="_x0000_s225033"/>
                </a:ext>
                <a:ext uri="{FF2B5EF4-FFF2-40B4-BE49-F238E27FC236}">
                  <a16:creationId xmlns:a16="http://schemas.microsoft.com/office/drawing/2014/main" id="{00000000-0008-0000-3A00-00000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8</xdr:row>
          <xdr:rowOff>165100</xdr:rowOff>
        </xdr:from>
        <xdr:to>
          <xdr:col>11</xdr:col>
          <xdr:colOff>431800</xdr:colOff>
          <xdr:row>10</xdr:row>
          <xdr:rowOff>12700</xdr:rowOff>
        </xdr:to>
        <xdr:sp macro="" textlink="">
          <xdr:nvSpPr>
            <xdr:cNvPr id="225034" name="Check Box 778" hidden="1">
              <a:extLst>
                <a:ext uri="{63B3BB69-23CF-44E3-9099-C40C66FF867C}">
                  <a14:compatExt spid="_x0000_s225034"/>
                </a:ext>
                <a:ext uri="{FF2B5EF4-FFF2-40B4-BE49-F238E27FC236}">
                  <a16:creationId xmlns:a16="http://schemas.microsoft.com/office/drawing/2014/main" id="{00000000-0008-0000-3A00-00000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165100</xdr:rowOff>
        </xdr:from>
        <xdr:to>
          <xdr:col>11</xdr:col>
          <xdr:colOff>431800</xdr:colOff>
          <xdr:row>11</xdr:row>
          <xdr:rowOff>0</xdr:rowOff>
        </xdr:to>
        <xdr:sp macro="" textlink="">
          <xdr:nvSpPr>
            <xdr:cNvPr id="225035" name="Check Box 779" hidden="1">
              <a:extLst>
                <a:ext uri="{63B3BB69-23CF-44E3-9099-C40C66FF867C}">
                  <a14:compatExt spid="_x0000_s225035"/>
                </a:ext>
                <a:ext uri="{FF2B5EF4-FFF2-40B4-BE49-F238E27FC236}">
                  <a16:creationId xmlns:a16="http://schemas.microsoft.com/office/drawing/2014/main" id="{00000000-0008-0000-3A00-00000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10</xdr:row>
          <xdr:rowOff>165100</xdr:rowOff>
        </xdr:from>
        <xdr:to>
          <xdr:col>11</xdr:col>
          <xdr:colOff>431800</xdr:colOff>
          <xdr:row>12</xdr:row>
          <xdr:rowOff>0</xdr:rowOff>
        </xdr:to>
        <xdr:sp macro="" textlink="">
          <xdr:nvSpPr>
            <xdr:cNvPr id="225036" name="Check Box 780" hidden="1">
              <a:extLst>
                <a:ext uri="{63B3BB69-23CF-44E3-9099-C40C66FF867C}">
                  <a14:compatExt spid="_x0000_s225036"/>
                </a:ext>
                <a:ext uri="{FF2B5EF4-FFF2-40B4-BE49-F238E27FC236}">
                  <a16:creationId xmlns:a16="http://schemas.microsoft.com/office/drawing/2014/main" id="{00000000-0008-0000-3A00-00000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165100</xdr:rowOff>
        </xdr:from>
        <xdr:to>
          <xdr:col>11</xdr:col>
          <xdr:colOff>431800</xdr:colOff>
          <xdr:row>13</xdr:row>
          <xdr:rowOff>0</xdr:rowOff>
        </xdr:to>
        <xdr:sp macro="" textlink="">
          <xdr:nvSpPr>
            <xdr:cNvPr id="225037" name="Check Box 781" hidden="1">
              <a:extLst>
                <a:ext uri="{63B3BB69-23CF-44E3-9099-C40C66FF867C}">
                  <a14:compatExt spid="_x0000_s225037"/>
                </a:ext>
                <a:ext uri="{FF2B5EF4-FFF2-40B4-BE49-F238E27FC236}">
                  <a16:creationId xmlns:a16="http://schemas.microsoft.com/office/drawing/2014/main" id="{00000000-0008-0000-3A00-00000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165100</xdr:rowOff>
        </xdr:from>
        <xdr:to>
          <xdr:col>11</xdr:col>
          <xdr:colOff>431800</xdr:colOff>
          <xdr:row>13</xdr:row>
          <xdr:rowOff>0</xdr:rowOff>
        </xdr:to>
        <xdr:sp macro="" textlink="">
          <xdr:nvSpPr>
            <xdr:cNvPr id="225038" name="Check Box 782" hidden="1">
              <a:extLst>
                <a:ext uri="{63B3BB69-23CF-44E3-9099-C40C66FF867C}">
                  <a14:compatExt spid="_x0000_s225038"/>
                </a:ext>
                <a:ext uri="{FF2B5EF4-FFF2-40B4-BE49-F238E27FC236}">
                  <a16:creationId xmlns:a16="http://schemas.microsoft.com/office/drawing/2014/main" id="{00000000-0008-0000-3A00-00000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165100</xdr:rowOff>
        </xdr:from>
        <xdr:to>
          <xdr:col>11</xdr:col>
          <xdr:colOff>431800</xdr:colOff>
          <xdr:row>14</xdr:row>
          <xdr:rowOff>0</xdr:rowOff>
        </xdr:to>
        <xdr:sp macro="" textlink="">
          <xdr:nvSpPr>
            <xdr:cNvPr id="225039" name="Check Box 783" hidden="1">
              <a:extLst>
                <a:ext uri="{63B3BB69-23CF-44E3-9099-C40C66FF867C}">
                  <a14:compatExt spid="_x0000_s225039"/>
                </a:ext>
                <a:ext uri="{FF2B5EF4-FFF2-40B4-BE49-F238E27FC236}">
                  <a16:creationId xmlns:a16="http://schemas.microsoft.com/office/drawing/2014/main" id="{00000000-0008-0000-3A00-00000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165100</xdr:rowOff>
        </xdr:from>
        <xdr:to>
          <xdr:col>11</xdr:col>
          <xdr:colOff>431800</xdr:colOff>
          <xdr:row>14</xdr:row>
          <xdr:rowOff>0</xdr:rowOff>
        </xdr:to>
        <xdr:sp macro="" textlink="">
          <xdr:nvSpPr>
            <xdr:cNvPr id="225040" name="Check Box 784" hidden="1">
              <a:extLst>
                <a:ext uri="{63B3BB69-23CF-44E3-9099-C40C66FF867C}">
                  <a14:compatExt spid="_x0000_s225040"/>
                </a:ext>
                <a:ext uri="{FF2B5EF4-FFF2-40B4-BE49-F238E27FC236}">
                  <a16:creationId xmlns:a16="http://schemas.microsoft.com/office/drawing/2014/main" id="{00000000-0008-0000-3A00-00001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165100</xdr:rowOff>
        </xdr:from>
        <xdr:to>
          <xdr:col>11</xdr:col>
          <xdr:colOff>431800</xdr:colOff>
          <xdr:row>15</xdr:row>
          <xdr:rowOff>0</xdr:rowOff>
        </xdr:to>
        <xdr:sp macro="" textlink="">
          <xdr:nvSpPr>
            <xdr:cNvPr id="225041" name="Check Box 785" hidden="1">
              <a:extLst>
                <a:ext uri="{63B3BB69-23CF-44E3-9099-C40C66FF867C}">
                  <a14:compatExt spid="_x0000_s225041"/>
                </a:ext>
                <a:ext uri="{FF2B5EF4-FFF2-40B4-BE49-F238E27FC236}">
                  <a16:creationId xmlns:a16="http://schemas.microsoft.com/office/drawing/2014/main" id="{00000000-0008-0000-3A00-00001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165100</xdr:rowOff>
        </xdr:from>
        <xdr:to>
          <xdr:col>11</xdr:col>
          <xdr:colOff>431800</xdr:colOff>
          <xdr:row>15</xdr:row>
          <xdr:rowOff>0</xdr:rowOff>
        </xdr:to>
        <xdr:sp macro="" textlink="">
          <xdr:nvSpPr>
            <xdr:cNvPr id="225042" name="Check Box 786" hidden="1">
              <a:extLst>
                <a:ext uri="{63B3BB69-23CF-44E3-9099-C40C66FF867C}">
                  <a14:compatExt spid="_x0000_s225042"/>
                </a:ext>
                <a:ext uri="{FF2B5EF4-FFF2-40B4-BE49-F238E27FC236}">
                  <a16:creationId xmlns:a16="http://schemas.microsoft.com/office/drawing/2014/main" id="{00000000-0008-0000-3A00-00001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14</xdr:row>
          <xdr:rowOff>165100</xdr:rowOff>
        </xdr:from>
        <xdr:to>
          <xdr:col>11</xdr:col>
          <xdr:colOff>431800</xdr:colOff>
          <xdr:row>15</xdr:row>
          <xdr:rowOff>203200</xdr:rowOff>
        </xdr:to>
        <xdr:sp macro="" textlink="">
          <xdr:nvSpPr>
            <xdr:cNvPr id="225043" name="Check Box 787" hidden="1">
              <a:extLst>
                <a:ext uri="{63B3BB69-23CF-44E3-9099-C40C66FF867C}">
                  <a14:compatExt spid="_x0000_s225043"/>
                </a:ext>
                <a:ext uri="{FF2B5EF4-FFF2-40B4-BE49-F238E27FC236}">
                  <a16:creationId xmlns:a16="http://schemas.microsoft.com/office/drawing/2014/main" id="{00000000-0008-0000-3A00-00001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8</xdr:row>
          <xdr:rowOff>165100</xdr:rowOff>
        </xdr:from>
        <xdr:to>
          <xdr:col>12</xdr:col>
          <xdr:colOff>431800</xdr:colOff>
          <xdr:row>10</xdr:row>
          <xdr:rowOff>12700</xdr:rowOff>
        </xdr:to>
        <xdr:sp macro="" textlink="">
          <xdr:nvSpPr>
            <xdr:cNvPr id="225044" name="Check Box 788" hidden="1">
              <a:extLst>
                <a:ext uri="{63B3BB69-23CF-44E3-9099-C40C66FF867C}">
                  <a14:compatExt spid="_x0000_s225044"/>
                </a:ext>
                <a:ext uri="{FF2B5EF4-FFF2-40B4-BE49-F238E27FC236}">
                  <a16:creationId xmlns:a16="http://schemas.microsoft.com/office/drawing/2014/main" id="{00000000-0008-0000-3A00-00001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9</xdr:row>
          <xdr:rowOff>165100</xdr:rowOff>
        </xdr:from>
        <xdr:to>
          <xdr:col>12</xdr:col>
          <xdr:colOff>431800</xdr:colOff>
          <xdr:row>11</xdr:row>
          <xdr:rowOff>0</xdr:rowOff>
        </xdr:to>
        <xdr:sp macro="" textlink="">
          <xdr:nvSpPr>
            <xdr:cNvPr id="225045" name="Check Box 789" hidden="1">
              <a:extLst>
                <a:ext uri="{63B3BB69-23CF-44E3-9099-C40C66FF867C}">
                  <a14:compatExt spid="_x0000_s225045"/>
                </a:ext>
                <a:ext uri="{FF2B5EF4-FFF2-40B4-BE49-F238E27FC236}">
                  <a16:creationId xmlns:a16="http://schemas.microsoft.com/office/drawing/2014/main" id="{00000000-0008-0000-3A00-00001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10</xdr:row>
          <xdr:rowOff>165100</xdr:rowOff>
        </xdr:from>
        <xdr:to>
          <xdr:col>12</xdr:col>
          <xdr:colOff>431800</xdr:colOff>
          <xdr:row>12</xdr:row>
          <xdr:rowOff>0</xdr:rowOff>
        </xdr:to>
        <xdr:sp macro="" textlink="">
          <xdr:nvSpPr>
            <xdr:cNvPr id="225046" name="Check Box 790" hidden="1">
              <a:extLst>
                <a:ext uri="{63B3BB69-23CF-44E3-9099-C40C66FF867C}">
                  <a14:compatExt spid="_x0000_s225046"/>
                </a:ext>
                <a:ext uri="{FF2B5EF4-FFF2-40B4-BE49-F238E27FC236}">
                  <a16:creationId xmlns:a16="http://schemas.microsoft.com/office/drawing/2014/main" id="{00000000-0008-0000-3A00-00001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165100</xdr:rowOff>
        </xdr:from>
        <xdr:to>
          <xdr:col>12</xdr:col>
          <xdr:colOff>431800</xdr:colOff>
          <xdr:row>13</xdr:row>
          <xdr:rowOff>0</xdr:rowOff>
        </xdr:to>
        <xdr:sp macro="" textlink="">
          <xdr:nvSpPr>
            <xdr:cNvPr id="225047" name="Check Box 791" hidden="1">
              <a:extLst>
                <a:ext uri="{63B3BB69-23CF-44E3-9099-C40C66FF867C}">
                  <a14:compatExt spid="_x0000_s225047"/>
                </a:ext>
                <a:ext uri="{FF2B5EF4-FFF2-40B4-BE49-F238E27FC236}">
                  <a16:creationId xmlns:a16="http://schemas.microsoft.com/office/drawing/2014/main" id="{00000000-0008-0000-3A00-00001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165100</xdr:rowOff>
        </xdr:from>
        <xdr:to>
          <xdr:col>12</xdr:col>
          <xdr:colOff>431800</xdr:colOff>
          <xdr:row>13</xdr:row>
          <xdr:rowOff>0</xdr:rowOff>
        </xdr:to>
        <xdr:sp macro="" textlink="">
          <xdr:nvSpPr>
            <xdr:cNvPr id="225048" name="Check Box 792" hidden="1">
              <a:extLst>
                <a:ext uri="{63B3BB69-23CF-44E3-9099-C40C66FF867C}">
                  <a14:compatExt spid="_x0000_s225048"/>
                </a:ext>
                <a:ext uri="{FF2B5EF4-FFF2-40B4-BE49-F238E27FC236}">
                  <a16:creationId xmlns:a16="http://schemas.microsoft.com/office/drawing/2014/main" id="{00000000-0008-0000-3A00-00001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165100</xdr:rowOff>
        </xdr:from>
        <xdr:to>
          <xdr:col>12</xdr:col>
          <xdr:colOff>431800</xdr:colOff>
          <xdr:row>14</xdr:row>
          <xdr:rowOff>0</xdr:rowOff>
        </xdr:to>
        <xdr:sp macro="" textlink="">
          <xdr:nvSpPr>
            <xdr:cNvPr id="225049" name="Check Box 793" hidden="1">
              <a:extLst>
                <a:ext uri="{63B3BB69-23CF-44E3-9099-C40C66FF867C}">
                  <a14:compatExt spid="_x0000_s225049"/>
                </a:ext>
                <a:ext uri="{FF2B5EF4-FFF2-40B4-BE49-F238E27FC236}">
                  <a16:creationId xmlns:a16="http://schemas.microsoft.com/office/drawing/2014/main" id="{00000000-0008-0000-3A00-00001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165100</xdr:rowOff>
        </xdr:from>
        <xdr:to>
          <xdr:col>12</xdr:col>
          <xdr:colOff>431800</xdr:colOff>
          <xdr:row>14</xdr:row>
          <xdr:rowOff>0</xdr:rowOff>
        </xdr:to>
        <xdr:sp macro="" textlink="">
          <xdr:nvSpPr>
            <xdr:cNvPr id="225050" name="Check Box 794" hidden="1">
              <a:extLst>
                <a:ext uri="{63B3BB69-23CF-44E3-9099-C40C66FF867C}">
                  <a14:compatExt spid="_x0000_s225050"/>
                </a:ext>
                <a:ext uri="{FF2B5EF4-FFF2-40B4-BE49-F238E27FC236}">
                  <a16:creationId xmlns:a16="http://schemas.microsoft.com/office/drawing/2014/main" id="{00000000-0008-0000-3A00-00001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165100</xdr:rowOff>
        </xdr:from>
        <xdr:to>
          <xdr:col>12</xdr:col>
          <xdr:colOff>431800</xdr:colOff>
          <xdr:row>15</xdr:row>
          <xdr:rowOff>0</xdr:rowOff>
        </xdr:to>
        <xdr:sp macro="" textlink="">
          <xdr:nvSpPr>
            <xdr:cNvPr id="225051" name="Check Box 795" hidden="1">
              <a:extLst>
                <a:ext uri="{63B3BB69-23CF-44E3-9099-C40C66FF867C}">
                  <a14:compatExt spid="_x0000_s225051"/>
                </a:ext>
                <a:ext uri="{FF2B5EF4-FFF2-40B4-BE49-F238E27FC236}">
                  <a16:creationId xmlns:a16="http://schemas.microsoft.com/office/drawing/2014/main" id="{00000000-0008-0000-3A00-00001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165100</xdr:rowOff>
        </xdr:from>
        <xdr:to>
          <xdr:col>12</xdr:col>
          <xdr:colOff>431800</xdr:colOff>
          <xdr:row>15</xdr:row>
          <xdr:rowOff>0</xdr:rowOff>
        </xdr:to>
        <xdr:sp macro="" textlink="">
          <xdr:nvSpPr>
            <xdr:cNvPr id="225052" name="Check Box 796" hidden="1">
              <a:extLst>
                <a:ext uri="{63B3BB69-23CF-44E3-9099-C40C66FF867C}">
                  <a14:compatExt spid="_x0000_s225052"/>
                </a:ext>
                <a:ext uri="{FF2B5EF4-FFF2-40B4-BE49-F238E27FC236}">
                  <a16:creationId xmlns:a16="http://schemas.microsoft.com/office/drawing/2014/main" id="{00000000-0008-0000-3A00-00001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14</xdr:row>
          <xdr:rowOff>165100</xdr:rowOff>
        </xdr:from>
        <xdr:to>
          <xdr:col>12</xdr:col>
          <xdr:colOff>431800</xdr:colOff>
          <xdr:row>15</xdr:row>
          <xdr:rowOff>203200</xdr:rowOff>
        </xdr:to>
        <xdr:sp macro="" textlink="">
          <xdr:nvSpPr>
            <xdr:cNvPr id="225053" name="Check Box 797" hidden="1">
              <a:extLst>
                <a:ext uri="{63B3BB69-23CF-44E3-9099-C40C66FF867C}">
                  <a14:compatExt spid="_x0000_s225053"/>
                </a:ext>
                <a:ext uri="{FF2B5EF4-FFF2-40B4-BE49-F238E27FC236}">
                  <a16:creationId xmlns:a16="http://schemas.microsoft.com/office/drawing/2014/main" id="{00000000-0008-0000-3A00-00001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8</xdr:row>
          <xdr:rowOff>165100</xdr:rowOff>
        </xdr:from>
        <xdr:to>
          <xdr:col>13</xdr:col>
          <xdr:colOff>431800</xdr:colOff>
          <xdr:row>10</xdr:row>
          <xdr:rowOff>12700</xdr:rowOff>
        </xdr:to>
        <xdr:sp macro="" textlink="">
          <xdr:nvSpPr>
            <xdr:cNvPr id="225054" name="Check Box 798" hidden="1">
              <a:extLst>
                <a:ext uri="{63B3BB69-23CF-44E3-9099-C40C66FF867C}">
                  <a14:compatExt spid="_x0000_s225054"/>
                </a:ext>
                <a:ext uri="{FF2B5EF4-FFF2-40B4-BE49-F238E27FC236}">
                  <a16:creationId xmlns:a16="http://schemas.microsoft.com/office/drawing/2014/main" id="{00000000-0008-0000-3A00-00001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9</xdr:row>
          <xdr:rowOff>165100</xdr:rowOff>
        </xdr:from>
        <xdr:to>
          <xdr:col>13</xdr:col>
          <xdr:colOff>431800</xdr:colOff>
          <xdr:row>11</xdr:row>
          <xdr:rowOff>0</xdr:rowOff>
        </xdr:to>
        <xdr:sp macro="" textlink="">
          <xdr:nvSpPr>
            <xdr:cNvPr id="225055" name="Check Box 799" hidden="1">
              <a:extLst>
                <a:ext uri="{63B3BB69-23CF-44E3-9099-C40C66FF867C}">
                  <a14:compatExt spid="_x0000_s225055"/>
                </a:ext>
                <a:ext uri="{FF2B5EF4-FFF2-40B4-BE49-F238E27FC236}">
                  <a16:creationId xmlns:a16="http://schemas.microsoft.com/office/drawing/2014/main" id="{00000000-0008-0000-3A00-00001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10</xdr:row>
          <xdr:rowOff>165100</xdr:rowOff>
        </xdr:from>
        <xdr:to>
          <xdr:col>13</xdr:col>
          <xdr:colOff>431800</xdr:colOff>
          <xdr:row>12</xdr:row>
          <xdr:rowOff>0</xdr:rowOff>
        </xdr:to>
        <xdr:sp macro="" textlink="">
          <xdr:nvSpPr>
            <xdr:cNvPr id="225056" name="Check Box 800" hidden="1">
              <a:extLst>
                <a:ext uri="{63B3BB69-23CF-44E3-9099-C40C66FF867C}">
                  <a14:compatExt spid="_x0000_s225056"/>
                </a:ext>
                <a:ext uri="{FF2B5EF4-FFF2-40B4-BE49-F238E27FC236}">
                  <a16:creationId xmlns:a16="http://schemas.microsoft.com/office/drawing/2014/main" id="{00000000-0008-0000-3A00-00002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165100</xdr:rowOff>
        </xdr:from>
        <xdr:to>
          <xdr:col>13</xdr:col>
          <xdr:colOff>431800</xdr:colOff>
          <xdr:row>13</xdr:row>
          <xdr:rowOff>0</xdr:rowOff>
        </xdr:to>
        <xdr:sp macro="" textlink="">
          <xdr:nvSpPr>
            <xdr:cNvPr id="225057" name="Check Box 801" hidden="1">
              <a:extLst>
                <a:ext uri="{63B3BB69-23CF-44E3-9099-C40C66FF867C}">
                  <a14:compatExt spid="_x0000_s225057"/>
                </a:ext>
                <a:ext uri="{FF2B5EF4-FFF2-40B4-BE49-F238E27FC236}">
                  <a16:creationId xmlns:a16="http://schemas.microsoft.com/office/drawing/2014/main" id="{00000000-0008-0000-3A00-00002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165100</xdr:rowOff>
        </xdr:from>
        <xdr:to>
          <xdr:col>13</xdr:col>
          <xdr:colOff>431800</xdr:colOff>
          <xdr:row>13</xdr:row>
          <xdr:rowOff>0</xdr:rowOff>
        </xdr:to>
        <xdr:sp macro="" textlink="">
          <xdr:nvSpPr>
            <xdr:cNvPr id="225058" name="Check Box 802" hidden="1">
              <a:extLst>
                <a:ext uri="{63B3BB69-23CF-44E3-9099-C40C66FF867C}">
                  <a14:compatExt spid="_x0000_s225058"/>
                </a:ext>
                <a:ext uri="{FF2B5EF4-FFF2-40B4-BE49-F238E27FC236}">
                  <a16:creationId xmlns:a16="http://schemas.microsoft.com/office/drawing/2014/main" id="{00000000-0008-0000-3A00-00002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165100</xdr:rowOff>
        </xdr:from>
        <xdr:to>
          <xdr:col>13</xdr:col>
          <xdr:colOff>431800</xdr:colOff>
          <xdr:row>14</xdr:row>
          <xdr:rowOff>0</xdr:rowOff>
        </xdr:to>
        <xdr:sp macro="" textlink="">
          <xdr:nvSpPr>
            <xdr:cNvPr id="225059" name="Check Box 803" hidden="1">
              <a:extLst>
                <a:ext uri="{63B3BB69-23CF-44E3-9099-C40C66FF867C}">
                  <a14:compatExt spid="_x0000_s225059"/>
                </a:ext>
                <a:ext uri="{FF2B5EF4-FFF2-40B4-BE49-F238E27FC236}">
                  <a16:creationId xmlns:a16="http://schemas.microsoft.com/office/drawing/2014/main" id="{00000000-0008-0000-3A00-00002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165100</xdr:rowOff>
        </xdr:from>
        <xdr:to>
          <xdr:col>13</xdr:col>
          <xdr:colOff>431800</xdr:colOff>
          <xdr:row>14</xdr:row>
          <xdr:rowOff>0</xdr:rowOff>
        </xdr:to>
        <xdr:sp macro="" textlink="">
          <xdr:nvSpPr>
            <xdr:cNvPr id="225060" name="Check Box 804" hidden="1">
              <a:extLst>
                <a:ext uri="{63B3BB69-23CF-44E3-9099-C40C66FF867C}">
                  <a14:compatExt spid="_x0000_s225060"/>
                </a:ext>
                <a:ext uri="{FF2B5EF4-FFF2-40B4-BE49-F238E27FC236}">
                  <a16:creationId xmlns:a16="http://schemas.microsoft.com/office/drawing/2014/main" id="{00000000-0008-0000-3A00-00002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165100</xdr:rowOff>
        </xdr:from>
        <xdr:to>
          <xdr:col>13</xdr:col>
          <xdr:colOff>431800</xdr:colOff>
          <xdr:row>15</xdr:row>
          <xdr:rowOff>0</xdr:rowOff>
        </xdr:to>
        <xdr:sp macro="" textlink="">
          <xdr:nvSpPr>
            <xdr:cNvPr id="225061" name="Check Box 805" hidden="1">
              <a:extLst>
                <a:ext uri="{63B3BB69-23CF-44E3-9099-C40C66FF867C}">
                  <a14:compatExt spid="_x0000_s225061"/>
                </a:ext>
                <a:ext uri="{FF2B5EF4-FFF2-40B4-BE49-F238E27FC236}">
                  <a16:creationId xmlns:a16="http://schemas.microsoft.com/office/drawing/2014/main" id="{00000000-0008-0000-3A00-00002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165100</xdr:rowOff>
        </xdr:from>
        <xdr:to>
          <xdr:col>13</xdr:col>
          <xdr:colOff>431800</xdr:colOff>
          <xdr:row>15</xdr:row>
          <xdr:rowOff>0</xdr:rowOff>
        </xdr:to>
        <xdr:sp macro="" textlink="">
          <xdr:nvSpPr>
            <xdr:cNvPr id="225062" name="Check Box 806" hidden="1">
              <a:extLst>
                <a:ext uri="{63B3BB69-23CF-44E3-9099-C40C66FF867C}">
                  <a14:compatExt spid="_x0000_s225062"/>
                </a:ext>
                <a:ext uri="{FF2B5EF4-FFF2-40B4-BE49-F238E27FC236}">
                  <a16:creationId xmlns:a16="http://schemas.microsoft.com/office/drawing/2014/main" id="{00000000-0008-0000-3A00-00002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14</xdr:row>
          <xdr:rowOff>165100</xdr:rowOff>
        </xdr:from>
        <xdr:to>
          <xdr:col>13</xdr:col>
          <xdr:colOff>431800</xdr:colOff>
          <xdr:row>15</xdr:row>
          <xdr:rowOff>203200</xdr:rowOff>
        </xdr:to>
        <xdr:sp macro="" textlink="">
          <xdr:nvSpPr>
            <xdr:cNvPr id="225063" name="Check Box 807" hidden="1">
              <a:extLst>
                <a:ext uri="{63B3BB69-23CF-44E3-9099-C40C66FF867C}">
                  <a14:compatExt spid="_x0000_s225063"/>
                </a:ext>
                <a:ext uri="{FF2B5EF4-FFF2-40B4-BE49-F238E27FC236}">
                  <a16:creationId xmlns:a16="http://schemas.microsoft.com/office/drawing/2014/main" id="{00000000-0008-0000-3A00-00002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8</xdr:row>
          <xdr:rowOff>165100</xdr:rowOff>
        </xdr:from>
        <xdr:to>
          <xdr:col>14</xdr:col>
          <xdr:colOff>431800</xdr:colOff>
          <xdr:row>10</xdr:row>
          <xdr:rowOff>12700</xdr:rowOff>
        </xdr:to>
        <xdr:sp macro="" textlink="">
          <xdr:nvSpPr>
            <xdr:cNvPr id="225064" name="Check Box 808" hidden="1">
              <a:extLst>
                <a:ext uri="{63B3BB69-23CF-44E3-9099-C40C66FF867C}">
                  <a14:compatExt spid="_x0000_s225064"/>
                </a:ext>
                <a:ext uri="{FF2B5EF4-FFF2-40B4-BE49-F238E27FC236}">
                  <a16:creationId xmlns:a16="http://schemas.microsoft.com/office/drawing/2014/main" id="{00000000-0008-0000-3A00-00002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9</xdr:row>
          <xdr:rowOff>165100</xdr:rowOff>
        </xdr:from>
        <xdr:to>
          <xdr:col>14</xdr:col>
          <xdr:colOff>431800</xdr:colOff>
          <xdr:row>11</xdr:row>
          <xdr:rowOff>0</xdr:rowOff>
        </xdr:to>
        <xdr:sp macro="" textlink="">
          <xdr:nvSpPr>
            <xdr:cNvPr id="225065" name="Check Box 809" hidden="1">
              <a:extLst>
                <a:ext uri="{63B3BB69-23CF-44E3-9099-C40C66FF867C}">
                  <a14:compatExt spid="_x0000_s225065"/>
                </a:ext>
                <a:ext uri="{FF2B5EF4-FFF2-40B4-BE49-F238E27FC236}">
                  <a16:creationId xmlns:a16="http://schemas.microsoft.com/office/drawing/2014/main" id="{00000000-0008-0000-3A00-00002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10</xdr:row>
          <xdr:rowOff>165100</xdr:rowOff>
        </xdr:from>
        <xdr:to>
          <xdr:col>14</xdr:col>
          <xdr:colOff>431800</xdr:colOff>
          <xdr:row>12</xdr:row>
          <xdr:rowOff>0</xdr:rowOff>
        </xdr:to>
        <xdr:sp macro="" textlink="">
          <xdr:nvSpPr>
            <xdr:cNvPr id="225066" name="Check Box 810" hidden="1">
              <a:extLst>
                <a:ext uri="{63B3BB69-23CF-44E3-9099-C40C66FF867C}">
                  <a14:compatExt spid="_x0000_s225066"/>
                </a:ext>
                <a:ext uri="{FF2B5EF4-FFF2-40B4-BE49-F238E27FC236}">
                  <a16:creationId xmlns:a16="http://schemas.microsoft.com/office/drawing/2014/main" id="{00000000-0008-0000-3A00-00002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165100</xdr:rowOff>
        </xdr:from>
        <xdr:to>
          <xdr:col>14</xdr:col>
          <xdr:colOff>431800</xdr:colOff>
          <xdr:row>13</xdr:row>
          <xdr:rowOff>0</xdr:rowOff>
        </xdr:to>
        <xdr:sp macro="" textlink="">
          <xdr:nvSpPr>
            <xdr:cNvPr id="225067" name="Check Box 811" hidden="1">
              <a:extLst>
                <a:ext uri="{63B3BB69-23CF-44E3-9099-C40C66FF867C}">
                  <a14:compatExt spid="_x0000_s225067"/>
                </a:ext>
                <a:ext uri="{FF2B5EF4-FFF2-40B4-BE49-F238E27FC236}">
                  <a16:creationId xmlns:a16="http://schemas.microsoft.com/office/drawing/2014/main" id="{00000000-0008-0000-3A00-00002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165100</xdr:rowOff>
        </xdr:from>
        <xdr:to>
          <xdr:col>14</xdr:col>
          <xdr:colOff>431800</xdr:colOff>
          <xdr:row>13</xdr:row>
          <xdr:rowOff>0</xdr:rowOff>
        </xdr:to>
        <xdr:sp macro="" textlink="">
          <xdr:nvSpPr>
            <xdr:cNvPr id="225068" name="Check Box 812" hidden="1">
              <a:extLst>
                <a:ext uri="{63B3BB69-23CF-44E3-9099-C40C66FF867C}">
                  <a14:compatExt spid="_x0000_s225068"/>
                </a:ext>
                <a:ext uri="{FF2B5EF4-FFF2-40B4-BE49-F238E27FC236}">
                  <a16:creationId xmlns:a16="http://schemas.microsoft.com/office/drawing/2014/main" id="{00000000-0008-0000-3A00-00002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165100</xdr:rowOff>
        </xdr:from>
        <xdr:to>
          <xdr:col>14</xdr:col>
          <xdr:colOff>431800</xdr:colOff>
          <xdr:row>14</xdr:row>
          <xdr:rowOff>0</xdr:rowOff>
        </xdr:to>
        <xdr:sp macro="" textlink="">
          <xdr:nvSpPr>
            <xdr:cNvPr id="225069" name="Check Box 813" hidden="1">
              <a:extLst>
                <a:ext uri="{63B3BB69-23CF-44E3-9099-C40C66FF867C}">
                  <a14:compatExt spid="_x0000_s225069"/>
                </a:ext>
                <a:ext uri="{FF2B5EF4-FFF2-40B4-BE49-F238E27FC236}">
                  <a16:creationId xmlns:a16="http://schemas.microsoft.com/office/drawing/2014/main" id="{00000000-0008-0000-3A00-00002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165100</xdr:rowOff>
        </xdr:from>
        <xdr:to>
          <xdr:col>14</xdr:col>
          <xdr:colOff>431800</xdr:colOff>
          <xdr:row>14</xdr:row>
          <xdr:rowOff>0</xdr:rowOff>
        </xdr:to>
        <xdr:sp macro="" textlink="">
          <xdr:nvSpPr>
            <xdr:cNvPr id="225070" name="Check Box 814" hidden="1">
              <a:extLst>
                <a:ext uri="{63B3BB69-23CF-44E3-9099-C40C66FF867C}">
                  <a14:compatExt spid="_x0000_s225070"/>
                </a:ext>
                <a:ext uri="{FF2B5EF4-FFF2-40B4-BE49-F238E27FC236}">
                  <a16:creationId xmlns:a16="http://schemas.microsoft.com/office/drawing/2014/main" id="{00000000-0008-0000-3A00-00002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165100</xdr:rowOff>
        </xdr:from>
        <xdr:to>
          <xdr:col>14</xdr:col>
          <xdr:colOff>431800</xdr:colOff>
          <xdr:row>15</xdr:row>
          <xdr:rowOff>0</xdr:rowOff>
        </xdr:to>
        <xdr:sp macro="" textlink="">
          <xdr:nvSpPr>
            <xdr:cNvPr id="225071" name="Check Box 815" hidden="1">
              <a:extLst>
                <a:ext uri="{63B3BB69-23CF-44E3-9099-C40C66FF867C}">
                  <a14:compatExt spid="_x0000_s225071"/>
                </a:ext>
                <a:ext uri="{FF2B5EF4-FFF2-40B4-BE49-F238E27FC236}">
                  <a16:creationId xmlns:a16="http://schemas.microsoft.com/office/drawing/2014/main" id="{00000000-0008-0000-3A00-00002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165100</xdr:rowOff>
        </xdr:from>
        <xdr:to>
          <xdr:col>14</xdr:col>
          <xdr:colOff>431800</xdr:colOff>
          <xdr:row>15</xdr:row>
          <xdr:rowOff>0</xdr:rowOff>
        </xdr:to>
        <xdr:sp macro="" textlink="">
          <xdr:nvSpPr>
            <xdr:cNvPr id="225072" name="Check Box 816" hidden="1">
              <a:extLst>
                <a:ext uri="{63B3BB69-23CF-44E3-9099-C40C66FF867C}">
                  <a14:compatExt spid="_x0000_s225072"/>
                </a:ext>
                <a:ext uri="{FF2B5EF4-FFF2-40B4-BE49-F238E27FC236}">
                  <a16:creationId xmlns:a16="http://schemas.microsoft.com/office/drawing/2014/main" id="{00000000-0008-0000-3A00-00003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14</xdr:row>
          <xdr:rowOff>165100</xdr:rowOff>
        </xdr:from>
        <xdr:to>
          <xdr:col>14</xdr:col>
          <xdr:colOff>431800</xdr:colOff>
          <xdr:row>15</xdr:row>
          <xdr:rowOff>203200</xdr:rowOff>
        </xdr:to>
        <xdr:sp macro="" textlink="">
          <xdr:nvSpPr>
            <xdr:cNvPr id="225073" name="Check Box 817" hidden="1">
              <a:extLst>
                <a:ext uri="{63B3BB69-23CF-44E3-9099-C40C66FF867C}">
                  <a14:compatExt spid="_x0000_s225073"/>
                </a:ext>
                <a:ext uri="{FF2B5EF4-FFF2-40B4-BE49-F238E27FC236}">
                  <a16:creationId xmlns:a16="http://schemas.microsoft.com/office/drawing/2014/main" id="{00000000-0008-0000-3A00-00003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8</xdr:row>
          <xdr:rowOff>165100</xdr:rowOff>
        </xdr:from>
        <xdr:to>
          <xdr:col>15</xdr:col>
          <xdr:colOff>431800</xdr:colOff>
          <xdr:row>10</xdr:row>
          <xdr:rowOff>12700</xdr:rowOff>
        </xdr:to>
        <xdr:sp macro="" textlink="">
          <xdr:nvSpPr>
            <xdr:cNvPr id="225074" name="Check Box 818" hidden="1">
              <a:extLst>
                <a:ext uri="{63B3BB69-23CF-44E3-9099-C40C66FF867C}">
                  <a14:compatExt spid="_x0000_s225074"/>
                </a:ext>
                <a:ext uri="{FF2B5EF4-FFF2-40B4-BE49-F238E27FC236}">
                  <a16:creationId xmlns:a16="http://schemas.microsoft.com/office/drawing/2014/main" id="{00000000-0008-0000-3A00-00003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9</xdr:row>
          <xdr:rowOff>165100</xdr:rowOff>
        </xdr:from>
        <xdr:to>
          <xdr:col>15</xdr:col>
          <xdr:colOff>431800</xdr:colOff>
          <xdr:row>11</xdr:row>
          <xdr:rowOff>0</xdr:rowOff>
        </xdr:to>
        <xdr:sp macro="" textlink="">
          <xdr:nvSpPr>
            <xdr:cNvPr id="225075" name="Check Box 819" hidden="1">
              <a:extLst>
                <a:ext uri="{63B3BB69-23CF-44E3-9099-C40C66FF867C}">
                  <a14:compatExt spid="_x0000_s225075"/>
                </a:ext>
                <a:ext uri="{FF2B5EF4-FFF2-40B4-BE49-F238E27FC236}">
                  <a16:creationId xmlns:a16="http://schemas.microsoft.com/office/drawing/2014/main" id="{00000000-0008-0000-3A00-00003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10</xdr:row>
          <xdr:rowOff>165100</xdr:rowOff>
        </xdr:from>
        <xdr:to>
          <xdr:col>15</xdr:col>
          <xdr:colOff>431800</xdr:colOff>
          <xdr:row>12</xdr:row>
          <xdr:rowOff>0</xdr:rowOff>
        </xdr:to>
        <xdr:sp macro="" textlink="">
          <xdr:nvSpPr>
            <xdr:cNvPr id="225076" name="Check Box 820" hidden="1">
              <a:extLst>
                <a:ext uri="{63B3BB69-23CF-44E3-9099-C40C66FF867C}">
                  <a14:compatExt spid="_x0000_s225076"/>
                </a:ext>
                <a:ext uri="{FF2B5EF4-FFF2-40B4-BE49-F238E27FC236}">
                  <a16:creationId xmlns:a16="http://schemas.microsoft.com/office/drawing/2014/main" id="{00000000-0008-0000-3A00-00003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165100</xdr:rowOff>
        </xdr:from>
        <xdr:to>
          <xdr:col>15</xdr:col>
          <xdr:colOff>431800</xdr:colOff>
          <xdr:row>13</xdr:row>
          <xdr:rowOff>0</xdr:rowOff>
        </xdr:to>
        <xdr:sp macro="" textlink="">
          <xdr:nvSpPr>
            <xdr:cNvPr id="225077" name="Check Box 821" hidden="1">
              <a:extLst>
                <a:ext uri="{63B3BB69-23CF-44E3-9099-C40C66FF867C}">
                  <a14:compatExt spid="_x0000_s225077"/>
                </a:ext>
                <a:ext uri="{FF2B5EF4-FFF2-40B4-BE49-F238E27FC236}">
                  <a16:creationId xmlns:a16="http://schemas.microsoft.com/office/drawing/2014/main" id="{00000000-0008-0000-3A00-00003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165100</xdr:rowOff>
        </xdr:from>
        <xdr:to>
          <xdr:col>15</xdr:col>
          <xdr:colOff>431800</xdr:colOff>
          <xdr:row>13</xdr:row>
          <xdr:rowOff>0</xdr:rowOff>
        </xdr:to>
        <xdr:sp macro="" textlink="">
          <xdr:nvSpPr>
            <xdr:cNvPr id="225078" name="Check Box 822" hidden="1">
              <a:extLst>
                <a:ext uri="{63B3BB69-23CF-44E3-9099-C40C66FF867C}">
                  <a14:compatExt spid="_x0000_s225078"/>
                </a:ext>
                <a:ext uri="{FF2B5EF4-FFF2-40B4-BE49-F238E27FC236}">
                  <a16:creationId xmlns:a16="http://schemas.microsoft.com/office/drawing/2014/main" id="{00000000-0008-0000-3A00-00003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165100</xdr:rowOff>
        </xdr:from>
        <xdr:to>
          <xdr:col>15</xdr:col>
          <xdr:colOff>431800</xdr:colOff>
          <xdr:row>14</xdr:row>
          <xdr:rowOff>0</xdr:rowOff>
        </xdr:to>
        <xdr:sp macro="" textlink="">
          <xdr:nvSpPr>
            <xdr:cNvPr id="225079" name="Check Box 823" hidden="1">
              <a:extLst>
                <a:ext uri="{63B3BB69-23CF-44E3-9099-C40C66FF867C}">
                  <a14:compatExt spid="_x0000_s225079"/>
                </a:ext>
                <a:ext uri="{FF2B5EF4-FFF2-40B4-BE49-F238E27FC236}">
                  <a16:creationId xmlns:a16="http://schemas.microsoft.com/office/drawing/2014/main" id="{00000000-0008-0000-3A00-00003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165100</xdr:rowOff>
        </xdr:from>
        <xdr:to>
          <xdr:col>15</xdr:col>
          <xdr:colOff>431800</xdr:colOff>
          <xdr:row>14</xdr:row>
          <xdr:rowOff>0</xdr:rowOff>
        </xdr:to>
        <xdr:sp macro="" textlink="">
          <xdr:nvSpPr>
            <xdr:cNvPr id="225080" name="Check Box 824" hidden="1">
              <a:extLst>
                <a:ext uri="{63B3BB69-23CF-44E3-9099-C40C66FF867C}">
                  <a14:compatExt spid="_x0000_s225080"/>
                </a:ext>
                <a:ext uri="{FF2B5EF4-FFF2-40B4-BE49-F238E27FC236}">
                  <a16:creationId xmlns:a16="http://schemas.microsoft.com/office/drawing/2014/main" id="{00000000-0008-0000-3A00-00003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165100</xdr:rowOff>
        </xdr:from>
        <xdr:to>
          <xdr:col>15</xdr:col>
          <xdr:colOff>431800</xdr:colOff>
          <xdr:row>15</xdr:row>
          <xdr:rowOff>0</xdr:rowOff>
        </xdr:to>
        <xdr:sp macro="" textlink="">
          <xdr:nvSpPr>
            <xdr:cNvPr id="225081" name="Check Box 825" hidden="1">
              <a:extLst>
                <a:ext uri="{63B3BB69-23CF-44E3-9099-C40C66FF867C}">
                  <a14:compatExt spid="_x0000_s225081"/>
                </a:ext>
                <a:ext uri="{FF2B5EF4-FFF2-40B4-BE49-F238E27FC236}">
                  <a16:creationId xmlns:a16="http://schemas.microsoft.com/office/drawing/2014/main" id="{00000000-0008-0000-3A00-00003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165100</xdr:rowOff>
        </xdr:from>
        <xdr:to>
          <xdr:col>15</xdr:col>
          <xdr:colOff>431800</xdr:colOff>
          <xdr:row>15</xdr:row>
          <xdr:rowOff>0</xdr:rowOff>
        </xdr:to>
        <xdr:sp macro="" textlink="">
          <xdr:nvSpPr>
            <xdr:cNvPr id="225082" name="Check Box 826" hidden="1">
              <a:extLst>
                <a:ext uri="{63B3BB69-23CF-44E3-9099-C40C66FF867C}">
                  <a14:compatExt spid="_x0000_s225082"/>
                </a:ext>
                <a:ext uri="{FF2B5EF4-FFF2-40B4-BE49-F238E27FC236}">
                  <a16:creationId xmlns:a16="http://schemas.microsoft.com/office/drawing/2014/main" id="{00000000-0008-0000-3A00-00003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14</xdr:row>
          <xdr:rowOff>165100</xdr:rowOff>
        </xdr:from>
        <xdr:to>
          <xdr:col>15</xdr:col>
          <xdr:colOff>431800</xdr:colOff>
          <xdr:row>15</xdr:row>
          <xdr:rowOff>203200</xdr:rowOff>
        </xdr:to>
        <xdr:sp macro="" textlink="">
          <xdr:nvSpPr>
            <xdr:cNvPr id="225083" name="Check Box 827" hidden="1">
              <a:extLst>
                <a:ext uri="{63B3BB69-23CF-44E3-9099-C40C66FF867C}">
                  <a14:compatExt spid="_x0000_s225083"/>
                </a:ext>
                <a:ext uri="{FF2B5EF4-FFF2-40B4-BE49-F238E27FC236}">
                  <a16:creationId xmlns:a16="http://schemas.microsoft.com/office/drawing/2014/main" id="{00000000-0008-0000-3A00-00003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8</xdr:row>
          <xdr:rowOff>165100</xdr:rowOff>
        </xdr:from>
        <xdr:to>
          <xdr:col>16</xdr:col>
          <xdr:colOff>431800</xdr:colOff>
          <xdr:row>10</xdr:row>
          <xdr:rowOff>12700</xdr:rowOff>
        </xdr:to>
        <xdr:sp macro="" textlink="">
          <xdr:nvSpPr>
            <xdr:cNvPr id="225084" name="Check Box 828" hidden="1">
              <a:extLst>
                <a:ext uri="{63B3BB69-23CF-44E3-9099-C40C66FF867C}">
                  <a14:compatExt spid="_x0000_s225084"/>
                </a:ext>
                <a:ext uri="{FF2B5EF4-FFF2-40B4-BE49-F238E27FC236}">
                  <a16:creationId xmlns:a16="http://schemas.microsoft.com/office/drawing/2014/main" id="{00000000-0008-0000-3A00-00003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9</xdr:row>
          <xdr:rowOff>165100</xdr:rowOff>
        </xdr:from>
        <xdr:to>
          <xdr:col>16</xdr:col>
          <xdr:colOff>431800</xdr:colOff>
          <xdr:row>11</xdr:row>
          <xdr:rowOff>0</xdr:rowOff>
        </xdr:to>
        <xdr:sp macro="" textlink="">
          <xdr:nvSpPr>
            <xdr:cNvPr id="225085" name="Check Box 829" hidden="1">
              <a:extLst>
                <a:ext uri="{63B3BB69-23CF-44E3-9099-C40C66FF867C}">
                  <a14:compatExt spid="_x0000_s225085"/>
                </a:ext>
                <a:ext uri="{FF2B5EF4-FFF2-40B4-BE49-F238E27FC236}">
                  <a16:creationId xmlns:a16="http://schemas.microsoft.com/office/drawing/2014/main" id="{00000000-0008-0000-3A00-00003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10</xdr:row>
          <xdr:rowOff>165100</xdr:rowOff>
        </xdr:from>
        <xdr:to>
          <xdr:col>16</xdr:col>
          <xdr:colOff>431800</xdr:colOff>
          <xdr:row>12</xdr:row>
          <xdr:rowOff>0</xdr:rowOff>
        </xdr:to>
        <xdr:sp macro="" textlink="">
          <xdr:nvSpPr>
            <xdr:cNvPr id="225086" name="Check Box 830" hidden="1">
              <a:extLst>
                <a:ext uri="{63B3BB69-23CF-44E3-9099-C40C66FF867C}">
                  <a14:compatExt spid="_x0000_s225086"/>
                </a:ext>
                <a:ext uri="{FF2B5EF4-FFF2-40B4-BE49-F238E27FC236}">
                  <a16:creationId xmlns:a16="http://schemas.microsoft.com/office/drawing/2014/main" id="{00000000-0008-0000-3A00-00003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165100</xdr:rowOff>
        </xdr:from>
        <xdr:to>
          <xdr:col>16</xdr:col>
          <xdr:colOff>431800</xdr:colOff>
          <xdr:row>13</xdr:row>
          <xdr:rowOff>0</xdr:rowOff>
        </xdr:to>
        <xdr:sp macro="" textlink="">
          <xdr:nvSpPr>
            <xdr:cNvPr id="225087" name="Check Box 831" hidden="1">
              <a:extLst>
                <a:ext uri="{63B3BB69-23CF-44E3-9099-C40C66FF867C}">
                  <a14:compatExt spid="_x0000_s225087"/>
                </a:ext>
                <a:ext uri="{FF2B5EF4-FFF2-40B4-BE49-F238E27FC236}">
                  <a16:creationId xmlns:a16="http://schemas.microsoft.com/office/drawing/2014/main" id="{00000000-0008-0000-3A00-00003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165100</xdr:rowOff>
        </xdr:from>
        <xdr:to>
          <xdr:col>16</xdr:col>
          <xdr:colOff>431800</xdr:colOff>
          <xdr:row>13</xdr:row>
          <xdr:rowOff>0</xdr:rowOff>
        </xdr:to>
        <xdr:sp macro="" textlink="">
          <xdr:nvSpPr>
            <xdr:cNvPr id="225088" name="Check Box 832" hidden="1">
              <a:extLst>
                <a:ext uri="{63B3BB69-23CF-44E3-9099-C40C66FF867C}">
                  <a14:compatExt spid="_x0000_s225088"/>
                </a:ext>
                <a:ext uri="{FF2B5EF4-FFF2-40B4-BE49-F238E27FC236}">
                  <a16:creationId xmlns:a16="http://schemas.microsoft.com/office/drawing/2014/main" id="{00000000-0008-0000-3A00-00004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165100</xdr:rowOff>
        </xdr:from>
        <xdr:to>
          <xdr:col>16</xdr:col>
          <xdr:colOff>431800</xdr:colOff>
          <xdr:row>14</xdr:row>
          <xdr:rowOff>0</xdr:rowOff>
        </xdr:to>
        <xdr:sp macro="" textlink="">
          <xdr:nvSpPr>
            <xdr:cNvPr id="225089" name="Check Box 833" hidden="1">
              <a:extLst>
                <a:ext uri="{63B3BB69-23CF-44E3-9099-C40C66FF867C}">
                  <a14:compatExt spid="_x0000_s225089"/>
                </a:ext>
                <a:ext uri="{FF2B5EF4-FFF2-40B4-BE49-F238E27FC236}">
                  <a16:creationId xmlns:a16="http://schemas.microsoft.com/office/drawing/2014/main" id="{00000000-0008-0000-3A00-00004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165100</xdr:rowOff>
        </xdr:from>
        <xdr:to>
          <xdr:col>16</xdr:col>
          <xdr:colOff>431800</xdr:colOff>
          <xdr:row>14</xdr:row>
          <xdr:rowOff>0</xdr:rowOff>
        </xdr:to>
        <xdr:sp macro="" textlink="">
          <xdr:nvSpPr>
            <xdr:cNvPr id="225090" name="Check Box 834" hidden="1">
              <a:extLst>
                <a:ext uri="{63B3BB69-23CF-44E3-9099-C40C66FF867C}">
                  <a14:compatExt spid="_x0000_s225090"/>
                </a:ext>
                <a:ext uri="{FF2B5EF4-FFF2-40B4-BE49-F238E27FC236}">
                  <a16:creationId xmlns:a16="http://schemas.microsoft.com/office/drawing/2014/main" id="{00000000-0008-0000-3A00-00004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165100</xdr:rowOff>
        </xdr:from>
        <xdr:to>
          <xdr:col>16</xdr:col>
          <xdr:colOff>431800</xdr:colOff>
          <xdr:row>15</xdr:row>
          <xdr:rowOff>0</xdr:rowOff>
        </xdr:to>
        <xdr:sp macro="" textlink="">
          <xdr:nvSpPr>
            <xdr:cNvPr id="225091" name="Check Box 835" hidden="1">
              <a:extLst>
                <a:ext uri="{63B3BB69-23CF-44E3-9099-C40C66FF867C}">
                  <a14:compatExt spid="_x0000_s225091"/>
                </a:ext>
                <a:ext uri="{FF2B5EF4-FFF2-40B4-BE49-F238E27FC236}">
                  <a16:creationId xmlns:a16="http://schemas.microsoft.com/office/drawing/2014/main" id="{00000000-0008-0000-3A00-00004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165100</xdr:rowOff>
        </xdr:from>
        <xdr:to>
          <xdr:col>16</xdr:col>
          <xdr:colOff>431800</xdr:colOff>
          <xdr:row>15</xdr:row>
          <xdr:rowOff>0</xdr:rowOff>
        </xdr:to>
        <xdr:sp macro="" textlink="">
          <xdr:nvSpPr>
            <xdr:cNvPr id="225092" name="Check Box 836" hidden="1">
              <a:extLst>
                <a:ext uri="{63B3BB69-23CF-44E3-9099-C40C66FF867C}">
                  <a14:compatExt spid="_x0000_s225092"/>
                </a:ext>
                <a:ext uri="{FF2B5EF4-FFF2-40B4-BE49-F238E27FC236}">
                  <a16:creationId xmlns:a16="http://schemas.microsoft.com/office/drawing/2014/main" id="{00000000-0008-0000-3A00-00004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14</xdr:row>
          <xdr:rowOff>165100</xdr:rowOff>
        </xdr:from>
        <xdr:to>
          <xdr:col>16</xdr:col>
          <xdr:colOff>431800</xdr:colOff>
          <xdr:row>15</xdr:row>
          <xdr:rowOff>203200</xdr:rowOff>
        </xdr:to>
        <xdr:sp macro="" textlink="">
          <xdr:nvSpPr>
            <xdr:cNvPr id="225093" name="Check Box 837" hidden="1">
              <a:extLst>
                <a:ext uri="{63B3BB69-23CF-44E3-9099-C40C66FF867C}">
                  <a14:compatExt spid="_x0000_s225093"/>
                </a:ext>
                <a:ext uri="{FF2B5EF4-FFF2-40B4-BE49-F238E27FC236}">
                  <a16:creationId xmlns:a16="http://schemas.microsoft.com/office/drawing/2014/main" id="{00000000-0008-0000-3A00-00004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8</xdr:row>
          <xdr:rowOff>165100</xdr:rowOff>
        </xdr:from>
        <xdr:to>
          <xdr:col>17</xdr:col>
          <xdr:colOff>431800</xdr:colOff>
          <xdr:row>10</xdr:row>
          <xdr:rowOff>12700</xdr:rowOff>
        </xdr:to>
        <xdr:sp macro="" textlink="">
          <xdr:nvSpPr>
            <xdr:cNvPr id="225094" name="Check Box 838" hidden="1">
              <a:extLst>
                <a:ext uri="{63B3BB69-23CF-44E3-9099-C40C66FF867C}">
                  <a14:compatExt spid="_x0000_s225094"/>
                </a:ext>
                <a:ext uri="{FF2B5EF4-FFF2-40B4-BE49-F238E27FC236}">
                  <a16:creationId xmlns:a16="http://schemas.microsoft.com/office/drawing/2014/main" id="{00000000-0008-0000-3A00-00004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9</xdr:row>
          <xdr:rowOff>165100</xdr:rowOff>
        </xdr:from>
        <xdr:to>
          <xdr:col>17</xdr:col>
          <xdr:colOff>431800</xdr:colOff>
          <xdr:row>11</xdr:row>
          <xdr:rowOff>0</xdr:rowOff>
        </xdr:to>
        <xdr:sp macro="" textlink="">
          <xdr:nvSpPr>
            <xdr:cNvPr id="225095" name="Check Box 839" hidden="1">
              <a:extLst>
                <a:ext uri="{63B3BB69-23CF-44E3-9099-C40C66FF867C}">
                  <a14:compatExt spid="_x0000_s225095"/>
                </a:ext>
                <a:ext uri="{FF2B5EF4-FFF2-40B4-BE49-F238E27FC236}">
                  <a16:creationId xmlns:a16="http://schemas.microsoft.com/office/drawing/2014/main" id="{00000000-0008-0000-3A00-00004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10</xdr:row>
          <xdr:rowOff>165100</xdr:rowOff>
        </xdr:from>
        <xdr:to>
          <xdr:col>17</xdr:col>
          <xdr:colOff>431800</xdr:colOff>
          <xdr:row>12</xdr:row>
          <xdr:rowOff>0</xdr:rowOff>
        </xdr:to>
        <xdr:sp macro="" textlink="">
          <xdr:nvSpPr>
            <xdr:cNvPr id="225096" name="Check Box 840" hidden="1">
              <a:extLst>
                <a:ext uri="{63B3BB69-23CF-44E3-9099-C40C66FF867C}">
                  <a14:compatExt spid="_x0000_s225096"/>
                </a:ext>
                <a:ext uri="{FF2B5EF4-FFF2-40B4-BE49-F238E27FC236}">
                  <a16:creationId xmlns:a16="http://schemas.microsoft.com/office/drawing/2014/main" id="{00000000-0008-0000-3A00-00004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165100</xdr:rowOff>
        </xdr:from>
        <xdr:to>
          <xdr:col>17</xdr:col>
          <xdr:colOff>431800</xdr:colOff>
          <xdr:row>13</xdr:row>
          <xdr:rowOff>0</xdr:rowOff>
        </xdr:to>
        <xdr:sp macro="" textlink="">
          <xdr:nvSpPr>
            <xdr:cNvPr id="225097" name="Check Box 841" hidden="1">
              <a:extLst>
                <a:ext uri="{63B3BB69-23CF-44E3-9099-C40C66FF867C}">
                  <a14:compatExt spid="_x0000_s225097"/>
                </a:ext>
                <a:ext uri="{FF2B5EF4-FFF2-40B4-BE49-F238E27FC236}">
                  <a16:creationId xmlns:a16="http://schemas.microsoft.com/office/drawing/2014/main" id="{00000000-0008-0000-3A00-00004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165100</xdr:rowOff>
        </xdr:from>
        <xdr:to>
          <xdr:col>17</xdr:col>
          <xdr:colOff>431800</xdr:colOff>
          <xdr:row>13</xdr:row>
          <xdr:rowOff>0</xdr:rowOff>
        </xdr:to>
        <xdr:sp macro="" textlink="">
          <xdr:nvSpPr>
            <xdr:cNvPr id="225098" name="Check Box 842" hidden="1">
              <a:extLst>
                <a:ext uri="{63B3BB69-23CF-44E3-9099-C40C66FF867C}">
                  <a14:compatExt spid="_x0000_s225098"/>
                </a:ext>
                <a:ext uri="{FF2B5EF4-FFF2-40B4-BE49-F238E27FC236}">
                  <a16:creationId xmlns:a16="http://schemas.microsoft.com/office/drawing/2014/main" id="{00000000-0008-0000-3A00-00004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165100</xdr:rowOff>
        </xdr:from>
        <xdr:to>
          <xdr:col>17</xdr:col>
          <xdr:colOff>431800</xdr:colOff>
          <xdr:row>14</xdr:row>
          <xdr:rowOff>0</xdr:rowOff>
        </xdr:to>
        <xdr:sp macro="" textlink="">
          <xdr:nvSpPr>
            <xdr:cNvPr id="225099" name="Check Box 843" hidden="1">
              <a:extLst>
                <a:ext uri="{63B3BB69-23CF-44E3-9099-C40C66FF867C}">
                  <a14:compatExt spid="_x0000_s225099"/>
                </a:ext>
                <a:ext uri="{FF2B5EF4-FFF2-40B4-BE49-F238E27FC236}">
                  <a16:creationId xmlns:a16="http://schemas.microsoft.com/office/drawing/2014/main" id="{00000000-0008-0000-3A00-00004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165100</xdr:rowOff>
        </xdr:from>
        <xdr:to>
          <xdr:col>17</xdr:col>
          <xdr:colOff>431800</xdr:colOff>
          <xdr:row>14</xdr:row>
          <xdr:rowOff>0</xdr:rowOff>
        </xdr:to>
        <xdr:sp macro="" textlink="">
          <xdr:nvSpPr>
            <xdr:cNvPr id="225100" name="Check Box 844" hidden="1">
              <a:extLst>
                <a:ext uri="{63B3BB69-23CF-44E3-9099-C40C66FF867C}">
                  <a14:compatExt spid="_x0000_s225100"/>
                </a:ext>
                <a:ext uri="{FF2B5EF4-FFF2-40B4-BE49-F238E27FC236}">
                  <a16:creationId xmlns:a16="http://schemas.microsoft.com/office/drawing/2014/main" id="{00000000-0008-0000-3A00-00004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165100</xdr:rowOff>
        </xdr:from>
        <xdr:to>
          <xdr:col>17</xdr:col>
          <xdr:colOff>431800</xdr:colOff>
          <xdr:row>15</xdr:row>
          <xdr:rowOff>0</xdr:rowOff>
        </xdr:to>
        <xdr:sp macro="" textlink="">
          <xdr:nvSpPr>
            <xdr:cNvPr id="225101" name="Check Box 845" hidden="1">
              <a:extLst>
                <a:ext uri="{63B3BB69-23CF-44E3-9099-C40C66FF867C}">
                  <a14:compatExt spid="_x0000_s225101"/>
                </a:ext>
                <a:ext uri="{FF2B5EF4-FFF2-40B4-BE49-F238E27FC236}">
                  <a16:creationId xmlns:a16="http://schemas.microsoft.com/office/drawing/2014/main" id="{00000000-0008-0000-3A00-00004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165100</xdr:rowOff>
        </xdr:from>
        <xdr:to>
          <xdr:col>17</xdr:col>
          <xdr:colOff>431800</xdr:colOff>
          <xdr:row>15</xdr:row>
          <xdr:rowOff>0</xdr:rowOff>
        </xdr:to>
        <xdr:sp macro="" textlink="">
          <xdr:nvSpPr>
            <xdr:cNvPr id="225102" name="Check Box 846" hidden="1">
              <a:extLst>
                <a:ext uri="{63B3BB69-23CF-44E3-9099-C40C66FF867C}">
                  <a14:compatExt spid="_x0000_s225102"/>
                </a:ext>
                <a:ext uri="{FF2B5EF4-FFF2-40B4-BE49-F238E27FC236}">
                  <a16:creationId xmlns:a16="http://schemas.microsoft.com/office/drawing/2014/main" id="{00000000-0008-0000-3A00-00004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14</xdr:row>
          <xdr:rowOff>165100</xdr:rowOff>
        </xdr:from>
        <xdr:to>
          <xdr:col>17</xdr:col>
          <xdr:colOff>431800</xdr:colOff>
          <xdr:row>15</xdr:row>
          <xdr:rowOff>203200</xdr:rowOff>
        </xdr:to>
        <xdr:sp macro="" textlink="">
          <xdr:nvSpPr>
            <xdr:cNvPr id="225103" name="Check Box 847" hidden="1">
              <a:extLst>
                <a:ext uri="{63B3BB69-23CF-44E3-9099-C40C66FF867C}">
                  <a14:compatExt spid="_x0000_s225103"/>
                </a:ext>
                <a:ext uri="{FF2B5EF4-FFF2-40B4-BE49-F238E27FC236}">
                  <a16:creationId xmlns:a16="http://schemas.microsoft.com/office/drawing/2014/main" id="{00000000-0008-0000-3A00-00004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8</xdr:row>
          <xdr:rowOff>165100</xdr:rowOff>
        </xdr:from>
        <xdr:to>
          <xdr:col>18</xdr:col>
          <xdr:colOff>431800</xdr:colOff>
          <xdr:row>10</xdr:row>
          <xdr:rowOff>12700</xdr:rowOff>
        </xdr:to>
        <xdr:sp macro="" textlink="">
          <xdr:nvSpPr>
            <xdr:cNvPr id="225104" name="Check Box 848" hidden="1">
              <a:extLst>
                <a:ext uri="{63B3BB69-23CF-44E3-9099-C40C66FF867C}">
                  <a14:compatExt spid="_x0000_s225104"/>
                </a:ext>
                <a:ext uri="{FF2B5EF4-FFF2-40B4-BE49-F238E27FC236}">
                  <a16:creationId xmlns:a16="http://schemas.microsoft.com/office/drawing/2014/main" id="{00000000-0008-0000-3A00-00005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9</xdr:row>
          <xdr:rowOff>165100</xdr:rowOff>
        </xdr:from>
        <xdr:to>
          <xdr:col>18</xdr:col>
          <xdr:colOff>431800</xdr:colOff>
          <xdr:row>11</xdr:row>
          <xdr:rowOff>0</xdr:rowOff>
        </xdr:to>
        <xdr:sp macro="" textlink="">
          <xdr:nvSpPr>
            <xdr:cNvPr id="225105" name="Check Box 849" hidden="1">
              <a:extLst>
                <a:ext uri="{63B3BB69-23CF-44E3-9099-C40C66FF867C}">
                  <a14:compatExt spid="_x0000_s225105"/>
                </a:ext>
                <a:ext uri="{FF2B5EF4-FFF2-40B4-BE49-F238E27FC236}">
                  <a16:creationId xmlns:a16="http://schemas.microsoft.com/office/drawing/2014/main" id="{00000000-0008-0000-3A00-00005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165100</xdr:rowOff>
        </xdr:from>
        <xdr:to>
          <xdr:col>18</xdr:col>
          <xdr:colOff>431800</xdr:colOff>
          <xdr:row>12</xdr:row>
          <xdr:rowOff>0</xdr:rowOff>
        </xdr:to>
        <xdr:sp macro="" textlink="">
          <xdr:nvSpPr>
            <xdr:cNvPr id="225106" name="Check Box 850" hidden="1">
              <a:extLst>
                <a:ext uri="{63B3BB69-23CF-44E3-9099-C40C66FF867C}">
                  <a14:compatExt spid="_x0000_s225106"/>
                </a:ext>
                <a:ext uri="{FF2B5EF4-FFF2-40B4-BE49-F238E27FC236}">
                  <a16:creationId xmlns:a16="http://schemas.microsoft.com/office/drawing/2014/main" id="{00000000-0008-0000-3A00-00005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165100</xdr:rowOff>
        </xdr:from>
        <xdr:to>
          <xdr:col>18</xdr:col>
          <xdr:colOff>431800</xdr:colOff>
          <xdr:row>13</xdr:row>
          <xdr:rowOff>0</xdr:rowOff>
        </xdr:to>
        <xdr:sp macro="" textlink="">
          <xdr:nvSpPr>
            <xdr:cNvPr id="225107" name="Check Box 851" hidden="1">
              <a:extLst>
                <a:ext uri="{63B3BB69-23CF-44E3-9099-C40C66FF867C}">
                  <a14:compatExt spid="_x0000_s225107"/>
                </a:ext>
                <a:ext uri="{FF2B5EF4-FFF2-40B4-BE49-F238E27FC236}">
                  <a16:creationId xmlns:a16="http://schemas.microsoft.com/office/drawing/2014/main" id="{00000000-0008-0000-3A00-00005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165100</xdr:rowOff>
        </xdr:from>
        <xdr:to>
          <xdr:col>18</xdr:col>
          <xdr:colOff>431800</xdr:colOff>
          <xdr:row>13</xdr:row>
          <xdr:rowOff>0</xdr:rowOff>
        </xdr:to>
        <xdr:sp macro="" textlink="">
          <xdr:nvSpPr>
            <xdr:cNvPr id="225108" name="Check Box 852" hidden="1">
              <a:extLst>
                <a:ext uri="{63B3BB69-23CF-44E3-9099-C40C66FF867C}">
                  <a14:compatExt spid="_x0000_s225108"/>
                </a:ext>
                <a:ext uri="{FF2B5EF4-FFF2-40B4-BE49-F238E27FC236}">
                  <a16:creationId xmlns:a16="http://schemas.microsoft.com/office/drawing/2014/main" id="{00000000-0008-0000-3A00-00005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165100</xdr:rowOff>
        </xdr:from>
        <xdr:to>
          <xdr:col>18</xdr:col>
          <xdr:colOff>431800</xdr:colOff>
          <xdr:row>14</xdr:row>
          <xdr:rowOff>0</xdr:rowOff>
        </xdr:to>
        <xdr:sp macro="" textlink="">
          <xdr:nvSpPr>
            <xdr:cNvPr id="225109" name="Check Box 853" hidden="1">
              <a:extLst>
                <a:ext uri="{63B3BB69-23CF-44E3-9099-C40C66FF867C}">
                  <a14:compatExt spid="_x0000_s225109"/>
                </a:ext>
                <a:ext uri="{FF2B5EF4-FFF2-40B4-BE49-F238E27FC236}">
                  <a16:creationId xmlns:a16="http://schemas.microsoft.com/office/drawing/2014/main" id="{00000000-0008-0000-3A00-00005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165100</xdr:rowOff>
        </xdr:from>
        <xdr:to>
          <xdr:col>18</xdr:col>
          <xdr:colOff>431800</xdr:colOff>
          <xdr:row>14</xdr:row>
          <xdr:rowOff>0</xdr:rowOff>
        </xdr:to>
        <xdr:sp macro="" textlink="">
          <xdr:nvSpPr>
            <xdr:cNvPr id="225110" name="Check Box 854" hidden="1">
              <a:extLst>
                <a:ext uri="{63B3BB69-23CF-44E3-9099-C40C66FF867C}">
                  <a14:compatExt spid="_x0000_s225110"/>
                </a:ext>
                <a:ext uri="{FF2B5EF4-FFF2-40B4-BE49-F238E27FC236}">
                  <a16:creationId xmlns:a16="http://schemas.microsoft.com/office/drawing/2014/main" id="{00000000-0008-0000-3A00-00005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165100</xdr:rowOff>
        </xdr:from>
        <xdr:to>
          <xdr:col>18</xdr:col>
          <xdr:colOff>431800</xdr:colOff>
          <xdr:row>15</xdr:row>
          <xdr:rowOff>0</xdr:rowOff>
        </xdr:to>
        <xdr:sp macro="" textlink="">
          <xdr:nvSpPr>
            <xdr:cNvPr id="225111" name="Check Box 855" hidden="1">
              <a:extLst>
                <a:ext uri="{63B3BB69-23CF-44E3-9099-C40C66FF867C}">
                  <a14:compatExt spid="_x0000_s225111"/>
                </a:ext>
                <a:ext uri="{FF2B5EF4-FFF2-40B4-BE49-F238E27FC236}">
                  <a16:creationId xmlns:a16="http://schemas.microsoft.com/office/drawing/2014/main" id="{00000000-0008-0000-3A00-00005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165100</xdr:rowOff>
        </xdr:from>
        <xdr:to>
          <xdr:col>18</xdr:col>
          <xdr:colOff>431800</xdr:colOff>
          <xdr:row>15</xdr:row>
          <xdr:rowOff>0</xdr:rowOff>
        </xdr:to>
        <xdr:sp macro="" textlink="">
          <xdr:nvSpPr>
            <xdr:cNvPr id="225112" name="Check Box 856" hidden="1">
              <a:extLst>
                <a:ext uri="{63B3BB69-23CF-44E3-9099-C40C66FF867C}">
                  <a14:compatExt spid="_x0000_s225112"/>
                </a:ext>
                <a:ext uri="{FF2B5EF4-FFF2-40B4-BE49-F238E27FC236}">
                  <a16:creationId xmlns:a16="http://schemas.microsoft.com/office/drawing/2014/main" id="{00000000-0008-0000-3A00-00005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14</xdr:row>
          <xdr:rowOff>165100</xdr:rowOff>
        </xdr:from>
        <xdr:to>
          <xdr:col>18</xdr:col>
          <xdr:colOff>431800</xdr:colOff>
          <xdr:row>15</xdr:row>
          <xdr:rowOff>203200</xdr:rowOff>
        </xdr:to>
        <xdr:sp macro="" textlink="">
          <xdr:nvSpPr>
            <xdr:cNvPr id="225113" name="Check Box 857" hidden="1">
              <a:extLst>
                <a:ext uri="{63B3BB69-23CF-44E3-9099-C40C66FF867C}">
                  <a14:compatExt spid="_x0000_s225113"/>
                </a:ext>
                <a:ext uri="{FF2B5EF4-FFF2-40B4-BE49-F238E27FC236}">
                  <a16:creationId xmlns:a16="http://schemas.microsoft.com/office/drawing/2014/main" id="{00000000-0008-0000-3A00-00005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8</xdr:row>
          <xdr:rowOff>165100</xdr:rowOff>
        </xdr:from>
        <xdr:to>
          <xdr:col>19</xdr:col>
          <xdr:colOff>431800</xdr:colOff>
          <xdr:row>10</xdr:row>
          <xdr:rowOff>12700</xdr:rowOff>
        </xdr:to>
        <xdr:sp macro="" textlink="">
          <xdr:nvSpPr>
            <xdr:cNvPr id="225114" name="Check Box 858" hidden="1">
              <a:extLst>
                <a:ext uri="{63B3BB69-23CF-44E3-9099-C40C66FF867C}">
                  <a14:compatExt spid="_x0000_s225114"/>
                </a:ext>
                <a:ext uri="{FF2B5EF4-FFF2-40B4-BE49-F238E27FC236}">
                  <a16:creationId xmlns:a16="http://schemas.microsoft.com/office/drawing/2014/main" id="{00000000-0008-0000-3A00-00005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9</xdr:row>
          <xdr:rowOff>165100</xdr:rowOff>
        </xdr:from>
        <xdr:to>
          <xdr:col>19</xdr:col>
          <xdr:colOff>431800</xdr:colOff>
          <xdr:row>11</xdr:row>
          <xdr:rowOff>0</xdr:rowOff>
        </xdr:to>
        <xdr:sp macro="" textlink="">
          <xdr:nvSpPr>
            <xdr:cNvPr id="225115" name="Check Box 859" hidden="1">
              <a:extLst>
                <a:ext uri="{63B3BB69-23CF-44E3-9099-C40C66FF867C}">
                  <a14:compatExt spid="_x0000_s225115"/>
                </a:ext>
                <a:ext uri="{FF2B5EF4-FFF2-40B4-BE49-F238E27FC236}">
                  <a16:creationId xmlns:a16="http://schemas.microsoft.com/office/drawing/2014/main" id="{00000000-0008-0000-3A00-00005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10</xdr:row>
          <xdr:rowOff>165100</xdr:rowOff>
        </xdr:from>
        <xdr:to>
          <xdr:col>19</xdr:col>
          <xdr:colOff>431800</xdr:colOff>
          <xdr:row>12</xdr:row>
          <xdr:rowOff>0</xdr:rowOff>
        </xdr:to>
        <xdr:sp macro="" textlink="">
          <xdr:nvSpPr>
            <xdr:cNvPr id="225116" name="Check Box 860" hidden="1">
              <a:extLst>
                <a:ext uri="{63B3BB69-23CF-44E3-9099-C40C66FF867C}">
                  <a14:compatExt spid="_x0000_s225116"/>
                </a:ext>
                <a:ext uri="{FF2B5EF4-FFF2-40B4-BE49-F238E27FC236}">
                  <a16:creationId xmlns:a16="http://schemas.microsoft.com/office/drawing/2014/main" id="{00000000-0008-0000-3A00-00005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165100</xdr:rowOff>
        </xdr:from>
        <xdr:to>
          <xdr:col>19</xdr:col>
          <xdr:colOff>431800</xdr:colOff>
          <xdr:row>13</xdr:row>
          <xdr:rowOff>0</xdr:rowOff>
        </xdr:to>
        <xdr:sp macro="" textlink="">
          <xdr:nvSpPr>
            <xdr:cNvPr id="225117" name="Check Box 861" hidden="1">
              <a:extLst>
                <a:ext uri="{63B3BB69-23CF-44E3-9099-C40C66FF867C}">
                  <a14:compatExt spid="_x0000_s225117"/>
                </a:ext>
                <a:ext uri="{FF2B5EF4-FFF2-40B4-BE49-F238E27FC236}">
                  <a16:creationId xmlns:a16="http://schemas.microsoft.com/office/drawing/2014/main" id="{00000000-0008-0000-3A00-00005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165100</xdr:rowOff>
        </xdr:from>
        <xdr:to>
          <xdr:col>19</xdr:col>
          <xdr:colOff>431800</xdr:colOff>
          <xdr:row>13</xdr:row>
          <xdr:rowOff>0</xdr:rowOff>
        </xdr:to>
        <xdr:sp macro="" textlink="">
          <xdr:nvSpPr>
            <xdr:cNvPr id="225118" name="Check Box 862" hidden="1">
              <a:extLst>
                <a:ext uri="{63B3BB69-23CF-44E3-9099-C40C66FF867C}">
                  <a14:compatExt spid="_x0000_s225118"/>
                </a:ext>
                <a:ext uri="{FF2B5EF4-FFF2-40B4-BE49-F238E27FC236}">
                  <a16:creationId xmlns:a16="http://schemas.microsoft.com/office/drawing/2014/main" id="{00000000-0008-0000-3A00-00005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165100</xdr:rowOff>
        </xdr:from>
        <xdr:to>
          <xdr:col>19</xdr:col>
          <xdr:colOff>431800</xdr:colOff>
          <xdr:row>14</xdr:row>
          <xdr:rowOff>0</xdr:rowOff>
        </xdr:to>
        <xdr:sp macro="" textlink="">
          <xdr:nvSpPr>
            <xdr:cNvPr id="225119" name="Check Box 863" hidden="1">
              <a:extLst>
                <a:ext uri="{63B3BB69-23CF-44E3-9099-C40C66FF867C}">
                  <a14:compatExt spid="_x0000_s225119"/>
                </a:ext>
                <a:ext uri="{FF2B5EF4-FFF2-40B4-BE49-F238E27FC236}">
                  <a16:creationId xmlns:a16="http://schemas.microsoft.com/office/drawing/2014/main" id="{00000000-0008-0000-3A00-00005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165100</xdr:rowOff>
        </xdr:from>
        <xdr:to>
          <xdr:col>19</xdr:col>
          <xdr:colOff>431800</xdr:colOff>
          <xdr:row>14</xdr:row>
          <xdr:rowOff>0</xdr:rowOff>
        </xdr:to>
        <xdr:sp macro="" textlink="">
          <xdr:nvSpPr>
            <xdr:cNvPr id="225120" name="Check Box 864" hidden="1">
              <a:extLst>
                <a:ext uri="{63B3BB69-23CF-44E3-9099-C40C66FF867C}">
                  <a14:compatExt spid="_x0000_s225120"/>
                </a:ext>
                <a:ext uri="{FF2B5EF4-FFF2-40B4-BE49-F238E27FC236}">
                  <a16:creationId xmlns:a16="http://schemas.microsoft.com/office/drawing/2014/main" id="{00000000-0008-0000-3A00-00006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165100</xdr:rowOff>
        </xdr:from>
        <xdr:to>
          <xdr:col>19</xdr:col>
          <xdr:colOff>431800</xdr:colOff>
          <xdr:row>15</xdr:row>
          <xdr:rowOff>0</xdr:rowOff>
        </xdr:to>
        <xdr:sp macro="" textlink="">
          <xdr:nvSpPr>
            <xdr:cNvPr id="225121" name="Check Box 865" hidden="1">
              <a:extLst>
                <a:ext uri="{63B3BB69-23CF-44E3-9099-C40C66FF867C}">
                  <a14:compatExt spid="_x0000_s225121"/>
                </a:ext>
                <a:ext uri="{FF2B5EF4-FFF2-40B4-BE49-F238E27FC236}">
                  <a16:creationId xmlns:a16="http://schemas.microsoft.com/office/drawing/2014/main" id="{00000000-0008-0000-3A00-00006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165100</xdr:rowOff>
        </xdr:from>
        <xdr:to>
          <xdr:col>19</xdr:col>
          <xdr:colOff>431800</xdr:colOff>
          <xdr:row>15</xdr:row>
          <xdr:rowOff>0</xdr:rowOff>
        </xdr:to>
        <xdr:sp macro="" textlink="">
          <xdr:nvSpPr>
            <xdr:cNvPr id="225122" name="Check Box 866" hidden="1">
              <a:extLst>
                <a:ext uri="{63B3BB69-23CF-44E3-9099-C40C66FF867C}">
                  <a14:compatExt spid="_x0000_s225122"/>
                </a:ext>
                <a:ext uri="{FF2B5EF4-FFF2-40B4-BE49-F238E27FC236}">
                  <a16:creationId xmlns:a16="http://schemas.microsoft.com/office/drawing/2014/main" id="{00000000-0008-0000-3A00-00006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14</xdr:row>
          <xdr:rowOff>165100</xdr:rowOff>
        </xdr:from>
        <xdr:to>
          <xdr:col>19</xdr:col>
          <xdr:colOff>431800</xdr:colOff>
          <xdr:row>15</xdr:row>
          <xdr:rowOff>203200</xdr:rowOff>
        </xdr:to>
        <xdr:sp macro="" textlink="">
          <xdr:nvSpPr>
            <xdr:cNvPr id="225123" name="Check Box 867" hidden="1">
              <a:extLst>
                <a:ext uri="{63B3BB69-23CF-44E3-9099-C40C66FF867C}">
                  <a14:compatExt spid="_x0000_s225123"/>
                </a:ext>
                <a:ext uri="{FF2B5EF4-FFF2-40B4-BE49-F238E27FC236}">
                  <a16:creationId xmlns:a16="http://schemas.microsoft.com/office/drawing/2014/main" id="{00000000-0008-0000-3A00-00006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19</xdr:row>
          <xdr:rowOff>38100</xdr:rowOff>
        </xdr:from>
        <xdr:to>
          <xdr:col>6</xdr:col>
          <xdr:colOff>355600</xdr:colOff>
          <xdr:row>19</xdr:row>
          <xdr:rowOff>260350</xdr:rowOff>
        </xdr:to>
        <xdr:sp macro="" textlink="">
          <xdr:nvSpPr>
            <xdr:cNvPr id="225124" name="Check Box 868" hidden="1">
              <a:extLst>
                <a:ext uri="{63B3BB69-23CF-44E3-9099-C40C66FF867C}">
                  <a14:compatExt spid="_x0000_s225124"/>
                </a:ext>
                <a:ext uri="{FF2B5EF4-FFF2-40B4-BE49-F238E27FC236}">
                  <a16:creationId xmlns:a16="http://schemas.microsoft.com/office/drawing/2014/main" id="{00000000-0008-0000-3A00-00006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20</xdr:row>
          <xdr:rowOff>38100</xdr:rowOff>
        </xdr:from>
        <xdr:to>
          <xdr:col>6</xdr:col>
          <xdr:colOff>355600</xdr:colOff>
          <xdr:row>20</xdr:row>
          <xdr:rowOff>260350</xdr:rowOff>
        </xdr:to>
        <xdr:sp macro="" textlink="">
          <xdr:nvSpPr>
            <xdr:cNvPr id="225125" name="Check Box 869" hidden="1">
              <a:extLst>
                <a:ext uri="{63B3BB69-23CF-44E3-9099-C40C66FF867C}">
                  <a14:compatExt spid="_x0000_s225125"/>
                </a:ext>
                <a:ext uri="{FF2B5EF4-FFF2-40B4-BE49-F238E27FC236}">
                  <a16:creationId xmlns:a16="http://schemas.microsoft.com/office/drawing/2014/main" id="{00000000-0008-0000-3A00-00006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21</xdr:row>
          <xdr:rowOff>38100</xdr:rowOff>
        </xdr:from>
        <xdr:to>
          <xdr:col>6</xdr:col>
          <xdr:colOff>355600</xdr:colOff>
          <xdr:row>21</xdr:row>
          <xdr:rowOff>260350</xdr:rowOff>
        </xdr:to>
        <xdr:sp macro="" textlink="">
          <xdr:nvSpPr>
            <xdr:cNvPr id="225126" name="Check Box 870" hidden="1">
              <a:extLst>
                <a:ext uri="{63B3BB69-23CF-44E3-9099-C40C66FF867C}">
                  <a14:compatExt spid="_x0000_s225126"/>
                </a:ext>
                <a:ext uri="{FF2B5EF4-FFF2-40B4-BE49-F238E27FC236}">
                  <a16:creationId xmlns:a16="http://schemas.microsoft.com/office/drawing/2014/main" id="{00000000-0008-0000-3A00-00006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22</xdr:row>
          <xdr:rowOff>38100</xdr:rowOff>
        </xdr:from>
        <xdr:to>
          <xdr:col>6</xdr:col>
          <xdr:colOff>355600</xdr:colOff>
          <xdr:row>22</xdr:row>
          <xdr:rowOff>260350</xdr:rowOff>
        </xdr:to>
        <xdr:sp macro="" textlink="">
          <xdr:nvSpPr>
            <xdr:cNvPr id="225127" name="Check Box 871" hidden="1">
              <a:extLst>
                <a:ext uri="{63B3BB69-23CF-44E3-9099-C40C66FF867C}">
                  <a14:compatExt spid="_x0000_s225127"/>
                </a:ext>
                <a:ext uri="{FF2B5EF4-FFF2-40B4-BE49-F238E27FC236}">
                  <a16:creationId xmlns:a16="http://schemas.microsoft.com/office/drawing/2014/main" id="{00000000-0008-0000-3A00-00006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23</xdr:row>
          <xdr:rowOff>38100</xdr:rowOff>
        </xdr:from>
        <xdr:to>
          <xdr:col>6</xdr:col>
          <xdr:colOff>355600</xdr:colOff>
          <xdr:row>23</xdr:row>
          <xdr:rowOff>260350</xdr:rowOff>
        </xdr:to>
        <xdr:sp macro="" textlink="">
          <xdr:nvSpPr>
            <xdr:cNvPr id="225128" name="Check Box 872" hidden="1">
              <a:extLst>
                <a:ext uri="{63B3BB69-23CF-44E3-9099-C40C66FF867C}">
                  <a14:compatExt spid="_x0000_s225128"/>
                </a:ext>
                <a:ext uri="{FF2B5EF4-FFF2-40B4-BE49-F238E27FC236}">
                  <a16:creationId xmlns:a16="http://schemas.microsoft.com/office/drawing/2014/main" id="{00000000-0008-0000-3A00-00006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24</xdr:row>
          <xdr:rowOff>38100</xdr:rowOff>
        </xdr:from>
        <xdr:to>
          <xdr:col>6</xdr:col>
          <xdr:colOff>355600</xdr:colOff>
          <xdr:row>24</xdr:row>
          <xdr:rowOff>260350</xdr:rowOff>
        </xdr:to>
        <xdr:sp macro="" textlink="">
          <xdr:nvSpPr>
            <xdr:cNvPr id="225129" name="Check Box 873" hidden="1">
              <a:extLst>
                <a:ext uri="{63B3BB69-23CF-44E3-9099-C40C66FF867C}">
                  <a14:compatExt spid="_x0000_s225129"/>
                </a:ext>
                <a:ext uri="{FF2B5EF4-FFF2-40B4-BE49-F238E27FC236}">
                  <a16:creationId xmlns:a16="http://schemas.microsoft.com/office/drawing/2014/main" id="{00000000-0008-0000-3A00-00006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25</xdr:row>
          <xdr:rowOff>38100</xdr:rowOff>
        </xdr:from>
        <xdr:to>
          <xdr:col>6</xdr:col>
          <xdr:colOff>355600</xdr:colOff>
          <xdr:row>25</xdr:row>
          <xdr:rowOff>260350</xdr:rowOff>
        </xdr:to>
        <xdr:sp macro="" textlink="">
          <xdr:nvSpPr>
            <xdr:cNvPr id="225130" name="Check Box 874" hidden="1">
              <a:extLst>
                <a:ext uri="{63B3BB69-23CF-44E3-9099-C40C66FF867C}">
                  <a14:compatExt spid="_x0000_s225130"/>
                </a:ext>
                <a:ext uri="{FF2B5EF4-FFF2-40B4-BE49-F238E27FC236}">
                  <a16:creationId xmlns:a16="http://schemas.microsoft.com/office/drawing/2014/main" id="{00000000-0008-0000-3A00-00006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19</xdr:row>
          <xdr:rowOff>38100</xdr:rowOff>
        </xdr:from>
        <xdr:to>
          <xdr:col>7</xdr:col>
          <xdr:colOff>355600</xdr:colOff>
          <xdr:row>19</xdr:row>
          <xdr:rowOff>260350</xdr:rowOff>
        </xdr:to>
        <xdr:sp macro="" textlink="">
          <xdr:nvSpPr>
            <xdr:cNvPr id="225131" name="Check Box 875" hidden="1">
              <a:extLst>
                <a:ext uri="{63B3BB69-23CF-44E3-9099-C40C66FF867C}">
                  <a14:compatExt spid="_x0000_s225131"/>
                </a:ext>
                <a:ext uri="{FF2B5EF4-FFF2-40B4-BE49-F238E27FC236}">
                  <a16:creationId xmlns:a16="http://schemas.microsoft.com/office/drawing/2014/main" id="{00000000-0008-0000-3A00-00006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20</xdr:row>
          <xdr:rowOff>38100</xdr:rowOff>
        </xdr:from>
        <xdr:to>
          <xdr:col>7</xdr:col>
          <xdr:colOff>355600</xdr:colOff>
          <xdr:row>20</xdr:row>
          <xdr:rowOff>260350</xdr:rowOff>
        </xdr:to>
        <xdr:sp macro="" textlink="">
          <xdr:nvSpPr>
            <xdr:cNvPr id="225132" name="Check Box 876" hidden="1">
              <a:extLst>
                <a:ext uri="{63B3BB69-23CF-44E3-9099-C40C66FF867C}">
                  <a14:compatExt spid="_x0000_s225132"/>
                </a:ext>
                <a:ext uri="{FF2B5EF4-FFF2-40B4-BE49-F238E27FC236}">
                  <a16:creationId xmlns:a16="http://schemas.microsoft.com/office/drawing/2014/main" id="{00000000-0008-0000-3A00-00006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21</xdr:row>
          <xdr:rowOff>38100</xdr:rowOff>
        </xdr:from>
        <xdr:to>
          <xdr:col>7</xdr:col>
          <xdr:colOff>355600</xdr:colOff>
          <xdr:row>21</xdr:row>
          <xdr:rowOff>260350</xdr:rowOff>
        </xdr:to>
        <xdr:sp macro="" textlink="">
          <xdr:nvSpPr>
            <xdr:cNvPr id="225133" name="Check Box 877" hidden="1">
              <a:extLst>
                <a:ext uri="{63B3BB69-23CF-44E3-9099-C40C66FF867C}">
                  <a14:compatExt spid="_x0000_s225133"/>
                </a:ext>
                <a:ext uri="{FF2B5EF4-FFF2-40B4-BE49-F238E27FC236}">
                  <a16:creationId xmlns:a16="http://schemas.microsoft.com/office/drawing/2014/main" id="{00000000-0008-0000-3A00-00006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22</xdr:row>
          <xdr:rowOff>38100</xdr:rowOff>
        </xdr:from>
        <xdr:to>
          <xdr:col>7</xdr:col>
          <xdr:colOff>355600</xdr:colOff>
          <xdr:row>22</xdr:row>
          <xdr:rowOff>260350</xdr:rowOff>
        </xdr:to>
        <xdr:sp macro="" textlink="">
          <xdr:nvSpPr>
            <xdr:cNvPr id="225134" name="Check Box 878" hidden="1">
              <a:extLst>
                <a:ext uri="{63B3BB69-23CF-44E3-9099-C40C66FF867C}">
                  <a14:compatExt spid="_x0000_s225134"/>
                </a:ext>
                <a:ext uri="{FF2B5EF4-FFF2-40B4-BE49-F238E27FC236}">
                  <a16:creationId xmlns:a16="http://schemas.microsoft.com/office/drawing/2014/main" id="{00000000-0008-0000-3A00-00006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23</xdr:row>
          <xdr:rowOff>38100</xdr:rowOff>
        </xdr:from>
        <xdr:to>
          <xdr:col>7</xdr:col>
          <xdr:colOff>355600</xdr:colOff>
          <xdr:row>23</xdr:row>
          <xdr:rowOff>260350</xdr:rowOff>
        </xdr:to>
        <xdr:sp macro="" textlink="">
          <xdr:nvSpPr>
            <xdr:cNvPr id="225135" name="Check Box 879" hidden="1">
              <a:extLst>
                <a:ext uri="{63B3BB69-23CF-44E3-9099-C40C66FF867C}">
                  <a14:compatExt spid="_x0000_s225135"/>
                </a:ext>
                <a:ext uri="{FF2B5EF4-FFF2-40B4-BE49-F238E27FC236}">
                  <a16:creationId xmlns:a16="http://schemas.microsoft.com/office/drawing/2014/main" id="{00000000-0008-0000-3A00-00006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24</xdr:row>
          <xdr:rowOff>38100</xdr:rowOff>
        </xdr:from>
        <xdr:to>
          <xdr:col>7</xdr:col>
          <xdr:colOff>355600</xdr:colOff>
          <xdr:row>24</xdr:row>
          <xdr:rowOff>260350</xdr:rowOff>
        </xdr:to>
        <xdr:sp macro="" textlink="">
          <xdr:nvSpPr>
            <xdr:cNvPr id="225136" name="Check Box 880" hidden="1">
              <a:extLst>
                <a:ext uri="{63B3BB69-23CF-44E3-9099-C40C66FF867C}">
                  <a14:compatExt spid="_x0000_s225136"/>
                </a:ext>
                <a:ext uri="{FF2B5EF4-FFF2-40B4-BE49-F238E27FC236}">
                  <a16:creationId xmlns:a16="http://schemas.microsoft.com/office/drawing/2014/main" id="{00000000-0008-0000-3A00-00007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25</xdr:row>
          <xdr:rowOff>38100</xdr:rowOff>
        </xdr:from>
        <xdr:to>
          <xdr:col>7</xdr:col>
          <xdr:colOff>355600</xdr:colOff>
          <xdr:row>25</xdr:row>
          <xdr:rowOff>260350</xdr:rowOff>
        </xdr:to>
        <xdr:sp macro="" textlink="">
          <xdr:nvSpPr>
            <xdr:cNvPr id="225137" name="Check Box 881" hidden="1">
              <a:extLst>
                <a:ext uri="{63B3BB69-23CF-44E3-9099-C40C66FF867C}">
                  <a14:compatExt spid="_x0000_s225137"/>
                </a:ext>
                <a:ext uri="{FF2B5EF4-FFF2-40B4-BE49-F238E27FC236}">
                  <a16:creationId xmlns:a16="http://schemas.microsoft.com/office/drawing/2014/main" id="{00000000-0008-0000-3A00-00007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19</xdr:row>
          <xdr:rowOff>38100</xdr:rowOff>
        </xdr:from>
        <xdr:to>
          <xdr:col>8</xdr:col>
          <xdr:colOff>355600</xdr:colOff>
          <xdr:row>19</xdr:row>
          <xdr:rowOff>260350</xdr:rowOff>
        </xdr:to>
        <xdr:sp macro="" textlink="">
          <xdr:nvSpPr>
            <xdr:cNvPr id="225138" name="Check Box 882" hidden="1">
              <a:extLst>
                <a:ext uri="{63B3BB69-23CF-44E3-9099-C40C66FF867C}">
                  <a14:compatExt spid="_x0000_s225138"/>
                </a:ext>
                <a:ext uri="{FF2B5EF4-FFF2-40B4-BE49-F238E27FC236}">
                  <a16:creationId xmlns:a16="http://schemas.microsoft.com/office/drawing/2014/main" id="{00000000-0008-0000-3A00-00007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20</xdr:row>
          <xdr:rowOff>38100</xdr:rowOff>
        </xdr:from>
        <xdr:to>
          <xdr:col>8</xdr:col>
          <xdr:colOff>355600</xdr:colOff>
          <xdr:row>20</xdr:row>
          <xdr:rowOff>260350</xdr:rowOff>
        </xdr:to>
        <xdr:sp macro="" textlink="">
          <xdr:nvSpPr>
            <xdr:cNvPr id="225139" name="Check Box 883" hidden="1">
              <a:extLst>
                <a:ext uri="{63B3BB69-23CF-44E3-9099-C40C66FF867C}">
                  <a14:compatExt spid="_x0000_s225139"/>
                </a:ext>
                <a:ext uri="{FF2B5EF4-FFF2-40B4-BE49-F238E27FC236}">
                  <a16:creationId xmlns:a16="http://schemas.microsoft.com/office/drawing/2014/main" id="{00000000-0008-0000-3A00-00007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21</xdr:row>
          <xdr:rowOff>38100</xdr:rowOff>
        </xdr:from>
        <xdr:to>
          <xdr:col>8</xdr:col>
          <xdr:colOff>355600</xdr:colOff>
          <xdr:row>21</xdr:row>
          <xdr:rowOff>260350</xdr:rowOff>
        </xdr:to>
        <xdr:sp macro="" textlink="">
          <xdr:nvSpPr>
            <xdr:cNvPr id="225140" name="Check Box 884" hidden="1">
              <a:extLst>
                <a:ext uri="{63B3BB69-23CF-44E3-9099-C40C66FF867C}">
                  <a14:compatExt spid="_x0000_s225140"/>
                </a:ext>
                <a:ext uri="{FF2B5EF4-FFF2-40B4-BE49-F238E27FC236}">
                  <a16:creationId xmlns:a16="http://schemas.microsoft.com/office/drawing/2014/main" id="{00000000-0008-0000-3A00-00007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22</xdr:row>
          <xdr:rowOff>38100</xdr:rowOff>
        </xdr:from>
        <xdr:to>
          <xdr:col>8</xdr:col>
          <xdr:colOff>355600</xdr:colOff>
          <xdr:row>22</xdr:row>
          <xdr:rowOff>260350</xdr:rowOff>
        </xdr:to>
        <xdr:sp macro="" textlink="">
          <xdr:nvSpPr>
            <xdr:cNvPr id="225141" name="Check Box 885" hidden="1">
              <a:extLst>
                <a:ext uri="{63B3BB69-23CF-44E3-9099-C40C66FF867C}">
                  <a14:compatExt spid="_x0000_s225141"/>
                </a:ext>
                <a:ext uri="{FF2B5EF4-FFF2-40B4-BE49-F238E27FC236}">
                  <a16:creationId xmlns:a16="http://schemas.microsoft.com/office/drawing/2014/main" id="{00000000-0008-0000-3A00-00007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23</xdr:row>
          <xdr:rowOff>38100</xdr:rowOff>
        </xdr:from>
        <xdr:to>
          <xdr:col>8</xdr:col>
          <xdr:colOff>355600</xdr:colOff>
          <xdr:row>23</xdr:row>
          <xdr:rowOff>260350</xdr:rowOff>
        </xdr:to>
        <xdr:sp macro="" textlink="">
          <xdr:nvSpPr>
            <xdr:cNvPr id="225142" name="Check Box 886" hidden="1">
              <a:extLst>
                <a:ext uri="{63B3BB69-23CF-44E3-9099-C40C66FF867C}">
                  <a14:compatExt spid="_x0000_s225142"/>
                </a:ext>
                <a:ext uri="{FF2B5EF4-FFF2-40B4-BE49-F238E27FC236}">
                  <a16:creationId xmlns:a16="http://schemas.microsoft.com/office/drawing/2014/main" id="{00000000-0008-0000-3A00-00007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24</xdr:row>
          <xdr:rowOff>38100</xdr:rowOff>
        </xdr:from>
        <xdr:to>
          <xdr:col>8</xdr:col>
          <xdr:colOff>355600</xdr:colOff>
          <xdr:row>24</xdr:row>
          <xdr:rowOff>260350</xdr:rowOff>
        </xdr:to>
        <xdr:sp macro="" textlink="">
          <xdr:nvSpPr>
            <xdr:cNvPr id="225143" name="Check Box 887" hidden="1">
              <a:extLst>
                <a:ext uri="{63B3BB69-23CF-44E3-9099-C40C66FF867C}">
                  <a14:compatExt spid="_x0000_s225143"/>
                </a:ext>
                <a:ext uri="{FF2B5EF4-FFF2-40B4-BE49-F238E27FC236}">
                  <a16:creationId xmlns:a16="http://schemas.microsoft.com/office/drawing/2014/main" id="{00000000-0008-0000-3A00-00007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25</xdr:row>
          <xdr:rowOff>38100</xdr:rowOff>
        </xdr:from>
        <xdr:to>
          <xdr:col>8</xdr:col>
          <xdr:colOff>355600</xdr:colOff>
          <xdr:row>25</xdr:row>
          <xdr:rowOff>260350</xdr:rowOff>
        </xdr:to>
        <xdr:sp macro="" textlink="">
          <xdr:nvSpPr>
            <xdr:cNvPr id="225144" name="Check Box 888" hidden="1">
              <a:extLst>
                <a:ext uri="{63B3BB69-23CF-44E3-9099-C40C66FF867C}">
                  <a14:compatExt spid="_x0000_s225144"/>
                </a:ext>
                <a:ext uri="{FF2B5EF4-FFF2-40B4-BE49-F238E27FC236}">
                  <a16:creationId xmlns:a16="http://schemas.microsoft.com/office/drawing/2014/main" id="{00000000-0008-0000-3A00-00007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19</xdr:row>
          <xdr:rowOff>38100</xdr:rowOff>
        </xdr:from>
        <xdr:to>
          <xdr:col>9</xdr:col>
          <xdr:colOff>355600</xdr:colOff>
          <xdr:row>19</xdr:row>
          <xdr:rowOff>260350</xdr:rowOff>
        </xdr:to>
        <xdr:sp macro="" textlink="">
          <xdr:nvSpPr>
            <xdr:cNvPr id="225145" name="Check Box 889" hidden="1">
              <a:extLst>
                <a:ext uri="{63B3BB69-23CF-44E3-9099-C40C66FF867C}">
                  <a14:compatExt spid="_x0000_s225145"/>
                </a:ext>
                <a:ext uri="{FF2B5EF4-FFF2-40B4-BE49-F238E27FC236}">
                  <a16:creationId xmlns:a16="http://schemas.microsoft.com/office/drawing/2014/main" id="{00000000-0008-0000-3A00-00007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20</xdr:row>
          <xdr:rowOff>38100</xdr:rowOff>
        </xdr:from>
        <xdr:to>
          <xdr:col>9</xdr:col>
          <xdr:colOff>355600</xdr:colOff>
          <xdr:row>20</xdr:row>
          <xdr:rowOff>260350</xdr:rowOff>
        </xdr:to>
        <xdr:sp macro="" textlink="">
          <xdr:nvSpPr>
            <xdr:cNvPr id="225146" name="Check Box 890" hidden="1">
              <a:extLst>
                <a:ext uri="{63B3BB69-23CF-44E3-9099-C40C66FF867C}">
                  <a14:compatExt spid="_x0000_s225146"/>
                </a:ext>
                <a:ext uri="{FF2B5EF4-FFF2-40B4-BE49-F238E27FC236}">
                  <a16:creationId xmlns:a16="http://schemas.microsoft.com/office/drawing/2014/main" id="{00000000-0008-0000-3A00-00007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21</xdr:row>
          <xdr:rowOff>38100</xdr:rowOff>
        </xdr:from>
        <xdr:to>
          <xdr:col>9</xdr:col>
          <xdr:colOff>355600</xdr:colOff>
          <xdr:row>21</xdr:row>
          <xdr:rowOff>260350</xdr:rowOff>
        </xdr:to>
        <xdr:sp macro="" textlink="">
          <xdr:nvSpPr>
            <xdr:cNvPr id="225147" name="Check Box 891" hidden="1">
              <a:extLst>
                <a:ext uri="{63B3BB69-23CF-44E3-9099-C40C66FF867C}">
                  <a14:compatExt spid="_x0000_s225147"/>
                </a:ext>
                <a:ext uri="{FF2B5EF4-FFF2-40B4-BE49-F238E27FC236}">
                  <a16:creationId xmlns:a16="http://schemas.microsoft.com/office/drawing/2014/main" id="{00000000-0008-0000-3A00-00007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22</xdr:row>
          <xdr:rowOff>38100</xdr:rowOff>
        </xdr:from>
        <xdr:to>
          <xdr:col>9</xdr:col>
          <xdr:colOff>355600</xdr:colOff>
          <xdr:row>22</xdr:row>
          <xdr:rowOff>260350</xdr:rowOff>
        </xdr:to>
        <xdr:sp macro="" textlink="">
          <xdr:nvSpPr>
            <xdr:cNvPr id="225148" name="Check Box 892" hidden="1">
              <a:extLst>
                <a:ext uri="{63B3BB69-23CF-44E3-9099-C40C66FF867C}">
                  <a14:compatExt spid="_x0000_s225148"/>
                </a:ext>
                <a:ext uri="{FF2B5EF4-FFF2-40B4-BE49-F238E27FC236}">
                  <a16:creationId xmlns:a16="http://schemas.microsoft.com/office/drawing/2014/main" id="{00000000-0008-0000-3A00-00007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23</xdr:row>
          <xdr:rowOff>38100</xdr:rowOff>
        </xdr:from>
        <xdr:to>
          <xdr:col>9</xdr:col>
          <xdr:colOff>355600</xdr:colOff>
          <xdr:row>23</xdr:row>
          <xdr:rowOff>260350</xdr:rowOff>
        </xdr:to>
        <xdr:sp macro="" textlink="">
          <xdr:nvSpPr>
            <xdr:cNvPr id="225149" name="Check Box 893" hidden="1">
              <a:extLst>
                <a:ext uri="{63B3BB69-23CF-44E3-9099-C40C66FF867C}">
                  <a14:compatExt spid="_x0000_s225149"/>
                </a:ext>
                <a:ext uri="{FF2B5EF4-FFF2-40B4-BE49-F238E27FC236}">
                  <a16:creationId xmlns:a16="http://schemas.microsoft.com/office/drawing/2014/main" id="{00000000-0008-0000-3A00-00007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24</xdr:row>
          <xdr:rowOff>38100</xdr:rowOff>
        </xdr:from>
        <xdr:to>
          <xdr:col>9</xdr:col>
          <xdr:colOff>355600</xdr:colOff>
          <xdr:row>24</xdr:row>
          <xdr:rowOff>260350</xdr:rowOff>
        </xdr:to>
        <xdr:sp macro="" textlink="">
          <xdr:nvSpPr>
            <xdr:cNvPr id="225150" name="Check Box 894" hidden="1">
              <a:extLst>
                <a:ext uri="{63B3BB69-23CF-44E3-9099-C40C66FF867C}">
                  <a14:compatExt spid="_x0000_s225150"/>
                </a:ext>
                <a:ext uri="{FF2B5EF4-FFF2-40B4-BE49-F238E27FC236}">
                  <a16:creationId xmlns:a16="http://schemas.microsoft.com/office/drawing/2014/main" id="{00000000-0008-0000-3A00-00007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25</xdr:row>
          <xdr:rowOff>38100</xdr:rowOff>
        </xdr:from>
        <xdr:to>
          <xdr:col>9</xdr:col>
          <xdr:colOff>355600</xdr:colOff>
          <xdr:row>25</xdr:row>
          <xdr:rowOff>260350</xdr:rowOff>
        </xdr:to>
        <xdr:sp macro="" textlink="">
          <xdr:nvSpPr>
            <xdr:cNvPr id="225151" name="Check Box 895" hidden="1">
              <a:extLst>
                <a:ext uri="{63B3BB69-23CF-44E3-9099-C40C66FF867C}">
                  <a14:compatExt spid="_x0000_s225151"/>
                </a:ext>
                <a:ext uri="{FF2B5EF4-FFF2-40B4-BE49-F238E27FC236}">
                  <a16:creationId xmlns:a16="http://schemas.microsoft.com/office/drawing/2014/main" id="{00000000-0008-0000-3A00-00007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19</xdr:row>
          <xdr:rowOff>38100</xdr:rowOff>
        </xdr:from>
        <xdr:to>
          <xdr:col>10</xdr:col>
          <xdr:colOff>355600</xdr:colOff>
          <xdr:row>19</xdr:row>
          <xdr:rowOff>260350</xdr:rowOff>
        </xdr:to>
        <xdr:sp macro="" textlink="">
          <xdr:nvSpPr>
            <xdr:cNvPr id="225152" name="Check Box 896" hidden="1">
              <a:extLst>
                <a:ext uri="{63B3BB69-23CF-44E3-9099-C40C66FF867C}">
                  <a14:compatExt spid="_x0000_s225152"/>
                </a:ext>
                <a:ext uri="{FF2B5EF4-FFF2-40B4-BE49-F238E27FC236}">
                  <a16:creationId xmlns:a16="http://schemas.microsoft.com/office/drawing/2014/main" id="{00000000-0008-0000-3A00-00008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20</xdr:row>
          <xdr:rowOff>38100</xdr:rowOff>
        </xdr:from>
        <xdr:to>
          <xdr:col>10</xdr:col>
          <xdr:colOff>355600</xdr:colOff>
          <xdr:row>20</xdr:row>
          <xdr:rowOff>260350</xdr:rowOff>
        </xdr:to>
        <xdr:sp macro="" textlink="">
          <xdr:nvSpPr>
            <xdr:cNvPr id="225153" name="Check Box 897" hidden="1">
              <a:extLst>
                <a:ext uri="{63B3BB69-23CF-44E3-9099-C40C66FF867C}">
                  <a14:compatExt spid="_x0000_s225153"/>
                </a:ext>
                <a:ext uri="{FF2B5EF4-FFF2-40B4-BE49-F238E27FC236}">
                  <a16:creationId xmlns:a16="http://schemas.microsoft.com/office/drawing/2014/main" id="{00000000-0008-0000-3A00-00008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21</xdr:row>
          <xdr:rowOff>38100</xdr:rowOff>
        </xdr:from>
        <xdr:to>
          <xdr:col>10</xdr:col>
          <xdr:colOff>355600</xdr:colOff>
          <xdr:row>21</xdr:row>
          <xdr:rowOff>260350</xdr:rowOff>
        </xdr:to>
        <xdr:sp macro="" textlink="">
          <xdr:nvSpPr>
            <xdr:cNvPr id="225154" name="Check Box 898" hidden="1">
              <a:extLst>
                <a:ext uri="{63B3BB69-23CF-44E3-9099-C40C66FF867C}">
                  <a14:compatExt spid="_x0000_s225154"/>
                </a:ext>
                <a:ext uri="{FF2B5EF4-FFF2-40B4-BE49-F238E27FC236}">
                  <a16:creationId xmlns:a16="http://schemas.microsoft.com/office/drawing/2014/main" id="{00000000-0008-0000-3A00-00008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22</xdr:row>
          <xdr:rowOff>38100</xdr:rowOff>
        </xdr:from>
        <xdr:to>
          <xdr:col>10</xdr:col>
          <xdr:colOff>355600</xdr:colOff>
          <xdr:row>22</xdr:row>
          <xdr:rowOff>260350</xdr:rowOff>
        </xdr:to>
        <xdr:sp macro="" textlink="">
          <xdr:nvSpPr>
            <xdr:cNvPr id="225155" name="Check Box 899" hidden="1">
              <a:extLst>
                <a:ext uri="{63B3BB69-23CF-44E3-9099-C40C66FF867C}">
                  <a14:compatExt spid="_x0000_s225155"/>
                </a:ext>
                <a:ext uri="{FF2B5EF4-FFF2-40B4-BE49-F238E27FC236}">
                  <a16:creationId xmlns:a16="http://schemas.microsoft.com/office/drawing/2014/main" id="{00000000-0008-0000-3A00-00008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23</xdr:row>
          <xdr:rowOff>38100</xdr:rowOff>
        </xdr:from>
        <xdr:to>
          <xdr:col>10</xdr:col>
          <xdr:colOff>355600</xdr:colOff>
          <xdr:row>23</xdr:row>
          <xdr:rowOff>260350</xdr:rowOff>
        </xdr:to>
        <xdr:sp macro="" textlink="">
          <xdr:nvSpPr>
            <xdr:cNvPr id="225156" name="Check Box 900" hidden="1">
              <a:extLst>
                <a:ext uri="{63B3BB69-23CF-44E3-9099-C40C66FF867C}">
                  <a14:compatExt spid="_x0000_s225156"/>
                </a:ext>
                <a:ext uri="{FF2B5EF4-FFF2-40B4-BE49-F238E27FC236}">
                  <a16:creationId xmlns:a16="http://schemas.microsoft.com/office/drawing/2014/main" id="{00000000-0008-0000-3A00-00008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24</xdr:row>
          <xdr:rowOff>38100</xdr:rowOff>
        </xdr:from>
        <xdr:to>
          <xdr:col>10</xdr:col>
          <xdr:colOff>355600</xdr:colOff>
          <xdr:row>24</xdr:row>
          <xdr:rowOff>260350</xdr:rowOff>
        </xdr:to>
        <xdr:sp macro="" textlink="">
          <xdr:nvSpPr>
            <xdr:cNvPr id="225157" name="Check Box 901" hidden="1">
              <a:extLst>
                <a:ext uri="{63B3BB69-23CF-44E3-9099-C40C66FF867C}">
                  <a14:compatExt spid="_x0000_s225157"/>
                </a:ext>
                <a:ext uri="{FF2B5EF4-FFF2-40B4-BE49-F238E27FC236}">
                  <a16:creationId xmlns:a16="http://schemas.microsoft.com/office/drawing/2014/main" id="{00000000-0008-0000-3A00-00008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25</xdr:row>
          <xdr:rowOff>38100</xdr:rowOff>
        </xdr:from>
        <xdr:to>
          <xdr:col>10</xdr:col>
          <xdr:colOff>355600</xdr:colOff>
          <xdr:row>25</xdr:row>
          <xdr:rowOff>260350</xdr:rowOff>
        </xdr:to>
        <xdr:sp macro="" textlink="">
          <xdr:nvSpPr>
            <xdr:cNvPr id="225158" name="Check Box 902" hidden="1">
              <a:extLst>
                <a:ext uri="{63B3BB69-23CF-44E3-9099-C40C66FF867C}">
                  <a14:compatExt spid="_x0000_s225158"/>
                </a:ext>
                <a:ext uri="{FF2B5EF4-FFF2-40B4-BE49-F238E27FC236}">
                  <a16:creationId xmlns:a16="http://schemas.microsoft.com/office/drawing/2014/main" id="{00000000-0008-0000-3A00-00008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19</xdr:row>
          <xdr:rowOff>38100</xdr:rowOff>
        </xdr:from>
        <xdr:to>
          <xdr:col>11</xdr:col>
          <xdr:colOff>355600</xdr:colOff>
          <xdr:row>19</xdr:row>
          <xdr:rowOff>260350</xdr:rowOff>
        </xdr:to>
        <xdr:sp macro="" textlink="">
          <xdr:nvSpPr>
            <xdr:cNvPr id="225159" name="Check Box 903" hidden="1">
              <a:extLst>
                <a:ext uri="{63B3BB69-23CF-44E3-9099-C40C66FF867C}">
                  <a14:compatExt spid="_x0000_s225159"/>
                </a:ext>
                <a:ext uri="{FF2B5EF4-FFF2-40B4-BE49-F238E27FC236}">
                  <a16:creationId xmlns:a16="http://schemas.microsoft.com/office/drawing/2014/main" id="{00000000-0008-0000-3A00-00008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20</xdr:row>
          <xdr:rowOff>38100</xdr:rowOff>
        </xdr:from>
        <xdr:to>
          <xdr:col>11</xdr:col>
          <xdr:colOff>355600</xdr:colOff>
          <xdr:row>20</xdr:row>
          <xdr:rowOff>260350</xdr:rowOff>
        </xdr:to>
        <xdr:sp macro="" textlink="">
          <xdr:nvSpPr>
            <xdr:cNvPr id="225160" name="Check Box 904" hidden="1">
              <a:extLst>
                <a:ext uri="{63B3BB69-23CF-44E3-9099-C40C66FF867C}">
                  <a14:compatExt spid="_x0000_s225160"/>
                </a:ext>
                <a:ext uri="{FF2B5EF4-FFF2-40B4-BE49-F238E27FC236}">
                  <a16:creationId xmlns:a16="http://schemas.microsoft.com/office/drawing/2014/main" id="{00000000-0008-0000-3A00-00008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21</xdr:row>
          <xdr:rowOff>38100</xdr:rowOff>
        </xdr:from>
        <xdr:to>
          <xdr:col>11</xdr:col>
          <xdr:colOff>355600</xdr:colOff>
          <xdr:row>21</xdr:row>
          <xdr:rowOff>260350</xdr:rowOff>
        </xdr:to>
        <xdr:sp macro="" textlink="">
          <xdr:nvSpPr>
            <xdr:cNvPr id="225161" name="Check Box 905" hidden="1">
              <a:extLst>
                <a:ext uri="{63B3BB69-23CF-44E3-9099-C40C66FF867C}">
                  <a14:compatExt spid="_x0000_s225161"/>
                </a:ext>
                <a:ext uri="{FF2B5EF4-FFF2-40B4-BE49-F238E27FC236}">
                  <a16:creationId xmlns:a16="http://schemas.microsoft.com/office/drawing/2014/main" id="{00000000-0008-0000-3A00-00008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22</xdr:row>
          <xdr:rowOff>38100</xdr:rowOff>
        </xdr:from>
        <xdr:to>
          <xdr:col>11</xdr:col>
          <xdr:colOff>355600</xdr:colOff>
          <xdr:row>22</xdr:row>
          <xdr:rowOff>260350</xdr:rowOff>
        </xdr:to>
        <xdr:sp macro="" textlink="">
          <xdr:nvSpPr>
            <xdr:cNvPr id="225162" name="Check Box 906" hidden="1">
              <a:extLst>
                <a:ext uri="{63B3BB69-23CF-44E3-9099-C40C66FF867C}">
                  <a14:compatExt spid="_x0000_s225162"/>
                </a:ext>
                <a:ext uri="{FF2B5EF4-FFF2-40B4-BE49-F238E27FC236}">
                  <a16:creationId xmlns:a16="http://schemas.microsoft.com/office/drawing/2014/main" id="{00000000-0008-0000-3A00-00008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23</xdr:row>
          <xdr:rowOff>38100</xdr:rowOff>
        </xdr:from>
        <xdr:to>
          <xdr:col>11</xdr:col>
          <xdr:colOff>355600</xdr:colOff>
          <xdr:row>23</xdr:row>
          <xdr:rowOff>260350</xdr:rowOff>
        </xdr:to>
        <xdr:sp macro="" textlink="">
          <xdr:nvSpPr>
            <xdr:cNvPr id="225163" name="Check Box 907" hidden="1">
              <a:extLst>
                <a:ext uri="{63B3BB69-23CF-44E3-9099-C40C66FF867C}">
                  <a14:compatExt spid="_x0000_s225163"/>
                </a:ext>
                <a:ext uri="{FF2B5EF4-FFF2-40B4-BE49-F238E27FC236}">
                  <a16:creationId xmlns:a16="http://schemas.microsoft.com/office/drawing/2014/main" id="{00000000-0008-0000-3A00-00008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24</xdr:row>
          <xdr:rowOff>38100</xdr:rowOff>
        </xdr:from>
        <xdr:to>
          <xdr:col>11</xdr:col>
          <xdr:colOff>355600</xdr:colOff>
          <xdr:row>24</xdr:row>
          <xdr:rowOff>260350</xdr:rowOff>
        </xdr:to>
        <xdr:sp macro="" textlink="">
          <xdr:nvSpPr>
            <xdr:cNvPr id="225164" name="Check Box 908" hidden="1">
              <a:extLst>
                <a:ext uri="{63B3BB69-23CF-44E3-9099-C40C66FF867C}">
                  <a14:compatExt spid="_x0000_s225164"/>
                </a:ext>
                <a:ext uri="{FF2B5EF4-FFF2-40B4-BE49-F238E27FC236}">
                  <a16:creationId xmlns:a16="http://schemas.microsoft.com/office/drawing/2014/main" id="{00000000-0008-0000-3A00-00008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25</xdr:row>
          <xdr:rowOff>38100</xdr:rowOff>
        </xdr:from>
        <xdr:to>
          <xdr:col>11</xdr:col>
          <xdr:colOff>355600</xdr:colOff>
          <xdr:row>25</xdr:row>
          <xdr:rowOff>260350</xdr:rowOff>
        </xdr:to>
        <xdr:sp macro="" textlink="">
          <xdr:nvSpPr>
            <xdr:cNvPr id="225165" name="Check Box 909" hidden="1">
              <a:extLst>
                <a:ext uri="{63B3BB69-23CF-44E3-9099-C40C66FF867C}">
                  <a14:compatExt spid="_x0000_s225165"/>
                </a:ext>
                <a:ext uri="{FF2B5EF4-FFF2-40B4-BE49-F238E27FC236}">
                  <a16:creationId xmlns:a16="http://schemas.microsoft.com/office/drawing/2014/main" id="{00000000-0008-0000-3A00-00008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19</xdr:row>
          <xdr:rowOff>38100</xdr:rowOff>
        </xdr:from>
        <xdr:to>
          <xdr:col>12</xdr:col>
          <xdr:colOff>355600</xdr:colOff>
          <xdr:row>19</xdr:row>
          <xdr:rowOff>260350</xdr:rowOff>
        </xdr:to>
        <xdr:sp macro="" textlink="">
          <xdr:nvSpPr>
            <xdr:cNvPr id="225166" name="Check Box 910" hidden="1">
              <a:extLst>
                <a:ext uri="{63B3BB69-23CF-44E3-9099-C40C66FF867C}">
                  <a14:compatExt spid="_x0000_s225166"/>
                </a:ext>
                <a:ext uri="{FF2B5EF4-FFF2-40B4-BE49-F238E27FC236}">
                  <a16:creationId xmlns:a16="http://schemas.microsoft.com/office/drawing/2014/main" id="{00000000-0008-0000-3A00-00008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20</xdr:row>
          <xdr:rowOff>38100</xdr:rowOff>
        </xdr:from>
        <xdr:to>
          <xdr:col>12</xdr:col>
          <xdr:colOff>355600</xdr:colOff>
          <xdr:row>20</xdr:row>
          <xdr:rowOff>260350</xdr:rowOff>
        </xdr:to>
        <xdr:sp macro="" textlink="">
          <xdr:nvSpPr>
            <xdr:cNvPr id="225167" name="Check Box 911" hidden="1">
              <a:extLst>
                <a:ext uri="{63B3BB69-23CF-44E3-9099-C40C66FF867C}">
                  <a14:compatExt spid="_x0000_s225167"/>
                </a:ext>
                <a:ext uri="{FF2B5EF4-FFF2-40B4-BE49-F238E27FC236}">
                  <a16:creationId xmlns:a16="http://schemas.microsoft.com/office/drawing/2014/main" id="{00000000-0008-0000-3A00-00008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21</xdr:row>
          <xdr:rowOff>38100</xdr:rowOff>
        </xdr:from>
        <xdr:to>
          <xdr:col>12</xdr:col>
          <xdr:colOff>355600</xdr:colOff>
          <xdr:row>21</xdr:row>
          <xdr:rowOff>260350</xdr:rowOff>
        </xdr:to>
        <xdr:sp macro="" textlink="">
          <xdr:nvSpPr>
            <xdr:cNvPr id="225168" name="Check Box 912" hidden="1">
              <a:extLst>
                <a:ext uri="{63B3BB69-23CF-44E3-9099-C40C66FF867C}">
                  <a14:compatExt spid="_x0000_s225168"/>
                </a:ext>
                <a:ext uri="{FF2B5EF4-FFF2-40B4-BE49-F238E27FC236}">
                  <a16:creationId xmlns:a16="http://schemas.microsoft.com/office/drawing/2014/main" id="{00000000-0008-0000-3A00-00009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22</xdr:row>
          <xdr:rowOff>38100</xdr:rowOff>
        </xdr:from>
        <xdr:to>
          <xdr:col>12</xdr:col>
          <xdr:colOff>355600</xdr:colOff>
          <xdr:row>22</xdr:row>
          <xdr:rowOff>260350</xdr:rowOff>
        </xdr:to>
        <xdr:sp macro="" textlink="">
          <xdr:nvSpPr>
            <xdr:cNvPr id="225169" name="Check Box 913" hidden="1">
              <a:extLst>
                <a:ext uri="{63B3BB69-23CF-44E3-9099-C40C66FF867C}">
                  <a14:compatExt spid="_x0000_s225169"/>
                </a:ext>
                <a:ext uri="{FF2B5EF4-FFF2-40B4-BE49-F238E27FC236}">
                  <a16:creationId xmlns:a16="http://schemas.microsoft.com/office/drawing/2014/main" id="{00000000-0008-0000-3A00-00009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23</xdr:row>
          <xdr:rowOff>38100</xdr:rowOff>
        </xdr:from>
        <xdr:to>
          <xdr:col>12</xdr:col>
          <xdr:colOff>355600</xdr:colOff>
          <xdr:row>23</xdr:row>
          <xdr:rowOff>260350</xdr:rowOff>
        </xdr:to>
        <xdr:sp macro="" textlink="">
          <xdr:nvSpPr>
            <xdr:cNvPr id="225170" name="Check Box 914" hidden="1">
              <a:extLst>
                <a:ext uri="{63B3BB69-23CF-44E3-9099-C40C66FF867C}">
                  <a14:compatExt spid="_x0000_s225170"/>
                </a:ext>
                <a:ext uri="{FF2B5EF4-FFF2-40B4-BE49-F238E27FC236}">
                  <a16:creationId xmlns:a16="http://schemas.microsoft.com/office/drawing/2014/main" id="{00000000-0008-0000-3A00-00009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24</xdr:row>
          <xdr:rowOff>38100</xdr:rowOff>
        </xdr:from>
        <xdr:to>
          <xdr:col>12</xdr:col>
          <xdr:colOff>355600</xdr:colOff>
          <xdr:row>24</xdr:row>
          <xdr:rowOff>260350</xdr:rowOff>
        </xdr:to>
        <xdr:sp macro="" textlink="">
          <xdr:nvSpPr>
            <xdr:cNvPr id="225171" name="Check Box 915" hidden="1">
              <a:extLst>
                <a:ext uri="{63B3BB69-23CF-44E3-9099-C40C66FF867C}">
                  <a14:compatExt spid="_x0000_s225171"/>
                </a:ext>
                <a:ext uri="{FF2B5EF4-FFF2-40B4-BE49-F238E27FC236}">
                  <a16:creationId xmlns:a16="http://schemas.microsoft.com/office/drawing/2014/main" id="{00000000-0008-0000-3A00-00009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25</xdr:row>
          <xdr:rowOff>38100</xdr:rowOff>
        </xdr:from>
        <xdr:to>
          <xdr:col>12</xdr:col>
          <xdr:colOff>355600</xdr:colOff>
          <xdr:row>25</xdr:row>
          <xdr:rowOff>260350</xdr:rowOff>
        </xdr:to>
        <xdr:sp macro="" textlink="">
          <xdr:nvSpPr>
            <xdr:cNvPr id="225172" name="Check Box 916" hidden="1">
              <a:extLst>
                <a:ext uri="{63B3BB69-23CF-44E3-9099-C40C66FF867C}">
                  <a14:compatExt spid="_x0000_s225172"/>
                </a:ext>
                <a:ext uri="{FF2B5EF4-FFF2-40B4-BE49-F238E27FC236}">
                  <a16:creationId xmlns:a16="http://schemas.microsoft.com/office/drawing/2014/main" id="{00000000-0008-0000-3A00-00009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46</xdr:row>
          <xdr:rowOff>50800</xdr:rowOff>
        </xdr:from>
        <xdr:to>
          <xdr:col>6</xdr:col>
          <xdr:colOff>31750</xdr:colOff>
          <xdr:row>46</xdr:row>
          <xdr:rowOff>260350</xdr:rowOff>
        </xdr:to>
        <xdr:sp macro="" textlink="">
          <xdr:nvSpPr>
            <xdr:cNvPr id="226305" name="Check Box 1" hidden="1">
              <a:extLst>
                <a:ext uri="{63B3BB69-23CF-44E3-9099-C40C66FF867C}">
                  <a14:compatExt spid="_x0000_s226305"/>
                </a:ext>
                <a:ext uri="{FF2B5EF4-FFF2-40B4-BE49-F238E27FC236}">
                  <a16:creationId xmlns:a16="http://schemas.microsoft.com/office/drawing/2014/main" id="{00000000-0008-0000-3C00-0000017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50800</xdr:colOff>
          <xdr:row>21</xdr:row>
          <xdr:rowOff>50800</xdr:rowOff>
        </xdr:from>
        <xdr:to>
          <xdr:col>7</xdr:col>
          <xdr:colOff>31750</xdr:colOff>
          <xdr:row>21</xdr:row>
          <xdr:rowOff>260350</xdr:rowOff>
        </xdr:to>
        <xdr:sp macro="" textlink="">
          <xdr:nvSpPr>
            <xdr:cNvPr id="227329" name="Check Box 1" hidden="1">
              <a:extLst>
                <a:ext uri="{63B3BB69-23CF-44E3-9099-C40C66FF867C}">
                  <a14:compatExt spid="_x0000_s227329"/>
                </a:ext>
                <a:ext uri="{FF2B5EF4-FFF2-40B4-BE49-F238E27FC236}">
                  <a16:creationId xmlns:a16="http://schemas.microsoft.com/office/drawing/2014/main" id="{00000000-0008-0000-3D00-0000017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11</xdr:row>
          <xdr:rowOff>31750</xdr:rowOff>
        </xdr:from>
        <xdr:to>
          <xdr:col>6</xdr:col>
          <xdr:colOff>31750</xdr:colOff>
          <xdr:row>11</xdr:row>
          <xdr:rowOff>241300</xdr:rowOff>
        </xdr:to>
        <xdr:sp macro="" textlink="">
          <xdr:nvSpPr>
            <xdr:cNvPr id="228353" name="Check Box 1" hidden="1">
              <a:extLst>
                <a:ext uri="{63B3BB69-23CF-44E3-9099-C40C66FF867C}">
                  <a14:compatExt spid="_x0000_s228353"/>
                </a:ext>
                <a:ext uri="{FF2B5EF4-FFF2-40B4-BE49-F238E27FC236}">
                  <a16:creationId xmlns:a16="http://schemas.microsoft.com/office/drawing/2014/main" id="{00000000-0008-0000-3E00-0000017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5</xdr:row>
          <xdr:rowOff>12700</xdr:rowOff>
        </xdr:from>
        <xdr:to>
          <xdr:col>6</xdr:col>
          <xdr:colOff>12700</xdr:colOff>
          <xdr:row>6</xdr:row>
          <xdr:rowOff>12700</xdr:rowOff>
        </xdr:to>
        <xdr:sp macro="" textlink="">
          <xdr:nvSpPr>
            <xdr:cNvPr id="229377" name="Check Box 1" hidden="1">
              <a:extLst>
                <a:ext uri="{63B3BB69-23CF-44E3-9099-C40C66FF867C}">
                  <a14:compatExt spid="_x0000_s229377"/>
                </a:ext>
                <a:ext uri="{FF2B5EF4-FFF2-40B4-BE49-F238E27FC236}">
                  <a16:creationId xmlns:a16="http://schemas.microsoft.com/office/drawing/2014/main" id="{00000000-0008-0000-3F00-00000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7</xdr:row>
          <xdr:rowOff>12700</xdr:rowOff>
        </xdr:from>
        <xdr:to>
          <xdr:col>6</xdr:col>
          <xdr:colOff>12700</xdr:colOff>
          <xdr:row>8</xdr:row>
          <xdr:rowOff>12700</xdr:rowOff>
        </xdr:to>
        <xdr:sp macro="" textlink="">
          <xdr:nvSpPr>
            <xdr:cNvPr id="229378" name="Check Box 2" hidden="1">
              <a:extLst>
                <a:ext uri="{63B3BB69-23CF-44E3-9099-C40C66FF867C}">
                  <a14:compatExt spid="_x0000_s229378"/>
                </a:ext>
                <a:ext uri="{FF2B5EF4-FFF2-40B4-BE49-F238E27FC236}">
                  <a16:creationId xmlns:a16="http://schemas.microsoft.com/office/drawing/2014/main" id="{00000000-0008-0000-3F00-00000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9</xdr:row>
          <xdr:rowOff>12700</xdr:rowOff>
        </xdr:from>
        <xdr:to>
          <xdr:col>6</xdr:col>
          <xdr:colOff>12700</xdr:colOff>
          <xdr:row>10</xdr:row>
          <xdr:rowOff>12700</xdr:rowOff>
        </xdr:to>
        <xdr:sp macro="" textlink="">
          <xdr:nvSpPr>
            <xdr:cNvPr id="229379" name="Check Box 3" hidden="1">
              <a:extLst>
                <a:ext uri="{63B3BB69-23CF-44E3-9099-C40C66FF867C}">
                  <a14:compatExt spid="_x0000_s229379"/>
                </a:ext>
                <a:ext uri="{FF2B5EF4-FFF2-40B4-BE49-F238E27FC236}">
                  <a16:creationId xmlns:a16="http://schemas.microsoft.com/office/drawing/2014/main" id="{00000000-0008-0000-3F00-00000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19</xdr:row>
          <xdr:rowOff>146050</xdr:rowOff>
        </xdr:from>
        <xdr:to>
          <xdr:col>36</xdr:col>
          <xdr:colOff>12700</xdr:colOff>
          <xdr:row>19</xdr:row>
          <xdr:rowOff>355600</xdr:rowOff>
        </xdr:to>
        <xdr:sp macro="" textlink="">
          <xdr:nvSpPr>
            <xdr:cNvPr id="229380" name="Check Box 4" hidden="1">
              <a:extLst>
                <a:ext uri="{63B3BB69-23CF-44E3-9099-C40C66FF867C}">
                  <a14:compatExt spid="_x0000_s229380"/>
                </a:ext>
                <a:ext uri="{FF2B5EF4-FFF2-40B4-BE49-F238E27FC236}">
                  <a16:creationId xmlns:a16="http://schemas.microsoft.com/office/drawing/2014/main" id="{00000000-0008-0000-3F00-000004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20</xdr:row>
          <xdr:rowOff>50800</xdr:rowOff>
        </xdr:from>
        <xdr:to>
          <xdr:col>36</xdr:col>
          <xdr:colOff>12700</xdr:colOff>
          <xdr:row>21</xdr:row>
          <xdr:rowOff>0</xdr:rowOff>
        </xdr:to>
        <xdr:sp macro="" textlink="">
          <xdr:nvSpPr>
            <xdr:cNvPr id="229381" name="Check Box 5" hidden="1">
              <a:extLst>
                <a:ext uri="{63B3BB69-23CF-44E3-9099-C40C66FF867C}">
                  <a14:compatExt spid="_x0000_s229381"/>
                </a:ext>
                <a:ext uri="{FF2B5EF4-FFF2-40B4-BE49-F238E27FC236}">
                  <a16:creationId xmlns:a16="http://schemas.microsoft.com/office/drawing/2014/main" id="{00000000-0008-0000-3F00-000005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21</xdr:row>
          <xdr:rowOff>31750</xdr:rowOff>
        </xdr:from>
        <xdr:to>
          <xdr:col>36</xdr:col>
          <xdr:colOff>12700</xdr:colOff>
          <xdr:row>22</xdr:row>
          <xdr:rowOff>12700</xdr:rowOff>
        </xdr:to>
        <xdr:sp macro="" textlink="">
          <xdr:nvSpPr>
            <xdr:cNvPr id="229382" name="Check Box 6" hidden="1">
              <a:extLst>
                <a:ext uri="{63B3BB69-23CF-44E3-9099-C40C66FF867C}">
                  <a14:compatExt spid="_x0000_s229382"/>
                </a:ext>
                <a:ext uri="{FF2B5EF4-FFF2-40B4-BE49-F238E27FC236}">
                  <a16:creationId xmlns:a16="http://schemas.microsoft.com/office/drawing/2014/main" id="{00000000-0008-0000-3F00-000006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19</xdr:row>
          <xdr:rowOff>146050</xdr:rowOff>
        </xdr:from>
        <xdr:to>
          <xdr:col>41</xdr:col>
          <xdr:colOff>12700</xdr:colOff>
          <xdr:row>19</xdr:row>
          <xdr:rowOff>355600</xdr:rowOff>
        </xdr:to>
        <xdr:sp macro="" textlink="">
          <xdr:nvSpPr>
            <xdr:cNvPr id="229383" name="Check Box 7" hidden="1">
              <a:extLst>
                <a:ext uri="{63B3BB69-23CF-44E3-9099-C40C66FF867C}">
                  <a14:compatExt spid="_x0000_s229383"/>
                </a:ext>
                <a:ext uri="{FF2B5EF4-FFF2-40B4-BE49-F238E27FC236}">
                  <a16:creationId xmlns:a16="http://schemas.microsoft.com/office/drawing/2014/main" id="{00000000-0008-0000-3F00-000007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20</xdr:row>
          <xdr:rowOff>50800</xdr:rowOff>
        </xdr:from>
        <xdr:to>
          <xdr:col>41</xdr:col>
          <xdr:colOff>12700</xdr:colOff>
          <xdr:row>21</xdr:row>
          <xdr:rowOff>0</xdr:rowOff>
        </xdr:to>
        <xdr:sp macro="" textlink="">
          <xdr:nvSpPr>
            <xdr:cNvPr id="229384" name="Check Box 8" hidden="1">
              <a:extLst>
                <a:ext uri="{63B3BB69-23CF-44E3-9099-C40C66FF867C}">
                  <a14:compatExt spid="_x0000_s229384"/>
                </a:ext>
                <a:ext uri="{FF2B5EF4-FFF2-40B4-BE49-F238E27FC236}">
                  <a16:creationId xmlns:a16="http://schemas.microsoft.com/office/drawing/2014/main" id="{00000000-0008-0000-3F00-000008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21</xdr:row>
          <xdr:rowOff>31750</xdr:rowOff>
        </xdr:from>
        <xdr:to>
          <xdr:col>41</xdr:col>
          <xdr:colOff>12700</xdr:colOff>
          <xdr:row>22</xdr:row>
          <xdr:rowOff>12700</xdr:rowOff>
        </xdr:to>
        <xdr:sp macro="" textlink="">
          <xdr:nvSpPr>
            <xdr:cNvPr id="229385" name="Check Box 9" hidden="1">
              <a:extLst>
                <a:ext uri="{63B3BB69-23CF-44E3-9099-C40C66FF867C}">
                  <a14:compatExt spid="_x0000_s229385"/>
                </a:ext>
                <a:ext uri="{FF2B5EF4-FFF2-40B4-BE49-F238E27FC236}">
                  <a16:creationId xmlns:a16="http://schemas.microsoft.com/office/drawing/2014/main" id="{00000000-0008-0000-3F00-000009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22</xdr:row>
          <xdr:rowOff>50800</xdr:rowOff>
        </xdr:from>
        <xdr:to>
          <xdr:col>15</xdr:col>
          <xdr:colOff>12700</xdr:colOff>
          <xdr:row>23</xdr:row>
          <xdr:rowOff>12700</xdr:rowOff>
        </xdr:to>
        <xdr:sp macro="" textlink="">
          <xdr:nvSpPr>
            <xdr:cNvPr id="229386" name="Check Box 10" hidden="1">
              <a:extLst>
                <a:ext uri="{63B3BB69-23CF-44E3-9099-C40C66FF867C}">
                  <a14:compatExt spid="_x0000_s229386"/>
                </a:ext>
                <a:ext uri="{FF2B5EF4-FFF2-40B4-BE49-F238E27FC236}">
                  <a16:creationId xmlns:a16="http://schemas.microsoft.com/office/drawing/2014/main" id="{00000000-0008-0000-3F00-00000A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23</xdr:row>
          <xdr:rowOff>69850</xdr:rowOff>
        </xdr:from>
        <xdr:to>
          <xdr:col>15</xdr:col>
          <xdr:colOff>12700</xdr:colOff>
          <xdr:row>24</xdr:row>
          <xdr:rowOff>0</xdr:rowOff>
        </xdr:to>
        <xdr:sp macro="" textlink="">
          <xdr:nvSpPr>
            <xdr:cNvPr id="229387" name="Check Box 11" hidden="1">
              <a:extLst>
                <a:ext uri="{63B3BB69-23CF-44E3-9099-C40C66FF867C}">
                  <a14:compatExt spid="_x0000_s229387"/>
                </a:ext>
                <a:ext uri="{FF2B5EF4-FFF2-40B4-BE49-F238E27FC236}">
                  <a16:creationId xmlns:a16="http://schemas.microsoft.com/office/drawing/2014/main" id="{00000000-0008-0000-3F00-00000B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24</xdr:row>
          <xdr:rowOff>50800</xdr:rowOff>
        </xdr:from>
        <xdr:to>
          <xdr:col>15</xdr:col>
          <xdr:colOff>12700</xdr:colOff>
          <xdr:row>25</xdr:row>
          <xdr:rowOff>0</xdr:rowOff>
        </xdr:to>
        <xdr:sp macro="" textlink="">
          <xdr:nvSpPr>
            <xdr:cNvPr id="229388" name="Check Box 12" hidden="1">
              <a:extLst>
                <a:ext uri="{63B3BB69-23CF-44E3-9099-C40C66FF867C}">
                  <a14:compatExt spid="_x0000_s229388"/>
                </a:ext>
                <a:ext uri="{FF2B5EF4-FFF2-40B4-BE49-F238E27FC236}">
                  <a16:creationId xmlns:a16="http://schemas.microsoft.com/office/drawing/2014/main" id="{00000000-0008-0000-3F00-00000C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22</xdr:row>
          <xdr:rowOff>50800</xdr:rowOff>
        </xdr:from>
        <xdr:to>
          <xdr:col>20</xdr:col>
          <xdr:colOff>12700</xdr:colOff>
          <xdr:row>23</xdr:row>
          <xdr:rowOff>12700</xdr:rowOff>
        </xdr:to>
        <xdr:sp macro="" textlink="">
          <xdr:nvSpPr>
            <xdr:cNvPr id="229389" name="Check Box 13" hidden="1">
              <a:extLst>
                <a:ext uri="{63B3BB69-23CF-44E3-9099-C40C66FF867C}">
                  <a14:compatExt spid="_x0000_s229389"/>
                </a:ext>
                <a:ext uri="{FF2B5EF4-FFF2-40B4-BE49-F238E27FC236}">
                  <a16:creationId xmlns:a16="http://schemas.microsoft.com/office/drawing/2014/main" id="{00000000-0008-0000-3F00-00000D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23</xdr:row>
          <xdr:rowOff>69850</xdr:rowOff>
        </xdr:from>
        <xdr:to>
          <xdr:col>20</xdr:col>
          <xdr:colOff>12700</xdr:colOff>
          <xdr:row>24</xdr:row>
          <xdr:rowOff>0</xdr:rowOff>
        </xdr:to>
        <xdr:sp macro="" textlink="">
          <xdr:nvSpPr>
            <xdr:cNvPr id="229390" name="Check Box 14" hidden="1">
              <a:extLst>
                <a:ext uri="{63B3BB69-23CF-44E3-9099-C40C66FF867C}">
                  <a14:compatExt spid="_x0000_s229390"/>
                </a:ext>
                <a:ext uri="{FF2B5EF4-FFF2-40B4-BE49-F238E27FC236}">
                  <a16:creationId xmlns:a16="http://schemas.microsoft.com/office/drawing/2014/main" id="{00000000-0008-0000-3F00-00000E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24</xdr:row>
          <xdr:rowOff>50800</xdr:rowOff>
        </xdr:from>
        <xdr:to>
          <xdr:col>20</xdr:col>
          <xdr:colOff>12700</xdr:colOff>
          <xdr:row>25</xdr:row>
          <xdr:rowOff>0</xdr:rowOff>
        </xdr:to>
        <xdr:sp macro="" textlink="">
          <xdr:nvSpPr>
            <xdr:cNvPr id="229391" name="Check Box 15" hidden="1">
              <a:extLst>
                <a:ext uri="{63B3BB69-23CF-44E3-9099-C40C66FF867C}">
                  <a14:compatExt spid="_x0000_s229391"/>
                </a:ext>
                <a:ext uri="{FF2B5EF4-FFF2-40B4-BE49-F238E27FC236}">
                  <a16:creationId xmlns:a16="http://schemas.microsoft.com/office/drawing/2014/main" id="{00000000-0008-0000-3F00-00000F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25</xdr:row>
          <xdr:rowOff>38100</xdr:rowOff>
        </xdr:from>
        <xdr:to>
          <xdr:col>23</xdr:col>
          <xdr:colOff>12700</xdr:colOff>
          <xdr:row>25</xdr:row>
          <xdr:rowOff>260350</xdr:rowOff>
        </xdr:to>
        <xdr:sp macro="" textlink="">
          <xdr:nvSpPr>
            <xdr:cNvPr id="229392" name="Check Box 16" hidden="1">
              <a:extLst>
                <a:ext uri="{63B3BB69-23CF-44E3-9099-C40C66FF867C}">
                  <a14:compatExt spid="_x0000_s229392"/>
                </a:ext>
                <a:ext uri="{FF2B5EF4-FFF2-40B4-BE49-F238E27FC236}">
                  <a16:creationId xmlns:a16="http://schemas.microsoft.com/office/drawing/2014/main" id="{00000000-0008-0000-3F00-000010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50800</xdr:colOff>
          <xdr:row>25</xdr:row>
          <xdr:rowOff>38100</xdr:rowOff>
        </xdr:from>
        <xdr:to>
          <xdr:col>26</xdr:col>
          <xdr:colOff>12700</xdr:colOff>
          <xdr:row>25</xdr:row>
          <xdr:rowOff>260350</xdr:rowOff>
        </xdr:to>
        <xdr:sp macro="" textlink="">
          <xdr:nvSpPr>
            <xdr:cNvPr id="229393" name="Check Box 17" hidden="1">
              <a:extLst>
                <a:ext uri="{63B3BB69-23CF-44E3-9099-C40C66FF867C}">
                  <a14:compatExt spid="_x0000_s229393"/>
                </a:ext>
                <a:ext uri="{FF2B5EF4-FFF2-40B4-BE49-F238E27FC236}">
                  <a16:creationId xmlns:a16="http://schemas.microsoft.com/office/drawing/2014/main" id="{00000000-0008-0000-3F00-00001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42</xdr:row>
          <xdr:rowOff>146050</xdr:rowOff>
        </xdr:from>
        <xdr:to>
          <xdr:col>23</xdr:col>
          <xdr:colOff>12700</xdr:colOff>
          <xdr:row>42</xdr:row>
          <xdr:rowOff>355600</xdr:rowOff>
        </xdr:to>
        <xdr:sp macro="" textlink="">
          <xdr:nvSpPr>
            <xdr:cNvPr id="229394" name="Check Box 18" hidden="1">
              <a:extLst>
                <a:ext uri="{63B3BB69-23CF-44E3-9099-C40C66FF867C}">
                  <a14:compatExt spid="_x0000_s229394"/>
                </a:ext>
                <a:ext uri="{FF2B5EF4-FFF2-40B4-BE49-F238E27FC236}">
                  <a16:creationId xmlns:a16="http://schemas.microsoft.com/office/drawing/2014/main" id="{00000000-0008-0000-3F00-00001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50800</xdr:colOff>
          <xdr:row>42</xdr:row>
          <xdr:rowOff>146050</xdr:rowOff>
        </xdr:from>
        <xdr:to>
          <xdr:col>26</xdr:col>
          <xdr:colOff>12700</xdr:colOff>
          <xdr:row>43</xdr:row>
          <xdr:rowOff>0</xdr:rowOff>
        </xdr:to>
        <xdr:sp macro="" textlink="">
          <xdr:nvSpPr>
            <xdr:cNvPr id="229395" name="Check Box 19" hidden="1">
              <a:extLst>
                <a:ext uri="{63B3BB69-23CF-44E3-9099-C40C66FF867C}">
                  <a14:compatExt spid="_x0000_s229395"/>
                </a:ext>
                <a:ext uri="{FF2B5EF4-FFF2-40B4-BE49-F238E27FC236}">
                  <a16:creationId xmlns:a16="http://schemas.microsoft.com/office/drawing/2014/main" id="{00000000-0008-0000-3F00-00001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3.xml"/><Relationship Id="rId2" Type="http://schemas.openxmlformats.org/officeDocument/2006/relationships/drawing" Target="../drawings/drawing3.xml"/><Relationship Id="rId1" Type="http://schemas.openxmlformats.org/officeDocument/2006/relationships/printerSettings" Target="../printerSettings/printerSettings16.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19.xml.rels><?xml version="1.0" encoding="UTF-8" standalone="yes"?>
<Relationships xmlns="http://schemas.openxmlformats.org/package/2006/relationships"><Relationship Id="rId13" Type="http://schemas.openxmlformats.org/officeDocument/2006/relationships/ctrlProp" Target="../ctrlProps/ctrlProp23.xml"/><Relationship Id="rId18" Type="http://schemas.openxmlformats.org/officeDocument/2006/relationships/ctrlProp" Target="../ctrlProps/ctrlProp28.xml"/><Relationship Id="rId26" Type="http://schemas.openxmlformats.org/officeDocument/2006/relationships/ctrlProp" Target="../ctrlProps/ctrlProp36.xml"/><Relationship Id="rId39" Type="http://schemas.openxmlformats.org/officeDocument/2006/relationships/ctrlProp" Target="../ctrlProps/ctrlProp49.xml"/><Relationship Id="rId21" Type="http://schemas.openxmlformats.org/officeDocument/2006/relationships/ctrlProp" Target="../ctrlProps/ctrlProp31.xml"/><Relationship Id="rId34" Type="http://schemas.openxmlformats.org/officeDocument/2006/relationships/ctrlProp" Target="../ctrlProps/ctrlProp44.xml"/><Relationship Id="rId42" Type="http://schemas.openxmlformats.org/officeDocument/2006/relationships/ctrlProp" Target="../ctrlProps/ctrlProp52.xml"/><Relationship Id="rId47" Type="http://schemas.openxmlformats.org/officeDocument/2006/relationships/ctrlProp" Target="../ctrlProps/ctrlProp57.xml"/><Relationship Id="rId50" Type="http://schemas.openxmlformats.org/officeDocument/2006/relationships/ctrlProp" Target="../ctrlProps/ctrlProp60.xml"/><Relationship Id="rId55" Type="http://schemas.openxmlformats.org/officeDocument/2006/relationships/ctrlProp" Target="../ctrlProps/ctrlProp65.xml"/><Relationship Id="rId7" Type="http://schemas.openxmlformats.org/officeDocument/2006/relationships/ctrlProp" Target="../ctrlProps/ctrlProp17.xml"/><Relationship Id="rId2" Type="http://schemas.openxmlformats.org/officeDocument/2006/relationships/drawing" Target="../drawings/drawing4.xml"/><Relationship Id="rId16" Type="http://schemas.openxmlformats.org/officeDocument/2006/relationships/ctrlProp" Target="../ctrlProps/ctrlProp26.xml"/><Relationship Id="rId29" Type="http://schemas.openxmlformats.org/officeDocument/2006/relationships/ctrlProp" Target="../ctrlProps/ctrlProp39.xml"/><Relationship Id="rId11" Type="http://schemas.openxmlformats.org/officeDocument/2006/relationships/ctrlProp" Target="../ctrlProps/ctrlProp21.xml"/><Relationship Id="rId24" Type="http://schemas.openxmlformats.org/officeDocument/2006/relationships/ctrlProp" Target="../ctrlProps/ctrlProp34.xml"/><Relationship Id="rId32" Type="http://schemas.openxmlformats.org/officeDocument/2006/relationships/ctrlProp" Target="../ctrlProps/ctrlProp42.xml"/><Relationship Id="rId37" Type="http://schemas.openxmlformats.org/officeDocument/2006/relationships/ctrlProp" Target="../ctrlProps/ctrlProp47.xml"/><Relationship Id="rId40" Type="http://schemas.openxmlformats.org/officeDocument/2006/relationships/ctrlProp" Target="../ctrlProps/ctrlProp50.xml"/><Relationship Id="rId45" Type="http://schemas.openxmlformats.org/officeDocument/2006/relationships/ctrlProp" Target="../ctrlProps/ctrlProp55.xml"/><Relationship Id="rId53" Type="http://schemas.openxmlformats.org/officeDocument/2006/relationships/ctrlProp" Target="../ctrlProps/ctrlProp63.xml"/><Relationship Id="rId58" Type="http://schemas.openxmlformats.org/officeDocument/2006/relationships/ctrlProp" Target="../ctrlProps/ctrlProp68.xml"/><Relationship Id="rId5" Type="http://schemas.openxmlformats.org/officeDocument/2006/relationships/ctrlProp" Target="../ctrlProps/ctrlProp15.xml"/><Relationship Id="rId61" Type="http://schemas.openxmlformats.org/officeDocument/2006/relationships/ctrlProp" Target="../ctrlProps/ctrlProp71.xml"/><Relationship Id="rId19" Type="http://schemas.openxmlformats.org/officeDocument/2006/relationships/ctrlProp" Target="../ctrlProps/ctrlProp29.xml"/><Relationship Id="rId14" Type="http://schemas.openxmlformats.org/officeDocument/2006/relationships/ctrlProp" Target="../ctrlProps/ctrlProp24.xml"/><Relationship Id="rId22" Type="http://schemas.openxmlformats.org/officeDocument/2006/relationships/ctrlProp" Target="../ctrlProps/ctrlProp32.xml"/><Relationship Id="rId27" Type="http://schemas.openxmlformats.org/officeDocument/2006/relationships/ctrlProp" Target="../ctrlProps/ctrlProp37.xml"/><Relationship Id="rId30" Type="http://schemas.openxmlformats.org/officeDocument/2006/relationships/ctrlProp" Target="../ctrlProps/ctrlProp40.xml"/><Relationship Id="rId35" Type="http://schemas.openxmlformats.org/officeDocument/2006/relationships/ctrlProp" Target="../ctrlProps/ctrlProp45.xml"/><Relationship Id="rId43" Type="http://schemas.openxmlformats.org/officeDocument/2006/relationships/ctrlProp" Target="../ctrlProps/ctrlProp53.xml"/><Relationship Id="rId48" Type="http://schemas.openxmlformats.org/officeDocument/2006/relationships/ctrlProp" Target="../ctrlProps/ctrlProp58.xml"/><Relationship Id="rId56" Type="http://schemas.openxmlformats.org/officeDocument/2006/relationships/ctrlProp" Target="../ctrlProps/ctrlProp66.xml"/><Relationship Id="rId8" Type="http://schemas.openxmlformats.org/officeDocument/2006/relationships/ctrlProp" Target="../ctrlProps/ctrlProp18.xml"/><Relationship Id="rId51" Type="http://schemas.openxmlformats.org/officeDocument/2006/relationships/ctrlProp" Target="../ctrlProps/ctrlProp61.xml"/><Relationship Id="rId3" Type="http://schemas.openxmlformats.org/officeDocument/2006/relationships/vmlDrawing" Target="../drawings/vmlDrawing3.vml"/><Relationship Id="rId12" Type="http://schemas.openxmlformats.org/officeDocument/2006/relationships/ctrlProp" Target="../ctrlProps/ctrlProp22.xml"/><Relationship Id="rId17" Type="http://schemas.openxmlformats.org/officeDocument/2006/relationships/ctrlProp" Target="../ctrlProps/ctrlProp27.xml"/><Relationship Id="rId25" Type="http://schemas.openxmlformats.org/officeDocument/2006/relationships/ctrlProp" Target="../ctrlProps/ctrlProp35.xml"/><Relationship Id="rId33" Type="http://schemas.openxmlformats.org/officeDocument/2006/relationships/ctrlProp" Target="../ctrlProps/ctrlProp43.xml"/><Relationship Id="rId38" Type="http://schemas.openxmlformats.org/officeDocument/2006/relationships/ctrlProp" Target="../ctrlProps/ctrlProp48.xml"/><Relationship Id="rId46" Type="http://schemas.openxmlformats.org/officeDocument/2006/relationships/ctrlProp" Target="../ctrlProps/ctrlProp56.xml"/><Relationship Id="rId59" Type="http://schemas.openxmlformats.org/officeDocument/2006/relationships/ctrlProp" Target="../ctrlProps/ctrlProp69.xml"/><Relationship Id="rId20" Type="http://schemas.openxmlformats.org/officeDocument/2006/relationships/ctrlProp" Target="../ctrlProps/ctrlProp30.xml"/><Relationship Id="rId41" Type="http://schemas.openxmlformats.org/officeDocument/2006/relationships/ctrlProp" Target="../ctrlProps/ctrlProp51.xml"/><Relationship Id="rId54" Type="http://schemas.openxmlformats.org/officeDocument/2006/relationships/ctrlProp" Target="../ctrlProps/ctrlProp64.xml"/><Relationship Id="rId1" Type="http://schemas.openxmlformats.org/officeDocument/2006/relationships/printerSettings" Target="../printerSettings/printerSettings17.bin"/><Relationship Id="rId6" Type="http://schemas.openxmlformats.org/officeDocument/2006/relationships/ctrlProp" Target="../ctrlProps/ctrlProp16.xml"/><Relationship Id="rId15" Type="http://schemas.openxmlformats.org/officeDocument/2006/relationships/ctrlProp" Target="../ctrlProps/ctrlProp25.xml"/><Relationship Id="rId23" Type="http://schemas.openxmlformats.org/officeDocument/2006/relationships/ctrlProp" Target="../ctrlProps/ctrlProp33.xml"/><Relationship Id="rId28" Type="http://schemas.openxmlformats.org/officeDocument/2006/relationships/ctrlProp" Target="../ctrlProps/ctrlProp38.xml"/><Relationship Id="rId36" Type="http://schemas.openxmlformats.org/officeDocument/2006/relationships/ctrlProp" Target="../ctrlProps/ctrlProp46.xml"/><Relationship Id="rId49" Type="http://schemas.openxmlformats.org/officeDocument/2006/relationships/ctrlProp" Target="../ctrlProps/ctrlProp59.xml"/><Relationship Id="rId57" Type="http://schemas.openxmlformats.org/officeDocument/2006/relationships/ctrlProp" Target="../ctrlProps/ctrlProp67.xml"/><Relationship Id="rId10" Type="http://schemas.openxmlformats.org/officeDocument/2006/relationships/ctrlProp" Target="../ctrlProps/ctrlProp20.xml"/><Relationship Id="rId31" Type="http://schemas.openxmlformats.org/officeDocument/2006/relationships/ctrlProp" Target="../ctrlProps/ctrlProp41.xml"/><Relationship Id="rId44" Type="http://schemas.openxmlformats.org/officeDocument/2006/relationships/ctrlProp" Target="../ctrlProps/ctrlProp54.xml"/><Relationship Id="rId52" Type="http://schemas.openxmlformats.org/officeDocument/2006/relationships/ctrlProp" Target="../ctrlProps/ctrlProp62.xml"/><Relationship Id="rId60" Type="http://schemas.openxmlformats.org/officeDocument/2006/relationships/ctrlProp" Target="../ctrlProps/ctrlProp70.xml"/><Relationship Id="rId4" Type="http://schemas.openxmlformats.org/officeDocument/2006/relationships/ctrlProp" Target="../ctrlProps/ctrlProp14.xml"/><Relationship Id="rId9" Type="http://schemas.openxmlformats.org/officeDocument/2006/relationships/ctrlProp" Target="../ctrlProps/ctrlProp1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76.xml"/><Relationship Id="rId13" Type="http://schemas.openxmlformats.org/officeDocument/2006/relationships/ctrlProp" Target="../ctrlProps/ctrlProp81.xml"/><Relationship Id="rId3" Type="http://schemas.openxmlformats.org/officeDocument/2006/relationships/vmlDrawing" Target="../drawings/vmlDrawing4.vml"/><Relationship Id="rId7" Type="http://schemas.openxmlformats.org/officeDocument/2006/relationships/ctrlProp" Target="../ctrlProps/ctrlProp75.xml"/><Relationship Id="rId12" Type="http://schemas.openxmlformats.org/officeDocument/2006/relationships/ctrlProp" Target="../ctrlProps/ctrlProp80.xml"/><Relationship Id="rId17" Type="http://schemas.openxmlformats.org/officeDocument/2006/relationships/ctrlProp" Target="../ctrlProps/ctrlProp85.xml"/><Relationship Id="rId2" Type="http://schemas.openxmlformats.org/officeDocument/2006/relationships/drawing" Target="../drawings/drawing5.xml"/><Relationship Id="rId16" Type="http://schemas.openxmlformats.org/officeDocument/2006/relationships/ctrlProp" Target="../ctrlProps/ctrlProp84.xml"/><Relationship Id="rId1" Type="http://schemas.openxmlformats.org/officeDocument/2006/relationships/printerSettings" Target="../printerSettings/printerSettings20.bin"/><Relationship Id="rId6" Type="http://schemas.openxmlformats.org/officeDocument/2006/relationships/ctrlProp" Target="../ctrlProps/ctrlProp74.xml"/><Relationship Id="rId11" Type="http://schemas.openxmlformats.org/officeDocument/2006/relationships/ctrlProp" Target="../ctrlProps/ctrlProp79.xml"/><Relationship Id="rId5" Type="http://schemas.openxmlformats.org/officeDocument/2006/relationships/ctrlProp" Target="../ctrlProps/ctrlProp73.xml"/><Relationship Id="rId15" Type="http://schemas.openxmlformats.org/officeDocument/2006/relationships/ctrlProp" Target="../ctrlProps/ctrlProp83.xml"/><Relationship Id="rId10" Type="http://schemas.openxmlformats.org/officeDocument/2006/relationships/ctrlProp" Target="../ctrlProps/ctrlProp78.xml"/><Relationship Id="rId4" Type="http://schemas.openxmlformats.org/officeDocument/2006/relationships/ctrlProp" Target="../ctrlProps/ctrlProp72.xml"/><Relationship Id="rId9" Type="http://schemas.openxmlformats.org/officeDocument/2006/relationships/ctrlProp" Target="../ctrlProps/ctrlProp77.xml"/><Relationship Id="rId14" Type="http://schemas.openxmlformats.org/officeDocument/2006/relationships/ctrlProp" Target="../ctrlProps/ctrlProp82.xml"/></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95.xml"/><Relationship Id="rId18" Type="http://schemas.openxmlformats.org/officeDocument/2006/relationships/ctrlProp" Target="../ctrlProps/ctrlProp100.xml"/><Relationship Id="rId26" Type="http://schemas.openxmlformats.org/officeDocument/2006/relationships/ctrlProp" Target="../ctrlProps/ctrlProp108.xml"/><Relationship Id="rId3" Type="http://schemas.openxmlformats.org/officeDocument/2006/relationships/vmlDrawing" Target="../drawings/vmlDrawing5.vml"/><Relationship Id="rId21" Type="http://schemas.openxmlformats.org/officeDocument/2006/relationships/ctrlProp" Target="../ctrlProps/ctrlProp103.xml"/><Relationship Id="rId7" Type="http://schemas.openxmlformats.org/officeDocument/2006/relationships/ctrlProp" Target="../ctrlProps/ctrlProp89.xml"/><Relationship Id="rId12" Type="http://schemas.openxmlformats.org/officeDocument/2006/relationships/ctrlProp" Target="../ctrlProps/ctrlProp94.xml"/><Relationship Id="rId17" Type="http://schemas.openxmlformats.org/officeDocument/2006/relationships/ctrlProp" Target="../ctrlProps/ctrlProp99.xml"/><Relationship Id="rId25" Type="http://schemas.openxmlformats.org/officeDocument/2006/relationships/ctrlProp" Target="../ctrlProps/ctrlProp107.xml"/><Relationship Id="rId33" Type="http://schemas.openxmlformats.org/officeDocument/2006/relationships/ctrlProp" Target="../ctrlProps/ctrlProp115.xml"/><Relationship Id="rId2" Type="http://schemas.openxmlformats.org/officeDocument/2006/relationships/drawing" Target="../drawings/drawing6.xml"/><Relationship Id="rId16" Type="http://schemas.openxmlformats.org/officeDocument/2006/relationships/ctrlProp" Target="../ctrlProps/ctrlProp98.xml"/><Relationship Id="rId20" Type="http://schemas.openxmlformats.org/officeDocument/2006/relationships/ctrlProp" Target="../ctrlProps/ctrlProp102.xml"/><Relationship Id="rId29" Type="http://schemas.openxmlformats.org/officeDocument/2006/relationships/ctrlProp" Target="../ctrlProps/ctrlProp111.xml"/><Relationship Id="rId1" Type="http://schemas.openxmlformats.org/officeDocument/2006/relationships/printerSettings" Target="../printerSettings/printerSettings21.bin"/><Relationship Id="rId6" Type="http://schemas.openxmlformats.org/officeDocument/2006/relationships/ctrlProp" Target="../ctrlProps/ctrlProp88.xml"/><Relationship Id="rId11" Type="http://schemas.openxmlformats.org/officeDocument/2006/relationships/ctrlProp" Target="../ctrlProps/ctrlProp93.xml"/><Relationship Id="rId24" Type="http://schemas.openxmlformats.org/officeDocument/2006/relationships/ctrlProp" Target="../ctrlProps/ctrlProp106.xml"/><Relationship Id="rId32" Type="http://schemas.openxmlformats.org/officeDocument/2006/relationships/ctrlProp" Target="../ctrlProps/ctrlProp114.xml"/><Relationship Id="rId5" Type="http://schemas.openxmlformats.org/officeDocument/2006/relationships/ctrlProp" Target="../ctrlProps/ctrlProp87.xml"/><Relationship Id="rId15" Type="http://schemas.openxmlformats.org/officeDocument/2006/relationships/ctrlProp" Target="../ctrlProps/ctrlProp97.xml"/><Relationship Id="rId23" Type="http://schemas.openxmlformats.org/officeDocument/2006/relationships/ctrlProp" Target="../ctrlProps/ctrlProp105.xml"/><Relationship Id="rId28" Type="http://schemas.openxmlformats.org/officeDocument/2006/relationships/ctrlProp" Target="../ctrlProps/ctrlProp110.xml"/><Relationship Id="rId10" Type="http://schemas.openxmlformats.org/officeDocument/2006/relationships/ctrlProp" Target="../ctrlProps/ctrlProp92.xml"/><Relationship Id="rId19" Type="http://schemas.openxmlformats.org/officeDocument/2006/relationships/ctrlProp" Target="../ctrlProps/ctrlProp101.xml"/><Relationship Id="rId31" Type="http://schemas.openxmlformats.org/officeDocument/2006/relationships/ctrlProp" Target="../ctrlProps/ctrlProp113.xml"/><Relationship Id="rId4" Type="http://schemas.openxmlformats.org/officeDocument/2006/relationships/ctrlProp" Target="../ctrlProps/ctrlProp86.xml"/><Relationship Id="rId9" Type="http://schemas.openxmlformats.org/officeDocument/2006/relationships/ctrlProp" Target="../ctrlProps/ctrlProp91.xml"/><Relationship Id="rId14" Type="http://schemas.openxmlformats.org/officeDocument/2006/relationships/ctrlProp" Target="../ctrlProps/ctrlProp96.xml"/><Relationship Id="rId22" Type="http://schemas.openxmlformats.org/officeDocument/2006/relationships/ctrlProp" Target="../ctrlProps/ctrlProp104.xml"/><Relationship Id="rId27" Type="http://schemas.openxmlformats.org/officeDocument/2006/relationships/ctrlProp" Target="../ctrlProps/ctrlProp109.xml"/><Relationship Id="rId30" Type="http://schemas.openxmlformats.org/officeDocument/2006/relationships/ctrlProp" Target="../ctrlProps/ctrlProp112.xml"/><Relationship Id="rId8" Type="http://schemas.openxmlformats.org/officeDocument/2006/relationships/ctrlProp" Target="../ctrlProps/ctrlProp9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20.xml"/><Relationship Id="rId13" Type="http://schemas.openxmlformats.org/officeDocument/2006/relationships/ctrlProp" Target="../ctrlProps/ctrlProp125.xml"/><Relationship Id="rId3" Type="http://schemas.openxmlformats.org/officeDocument/2006/relationships/vmlDrawing" Target="../drawings/vmlDrawing6.vml"/><Relationship Id="rId7" Type="http://schemas.openxmlformats.org/officeDocument/2006/relationships/ctrlProp" Target="../ctrlProps/ctrlProp119.xml"/><Relationship Id="rId12" Type="http://schemas.openxmlformats.org/officeDocument/2006/relationships/ctrlProp" Target="../ctrlProps/ctrlProp124.xml"/><Relationship Id="rId2" Type="http://schemas.openxmlformats.org/officeDocument/2006/relationships/drawing" Target="../drawings/drawing10.xml"/><Relationship Id="rId16" Type="http://schemas.openxmlformats.org/officeDocument/2006/relationships/ctrlProp" Target="../ctrlProps/ctrlProp128.xml"/><Relationship Id="rId1" Type="http://schemas.openxmlformats.org/officeDocument/2006/relationships/printerSettings" Target="../printerSettings/printerSettings25.bin"/><Relationship Id="rId6" Type="http://schemas.openxmlformats.org/officeDocument/2006/relationships/ctrlProp" Target="../ctrlProps/ctrlProp118.xml"/><Relationship Id="rId11" Type="http://schemas.openxmlformats.org/officeDocument/2006/relationships/ctrlProp" Target="../ctrlProps/ctrlProp123.xml"/><Relationship Id="rId5" Type="http://schemas.openxmlformats.org/officeDocument/2006/relationships/ctrlProp" Target="../ctrlProps/ctrlProp117.xml"/><Relationship Id="rId15" Type="http://schemas.openxmlformats.org/officeDocument/2006/relationships/ctrlProp" Target="../ctrlProps/ctrlProp127.xml"/><Relationship Id="rId10" Type="http://schemas.openxmlformats.org/officeDocument/2006/relationships/ctrlProp" Target="../ctrlProps/ctrlProp122.xml"/><Relationship Id="rId4" Type="http://schemas.openxmlformats.org/officeDocument/2006/relationships/ctrlProp" Target="../ctrlProps/ctrlProp116.xml"/><Relationship Id="rId9" Type="http://schemas.openxmlformats.org/officeDocument/2006/relationships/ctrlProp" Target="../ctrlProps/ctrlProp121.xml"/><Relationship Id="rId14" Type="http://schemas.openxmlformats.org/officeDocument/2006/relationships/ctrlProp" Target="../ctrlProps/ctrlProp126.xml"/></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133.xml"/><Relationship Id="rId13" Type="http://schemas.openxmlformats.org/officeDocument/2006/relationships/ctrlProp" Target="../ctrlProps/ctrlProp138.xml"/><Relationship Id="rId3" Type="http://schemas.openxmlformats.org/officeDocument/2006/relationships/vmlDrawing" Target="../drawings/vmlDrawing7.vml"/><Relationship Id="rId7" Type="http://schemas.openxmlformats.org/officeDocument/2006/relationships/ctrlProp" Target="../ctrlProps/ctrlProp132.xml"/><Relationship Id="rId12" Type="http://schemas.openxmlformats.org/officeDocument/2006/relationships/ctrlProp" Target="../ctrlProps/ctrlProp137.xml"/><Relationship Id="rId2" Type="http://schemas.openxmlformats.org/officeDocument/2006/relationships/drawing" Target="../drawings/drawing11.xml"/><Relationship Id="rId1" Type="http://schemas.openxmlformats.org/officeDocument/2006/relationships/printerSettings" Target="../printerSettings/printerSettings26.bin"/><Relationship Id="rId6" Type="http://schemas.openxmlformats.org/officeDocument/2006/relationships/ctrlProp" Target="../ctrlProps/ctrlProp131.xml"/><Relationship Id="rId11" Type="http://schemas.openxmlformats.org/officeDocument/2006/relationships/ctrlProp" Target="../ctrlProps/ctrlProp136.xml"/><Relationship Id="rId5" Type="http://schemas.openxmlformats.org/officeDocument/2006/relationships/ctrlProp" Target="../ctrlProps/ctrlProp130.xml"/><Relationship Id="rId15" Type="http://schemas.openxmlformats.org/officeDocument/2006/relationships/ctrlProp" Target="../ctrlProps/ctrlProp140.xml"/><Relationship Id="rId10" Type="http://schemas.openxmlformats.org/officeDocument/2006/relationships/ctrlProp" Target="../ctrlProps/ctrlProp135.xml"/><Relationship Id="rId4" Type="http://schemas.openxmlformats.org/officeDocument/2006/relationships/ctrlProp" Target="../ctrlProps/ctrlProp129.xml"/><Relationship Id="rId9" Type="http://schemas.openxmlformats.org/officeDocument/2006/relationships/ctrlProp" Target="../ctrlProps/ctrlProp134.xml"/><Relationship Id="rId14" Type="http://schemas.openxmlformats.org/officeDocument/2006/relationships/ctrlProp" Target="../ctrlProps/ctrlProp139.xml"/></Relationships>
</file>

<file path=xl/worksheets/_rels/sheet29.xml.rels><?xml version="1.0" encoding="UTF-8" standalone="yes"?>
<Relationships xmlns="http://schemas.openxmlformats.org/package/2006/relationships"><Relationship Id="rId13" Type="http://schemas.openxmlformats.org/officeDocument/2006/relationships/ctrlProp" Target="../ctrlProps/ctrlProp150.xml"/><Relationship Id="rId18" Type="http://schemas.openxmlformats.org/officeDocument/2006/relationships/ctrlProp" Target="../ctrlProps/ctrlProp155.xml"/><Relationship Id="rId26" Type="http://schemas.openxmlformats.org/officeDocument/2006/relationships/ctrlProp" Target="../ctrlProps/ctrlProp163.xml"/><Relationship Id="rId39" Type="http://schemas.openxmlformats.org/officeDocument/2006/relationships/ctrlProp" Target="../ctrlProps/ctrlProp176.xml"/><Relationship Id="rId21" Type="http://schemas.openxmlformats.org/officeDocument/2006/relationships/ctrlProp" Target="../ctrlProps/ctrlProp158.xml"/><Relationship Id="rId34" Type="http://schemas.openxmlformats.org/officeDocument/2006/relationships/ctrlProp" Target="../ctrlProps/ctrlProp171.xml"/><Relationship Id="rId42" Type="http://schemas.openxmlformats.org/officeDocument/2006/relationships/ctrlProp" Target="../ctrlProps/ctrlProp179.xml"/><Relationship Id="rId47" Type="http://schemas.openxmlformats.org/officeDocument/2006/relationships/ctrlProp" Target="../ctrlProps/ctrlProp184.xml"/><Relationship Id="rId7" Type="http://schemas.openxmlformats.org/officeDocument/2006/relationships/ctrlProp" Target="../ctrlProps/ctrlProp144.xml"/><Relationship Id="rId2" Type="http://schemas.openxmlformats.org/officeDocument/2006/relationships/drawing" Target="../drawings/drawing12.xml"/><Relationship Id="rId16" Type="http://schemas.openxmlformats.org/officeDocument/2006/relationships/ctrlProp" Target="../ctrlProps/ctrlProp153.xml"/><Relationship Id="rId29" Type="http://schemas.openxmlformats.org/officeDocument/2006/relationships/ctrlProp" Target="../ctrlProps/ctrlProp166.xml"/><Relationship Id="rId1" Type="http://schemas.openxmlformats.org/officeDocument/2006/relationships/printerSettings" Target="../printerSettings/printerSettings27.bin"/><Relationship Id="rId6" Type="http://schemas.openxmlformats.org/officeDocument/2006/relationships/ctrlProp" Target="../ctrlProps/ctrlProp143.xml"/><Relationship Id="rId11" Type="http://schemas.openxmlformats.org/officeDocument/2006/relationships/ctrlProp" Target="../ctrlProps/ctrlProp148.xml"/><Relationship Id="rId24" Type="http://schemas.openxmlformats.org/officeDocument/2006/relationships/ctrlProp" Target="../ctrlProps/ctrlProp161.xml"/><Relationship Id="rId32" Type="http://schemas.openxmlformats.org/officeDocument/2006/relationships/ctrlProp" Target="../ctrlProps/ctrlProp169.xml"/><Relationship Id="rId37" Type="http://schemas.openxmlformats.org/officeDocument/2006/relationships/ctrlProp" Target="../ctrlProps/ctrlProp174.xml"/><Relationship Id="rId40" Type="http://schemas.openxmlformats.org/officeDocument/2006/relationships/ctrlProp" Target="../ctrlProps/ctrlProp177.xml"/><Relationship Id="rId45" Type="http://schemas.openxmlformats.org/officeDocument/2006/relationships/ctrlProp" Target="../ctrlProps/ctrlProp182.xml"/><Relationship Id="rId5" Type="http://schemas.openxmlformats.org/officeDocument/2006/relationships/ctrlProp" Target="../ctrlProps/ctrlProp142.xml"/><Relationship Id="rId15" Type="http://schemas.openxmlformats.org/officeDocument/2006/relationships/ctrlProp" Target="../ctrlProps/ctrlProp152.xml"/><Relationship Id="rId23" Type="http://schemas.openxmlformats.org/officeDocument/2006/relationships/ctrlProp" Target="../ctrlProps/ctrlProp160.xml"/><Relationship Id="rId28" Type="http://schemas.openxmlformats.org/officeDocument/2006/relationships/ctrlProp" Target="../ctrlProps/ctrlProp165.xml"/><Relationship Id="rId36" Type="http://schemas.openxmlformats.org/officeDocument/2006/relationships/ctrlProp" Target="../ctrlProps/ctrlProp173.xml"/><Relationship Id="rId10" Type="http://schemas.openxmlformats.org/officeDocument/2006/relationships/ctrlProp" Target="../ctrlProps/ctrlProp147.xml"/><Relationship Id="rId19" Type="http://schemas.openxmlformats.org/officeDocument/2006/relationships/ctrlProp" Target="../ctrlProps/ctrlProp156.xml"/><Relationship Id="rId31" Type="http://schemas.openxmlformats.org/officeDocument/2006/relationships/ctrlProp" Target="../ctrlProps/ctrlProp168.xml"/><Relationship Id="rId44" Type="http://schemas.openxmlformats.org/officeDocument/2006/relationships/ctrlProp" Target="../ctrlProps/ctrlProp181.xml"/><Relationship Id="rId4" Type="http://schemas.openxmlformats.org/officeDocument/2006/relationships/ctrlProp" Target="../ctrlProps/ctrlProp141.xml"/><Relationship Id="rId9" Type="http://schemas.openxmlformats.org/officeDocument/2006/relationships/ctrlProp" Target="../ctrlProps/ctrlProp146.xml"/><Relationship Id="rId14" Type="http://schemas.openxmlformats.org/officeDocument/2006/relationships/ctrlProp" Target="../ctrlProps/ctrlProp151.xml"/><Relationship Id="rId22" Type="http://schemas.openxmlformats.org/officeDocument/2006/relationships/ctrlProp" Target="../ctrlProps/ctrlProp159.xml"/><Relationship Id="rId27" Type="http://schemas.openxmlformats.org/officeDocument/2006/relationships/ctrlProp" Target="../ctrlProps/ctrlProp164.xml"/><Relationship Id="rId30" Type="http://schemas.openxmlformats.org/officeDocument/2006/relationships/ctrlProp" Target="../ctrlProps/ctrlProp167.xml"/><Relationship Id="rId35" Type="http://schemas.openxmlformats.org/officeDocument/2006/relationships/ctrlProp" Target="../ctrlProps/ctrlProp172.xml"/><Relationship Id="rId43" Type="http://schemas.openxmlformats.org/officeDocument/2006/relationships/ctrlProp" Target="../ctrlProps/ctrlProp180.xml"/><Relationship Id="rId48" Type="http://schemas.openxmlformats.org/officeDocument/2006/relationships/ctrlProp" Target="../ctrlProps/ctrlProp185.xml"/><Relationship Id="rId8" Type="http://schemas.openxmlformats.org/officeDocument/2006/relationships/ctrlProp" Target="../ctrlProps/ctrlProp145.xml"/><Relationship Id="rId3" Type="http://schemas.openxmlformats.org/officeDocument/2006/relationships/vmlDrawing" Target="../drawings/vmlDrawing8.vml"/><Relationship Id="rId12" Type="http://schemas.openxmlformats.org/officeDocument/2006/relationships/ctrlProp" Target="../ctrlProps/ctrlProp149.xml"/><Relationship Id="rId17" Type="http://schemas.openxmlformats.org/officeDocument/2006/relationships/ctrlProp" Target="../ctrlProps/ctrlProp154.xml"/><Relationship Id="rId25" Type="http://schemas.openxmlformats.org/officeDocument/2006/relationships/ctrlProp" Target="../ctrlProps/ctrlProp162.xml"/><Relationship Id="rId33" Type="http://schemas.openxmlformats.org/officeDocument/2006/relationships/ctrlProp" Target="../ctrlProps/ctrlProp170.xml"/><Relationship Id="rId38" Type="http://schemas.openxmlformats.org/officeDocument/2006/relationships/ctrlProp" Target="../ctrlProps/ctrlProp175.xml"/><Relationship Id="rId46" Type="http://schemas.openxmlformats.org/officeDocument/2006/relationships/ctrlProp" Target="../ctrlProps/ctrlProp183.xml"/><Relationship Id="rId20" Type="http://schemas.openxmlformats.org/officeDocument/2006/relationships/ctrlProp" Target="../ctrlProps/ctrlProp157.xml"/><Relationship Id="rId41" Type="http://schemas.openxmlformats.org/officeDocument/2006/relationships/ctrlProp" Target="../ctrlProps/ctrlProp178.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190.xml"/><Relationship Id="rId3" Type="http://schemas.openxmlformats.org/officeDocument/2006/relationships/vmlDrawing" Target="../drawings/vmlDrawing9.vml"/><Relationship Id="rId7" Type="http://schemas.openxmlformats.org/officeDocument/2006/relationships/ctrlProp" Target="../ctrlProps/ctrlProp189.xml"/><Relationship Id="rId2" Type="http://schemas.openxmlformats.org/officeDocument/2006/relationships/drawing" Target="../drawings/drawing13.xml"/><Relationship Id="rId1" Type="http://schemas.openxmlformats.org/officeDocument/2006/relationships/printerSettings" Target="../printerSettings/printerSettings28.bin"/><Relationship Id="rId6" Type="http://schemas.openxmlformats.org/officeDocument/2006/relationships/ctrlProp" Target="../ctrlProps/ctrlProp188.xml"/><Relationship Id="rId11" Type="http://schemas.openxmlformats.org/officeDocument/2006/relationships/ctrlProp" Target="../ctrlProps/ctrlProp193.xml"/><Relationship Id="rId5" Type="http://schemas.openxmlformats.org/officeDocument/2006/relationships/ctrlProp" Target="../ctrlProps/ctrlProp187.xml"/><Relationship Id="rId10" Type="http://schemas.openxmlformats.org/officeDocument/2006/relationships/ctrlProp" Target="../ctrlProps/ctrlProp192.xml"/><Relationship Id="rId4" Type="http://schemas.openxmlformats.org/officeDocument/2006/relationships/ctrlProp" Target="../ctrlProps/ctrlProp186.xml"/><Relationship Id="rId9" Type="http://schemas.openxmlformats.org/officeDocument/2006/relationships/ctrlProp" Target="../ctrlProps/ctrlProp19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198.xml"/><Relationship Id="rId3" Type="http://schemas.openxmlformats.org/officeDocument/2006/relationships/vmlDrawing" Target="../drawings/vmlDrawing10.vml"/><Relationship Id="rId7" Type="http://schemas.openxmlformats.org/officeDocument/2006/relationships/ctrlProp" Target="../ctrlProps/ctrlProp197.xml"/><Relationship Id="rId12" Type="http://schemas.openxmlformats.org/officeDocument/2006/relationships/ctrlProp" Target="../ctrlProps/ctrlProp202.xml"/><Relationship Id="rId2" Type="http://schemas.openxmlformats.org/officeDocument/2006/relationships/drawing" Target="../drawings/drawing14.xml"/><Relationship Id="rId1" Type="http://schemas.openxmlformats.org/officeDocument/2006/relationships/printerSettings" Target="../printerSettings/printerSettings30.bin"/><Relationship Id="rId6" Type="http://schemas.openxmlformats.org/officeDocument/2006/relationships/ctrlProp" Target="../ctrlProps/ctrlProp196.xml"/><Relationship Id="rId11" Type="http://schemas.openxmlformats.org/officeDocument/2006/relationships/ctrlProp" Target="../ctrlProps/ctrlProp201.xml"/><Relationship Id="rId5" Type="http://schemas.openxmlformats.org/officeDocument/2006/relationships/ctrlProp" Target="../ctrlProps/ctrlProp195.xml"/><Relationship Id="rId10" Type="http://schemas.openxmlformats.org/officeDocument/2006/relationships/ctrlProp" Target="../ctrlProps/ctrlProp200.xml"/><Relationship Id="rId4" Type="http://schemas.openxmlformats.org/officeDocument/2006/relationships/ctrlProp" Target="../ctrlProps/ctrlProp194.xml"/><Relationship Id="rId9" Type="http://schemas.openxmlformats.org/officeDocument/2006/relationships/ctrlProp" Target="../ctrlProps/ctrlProp199.xml"/></Relationships>
</file>

<file path=xl/worksheets/_rels/sheet33.xml.rels><?xml version="1.0" encoding="UTF-8" standalone="yes"?>
<Relationships xmlns="http://schemas.openxmlformats.org/package/2006/relationships"><Relationship Id="rId13" Type="http://schemas.openxmlformats.org/officeDocument/2006/relationships/ctrlProp" Target="../ctrlProps/ctrlProp212.xml"/><Relationship Id="rId18" Type="http://schemas.openxmlformats.org/officeDocument/2006/relationships/ctrlProp" Target="../ctrlProps/ctrlProp217.xml"/><Relationship Id="rId26" Type="http://schemas.openxmlformats.org/officeDocument/2006/relationships/ctrlProp" Target="../ctrlProps/ctrlProp225.xml"/><Relationship Id="rId3" Type="http://schemas.openxmlformats.org/officeDocument/2006/relationships/vmlDrawing" Target="../drawings/vmlDrawing11.vml"/><Relationship Id="rId21" Type="http://schemas.openxmlformats.org/officeDocument/2006/relationships/ctrlProp" Target="../ctrlProps/ctrlProp220.xml"/><Relationship Id="rId34" Type="http://schemas.openxmlformats.org/officeDocument/2006/relationships/ctrlProp" Target="../ctrlProps/ctrlProp233.xml"/><Relationship Id="rId7" Type="http://schemas.openxmlformats.org/officeDocument/2006/relationships/ctrlProp" Target="../ctrlProps/ctrlProp206.xml"/><Relationship Id="rId12" Type="http://schemas.openxmlformats.org/officeDocument/2006/relationships/ctrlProp" Target="../ctrlProps/ctrlProp211.xml"/><Relationship Id="rId17" Type="http://schemas.openxmlformats.org/officeDocument/2006/relationships/ctrlProp" Target="../ctrlProps/ctrlProp216.xml"/><Relationship Id="rId25" Type="http://schemas.openxmlformats.org/officeDocument/2006/relationships/ctrlProp" Target="../ctrlProps/ctrlProp224.xml"/><Relationship Id="rId33" Type="http://schemas.openxmlformats.org/officeDocument/2006/relationships/ctrlProp" Target="../ctrlProps/ctrlProp232.xml"/><Relationship Id="rId2" Type="http://schemas.openxmlformats.org/officeDocument/2006/relationships/drawing" Target="../drawings/drawing15.xml"/><Relationship Id="rId16" Type="http://schemas.openxmlformats.org/officeDocument/2006/relationships/ctrlProp" Target="../ctrlProps/ctrlProp215.xml"/><Relationship Id="rId20" Type="http://schemas.openxmlformats.org/officeDocument/2006/relationships/ctrlProp" Target="../ctrlProps/ctrlProp219.xml"/><Relationship Id="rId29" Type="http://schemas.openxmlformats.org/officeDocument/2006/relationships/ctrlProp" Target="../ctrlProps/ctrlProp228.xml"/><Relationship Id="rId1" Type="http://schemas.openxmlformats.org/officeDocument/2006/relationships/printerSettings" Target="../printerSettings/printerSettings31.bin"/><Relationship Id="rId6" Type="http://schemas.openxmlformats.org/officeDocument/2006/relationships/ctrlProp" Target="../ctrlProps/ctrlProp205.xml"/><Relationship Id="rId11" Type="http://schemas.openxmlformats.org/officeDocument/2006/relationships/ctrlProp" Target="../ctrlProps/ctrlProp210.xml"/><Relationship Id="rId24" Type="http://schemas.openxmlformats.org/officeDocument/2006/relationships/ctrlProp" Target="../ctrlProps/ctrlProp223.xml"/><Relationship Id="rId32" Type="http://schemas.openxmlformats.org/officeDocument/2006/relationships/ctrlProp" Target="../ctrlProps/ctrlProp231.xml"/><Relationship Id="rId5" Type="http://schemas.openxmlformats.org/officeDocument/2006/relationships/ctrlProp" Target="../ctrlProps/ctrlProp204.xml"/><Relationship Id="rId15" Type="http://schemas.openxmlformats.org/officeDocument/2006/relationships/ctrlProp" Target="../ctrlProps/ctrlProp214.xml"/><Relationship Id="rId23" Type="http://schemas.openxmlformats.org/officeDocument/2006/relationships/ctrlProp" Target="../ctrlProps/ctrlProp222.xml"/><Relationship Id="rId28" Type="http://schemas.openxmlformats.org/officeDocument/2006/relationships/ctrlProp" Target="../ctrlProps/ctrlProp227.xml"/><Relationship Id="rId10" Type="http://schemas.openxmlformats.org/officeDocument/2006/relationships/ctrlProp" Target="../ctrlProps/ctrlProp209.xml"/><Relationship Id="rId19" Type="http://schemas.openxmlformats.org/officeDocument/2006/relationships/ctrlProp" Target="../ctrlProps/ctrlProp218.xml"/><Relationship Id="rId31" Type="http://schemas.openxmlformats.org/officeDocument/2006/relationships/ctrlProp" Target="../ctrlProps/ctrlProp230.xml"/><Relationship Id="rId4" Type="http://schemas.openxmlformats.org/officeDocument/2006/relationships/ctrlProp" Target="../ctrlProps/ctrlProp203.xml"/><Relationship Id="rId9" Type="http://schemas.openxmlformats.org/officeDocument/2006/relationships/ctrlProp" Target="../ctrlProps/ctrlProp208.xml"/><Relationship Id="rId14" Type="http://schemas.openxmlformats.org/officeDocument/2006/relationships/ctrlProp" Target="../ctrlProps/ctrlProp213.xml"/><Relationship Id="rId22" Type="http://schemas.openxmlformats.org/officeDocument/2006/relationships/ctrlProp" Target="../ctrlProps/ctrlProp221.xml"/><Relationship Id="rId27" Type="http://schemas.openxmlformats.org/officeDocument/2006/relationships/ctrlProp" Target="../ctrlProps/ctrlProp226.xml"/><Relationship Id="rId30" Type="http://schemas.openxmlformats.org/officeDocument/2006/relationships/ctrlProp" Target="../ctrlProps/ctrlProp229.xml"/><Relationship Id="rId8" Type="http://schemas.openxmlformats.org/officeDocument/2006/relationships/ctrlProp" Target="../ctrlProps/ctrlProp207.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8" Type="http://schemas.openxmlformats.org/officeDocument/2006/relationships/ctrlProp" Target="../ctrlProps/ctrlProp238.xml"/><Relationship Id="rId13" Type="http://schemas.openxmlformats.org/officeDocument/2006/relationships/ctrlProp" Target="../ctrlProps/ctrlProp243.xml"/><Relationship Id="rId3" Type="http://schemas.openxmlformats.org/officeDocument/2006/relationships/vmlDrawing" Target="../drawings/vmlDrawing12.vml"/><Relationship Id="rId7" Type="http://schemas.openxmlformats.org/officeDocument/2006/relationships/ctrlProp" Target="../ctrlProps/ctrlProp237.xml"/><Relationship Id="rId12" Type="http://schemas.openxmlformats.org/officeDocument/2006/relationships/ctrlProp" Target="../ctrlProps/ctrlProp242.xml"/><Relationship Id="rId2" Type="http://schemas.openxmlformats.org/officeDocument/2006/relationships/drawing" Target="../drawings/drawing16.xml"/><Relationship Id="rId1" Type="http://schemas.openxmlformats.org/officeDocument/2006/relationships/printerSettings" Target="../printerSettings/printerSettings33.bin"/><Relationship Id="rId6" Type="http://schemas.openxmlformats.org/officeDocument/2006/relationships/ctrlProp" Target="../ctrlProps/ctrlProp236.xml"/><Relationship Id="rId11" Type="http://schemas.openxmlformats.org/officeDocument/2006/relationships/ctrlProp" Target="../ctrlProps/ctrlProp241.xml"/><Relationship Id="rId5" Type="http://schemas.openxmlformats.org/officeDocument/2006/relationships/ctrlProp" Target="../ctrlProps/ctrlProp235.xml"/><Relationship Id="rId15" Type="http://schemas.openxmlformats.org/officeDocument/2006/relationships/ctrlProp" Target="../ctrlProps/ctrlProp245.xml"/><Relationship Id="rId10" Type="http://schemas.openxmlformats.org/officeDocument/2006/relationships/ctrlProp" Target="../ctrlProps/ctrlProp240.xml"/><Relationship Id="rId4" Type="http://schemas.openxmlformats.org/officeDocument/2006/relationships/ctrlProp" Target="../ctrlProps/ctrlProp234.xml"/><Relationship Id="rId9" Type="http://schemas.openxmlformats.org/officeDocument/2006/relationships/ctrlProp" Target="../ctrlProps/ctrlProp239.xml"/><Relationship Id="rId14" Type="http://schemas.openxmlformats.org/officeDocument/2006/relationships/ctrlProp" Target="../ctrlProps/ctrlProp244.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35.bin"/><Relationship Id="rId5" Type="http://schemas.openxmlformats.org/officeDocument/2006/relationships/ctrlProp" Target="../ctrlProps/ctrlProp247.xml"/><Relationship Id="rId4" Type="http://schemas.openxmlformats.org/officeDocument/2006/relationships/ctrlProp" Target="../ctrlProps/ctrlProp246.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252.xml"/><Relationship Id="rId13" Type="http://schemas.openxmlformats.org/officeDocument/2006/relationships/ctrlProp" Target="../ctrlProps/ctrlProp257.xml"/><Relationship Id="rId3" Type="http://schemas.openxmlformats.org/officeDocument/2006/relationships/vmlDrawing" Target="../drawings/vmlDrawing14.vml"/><Relationship Id="rId7" Type="http://schemas.openxmlformats.org/officeDocument/2006/relationships/ctrlProp" Target="../ctrlProps/ctrlProp251.xml"/><Relationship Id="rId12" Type="http://schemas.openxmlformats.org/officeDocument/2006/relationships/ctrlProp" Target="../ctrlProps/ctrlProp256.xml"/><Relationship Id="rId2" Type="http://schemas.openxmlformats.org/officeDocument/2006/relationships/drawing" Target="../drawings/drawing18.xml"/><Relationship Id="rId1" Type="http://schemas.openxmlformats.org/officeDocument/2006/relationships/printerSettings" Target="../printerSettings/printerSettings36.bin"/><Relationship Id="rId6" Type="http://schemas.openxmlformats.org/officeDocument/2006/relationships/ctrlProp" Target="../ctrlProps/ctrlProp250.xml"/><Relationship Id="rId11" Type="http://schemas.openxmlformats.org/officeDocument/2006/relationships/ctrlProp" Target="../ctrlProps/ctrlProp255.xml"/><Relationship Id="rId5" Type="http://schemas.openxmlformats.org/officeDocument/2006/relationships/ctrlProp" Target="../ctrlProps/ctrlProp249.xml"/><Relationship Id="rId15" Type="http://schemas.openxmlformats.org/officeDocument/2006/relationships/ctrlProp" Target="../ctrlProps/ctrlProp259.xml"/><Relationship Id="rId10" Type="http://schemas.openxmlformats.org/officeDocument/2006/relationships/ctrlProp" Target="../ctrlProps/ctrlProp254.xml"/><Relationship Id="rId4" Type="http://schemas.openxmlformats.org/officeDocument/2006/relationships/ctrlProp" Target="../ctrlProps/ctrlProp248.xml"/><Relationship Id="rId9" Type="http://schemas.openxmlformats.org/officeDocument/2006/relationships/ctrlProp" Target="../ctrlProps/ctrlProp253.xml"/><Relationship Id="rId14" Type="http://schemas.openxmlformats.org/officeDocument/2006/relationships/ctrlProp" Target="../ctrlProps/ctrlProp258.xml"/></Relationships>
</file>

<file path=xl/worksheets/_rels/sheet39.xml.rels><?xml version="1.0" encoding="UTF-8" standalone="yes"?>
<Relationships xmlns="http://schemas.openxmlformats.org/package/2006/relationships"><Relationship Id="rId13" Type="http://schemas.openxmlformats.org/officeDocument/2006/relationships/ctrlProp" Target="../ctrlProps/ctrlProp269.xml"/><Relationship Id="rId18" Type="http://schemas.openxmlformats.org/officeDocument/2006/relationships/ctrlProp" Target="../ctrlProps/ctrlProp274.xml"/><Relationship Id="rId26" Type="http://schemas.openxmlformats.org/officeDocument/2006/relationships/ctrlProp" Target="../ctrlProps/ctrlProp282.xml"/><Relationship Id="rId39" Type="http://schemas.openxmlformats.org/officeDocument/2006/relationships/ctrlProp" Target="../ctrlProps/ctrlProp295.xml"/><Relationship Id="rId21" Type="http://schemas.openxmlformats.org/officeDocument/2006/relationships/ctrlProp" Target="../ctrlProps/ctrlProp277.xml"/><Relationship Id="rId34" Type="http://schemas.openxmlformats.org/officeDocument/2006/relationships/ctrlProp" Target="../ctrlProps/ctrlProp290.xml"/><Relationship Id="rId42" Type="http://schemas.openxmlformats.org/officeDocument/2006/relationships/ctrlProp" Target="../ctrlProps/ctrlProp298.xml"/><Relationship Id="rId47" Type="http://schemas.openxmlformats.org/officeDocument/2006/relationships/ctrlProp" Target="../ctrlProps/ctrlProp303.xml"/><Relationship Id="rId50" Type="http://schemas.openxmlformats.org/officeDocument/2006/relationships/ctrlProp" Target="../ctrlProps/ctrlProp306.xml"/><Relationship Id="rId55" Type="http://schemas.openxmlformats.org/officeDocument/2006/relationships/ctrlProp" Target="../ctrlProps/ctrlProp311.xml"/><Relationship Id="rId7" Type="http://schemas.openxmlformats.org/officeDocument/2006/relationships/ctrlProp" Target="../ctrlProps/ctrlProp263.xml"/><Relationship Id="rId2" Type="http://schemas.openxmlformats.org/officeDocument/2006/relationships/drawing" Target="../drawings/drawing19.xml"/><Relationship Id="rId16" Type="http://schemas.openxmlformats.org/officeDocument/2006/relationships/ctrlProp" Target="../ctrlProps/ctrlProp272.xml"/><Relationship Id="rId29" Type="http://schemas.openxmlformats.org/officeDocument/2006/relationships/ctrlProp" Target="../ctrlProps/ctrlProp285.xml"/><Relationship Id="rId11" Type="http://schemas.openxmlformats.org/officeDocument/2006/relationships/ctrlProp" Target="../ctrlProps/ctrlProp267.xml"/><Relationship Id="rId24" Type="http://schemas.openxmlformats.org/officeDocument/2006/relationships/ctrlProp" Target="../ctrlProps/ctrlProp280.xml"/><Relationship Id="rId32" Type="http://schemas.openxmlformats.org/officeDocument/2006/relationships/ctrlProp" Target="../ctrlProps/ctrlProp288.xml"/><Relationship Id="rId37" Type="http://schemas.openxmlformats.org/officeDocument/2006/relationships/ctrlProp" Target="../ctrlProps/ctrlProp293.xml"/><Relationship Id="rId40" Type="http://schemas.openxmlformats.org/officeDocument/2006/relationships/ctrlProp" Target="../ctrlProps/ctrlProp296.xml"/><Relationship Id="rId45" Type="http://schemas.openxmlformats.org/officeDocument/2006/relationships/ctrlProp" Target="../ctrlProps/ctrlProp301.xml"/><Relationship Id="rId53" Type="http://schemas.openxmlformats.org/officeDocument/2006/relationships/ctrlProp" Target="../ctrlProps/ctrlProp309.xml"/><Relationship Id="rId5" Type="http://schemas.openxmlformats.org/officeDocument/2006/relationships/ctrlProp" Target="../ctrlProps/ctrlProp261.xml"/><Relationship Id="rId19" Type="http://schemas.openxmlformats.org/officeDocument/2006/relationships/ctrlProp" Target="../ctrlProps/ctrlProp275.xml"/><Relationship Id="rId4" Type="http://schemas.openxmlformats.org/officeDocument/2006/relationships/ctrlProp" Target="../ctrlProps/ctrlProp260.xml"/><Relationship Id="rId9" Type="http://schemas.openxmlformats.org/officeDocument/2006/relationships/ctrlProp" Target="../ctrlProps/ctrlProp265.xml"/><Relationship Id="rId14" Type="http://schemas.openxmlformats.org/officeDocument/2006/relationships/ctrlProp" Target="../ctrlProps/ctrlProp270.xml"/><Relationship Id="rId22" Type="http://schemas.openxmlformats.org/officeDocument/2006/relationships/ctrlProp" Target="../ctrlProps/ctrlProp278.xml"/><Relationship Id="rId27" Type="http://schemas.openxmlformats.org/officeDocument/2006/relationships/ctrlProp" Target="../ctrlProps/ctrlProp283.xml"/><Relationship Id="rId30" Type="http://schemas.openxmlformats.org/officeDocument/2006/relationships/ctrlProp" Target="../ctrlProps/ctrlProp286.xml"/><Relationship Id="rId35" Type="http://schemas.openxmlformats.org/officeDocument/2006/relationships/ctrlProp" Target="../ctrlProps/ctrlProp291.xml"/><Relationship Id="rId43" Type="http://schemas.openxmlformats.org/officeDocument/2006/relationships/ctrlProp" Target="../ctrlProps/ctrlProp299.xml"/><Relationship Id="rId48" Type="http://schemas.openxmlformats.org/officeDocument/2006/relationships/ctrlProp" Target="../ctrlProps/ctrlProp304.xml"/><Relationship Id="rId56" Type="http://schemas.openxmlformats.org/officeDocument/2006/relationships/ctrlProp" Target="../ctrlProps/ctrlProp312.xml"/><Relationship Id="rId8" Type="http://schemas.openxmlformats.org/officeDocument/2006/relationships/ctrlProp" Target="../ctrlProps/ctrlProp264.xml"/><Relationship Id="rId51" Type="http://schemas.openxmlformats.org/officeDocument/2006/relationships/ctrlProp" Target="../ctrlProps/ctrlProp307.xml"/><Relationship Id="rId3" Type="http://schemas.openxmlformats.org/officeDocument/2006/relationships/vmlDrawing" Target="../drawings/vmlDrawing15.vml"/><Relationship Id="rId12" Type="http://schemas.openxmlformats.org/officeDocument/2006/relationships/ctrlProp" Target="../ctrlProps/ctrlProp268.xml"/><Relationship Id="rId17" Type="http://schemas.openxmlformats.org/officeDocument/2006/relationships/ctrlProp" Target="../ctrlProps/ctrlProp273.xml"/><Relationship Id="rId25" Type="http://schemas.openxmlformats.org/officeDocument/2006/relationships/ctrlProp" Target="../ctrlProps/ctrlProp281.xml"/><Relationship Id="rId33" Type="http://schemas.openxmlformats.org/officeDocument/2006/relationships/ctrlProp" Target="../ctrlProps/ctrlProp289.xml"/><Relationship Id="rId38" Type="http://schemas.openxmlformats.org/officeDocument/2006/relationships/ctrlProp" Target="../ctrlProps/ctrlProp294.xml"/><Relationship Id="rId46" Type="http://schemas.openxmlformats.org/officeDocument/2006/relationships/ctrlProp" Target="../ctrlProps/ctrlProp302.xml"/><Relationship Id="rId20" Type="http://schemas.openxmlformats.org/officeDocument/2006/relationships/ctrlProp" Target="../ctrlProps/ctrlProp276.xml"/><Relationship Id="rId41" Type="http://schemas.openxmlformats.org/officeDocument/2006/relationships/ctrlProp" Target="../ctrlProps/ctrlProp297.xml"/><Relationship Id="rId54" Type="http://schemas.openxmlformats.org/officeDocument/2006/relationships/ctrlProp" Target="../ctrlProps/ctrlProp310.xml"/><Relationship Id="rId1" Type="http://schemas.openxmlformats.org/officeDocument/2006/relationships/printerSettings" Target="../printerSettings/printerSettings37.bin"/><Relationship Id="rId6" Type="http://schemas.openxmlformats.org/officeDocument/2006/relationships/ctrlProp" Target="../ctrlProps/ctrlProp262.xml"/><Relationship Id="rId15" Type="http://schemas.openxmlformats.org/officeDocument/2006/relationships/ctrlProp" Target="../ctrlProps/ctrlProp271.xml"/><Relationship Id="rId23" Type="http://schemas.openxmlformats.org/officeDocument/2006/relationships/ctrlProp" Target="../ctrlProps/ctrlProp279.xml"/><Relationship Id="rId28" Type="http://schemas.openxmlformats.org/officeDocument/2006/relationships/ctrlProp" Target="../ctrlProps/ctrlProp284.xml"/><Relationship Id="rId36" Type="http://schemas.openxmlformats.org/officeDocument/2006/relationships/ctrlProp" Target="../ctrlProps/ctrlProp292.xml"/><Relationship Id="rId49" Type="http://schemas.openxmlformats.org/officeDocument/2006/relationships/ctrlProp" Target="../ctrlProps/ctrlProp305.xml"/><Relationship Id="rId57" Type="http://schemas.openxmlformats.org/officeDocument/2006/relationships/ctrlProp" Target="../ctrlProps/ctrlProp313.xml"/><Relationship Id="rId10" Type="http://schemas.openxmlformats.org/officeDocument/2006/relationships/ctrlProp" Target="../ctrlProps/ctrlProp266.xml"/><Relationship Id="rId31" Type="http://schemas.openxmlformats.org/officeDocument/2006/relationships/ctrlProp" Target="../ctrlProps/ctrlProp287.xml"/><Relationship Id="rId44" Type="http://schemas.openxmlformats.org/officeDocument/2006/relationships/ctrlProp" Target="../ctrlProps/ctrlProp300.xml"/><Relationship Id="rId52" Type="http://schemas.openxmlformats.org/officeDocument/2006/relationships/ctrlProp" Target="../ctrlProps/ctrlProp308.xml"/></Relationships>
</file>

<file path=xl/worksheets/_rels/sheet40.xml.rels><?xml version="1.0" encoding="UTF-8" standalone="yes"?>
<Relationships xmlns="http://schemas.openxmlformats.org/package/2006/relationships"><Relationship Id="rId13" Type="http://schemas.openxmlformats.org/officeDocument/2006/relationships/ctrlProp" Target="../ctrlProps/ctrlProp323.xml"/><Relationship Id="rId18" Type="http://schemas.openxmlformats.org/officeDocument/2006/relationships/ctrlProp" Target="../ctrlProps/ctrlProp328.xml"/><Relationship Id="rId26" Type="http://schemas.openxmlformats.org/officeDocument/2006/relationships/ctrlProp" Target="../ctrlProps/ctrlProp336.xml"/><Relationship Id="rId3" Type="http://schemas.openxmlformats.org/officeDocument/2006/relationships/vmlDrawing" Target="../drawings/vmlDrawing16.vml"/><Relationship Id="rId21" Type="http://schemas.openxmlformats.org/officeDocument/2006/relationships/ctrlProp" Target="../ctrlProps/ctrlProp331.xml"/><Relationship Id="rId34" Type="http://schemas.openxmlformats.org/officeDocument/2006/relationships/ctrlProp" Target="../ctrlProps/ctrlProp344.xml"/><Relationship Id="rId7" Type="http://schemas.openxmlformats.org/officeDocument/2006/relationships/ctrlProp" Target="../ctrlProps/ctrlProp317.xml"/><Relationship Id="rId12" Type="http://schemas.openxmlformats.org/officeDocument/2006/relationships/ctrlProp" Target="../ctrlProps/ctrlProp322.xml"/><Relationship Id="rId17" Type="http://schemas.openxmlformats.org/officeDocument/2006/relationships/ctrlProp" Target="../ctrlProps/ctrlProp327.xml"/><Relationship Id="rId25" Type="http://schemas.openxmlformats.org/officeDocument/2006/relationships/ctrlProp" Target="../ctrlProps/ctrlProp335.xml"/><Relationship Id="rId33" Type="http://schemas.openxmlformats.org/officeDocument/2006/relationships/ctrlProp" Target="../ctrlProps/ctrlProp343.xml"/><Relationship Id="rId2" Type="http://schemas.openxmlformats.org/officeDocument/2006/relationships/drawing" Target="../drawings/drawing20.xml"/><Relationship Id="rId16" Type="http://schemas.openxmlformats.org/officeDocument/2006/relationships/ctrlProp" Target="../ctrlProps/ctrlProp326.xml"/><Relationship Id="rId20" Type="http://schemas.openxmlformats.org/officeDocument/2006/relationships/ctrlProp" Target="../ctrlProps/ctrlProp330.xml"/><Relationship Id="rId29" Type="http://schemas.openxmlformats.org/officeDocument/2006/relationships/ctrlProp" Target="../ctrlProps/ctrlProp339.xml"/><Relationship Id="rId1" Type="http://schemas.openxmlformats.org/officeDocument/2006/relationships/printerSettings" Target="../printerSettings/printerSettings38.bin"/><Relationship Id="rId6" Type="http://schemas.openxmlformats.org/officeDocument/2006/relationships/ctrlProp" Target="../ctrlProps/ctrlProp316.xml"/><Relationship Id="rId11" Type="http://schemas.openxmlformats.org/officeDocument/2006/relationships/ctrlProp" Target="../ctrlProps/ctrlProp321.xml"/><Relationship Id="rId24" Type="http://schemas.openxmlformats.org/officeDocument/2006/relationships/ctrlProp" Target="../ctrlProps/ctrlProp334.xml"/><Relationship Id="rId32" Type="http://schemas.openxmlformats.org/officeDocument/2006/relationships/ctrlProp" Target="../ctrlProps/ctrlProp342.xml"/><Relationship Id="rId5" Type="http://schemas.openxmlformats.org/officeDocument/2006/relationships/ctrlProp" Target="../ctrlProps/ctrlProp315.xml"/><Relationship Id="rId15" Type="http://schemas.openxmlformats.org/officeDocument/2006/relationships/ctrlProp" Target="../ctrlProps/ctrlProp325.xml"/><Relationship Id="rId23" Type="http://schemas.openxmlformats.org/officeDocument/2006/relationships/ctrlProp" Target="../ctrlProps/ctrlProp333.xml"/><Relationship Id="rId28" Type="http://schemas.openxmlformats.org/officeDocument/2006/relationships/ctrlProp" Target="../ctrlProps/ctrlProp338.xml"/><Relationship Id="rId36" Type="http://schemas.openxmlformats.org/officeDocument/2006/relationships/ctrlProp" Target="../ctrlProps/ctrlProp346.xml"/><Relationship Id="rId10" Type="http://schemas.openxmlformats.org/officeDocument/2006/relationships/ctrlProp" Target="../ctrlProps/ctrlProp320.xml"/><Relationship Id="rId19" Type="http://schemas.openxmlformats.org/officeDocument/2006/relationships/ctrlProp" Target="../ctrlProps/ctrlProp329.xml"/><Relationship Id="rId31" Type="http://schemas.openxmlformats.org/officeDocument/2006/relationships/ctrlProp" Target="../ctrlProps/ctrlProp341.xml"/><Relationship Id="rId4" Type="http://schemas.openxmlformats.org/officeDocument/2006/relationships/ctrlProp" Target="../ctrlProps/ctrlProp314.xml"/><Relationship Id="rId9" Type="http://schemas.openxmlformats.org/officeDocument/2006/relationships/ctrlProp" Target="../ctrlProps/ctrlProp319.xml"/><Relationship Id="rId14" Type="http://schemas.openxmlformats.org/officeDocument/2006/relationships/ctrlProp" Target="../ctrlProps/ctrlProp324.xml"/><Relationship Id="rId22" Type="http://schemas.openxmlformats.org/officeDocument/2006/relationships/ctrlProp" Target="../ctrlProps/ctrlProp332.xml"/><Relationship Id="rId27" Type="http://schemas.openxmlformats.org/officeDocument/2006/relationships/ctrlProp" Target="../ctrlProps/ctrlProp337.xml"/><Relationship Id="rId30" Type="http://schemas.openxmlformats.org/officeDocument/2006/relationships/ctrlProp" Target="../ctrlProps/ctrlProp340.xml"/><Relationship Id="rId35" Type="http://schemas.openxmlformats.org/officeDocument/2006/relationships/ctrlProp" Target="../ctrlProps/ctrlProp345.xml"/><Relationship Id="rId8" Type="http://schemas.openxmlformats.org/officeDocument/2006/relationships/ctrlProp" Target="../ctrlProps/ctrlProp318.xml"/></Relationships>
</file>

<file path=xl/worksheets/_rels/sheet41.xml.rels><?xml version="1.0" encoding="UTF-8" standalone="yes"?>
<Relationships xmlns="http://schemas.openxmlformats.org/package/2006/relationships"><Relationship Id="rId8" Type="http://schemas.openxmlformats.org/officeDocument/2006/relationships/ctrlProp" Target="../ctrlProps/ctrlProp351.xml"/><Relationship Id="rId3" Type="http://schemas.openxmlformats.org/officeDocument/2006/relationships/vmlDrawing" Target="../drawings/vmlDrawing17.vml"/><Relationship Id="rId7" Type="http://schemas.openxmlformats.org/officeDocument/2006/relationships/ctrlProp" Target="../ctrlProps/ctrlProp350.xml"/><Relationship Id="rId2" Type="http://schemas.openxmlformats.org/officeDocument/2006/relationships/drawing" Target="../drawings/drawing21.xml"/><Relationship Id="rId1" Type="http://schemas.openxmlformats.org/officeDocument/2006/relationships/printerSettings" Target="../printerSettings/printerSettings39.bin"/><Relationship Id="rId6" Type="http://schemas.openxmlformats.org/officeDocument/2006/relationships/ctrlProp" Target="../ctrlProps/ctrlProp349.xml"/><Relationship Id="rId11" Type="http://schemas.openxmlformats.org/officeDocument/2006/relationships/ctrlProp" Target="../ctrlProps/ctrlProp354.xml"/><Relationship Id="rId5" Type="http://schemas.openxmlformats.org/officeDocument/2006/relationships/ctrlProp" Target="../ctrlProps/ctrlProp348.xml"/><Relationship Id="rId10" Type="http://schemas.openxmlformats.org/officeDocument/2006/relationships/ctrlProp" Target="../ctrlProps/ctrlProp353.xml"/><Relationship Id="rId4" Type="http://schemas.openxmlformats.org/officeDocument/2006/relationships/ctrlProp" Target="../ctrlProps/ctrlProp347.xml"/><Relationship Id="rId9" Type="http://schemas.openxmlformats.org/officeDocument/2006/relationships/ctrlProp" Target="../ctrlProps/ctrlProp352.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6" Type="http://schemas.openxmlformats.org/officeDocument/2006/relationships/ctrlProp" Target="../ctrlProps/ctrlProp377.xml"/><Relationship Id="rId21" Type="http://schemas.openxmlformats.org/officeDocument/2006/relationships/ctrlProp" Target="../ctrlProps/ctrlProp372.xml"/><Relationship Id="rId42" Type="http://schemas.openxmlformats.org/officeDocument/2006/relationships/ctrlProp" Target="../ctrlProps/ctrlProp393.xml"/><Relationship Id="rId47" Type="http://schemas.openxmlformats.org/officeDocument/2006/relationships/ctrlProp" Target="../ctrlProps/ctrlProp398.xml"/><Relationship Id="rId63" Type="http://schemas.openxmlformats.org/officeDocument/2006/relationships/ctrlProp" Target="../ctrlProps/ctrlProp414.xml"/><Relationship Id="rId68" Type="http://schemas.openxmlformats.org/officeDocument/2006/relationships/ctrlProp" Target="../ctrlProps/ctrlProp419.xml"/><Relationship Id="rId84" Type="http://schemas.openxmlformats.org/officeDocument/2006/relationships/ctrlProp" Target="../ctrlProps/ctrlProp435.xml"/><Relationship Id="rId89" Type="http://schemas.openxmlformats.org/officeDocument/2006/relationships/ctrlProp" Target="../ctrlProps/ctrlProp440.xml"/><Relationship Id="rId16" Type="http://schemas.openxmlformats.org/officeDocument/2006/relationships/ctrlProp" Target="../ctrlProps/ctrlProp367.xml"/><Relationship Id="rId11" Type="http://schemas.openxmlformats.org/officeDocument/2006/relationships/ctrlProp" Target="../ctrlProps/ctrlProp362.xml"/><Relationship Id="rId32" Type="http://schemas.openxmlformats.org/officeDocument/2006/relationships/ctrlProp" Target="../ctrlProps/ctrlProp383.xml"/><Relationship Id="rId37" Type="http://schemas.openxmlformats.org/officeDocument/2006/relationships/ctrlProp" Target="../ctrlProps/ctrlProp388.xml"/><Relationship Id="rId53" Type="http://schemas.openxmlformats.org/officeDocument/2006/relationships/ctrlProp" Target="../ctrlProps/ctrlProp404.xml"/><Relationship Id="rId58" Type="http://schemas.openxmlformats.org/officeDocument/2006/relationships/ctrlProp" Target="../ctrlProps/ctrlProp409.xml"/><Relationship Id="rId74" Type="http://schemas.openxmlformats.org/officeDocument/2006/relationships/ctrlProp" Target="../ctrlProps/ctrlProp425.xml"/><Relationship Id="rId79" Type="http://schemas.openxmlformats.org/officeDocument/2006/relationships/ctrlProp" Target="../ctrlProps/ctrlProp430.xml"/><Relationship Id="rId5" Type="http://schemas.openxmlformats.org/officeDocument/2006/relationships/ctrlProp" Target="../ctrlProps/ctrlProp356.xml"/><Relationship Id="rId90" Type="http://schemas.openxmlformats.org/officeDocument/2006/relationships/ctrlProp" Target="../ctrlProps/ctrlProp441.xml"/><Relationship Id="rId14" Type="http://schemas.openxmlformats.org/officeDocument/2006/relationships/ctrlProp" Target="../ctrlProps/ctrlProp365.xml"/><Relationship Id="rId22" Type="http://schemas.openxmlformats.org/officeDocument/2006/relationships/ctrlProp" Target="../ctrlProps/ctrlProp373.xml"/><Relationship Id="rId27" Type="http://schemas.openxmlformats.org/officeDocument/2006/relationships/ctrlProp" Target="../ctrlProps/ctrlProp378.xml"/><Relationship Id="rId30" Type="http://schemas.openxmlformats.org/officeDocument/2006/relationships/ctrlProp" Target="../ctrlProps/ctrlProp381.xml"/><Relationship Id="rId35" Type="http://schemas.openxmlformats.org/officeDocument/2006/relationships/ctrlProp" Target="../ctrlProps/ctrlProp386.xml"/><Relationship Id="rId43" Type="http://schemas.openxmlformats.org/officeDocument/2006/relationships/ctrlProp" Target="../ctrlProps/ctrlProp394.xml"/><Relationship Id="rId48" Type="http://schemas.openxmlformats.org/officeDocument/2006/relationships/ctrlProp" Target="../ctrlProps/ctrlProp399.xml"/><Relationship Id="rId56" Type="http://schemas.openxmlformats.org/officeDocument/2006/relationships/ctrlProp" Target="../ctrlProps/ctrlProp407.xml"/><Relationship Id="rId64" Type="http://schemas.openxmlformats.org/officeDocument/2006/relationships/ctrlProp" Target="../ctrlProps/ctrlProp415.xml"/><Relationship Id="rId69" Type="http://schemas.openxmlformats.org/officeDocument/2006/relationships/ctrlProp" Target="../ctrlProps/ctrlProp420.xml"/><Relationship Id="rId77" Type="http://schemas.openxmlformats.org/officeDocument/2006/relationships/ctrlProp" Target="../ctrlProps/ctrlProp428.xml"/><Relationship Id="rId8" Type="http://schemas.openxmlformats.org/officeDocument/2006/relationships/ctrlProp" Target="../ctrlProps/ctrlProp359.xml"/><Relationship Id="rId51" Type="http://schemas.openxmlformats.org/officeDocument/2006/relationships/ctrlProp" Target="../ctrlProps/ctrlProp402.xml"/><Relationship Id="rId72" Type="http://schemas.openxmlformats.org/officeDocument/2006/relationships/ctrlProp" Target="../ctrlProps/ctrlProp423.xml"/><Relationship Id="rId80" Type="http://schemas.openxmlformats.org/officeDocument/2006/relationships/ctrlProp" Target="../ctrlProps/ctrlProp431.xml"/><Relationship Id="rId85" Type="http://schemas.openxmlformats.org/officeDocument/2006/relationships/ctrlProp" Target="../ctrlProps/ctrlProp436.xml"/><Relationship Id="rId3" Type="http://schemas.openxmlformats.org/officeDocument/2006/relationships/vmlDrawing" Target="../drawings/vmlDrawing18.vml"/><Relationship Id="rId12" Type="http://schemas.openxmlformats.org/officeDocument/2006/relationships/ctrlProp" Target="../ctrlProps/ctrlProp363.xml"/><Relationship Id="rId17" Type="http://schemas.openxmlformats.org/officeDocument/2006/relationships/ctrlProp" Target="../ctrlProps/ctrlProp368.xml"/><Relationship Id="rId25" Type="http://schemas.openxmlformats.org/officeDocument/2006/relationships/ctrlProp" Target="../ctrlProps/ctrlProp376.xml"/><Relationship Id="rId33" Type="http://schemas.openxmlformats.org/officeDocument/2006/relationships/ctrlProp" Target="../ctrlProps/ctrlProp384.xml"/><Relationship Id="rId38" Type="http://schemas.openxmlformats.org/officeDocument/2006/relationships/ctrlProp" Target="../ctrlProps/ctrlProp389.xml"/><Relationship Id="rId46" Type="http://schemas.openxmlformats.org/officeDocument/2006/relationships/ctrlProp" Target="../ctrlProps/ctrlProp397.xml"/><Relationship Id="rId59" Type="http://schemas.openxmlformats.org/officeDocument/2006/relationships/ctrlProp" Target="../ctrlProps/ctrlProp410.xml"/><Relationship Id="rId67" Type="http://schemas.openxmlformats.org/officeDocument/2006/relationships/ctrlProp" Target="../ctrlProps/ctrlProp418.xml"/><Relationship Id="rId20" Type="http://schemas.openxmlformats.org/officeDocument/2006/relationships/ctrlProp" Target="../ctrlProps/ctrlProp371.xml"/><Relationship Id="rId41" Type="http://schemas.openxmlformats.org/officeDocument/2006/relationships/ctrlProp" Target="../ctrlProps/ctrlProp392.xml"/><Relationship Id="rId54" Type="http://schemas.openxmlformats.org/officeDocument/2006/relationships/ctrlProp" Target="../ctrlProps/ctrlProp405.xml"/><Relationship Id="rId62" Type="http://schemas.openxmlformats.org/officeDocument/2006/relationships/ctrlProp" Target="../ctrlProps/ctrlProp413.xml"/><Relationship Id="rId70" Type="http://schemas.openxmlformats.org/officeDocument/2006/relationships/ctrlProp" Target="../ctrlProps/ctrlProp421.xml"/><Relationship Id="rId75" Type="http://schemas.openxmlformats.org/officeDocument/2006/relationships/ctrlProp" Target="../ctrlProps/ctrlProp426.xml"/><Relationship Id="rId83" Type="http://schemas.openxmlformats.org/officeDocument/2006/relationships/ctrlProp" Target="../ctrlProps/ctrlProp434.xml"/><Relationship Id="rId88" Type="http://schemas.openxmlformats.org/officeDocument/2006/relationships/ctrlProp" Target="../ctrlProps/ctrlProp439.xml"/><Relationship Id="rId1" Type="http://schemas.openxmlformats.org/officeDocument/2006/relationships/printerSettings" Target="../printerSettings/printerSettings42.bin"/><Relationship Id="rId6" Type="http://schemas.openxmlformats.org/officeDocument/2006/relationships/ctrlProp" Target="../ctrlProps/ctrlProp357.xml"/><Relationship Id="rId15" Type="http://schemas.openxmlformats.org/officeDocument/2006/relationships/ctrlProp" Target="../ctrlProps/ctrlProp366.xml"/><Relationship Id="rId23" Type="http://schemas.openxmlformats.org/officeDocument/2006/relationships/ctrlProp" Target="../ctrlProps/ctrlProp374.xml"/><Relationship Id="rId28" Type="http://schemas.openxmlformats.org/officeDocument/2006/relationships/ctrlProp" Target="../ctrlProps/ctrlProp379.xml"/><Relationship Id="rId36" Type="http://schemas.openxmlformats.org/officeDocument/2006/relationships/ctrlProp" Target="../ctrlProps/ctrlProp387.xml"/><Relationship Id="rId49" Type="http://schemas.openxmlformats.org/officeDocument/2006/relationships/ctrlProp" Target="../ctrlProps/ctrlProp400.xml"/><Relationship Id="rId57" Type="http://schemas.openxmlformats.org/officeDocument/2006/relationships/ctrlProp" Target="../ctrlProps/ctrlProp408.xml"/><Relationship Id="rId10" Type="http://schemas.openxmlformats.org/officeDocument/2006/relationships/ctrlProp" Target="../ctrlProps/ctrlProp361.xml"/><Relationship Id="rId31" Type="http://schemas.openxmlformats.org/officeDocument/2006/relationships/ctrlProp" Target="../ctrlProps/ctrlProp382.xml"/><Relationship Id="rId44" Type="http://schemas.openxmlformats.org/officeDocument/2006/relationships/ctrlProp" Target="../ctrlProps/ctrlProp395.xml"/><Relationship Id="rId52" Type="http://schemas.openxmlformats.org/officeDocument/2006/relationships/ctrlProp" Target="../ctrlProps/ctrlProp403.xml"/><Relationship Id="rId60" Type="http://schemas.openxmlformats.org/officeDocument/2006/relationships/ctrlProp" Target="../ctrlProps/ctrlProp411.xml"/><Relationship Id="rId65" Type="http://schemas.openxmlformats.org/officeDocument/2006/relationships/ctrlProp" Target="../ctrlProps/ctrlProp416.xml"/><Relationship Id="rId73" Type="http://schemas.openxmlformats.org/officeDocument/2006/relationships/ctrlProp" Target="../ctrlProps/ctrlProp424.xml"/><Relationship Id="rId78" Type="http://schemas.openxmlformats.org/officeDocument/2006/relationships/ctrlProp" Target="../ctrlProps/ctrlProp429.xml"/><Relationship Id="rId81" Type="http://schemas.openxmlformats.org/officeDocument/2006/relationships/ctrlProp" Target="../ctrlProps/ctrlProp432.xml"/><Relationship Id="rId86" Type="http://schemas.openxmlformats.org/officeDocument/2006/relationships/ctrlProp" Target="../ctrlProps/ctrlProp437.xml"/><Relationship Id="rId4" Type="http://schemas.openxmlformats.org/officeDocument/2006/relationships/ctrlProp" Target="../ctrlProps/ctrlProp355.xml"/><Relationship Id="rId9" Type="http://schemas.openxmlformats.org/officeDocument/2006/relationships/ctrlProp" Target="../ctrlProps/ctrlProp360.xml"/><Relationship Id="rId13" Type="http://schemas.openxmlformats.org/officeDocument/2006/relationships/ctrlProp" Target="../ctrlProps/ctrlProp364.xml"/><Relationship Id="rId18" Type="http://schemas.openxmlformats.org/officeDocument/2006/relationships/ctrlProp" Target="../ctrlProps/ctrlProp369.xml"/><Relationship Id="rId39" Type="http://schemas.openxmlformats.org/officeDocument/2006/relationships/ctrlProp" Target="../ctrlProps/ctrlProp390.xml"/><Relationship Id="rId34" Type="http://schemas.openxmlformats.org/officeDocument/2006/relationships/ctrlProp" Target="../ctrlProps/ctrlProp385.xml"/><Relationship Id="rId50" Type="http://schemas.openxmlformats.org/officeDocument/2006/relationships/ctrlProp" Target="../ctrlProps/ctrlProp401.xml"/><Relationship Id="rId55" Type="http://schemas.openxmlformats.org/officeDocument/2006/relationships/ctrlProp" Target="../ctrlProps/ctrlProp406.xml"/><Relationship Id="rId76" Type="http://schemas.openxmlformats.org/officeDocument/2006/relationships/ctrlProp" Target="../ctrlProps/ctrlProp427.xml"/><Relationship Id="rId7" Type="http://schemas.openxmlformats.org/officeDocument/2006/relationships/ctrlProp" Target="../ctrlProps/ctrlProp358.xml"/><Relationship Id="rId71" Type="http://schemas.openxmlformats.org/officeDocument/2006/relationships/ctrlProp" Target="../ctrlProps/ctrlProp422.xml"/><Relationship Id="rId2" Type="http://schemas.openxmlformats.org/officeDocument/2006/relationships/drawing" Target="../drawings/drawing22.xml"/><Relationship Id="rId29" Type="http://schemas.openxmlformats.org/officeDocument/2006/relationships/ctrlProp" Target="../ctrlProps/ctrlProp380.xml"/><Relationship Id="rId24" Type="http://schemas.openxmlformats.org/officeDocument/2006/relationships/ctrlProp" Target="../ctrlProps/ctrlProp375.xml"/><Relationship Id="rId40" Type="http://schemas.openxmlformats.org/officeDocument/2006/relationships/ctrlProp" Target="../ctrlProps/ctrlProp391.xml"/><Relationship Id="rId45" Type="http://schemas.openxmlformats.org/officeDocument/2006/relationships/ctrlProp" Target="../ctrlProps/ctrlProp396.xml"/><Relationship Id="rId66" Type="http://schemas.openxmlformats.org/officeDocument/2006/relationships/ctrlProp" Target="../ctrlProps/ctrlProp417.xml"/><Relationship Id="rId87" Type="http://schemas.openxmlformats.org/officeDocument/2006/relationships/ctrlProp" Target="../ctrlProps/ctrlProp438.xml"/><Relationship Id="rId61" Type="http://schemas.openxmlformats.org/officeDocument/2006/relationships/ctrlProp" Target="../ctrlProps/ctrlProp412.xml"/><Relationship Id="rId82" Type="http://schemas.openxmlformats.org/officeDocument/2006/relationships/ctrlProp" Target="../ctrlProps/ctrlProp433.xml"/><Relationship Id="rId19" Type="http://schemas.openxmlformats.org/officeDocument/2006/relationships/ctrlProp" Target="../ctrlProps/ctrlProp370.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8" Type="http://schemas.openxmlformats.org/officeDocument/2006/relationships/ctrlProp" Target="../ctrlProps/ctrlProp446.xml"/><Relationship Id="rId13" Type="http://schemas.openxmlformats.org/officeDocument/2006/relationships/ctrlProp" Target="../ctrlProps/ctrlProp451.xml"/><Relationship Id="rId18" Type="http://schemas.openxmlformats.org/officeDocument/2006/relationships/ctrlProp" Target="../ctrlProps/ctrlProp456.xml"/><Relationship Id="rId3" Type="http://schemas.openxmlformats.org/officeDocument/2006/relationships/vmlDrawing" Target="../drawings/vmlDrawing19.vml"/><Relationship Id="rId7" Type="http://schemas.openxmlformats.org/officeDocument/2006/relationships/ctrlProp" Target="../ctrlProps/ctrlProp445.xml"/><Relationship Id="rId12" Type="http://schemas.openxmlformats.org/officeDocument/2006/relationships/ctrlProp" Target="../ctrlProps/ctrlProp450.xml"/><Relationship Id="rId17" Type="http://schemas.openxmlformats.org/officeDocument/2006/relationships/ctrlProp" Target="../ctrlProps/ctrlProp455.xml"/><Relationship Id="rId2" Type="http://schemas.openxmlformats.org/officeDocument/2006/relationships/drawing" Target="../drawings/drawing23.xml"/><Relationship Id="rId16" Type="http://schemas.openxmlformats.org/officeDocument/2006/relationships/ctrlProp" Target="../ctrlProps/ctrlProp454.xml"/><Relationship Id="rId1" Type="http://schemas.openxmlformats.org/officeDocument/2006/relationships/printerSettings" Target="../printerSettings/printerSettings47.bin"/><Relationship Id="rId6" Type="http://schemas.openxmlformats.org/officeDocument/2006/relationships/ctrlProp" Target="../ctrlProps/ctrlProp444.xml"/><Relationship Id="rId11" Type="http://schemas.openxmlformats.org/officeDocument/2006/relationships/ctrlProp" Target="../ctrlProps/ctrlProp449.xml"/><Relationship Id="rId5" Type="http://schemas.openxmlformats.org/officeDocument/2006/relationships/ctrlProp" Target="../ctrlProps/ctrlProp443.xml"/><Relationship Id="rId15" Type="http://schemas.openxmlformats.org/officeDocument/2006/relationships/ctrlProp" Target="../ctrlProps/ctrlProp453.xml"/><Relationship Id="rId10" Type="http://schemas.openxmlformats.org/officeDocument/2006/relationships/ctrlProp" Target="../ctrlProps/ctrlProp448.xml"/><Relationship Id="rId19" Type="http://schemas.openxmlformats.org/officeDocument/2006/relationships/ctrlProp" Target="../ctrlProps/ctrlProp457.xml"/><Relationship Id="rId4" Type="http://schemas.openxmlformats.org/officeDocument/2006/relationships/ctrlProp" Target="../ctrlProps/ctrlProp442.xml"/><Relationship Id="rId9" Type="http://schemas.openxmlformats.org/officeDocument/2006/relationships/ctrlProp" Target="../ctrlProps/ctrlProp447.xml"/><Relationship Id="rId14" Type="http://schemas.openxmlformats.org/officeDocument/2006/relationships/ctrlProp" Target="../ctrlProps/ctrlProp452.xml"/></Relationships>
</file>

<file path=xl/worksheets/_rels/sheet50.xml.rels><?xml version="1.0" encoding="UTF-8" standalone="yes"?>
<Relationships xmlns="http://schemas.openxmlformats.org/package/2006/relationships"><Relationship Id="rId8" Type="http://schemas.openxmlformats.org/officeDocument/2006/relationships/ctrlProp" Target="../ctrlProps/ctrlProp462.xml"/><Relationship Id="rId13" Type="http://schemas.openxmlformats.org/officeDocument/2006/relationships/ctrlProp" Target="../ctrlProps/ctrlProp467.xml"/><Relationship Id="rId3" Type="http://schemas.openxmlformats.org/officeDocument/2006/relationships/vmlDrawing" Target="../drawings/vmlDrawing20.vml"/><Relationship Id="rId7" Type="http://schemas.openxmlformats.org/officeDocument/2006/relationships/ctrlProp" Target="../ctrlProps/ctrlProp461.xml"/><Relationship Id="rId12" Type="http://schemas.openxmlformats.org/officeDocument/2006/relationships/ctrlProp" Target="../ctrlProps/ctrlProp466.xml"/><Relationship Id="rId2" Type="http://schemas.openxmlformats.org/officeDocument/2006/relationships/drawing" Target="../drawings/drawing24.xml"/><Relationship Id="rId1" Type="http://schemas.openxmlformats.org/officeDocument/2006/relationships/printerSettings" Target="../printerSettings/printerSettings48.bin"/><Relationship Id="rId6" Type="http://schemas.openxmlformats.org/officeDocument/2006/relationships/ctrlProp" Target="../ctrlProps/ctrlProp460.xml"/><Relationship Id="rId11" Type="http://schemas.openxmlformats.org/officeDocument/2006/relationships/ctrlProp" Target="../ctrlProps/ctrlProp465.xml"/><Relationship Id="rId5" Type="http://schemas.openxmlformats.org/officeDocument/2006/relationships/ctrlProp" Target="../ctrlProps/ctrlProp459.xml"/><Relationship Id="rId15" Type="http://schemas.openxmlformats.org/officeDocument/2006/relationships/ctrlProp" Target="../ctrlProps/ctrlProp469.xml"/><Relationship Id="rId10" Type="http://schemas.openxmlformats.org/officeDocument/2006/relationships/ctrlProp" Target="../ctrlProps/ctrlProp464.xml"/><Relationship Id="rId4" Type="http://schemas.openxmlformats.org/officeDocument/2006/relationships/ctrlProp" Target="../ctrlProps/ctrlProp458.xml"/><Relationship Id="rId9" Type="http://schemas.openxmlformats.org/officeDocument/2006/relationships/ctrlProp" Target="../ctrlProps/ctrlProp463.xml"/><Relationship Id="rId14" Type="http://schemas.openxmlformats.org/officeDocument/2006/relationships/ctrlProp" Target="../ctrlProps/ctrlProp468.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5.xml"/><Relationship Id="rId1" Type="http://schemas.openxmlformats.org/officeDocument/2006/relationships/printerSettings" Target="../printerSettings/printerSettings49.bin"/><Relationship Id="rId5" Type="http://schemas.openxmlformats.org/officeDocument/2006/relationships/ctrlProp" Target="../ctrlProps/ctrlProp471.xml"/><Relationship Id="rId4" Type="http://schemas.openxmlformats.org/officeDocument/2006/relationships/ctrlProp" Target="../ctrlProps/ctrlProp470.xml"/></Relationships>
</file>

<file path=xl/worksheets/_rels/sheet52.xml.rels><?xml version="1.0" encoding="UTF-8" standalone="yes"?>
<Relationships xmlns="http://schemas.openxmlformats.org/package/2006/relationships"><Relationship Id="rId8" Type="http://schemas.openxmlformats.org/officeDocument/2006/relationships/ctrlProp" Target="../ctrlProps/ctrlProp476.xml"/><Relationship Id="rId13" Type="http://schemas.openxmlformats.org/officeDocument/2006/relationships/ctrlProp" Target="../ctrlProps/ctrlProp481.xml"/><Relationship Id="rId18" Type="http://schemas.openxmlformats.org/officeDocument/2006/relationships/ctrlProp" Target="../ctrlProps/ctrlProp486.xml"/><Relationship Id="rId26" Type="http://schemas.openxmlformats.org/officeDocument/2006/relationships/ctrlProp" Target="../ctrlProps/ctrlProp494.xml"/><Relationship Id="rId3" Type="http://schemas.openxmlformats.org/officeDocument/2006/relationships/vmlDrawing" Target="../drawings/vmlDrawing22.vml"/><Relationship Id="rId21" Type="http://schemas.openxmlformats.org/officeDocument/2006/relationships/ctrlProp" Target="../ctrlProps/ctrlProp489.xml"/><Relationship Id="rId7" Type="http://schemas.openxmlformats.org/officeDocument/2006/relationships/ctrlProp" Target="../ctrlProps/ctrlProp475.xml"/><Relationship Id="rId12" Type="http://schemas.openxmlformats.org/officeDocument/2006/relationships/ctrlProp" Target="../ctrlProps/ctrlProp480.xml"/><Relationship Id="rId17" Type="http://schemas.openxmlformats.org/officeDocument/2006/relationships/ctrlProp" Target="../ctrlProps/ctrlProp485.xml"/><Relationship Id="rId25" Type="http://schemas.openxmlformats.org/officeDocument/2006/relationships/ctrlProp" Target="../ctrlProps/ctrlProp493.xml"/><Relationship Id="rId2" Type="http://schemas.openxmlformats.org/officeDocument/2006/relationships/drawing" Target="../drawings/drawing26.xml"/><Relationship Id="rId16" Type="http://schemas.openxmlformats.org/officeDocument/2006/relationships/ctrlProp" Target="../ctrlProps/ctrlProp484.xml"/><Relationship Id="rId20" Type="http://schemas.openxmlformats.org/officeDocument/2006/relationships/ctrlProp" Target="../ctrlProps/ctrlProp488.xml"/><Relationship Id="rId1" Type="http://schemas.openxmlformats.org/officeDocument/2006/relationships/printerSettings" Target="../printerSettings/printerSettings50.bin"/><Relationship Id="rId6" Type="http://schemas.openxmlformats.org/officeDocument/2006/relationships/ctrlProp" Target="../ctrlProps/ctrlProp474.xml"/><Relationship Id="rId11" Type="http://schemas.openxmlformats.org/officeDocument/2006/relationships/ctrlProp" Target="../ctrlProps/ctrlProp479.xml"/><Relationship Id="rId24" Type="http://schemas.openxmlformats.org/officeDocument/2006/relationships/ctrlProp" Target="../ctrlProps/ctrlProp492.xml"/><Relationship Id="rId5" Type="http://schemas.openxmlformats.org/officeDocument/2006/relationships/ctrlProp" Target="../ctrlProps/ctrlProp473.xml"/><Relationship Id="rId15" Type="http://schemas.openxmlformats.org/officeDocument/2006/relationships/ctrlProp" Target="../ctrlProps/ctrlProp483.xml"/><Relationship Id="rId23" Type="http://schemas.openxmlformats.org/officeDocument/2006/relationships/ctrlProp" Target="../ctrlProps/ctrlProp491.xml"/><Relationship Id="rId28" Type="http://schemas.openxmlformats.org/officeDocument/2006/relationships/ctrlProp" Target="../ctrlProps/ctrlProp496.xml"/><Relationship Id="rId10" Type="http://schemas.openxmlformats.org/officeDocument/2006/relationships/ctrlProp" Target="../ctrlProps/ctrlProp478.xml"/><Relationship Id="rId19" Type="http://schemas.openxmlformats.org/officeDocument/2006/relationships/ctrlProp" Target="../ctrlProps/ctrlProp487.xml"/><Relationship Id="rId4" Type="http://schemas.openxmlformats.org/officeDocument/2006/relationships/ctrlProp" Target="../ctrlProps/ctrlProp472.xml"/><Relationship Id="rId9" Type="http://schemas.openxmlformats.org/officeDocument/2006/relationships/ctrlProp" Target="../ctrlProps/ctrlProp477.xml"/><Relationship Id="rId14" Type="http://schemas.openxmlformats.org/officeDocument/2006/relationships/ctrlProp" Target="../ctrlProps/ctrlProp482.xml"/><Relationship Id="rId22" Type="http://schemas.openxmlformats.org/officeDocument/2006/relationships/ctrlProp" Target="../ctrlProps/ctrlProp490.xml"/><Relationship Id="rId27" Type="http://schemas.openxmlformats.org/officeDocument/2006/relationships/ctrlProp" Target="../ctrlProps/ctrlProp495.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7.xml"/><Relationship Id="rId1" Type="http://schemas.openxmlformats.org/officeDocument/2006/relationships/printerSettings" Target="../printerSettings/printerSettings51.bin"/><Relationship Id="rId4" Type="http://schemas.openxmlformats.org/officeDocument/2006/relationships/ctrlProp" Target="../ctrlProps/ctrlProp497.xml"/></Relationships>
</file>

<file path=xl/worksheets/_rels/sheet54.xml.rels><?xml version="1.0" encoding="UTF-8" standalone="yes"?>
<Relationships xmlns="http://schemas.openxmlformats.org/package/2006/relationships"><Relationship Id="rId13" Type="http://schemas.openxmlformats.org/officeDocument/2006/relationships/ctrlProp" Target="../ctrlProps/ctrlProp507.xml"/><Relationship Id="rId18" Type="http://schemas.openxmlformats.org/officeDocument/2006/relationships/ctrlProp" Target="../ctrlProps/ctrlProp512.xml"/><Relationship Id="rId26" Type="http://schemas.openxmlformats.org/officeDocument/2006/relationships/ctrlProp" Target="../ctrlProps/ctrlProp520.xml"/><Relationship Id="rId39" Type="http://schemas.openxmlformats.org/officeDocument/2006/relationships/ctrlProp" Target="../ctrlProps/ctrlProp533.xml"/><Relationship Id="rId21" Type="http://schemas.openxmlformats.org/officeDocument/2006/relationships/ctrlProp" Target="../ctrlProps/ctrlProp515.xml"/><Relationship Id="rId34" Type="http://schemas.openxmlformats.org/officeDocument/2006/relationships/ctrlProp" Target="../ctrlProps/ctrlProp528.xml"/><Relationship Id="rId42" Type="http://schemas.openxmlformats.org/officeDocument/2006/relationships/ctrlProp" Target="../ctrlProps/ctrlProp536.xml"/><Relationship Id="rId47" Type="http://schemas.openxmlformats.org/officeDocument/2006/relationships/ctrlProp" Target="../ctrlProps/ctrlProp541.xml"/><Relationship Id="rId50" Type="http://schemas.openxmlformats.org/officeDocument/2006/relationships/ctrlProp" Target="../ctrlProps/ctrlProp544.xml"/><Relationship Id="rId7" Type="http://schemas.openxmlformats.org/officeDocument/2006/relationships/ctrlProp" Target="../ctrlProps/ctrlProp501.xml"/><Relationship Id="rId2" Type="http://schemas.openxmlformats.org/officeDocument/2006/relationships/drawing" Target="../drawings/drawing28.xml"/><Relationship Id="rId16" Type="http://schemas.openxmlformats.org/officeDocument/2006/relationships/ctrlProp" Target="../ctrlProps/ctrlProp510.xml"/><Relationship Id="rId29" Type="http://schemas.openxmlformats.org/officeDocument/2006/relationships/ctrlProp" Target="../ctrlProps/ctrlProp523.xml"/><Relationship Id="rId11" Type="http://schemas.openxmlformats.org/officeDocument/2006/relationships/ctrlProp" Target="../ctrlProps/ctrlProp505.xml"/><Relationship Id="rId24" Type="http://schemas.openxmlformats.org/officeDocument/2006/relationships/ctrlProp" Target="../ctrlProps/ctrlProp518.xml"/><Relationship Id="rId32" Type="http://schemas.openxmlformats.org/officeDocument/2006/relationships/ctrlProp" Target="../ctrlProps/ctrlProp526.xml"/><Relationship Id="rId37" Type="http://schemas.openxmlformats.org/officeDocument/2006/relationships/ctrlProp" Target="../ctrlProps/ctrlProp531.xml"/><Relationship Id="rId40" Type="http://schemas.openxmlformats.org/officeDocument/2006/relationships/ctrlProp" Target="../ctrlProps/ctrlProp534.xml"/><Relationship Id="rId45" Type="http://schemas.openxmlformats.org/officeDocument/2006/relationships/ctrlProp" Target="../ctrlProps/ctrlProp539.xml"/><Relationship Id="rId5" Type="http://schemas.openxmlformats.org/officeDocument/2006/relationships/ctrlProp" Target="../ctrlProps/ctrlProp499.xml"/><Relationship Id="rId15" Type="http://schemas.openxmlformats.org/officeDocument/2006/relationships/ctrlProp" Target="../ctrlProps/ctrlProp509.xml"/><Relationship Id="rId23" Type="http://schemas.openxmlformats.org/officeDocument/2006/relationships/ctrlProp" Target="../ctrlProps/ctrlProp517.xml"/><Relationship Id="rId28" Type="http://schemas.openxmlformats.org/officeDocument/2006/relationships/ctrlProp" Target="../ctrlProps/ctrlProp522.xml"/><Relationship Id="rId36" Type="http://schemas.openxmlformats.org/officeDocument/2006/relationships/ctrlProp" Target="../ctrlProps/ctrlProp530.xml"/><Relationship Id="rId49" Type="http://schemas.openxmlformats.org/officeDocument/2006/relationships/ctrlProp" Target="../ctrlProps/ctrlProp543.xml"/><Relationship Id="rId10" Type="http://schemas.openxmlformats.org/officeDocument/2006/relationships/ctrlProp" Target="../ctrlProps/ctrlProp504.xml"/><Relationship Id="rId19" Type="http://schemas.openxmlformats.org/officeDocument/2006/relationships/ctrlProp" Target="../ctrlProps/ctrlProp513.xml"/><Relationship Id="rId31" Type="http://schemas.openxmlformats.org/officeDocument/2006/relationships/ctrlProp" Target="../ctrlProps/ctrlProp525.xml"/><Relationship Id="rId44" Type="http://schemas.openxmlformats.org/officeDocument/2006/relationships/ctrlProp" Target="../ctrlProps/ctrlProp538.xml"/><Relationship Id="rId52" Type="http://schemas.openxmlformats.org/officeDocument/2006/relationships/ctrlProp" Target="../ctrlProps/ctrlProp546.xml"/><Relationship Id="rId4" Type="http://schemas.openxmlformats.org/officeDocument/2006/relationships/ctrlProp" Target="../ctrlProps/ctrlProp498.xml"/><Relationship Id="rId9" Type="http://schemas.openxmlformats.org/officeDocument/2006/relationships/ctrlProp" Target="../ctrlProps/ctrlProp503.xml"/><Relationship Id="rId14" Type="http://schemas.openxmlformats.org/officeDocument/2006/relationships/ctrlProp" Target="../ctrlProps/ctrlProp508.xml"/><Relationship Id="rId22" Type="http://schemas.openxmlformats.org/officeDocument/2006/relationships/ctrlProp" Target="../ctrlProps/ctrlProp516.xml"/><Relationship Id="rId27" Type="http://schemas.openxmlformats.org/officeDocument/2006/relationships/ctrlProp" Target="../ctrlProps/ctrlProp521.xml"/><Relationship Id="rId30" Type="http://schemas.openxmlformats.org/officeDocument/2006/relationships/ctrlProp" Target="../ctrlProps/ctrlProp524.xml"/><Relationship Id="rId35" Type="http://schemas.openxmlformats.org/officeDocument/2006/relationships/ctrlProp" Target="../ctrlProps/ctrlProp529.xml"/><Relationship Id="rId43" Type="http://schemas.openxmlformats.org/officeDocument/2006/relationships/ctrlProp" Target="../ctrlProps/ctrlProp537.xml"/><Relationship Id="rId48" Type="http://schemas.openxmlformats.org/officeDocument/2006/relationships/ctrlProp" Target="../ctrlProps/ctrlProp542.xml"/><Relationship Id="rId8" Type="http://schemas.openxmlformats.org/officeDocument/2006/relationships/ctrlProp" Target="../ctrlProps/ctrlProp502.xml"/><Relationship Id="rId51" Type="http://schemas.openxmlformats.org/officeDocument/2006/relationships/ctrlProp" Target="../ctrlProps/ctrlProp545.xml"/><Relationship Id="rId3" Type="http://schemas.openxmlformats.org/officeDocument/2006/relationships/vmlDrawing" Target="../drawings/vmlDrawing24.vml"/><Relationship Id="rId12" Type="http://schemas.openxmlformats.org/officeDocument/2006/relationships/ctrlProp" Target="../ctrlProps/ctrlProp506.xml"/><Relationship Id="rId17" Type="http://schemas.openxmlformats.org/officeDocument/2006/relationships/ctrlProp" Target="../ctrlProps/ctrlProp511.xml"/><Relationship Id="rId25" Type="http://schemas.openxmlformats.org/officeDocument/2006/relationships/ctrlProp" Target="../ctrlProps/ctrlProp519.xml"/><Relationship Id="rId33" Type="http://schemas.openxmlformats.org/officeDocument/2006/relationships/ctrlProp" Target="../ctrlProps/ctrlProp527.xml"/><Relationship Id="rId38" Type="http://schemas.openxmlformats.org/officeDocument/2006/relationships/ctrlProp" Target="../ctrlProps/ctrlProp532.xml"/><Relationship Id="rId46" Type="http://schemas.openxmlformats.org/officeDocument/2006/relationships/ctrlProp" Target="../ctrlProps/ctrlProp540.xml"/><Relationship Id="rId20" Type="http://schemas.openxmlformats.org/officeDocument/2006/relationships/ctrlProp" Target="../ctrlProps/ctrlProp514.xml"/><Relationship Id="rId41" Type="http://schemas.openxmlformats.org/officeDocument/2006/relationships/ctrlProp" Target="../ctrlProps/ctrlProp535.xml"/><Relationship Id="rId1" Type="http://schemas.openxmlformats.org/officeDocument/2006/relationships/printerSettings" Target="../printerSettings/printerSettings52.bin"/><Relationship Id="rId6" Type="http://schemas.openxmlformats.org/officeDocument/2006/relationships/ctrlProp" Target="../ctrlProps/ctrlProp500.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9.xml"/><Relationship Id="rId1" Type="http://schemas.openxmlformats.org/officeDocument/2006/relationships/printerSettings" Target="../printerSettings/printerSettings53.bin"/><Relationship Id="rId6" Type="http://schemas.openxmlformats.org/officeDocument/2006/relationships/ctrlProp" Target="../ctrlProps/ctrlProp549.xml"/><Relationship Id="rId5" Type="http://schemas.openxmlformats.org/officeDocument/2006/relationships/ctrlProp" Target="../ctrlProps/ctrlProp548.xml"/><Relationship Id="rId4" Type="http://schemas.openxmlformats.org/officeDocument/2006/relationships/ctrlProp" Target="../ctrlProps/ctrlProp547.xml"/></Relationships>
</file>

<file path=xl/worksheets/_rels/sheet56.xml.rels><?xml version="1.0" encoding="UTF-8" standalone="yes"?>
<Relationships xmlns="http://schemas.openxmlformats.org/package/2006/relationships"><Relationship Id="rId8" Type="http://schemas.openxmlformats.org/officeDocument/2006/relationships/ctrlProp" Target="../ctrlProps/ctrlProp554.xml"/><Relationship Id="rId13" Type="http://schemas.openxmlformats.org/officeDocument/2006/relationships/ctrlProp" Target="../ctrlProps/ctrlProp559.xml"/><Relationship Id="rId18" Type="http://schemas.openxmlformats.org/officeDocument/2006/relationships/ctrlProp" Target="../ctrlProps/ctrlProp564.xml"/><Relationship Id="rId3" Type="http://schemas.openxmlformats.org/officeDocument/2006/relationships/vmlDrawing" Target="../drawings/vmlDrawing26.vml"/><Relationship Id="rId7" Type="http://schemas.openxmlformats.org/officeDocument/2006/relationships/ctrlProp" Target="../ctrlProps/ctrlProp553.xml"/><Relationship Id="rId12" Type="http://schemas.openxmlformats.org/officeDocument/2006/relationships/ctrlProp" Target="../ctrlProps/ctrlProp558.xml"/><Relationship Id="rId17" Type="http://schemas.openxmlformats.org/officeDocument/2006/relationships/ctrlProp" Target="../ctrlProps/ctrlProp563.xml"/><Relationship Id="rId2" Type="http://schemas.openxmlformats.org/officeDocument/2006/relationships/drawing" Target="../drawings/drawing30.xml"/><Relationship Id="rId16" Type="http://schemas.openxmlformats.org/officeDocument/2006/relationships/ctrlProp" Target="../ctrlProps/ctrlProp562.xml"/><Relationship Id="rId1" Type="http://schemas.openxmlformats.org/officeDocument/2006/relationships/printerSettings" Target="../printerSettings/printerSettings54.bin"/><Relationship Id="rId6" Type="http://schemas.openxmlformats.org/officeDocument/2006/relationships/ctrlProp" Target="../ctrlProps/ctrlProp552.xml"/><Relationship Id="rId11" Type="http://schemas.openxmlformats.org/officeDocument/2006/relationships/ctrlProp" Target="../ctrlProps/ctrlProp557.xml"/><Relationship Id="rId5" Type="http://schemas.openxmlformats.org/officeDocument/2006/relationships/ctrlProp" Target="../ctrlProps/ctrlProp551.xml"/><Relationship Id="rId15" Type="http://schemas.openxmlformats.org/officeDocument/2006/relationships/ctrlProp" Target="../ctrlProps/ctrlProp561.xml"/><Relationship Id="rId10" Type="http://schemas.openxmlformats.org/officeDocument/2006/relationships/ctrlProp" Target="../ctrlProps/ctrlProp556.xml"/><Relationship Id="rId4" Type="http://schemas.openxmlformats.org/officeDocument/2006/relationships/ctrlProp" Target="../ctrlProps/ctrlProp550.xml"/><Relationship Id="rId9" Type="http://schemas.openxmlformats.org/officeDocument/2006/relationships/ctrlProp" Target="../ctrlProps/ctrlProp555.xml"/><Relationship Id="rId14" Type="http://schemas.openxmlformats.org/officeDocument/2006/relationships/ctrlProp" Target="../ctrlProps/ctrlProp560.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7.vml"/><Relationship Id="rId7" Type="http://schemas.openxmlformats.org/officeDocument/2006/relationships/ctrlProp" Target="../ctrlProps/ctrlProp568.xml"/><Relationship Id="rId2" Type="http://schemas.openxmlformats.org/officeDocument/2006/relationships/drawing" Target="../drawings/drawing31.xml"/><Relationship Id="rId1" Type="http://schemas.openxmlformats.org/officeDocument/2006/relationships/printerSettings" Target="../printerSettings/printerSettings55.bin"/><Relationship Id="rId6" Type="http://schemas.openxmlformats.org/officeDocument/2006/relationships/ctrlProp" Target="../ctrlProps/ctrlProp567.xml"/><Relationship Id="rId5" Type="http://schemas.openxmlformats.org/officeDocument/2006/relationships/ctrlProp" Target="../ctrlProps/ctrlProp566.xml"/><Relationship Id="rId4" Type="http://schemas.openxmlformats.org/officeDocument/2006/relationships/ctrlProp" Target="../ctrlProps/ctrlProp565.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17" Type="http://schemas.openxmlformats.org/officeDocument/2006/relationships/ctrlProp" Target="../ctrlProps/ctrlProp682.xml"/><Relationship Id="rId21" Type="http://schemas.openxmlformats.org/officeDocument/2006/relationships/ctrlProp" Target="../ctrlProps/ctrlProp586.xml"/><Relationship Id="rId42" Type="http://schemas.openxmlformats.org/officeDocument/2006/relationships/ctrlProp" Target="../ctrlProps/ctrlProp607.xml"/><Relationship Id="rId63" Type="http://schemas.openxmlformats.org/officeDocument/2006/relationships/ctrlProp" Target="../ctrlProps/ctrlProp628.xml"/><Relationship Id="rId84" Type="http://schemas.openxmlformats.org/officeDocument/2006/relationships/ctrlProp" Target="../ctrlProps/ctrlProp649.xml"/><Relationship Id="rId138" Type="http://schemas.openxmlformats.org/officeDocument/2006/relationships/ctrlProp" Target="../ctrlProps/ctrlProp703.xml"/><Relationship Id="rId159" Type="http://schemas.openxmlformats.org/officeDocument/2006/relationships/ctrlProp" Target="../ctrlProps/ctrlProp724.xml"/><Relationship Id="rId170" Type="http://schemas.openxmlformats.org/officeDocument/2006/relationships/ctrlProp" Target="../ctrlProps/ctrlProp735.xml"/><Relationship Id="rId191" Type="http://schemas.openxmlformats.org/officeDocument/2006/relationships/ctrlProp" Target="../ctrlProps/ctrlProp756.xml"/><Relationship Id="rId107" Type="http://schemas.openxmlformats.org/officeDocument/2006/relationships/ctrlProp" Target="../ctrlProps/ctrlProp672.xml"/><Relationship Id="rId11" Type="http://schemas.openxmlformats.org/officeDocument/2006/relationships/ctrlProp" Target="../ctrlProps/ctrlProp576.xml"/><Relationship Id="rId32" Type="http://schemas.openxmlformats.org/officeDocument/2006/relationships/ctrlProp" Target="../ctrlProps/ctrlProp597.xml"/><Relationship Id="rId53" Type="http://schemas.openxmlformats.org/officeDocument/2006/relationships/ctrlProp" Target="../ctrlProps/ctrlProp618.xml"/><Relationship Id="rId74" Type="http://schemas.openxmlformats.org/officeDocument/2006/relationships/ctrlProp" Target="../ctrlProps/ctrlProp639.xml"/><Relationship Id="rId128" Type="http://schemas.openxmlformats.org/officeDocument/2006/relationships/ctrlProp" Target="../ctrlProps/ctrlProp693.xml"/><Relationship Id="rId149" Type="http://schemas.openxmlformats.org/officeDocument/2006/relationships/ctrlProp" Target="../ctrlProps/ctrlProp714.xml"/><Relationship Id="rId5" Type="http://schemas.openxmlformats.org/officeDocument/2006/relationships/ctrlProp" Target="../ctrlProps/ctrlProp570.xml"/><Relationship Id="rId95" Type="http://schemas.openxmlformats.org/officeDocument/2006/relationships/ctrlProp" Target="../ctrlProps/ctrlProp660.xml"/><Relationship Id="rId160" Type="http://schemas.openxmlformats.org/officeDocument/2006/relationships/ctrlProp" Target="../ctrlProps/ctrlProp725.xml"/><Relationship Id="rId181" Type="http://schemas.openxmlformats.org/officeDocument/2006/relationships/ctrlProp" Target="../ctrlProps/ctrlProp746.xml"/><Relationship Id="rId22" Type="http://schemas.openxmlformats.org/officeDocument/2006/relationships/ctrlProp" Target="../ctrlProps/ctrlProp587.xml"/><Relationship Id="rId43" Type="http://schemas.openxmlformats.org/officeDocument/2006/relationships/ctrlProp" Target="../ctrlProps/ctrlProp608.xml"/><Relationship Id="rId64" Type="http://schemas.openxmlformats.org/officeDocument/2006/relationships/ctrlProp" Target="../ctrlProps/ctrlProp629.xml"/><Relationship Id="rId118" Type="http://schemas.openxmlformats.org/officeDocument/2006/relationships/ctrlProp" Target="../ctrlProps/ctrlProp683.xml"/><Relationship Id="rId139" Type="http://schemas.openxmlformats.org/officeDocument/2006/relationships/ctrlProp" Target="../ctrlProps/ctrlProp704.xml"/><Relationship Id="rId85" Type="http://schemas.openxmlformats.org/officeDocument/2006/relationships/ctrlProp" Target="../ctrlProps/ctrlProp650.xml"/><Relationship Id="rId150" Type="http://schemas.openxmlformats.org/officeDocument/2006/relationships/ctrlProp" Target="../ctrlProps/ctrlProp715.xml"/><Relationship Id="rId171" Type="http://schemas.openxmlformats.org/officeDocument/2006/relationships/ctrlProp" Target="../ctrlProps/ctrlProp736.xml"/><Relationship Id="rId192" Type="http://schemas.openxmlformats.org/officeDocument/2006/relationships/ctrlProp" Target="../ctrlProps/ctrlProp757.xml"/><Relationship Id="rId12" Type="http://schemas.openxmlformats.org/officeDocument/2006/relationships/ctrlProp" Target="../ctrlProps/ctrlProp577.xml"/><Relationship Id="rId33" Type="http://schemas.openxmlformats.org/officeDocument/2006/relationships/ctrlProp" Target="../ctrlProps/ctrlProp598.xml"/><Relationship Id="rId108" Type="http://schemas.openxmlformats.org/officeDocument/2006/relationships/ctrlProp" Target="../ctrlProps/ctrlProp673.xml"/><Relationship Id="rId129" Type="http://schemas.openxmlformats.org/officeDocument/2006/relationships/ctrlProp" Target="../ctrlProps/ctrlProp694.xml"/><Relationship Id="rId54" Type="http://schemas.openxmlformats.org/officeDocument/2006/relationships/ctrlProp" Target="../ctrlProps/ctrlProp619.xml"/><Relationship Id="rId75" Type="http://schemas.openxmlformats.org/officeDocument/2006/relationships/ctrlProp" Target="../ctrlProps/ctrlProp640.xml"/><Relationship Id="rId96" Type="http://schemas.openxmlformats.org/officeDocument/2006/relationships/ctrlProp" Target="../ctrlProps/ctrlProp661.xml"/><Relationship Id="rId140" Type="http://schemas.openxmlformats.org/officeDocument/2006/relationships/ctrlProp" Target="../ctrlProps/ctrlProp705.xml"/><Relationship Id="rId161" Type="http://schemas.openxmlformats.org/officeDocument/2006/relationships/ctrlProp" Target="../ctrlProps/ctrlProp726.xml"/><Relationship Id="rId182" Type="http://schemas.openxmlformats.org/officeDocument/2006/relationships/ctrlProp" Target="../ctrlProps/ctrlProp747.xml"/><Relationship Id="rId6" Type="http://schemas.openxmlformats.org/officeDocument/2006/relationships/ctrlProp" Target="../ctrlProps/ctrlProp571.xml"/><Relationship Id="rId23" Type="http://schemas.openxmlformats.org/officeDocument/2006/relationships/ctrlProp" Target="../ctrlProps/ctrlProp588.xml"/><Relationship Id="rId119" Type="http://schemas.openxmlformats.org/officeDocument/2006/relationships/ctrlProp" Target="../ctrlProps/ctrlProp684.xml"/><Relationship Id="rId44" Type="http://schemas.openxmlformats.org/officeDocument/2006/relationships/ctrlProp" Target="../ctrlProps/ctrlProp609.xml"/><Relationship Id="rId65" Type="http://schemas.openxmlformats.org/officeDocument/2006/relationships/ctrlProp" Target="../ctrlProps/ctrlProp630.xml"/><Relationship Id="rId86" Type="http://schemas.openxmlformats.org/officeDocument/2006/relationships/ctrlProp" Target="../ctrlProps/ctrlProp651.xml"/><Relationship Id="rId130" Type="http://schemas.openxmlformats.org/officeDocument/2006/relationships/ctrlProp" Target="../ctrlProps/ctrlProp695.xml"/><Relationship Id="rId151" Type="http://schemas.openxmlformats.org/officeDocument/2006/relationships/ctrlProp" Target="../ctrlProps/ctrlProp716.xml"/><Relationship Id="rId172" Type="http://schemas.openxmlformats.org/officeDocument/2006/relationships/ctrlProp" Target="../ctrlProps/ctrlProp737.xml"/><Relationship Id="rId193" Type="http://schemas.openxmlformats.org/officeDocument/2006/relationships/ctrlProp" Target="../ctrlProps/ctrlProp758.xml"/><Relationship Id="rId13" Type="http://schemas.openxmlformats.org/officeDocument/2006/relationships/ctrlProp" Target="../ctrlProps/ctrlProp578.xml"/><Relationship Id="rId109" Type="http://schemas.openxmlformats.org/officeDocument/2006/relationships/ctrlProp" Target="../ctrlProps/ctrlProp674.xml"/><Relationship Id="rId34" Type="http://schemas.openxmlformats.org/officeDocument/2006/relationships/ctrlProp" Target="../ctrlProps/ctrlProp599.xml"/><Relationship Id="rId50" Type="http://schemas.openxmlformats.org/officeDocument/2006/relationships/ctrlProp" Target="../ctrlProps/ctrlProp615.xml"/><Relationship Id="rId55" Type="http://schemas.openxmlformats.org/officeDocument/2006/relationships/ctrlProp" Target="../ctrlProps/ctrlProp620.xml"/><Relationship Id="rId76" Type="http://schemas.openxmlformats.org/officeDocument/2006/relationships/ctrlProp" Target="../ctrlProps/ctrlProp641.xml"/><Relationship Id="rId97" Type="http://schemas.openxmlformats.org/officeDocument/2006/relationships/ctrlProp" Target="../ctrlProps/ctrlProp662.xml"/><Relationship Id="rId104" Type="http://schemas.openxmlformats.org/officeDocument/2006/relationships/ctrlProp" Target="../ctrlProps/ctrlProp669.xml"/><Relationship Id="rId120" Type="http://schemas.openxmlformats.org/officeDocument/2006/relationships/ctrlProp" Target="../ctrlProps/ctrlProp685.xml"/><Relationship Id="rId125" Type="http://schemas.openxmlformats.org/officeDocument/2006/relationships/ctrlProp" Target="../ctrlProps/ctrlProp690.xml"/><Relationship Id="rId141" Type="http://schemas.openxmlformats.org/officeDocument/2006/relationships/ctrlProp" Target="../ctrlProps/ctrlProp706.xml"/><Relationship Id="rId146" Type="http://schemas.openxmlformats.org/officeDocument/2006/relationships/ctrlProp" Target="../ctrlProps/ctrlProp711.xml"/><Relationship Id="rId167" Type="http://schemas.openxmlformats.org/officeDocument/2006/relationships/ctrlProp" Target="../ctrlProps/ctrlProp732.xml"/><Relationship Id="rId188" Type="http://schemas.openxmlformats.org/officeDocument/2006/relationships/ctrlProp" Target="../ctrlProps/ctrlProp753.xml"/><Relationship Id="rId7" Type="http://schemas.openxmlformats.org/officeDocument/2006/relationships/ctrlProp" Target="../ctrlProps/ctrlProp572.xml"/><Relationship Id="rId71" Type="http://schemas.openxmlformats.org/officeDocument/2006/relationships/ctrlProp" Target="../ctrlProps/ctrlProp636.xml"/><Relationship Id="rId92" Type="http://schemas.openxmlformats.org/officeDocument/2006/relationships/ctrlProp" Target="../ctrlProps/ctrlProp657.xml"/><Relationship Id="rId162" Type="http://schemas.openxmlformats.org/officeDocument/2006/relationships/ctrlProp" Target="../ctrlProps/ctrlProp727.xml"/><Relationship Id="rId183" Type="http://schemas.openxmlformats.org/officeDocument/2006/relationships/ctrlProp" Target="../ctrlProps/ctrlProp748.xml"/><Relationship Id="rId2" Type="http://schemas.openxmlformats.org/officeDocument/2006/relationships/drawing" Target="../drawings/drawing32.xml"/><Relationship Id="rId29" Type="http://schemas.openxmlformats.org/officeDocument/2006/relationships/ctrlProp" Target="../ctrlProps/ctrlProp594.xml"/><Relationship Id="rId24" Type="http://schemas.openxmlformats.org/officeDocument/2006/relationships/ctrlProp" Target="../ctrlProps/ctrlProp589.xml"/><Relationship Id="rId40" Type="http://schemas.openxmlformats.org/officeDocument/2006/relationships/ctrlProp" Target="../ctrlProps/ctrlProp605.xml"/><Relationship Id="rId45" Type="http://schemas.openxmlformats.org/officeDocument/2006/relationships/ctrlProp" Target="../ctrlProps/ctrlProp610.xml"/><Relationship Id="rId66" Type="http://schemas.openxmlformats.org/officeDocument/2006/relationships/ctrlProp" Target="../ctrlProps/ctrlProp631.xml"/><Relationship Id="rId87" Type="http://schemas.openxmlformats.org/officeDocument/2006/relationships/ctrlProp" Target="../ctrlProps/ctrlProp652.xml"/><Relationship Id="rId110" Type="http://schemas.openxmlformats.org/officeDocument/2006/relationships/ctrlProp" Target="../ctrlProps/ctrlProp675.xml"/><Relationship Id="rId115" Type="http://schemas.openxmlformats.org/officeDocument/2006/relationships/ctrlProp" Target="../ctrlProps/ctrlProp680.xml"/><Relationship Id="rId131" Type="http://schemas.openxmlformats.org/officeDocument/2006/relationships/ctrlProp" Target="../ctrlProps/ctrlProp696.xml"/><Relationship Id="rId136" Type="http://schemas.openxmlformats.org/officeDocument/2006/relationships/ctrlProp" Target="../ctrlProps/ctrlProp701.xml"/><Relationship Id="rId157" Type="http://schemas.openxmlformats.org/officeDocument/2006/relationships/ctrlProp" Target="../ctrlProps/ctrlProp722.xml"/><Relationship Id="rId178" Type="http://schemas.openxmlformats.org/officeDocument/2006/relationships/ctrlProp" Target="../ctrlProps/ctrlProp743.xml"/><Relationship Id="rId61" Type="http://schemas.openxmlformats.org/officeDocument/2006/relationships/ctrlProp" Target="../ctrlProps/ctrlProp626.xml"/><Relationship Id="rId82" Type="http://schemas.openxmlformats.org/officeDocument/2006/relationships/ctrlProp" Target="../ctrlProps/ctrlProp647.xml"/><Relationship Id="rId152" Type="http://schemas.openxmlformats.org/officeDocument/2006/relationships/ctrlProp" Target="../ctrlProps/ctrlProp717.xml"/><Relationship Id="rId173" Type="http://schemas.openxmlformats.org/officeDocument/2006/relationships/ctrlProp" Target="../ctrlProps/ctrlProp738.xml"/><Relationship Id="rId194" Type="http://schemas.openxmlformats.org/officeDocument/2006/relationships/ctrlProp" Target="../ctrlProps/ctrlProp759.xml"/><Relationship Id="rId19" Type="http://schemas.openxmlformats.org/officeDocument/2006/relationships/ctrlProp" Target="../ctrlProps/ctrlProp584.xml"/><Relationship Id="rId14" Type="http://schemas.openxmlformats.org/officeDocument/2006/relationships/ctrlProp" Target="../ctrlProps/ctrlProp579.xml"/><Relationship Id="rId30" Type="http://schemas.openxmlformats.org/officeDocument/2006/relationships/ctrlProp" Target="../ctrlProps/ctrlProp595.xml"/><Relationship Id="rId35" Type="http://schemas.openxmlformats.org/officeDocument/2006/relationships/ctrlProp" Target="../ctrlProps/ctrlProp600.xml"/><Relationship Id="rId56" Type="http://schemas.openxmlformats.org/officeDocument/2006/relationships/ctrlProp" Target="../ctrlProps/ctrlProp621.xml"/><Relationship Id="rId77" Type="http://schemas.openxmlformats.org/officeDocument/2006/relationships/ctrlProp" Target="../ctrlProps/ctrlProp642.xml"/><Relationship Id="rId100" Type="http://schemas.openxmlformats.org/officeDocument/2006/relationships/ctrlProp" Target="../ctrlProps/ctrlProp665.xml"/><Relationship Id="rId105" Type="http://schemas.openxmlformats.org/officeDocument/2006/relationships/ctrlProp" Target="../ctrlProps/ctrlProp670.xml"/><Relationship Id="rId126" Type="http://schemas.openxmlformats.org/officeDocument/2006/relationships/ctrlProp" Target="../ctrlProps/ctrlProp691.xml"/><Relationship Id="rId147" Type="http://schemas.openxmlformats.org/officeDocument/2006/relationships/ctrlProp" Target="../ctrlProps/ctrlProp712.xml"/><Relationship Id="rId168" Type="http://schemas.openxmlformats.org/officeDocument/2006/relationships/ctrlProp" Target="../ctrlProps/ctrlProp733.xml"/><Relationship Id="rId8" Type="http://schemas.openxmlformats.org/officeDocument/2006/relationships/ctrlProp" Target="../ctrlProps/ctrlProp573.xml"/><Relationship Id="rId51" Type="http://schemas.openxmlformats.org/officeDocument/2006/relationships/ctrlProp" Target="../ctrlProps/ctrlProp616.xml"/><Relationship Id="rId72" Type="http://schemas.openxmlformats.org/officeDocument/2006/relationships/ctrlProp" Target="../ctrlProps/ctrlProp637.xml"/><Relationship Id="rId93" Type="http://schemas.openxmlformats.org/officeDocument/2006/relationships/ctrlProp" Target="../ctrlProps/ctrlProp658.xml"/><Relationship Id="rId98" Type="http://schemas.openxmlformats.org/officeDocument/2006/relationships/ctrlProp" Target="../ctrlProps/ctrlProp663.xml"/><Relationship Id="rId121" Type="http://schemas.openxmlformats.org/officeDocument/2006/relationships/ctrlProp" Target="../ctrlProps/ctrlProp686.xml"/><Relationship Id="rId142" Type="http://schemas.openxmlformats.org/officeDocument/2006/relationships/ctrlProp" Target="../ctrlProps/ctrlProp707.xml"/><Relationship Id="rId163" Type="http://schemas.openxmlformats.org/officeDocument/2006/relationships/ctrlProp" Target="../ctrlProps/ctrlProp728.xml"/><Relationship Id="rId184" Type="http://schemas.openxmlformats.org/officeDocument/2006/relationships/ctrlProp" Target="../ctrlProps/ctrlProp749.xml"/><Relationship Id="rId189" Type="http://schemas.openxmlformats.org/officeDocument/2006/relationships/ctrlProp" Target="../ctrlProps/ctrlProp754.xml"/><Relationship Id="rId3" Type="http://schemas.openxmlformats.org/officeDocument/2006/relationships/vmlDrawing" Target="../drawings/vmlDrawing28.vml"/><Relationship Id="rId25" Type="http://schemas.openxmlformats.org/officeDocument/2006/relationships/ctrlProp" Target="../ctrlProps/ctrlProp590.xml"/><Relationship Id="rId46" Type="http://schemas.openxmlformats.org/officeDocument/2006/relationships/ctrlProp" Target="../ctrlProps/ctrlProp611.xml"/><Relationship Id="rId67" Type="http://schemas.openxmlformats.org/officeDocument/2006/relationships/ctrlProp" Target="../ctrlProps/ctrlProp632.xml"/><Relationship Id="rId116" Type="http://schemas.openxmlformats.org/officeDocument/2006/relationships/ctrlProp" Target="../ctrlProps/ctrlProp681.xml"/><Relationship Id="rId137" Type="http://schemas.openxmlformats.org/officeDocument/2006/relationships/ctrlProp" Target="../ctrlProps/ctrlProp702.xml"/><Relationship Id="rId158" Type="http://schemas.openxmlformats.org/officeDocument/2006/relationships/ctrlProp" Target="../ctrlProps/ctrlProp723.xml"/><Relationship Id="rId20" Type="http://schemas.openxmlformats.org/officeDocument/2006/relationships/ctrlProp" Target="../ctrlProps/ctrlProp585.xml"/><Relationship Id="rId41" Type="http://schemas.openxmlformats.org/officeDocument/2006/relationships/ctrlProp" Target="../ctrlProps/ctrlProp606.xml"/><Relationship Id="rId62" Type="http://schemas.openxmlformats.org/officeDocument/2006/relationships/ctrlProp" Target="../ctrlProps/ctrlProp627.xml"/><Relationship Id="rId83" Type="http://schemas.openxmlformats.org/officeDocument/2006/relationships/ctrlProp" Target="../ctrlProps/ctrlProp648.xml"/><Relationship Id="rId88" Type="http://schemas.openxmlformats.org/officeDocument/2006/relationships/ctrlProp" Target="../ctrlProps/ctrlProp653.xml"/><Relationship Id="rId111" Type="http://schemas.openxmlformats.org/officeDocument/2006/relationships/ctrlProp" Target="../ctrlProps/ctrlProp676.xml"/><Relationship Id="rId132" Type="http://schemas.openxmlformats.org/officeDocument/2006/relationships/ctrlProp" Target="../ctrlProps/ctrlProp697.xml"/><Relationship Id="rId153" Type="http://schemas.openxmlformats.org/officeDocument/2006/relationships/ctrlProp" Target="../ctrlProps/ctrlProp718.xml"/><Relationship Id="rId174" Type="http://schemas.openxmlformats.org/officeDocument/2006/relationships/ctrlProp" Target="../ctrlProps/ctrlProp739.xml"/><Relationship Id="rId179" Type="http://schemas.openxmlformats.org/officeDocument/2006/relationships/ctrlProp" Target="../ctrlProps/ctrlProp744.xml"/><Relationship Id="rId195" Type="http://schemas.openxmlformats.org/officeDocument/2006/relationships/ctrlProp" Target="../ctrlProps/ctrlProp760.xml"/><Relationship Id="rId190" Type="http://schemas.openxmlformats.org/officeDocument/2006/relationships/ctrlProp" Target="../ctrlProps/ctrlProp755.xml"/><Relationship Id="rId15" Type="http://schemas.openxmlformats.org/officeDocument/2006/relationships/ctrlProp" Target="../ctrlProps/ctrlProp580.xml"/><Relationship Id="rId36" Type="http://schemas.openxmlformats.org/officeDocument/2006/relationships/ctrlProp" Target="../ctrlProps/ctrlProp601.xml"/><Relationship Id="rId57" Type="http://schemas.openxmlformats.org/officeDocument/2006/relationships/ctrlProp" Target="../ctrlProps/ctrlProp622.xml"/><Relationship Id="rId106" Type="http://schemas.openxmlformats.org/officeDocument/2006/relationships/ctrlProp" Target="../ctrlProps/ctrlProp671.xml"/><Relationship Id="rId127" Type="http://schemas.openxmlformats.org/officeDocument/2006/relationships/ctrlProp" Target="../ctrlProps/ctrlProp692.xml"/><Relationship Id="rId10" Type="http://schemas.openxmlformats.org/officeDocument/2006/relationships/ctrlProp" Target="../ctrlProps/ctrlProp575.xml"/><Relationship Id="rId31" Type="http://schemas.openxmlformats.org/officeDocument/2006/relationships/ctrlProp" Target="../ctrlProps/ctrlProp596.xml"/><Relationship Id="rId52" Type="http://schemas.openxmlformats.org/officeDocument/2006/relationships/ctrlProp" Target="../ctrlProps/ctrlProp617.xml"/><Relationship Id="rId73" Type="http://schemas.openxmlformats.org/officeDocument/2006/relationships/ctrlProp" Target="../ctrlProps/ctrlProp638.xml"/><Relationship Id="rId78" Type="http://schemas.openxmlformats.org/officeDocument/2006/relationships/ctrlProp" Target="../ctrlProps/ctrlProp643.xml"/><Relationship Id="rId94" Type="http://schemas.openxmlformats.org/officeDocument/2006/relationships/ctrlProp" Target="../ctrlProps/ctrlProp659.xml"/><Relationship Id="rId99" Type="http://schemas.openxmlformats.org/officeDocument/2006/relationships/ctrlProp" Target="../ctrlProps/ctrlProp664.xml"/><Relationship Id="rId101" Type="http://schemas.openxmlformats.org/officeDocument/2006/relationships/ctrlProp" Target="../ctrlProps/ctrlProp666.xml"/><Relationship Id="rId122" Type="http://schemas.openxmlformats.org/officeDocument/2006/relationships/ctrlProp" Target="../ctrlProps/ctrlProp687.xml"/><Relationship Id="rId143" Type="http://schemas.openxmlformats.org/officeDocument/2006/relationships/ctrlProp" Target="../ctrlProps/ctrlProp708.xml"/><Relationship Id="rId148" Type="http://schemas.openxmlformats.org/officeDocument/2006/relationships/ctrlProp" Target="../ctrlProps/ctrlProp713.xml"/><Relationship Id="rId164" Type="http://schemas.openxmlformats.org/officeDocument/2006/relationships/ctrlProp" Target="../ctrlProps/ctrlProp729.xml"/><Relationship Id="rId169" Type="http://schemas.openxmlformats.org/officeDocument/2006/relationships/ctrlProp" Target="../ctrlProps/ctrlProp734.xml"/><Relationship Id="rId185" Type="http://schemas.openxmlformats.org/officeDocument/2006/relationships/ctrlProp" Target="../ctrlProps/ctrlProp750.xml"/><Relationship Id="rId4" Type="http://schemas.openxmlformats.org/officeDocument/2006/relationships/ctrlProp" Target="../ctrlProps/ctrlProp569.xml"/><Relationship Id="rId9" Type="http://schemas.openxmlformats.org/officeDocument/2006/relationships/ctrlProp" Target="../ctrlProps/ctrlProp574.xml"/><Relationship Id="rId180" Type="http://schemas.openxmlformats.org/officeDocument/2006/relationships/ctrlProp" Target="../ctrlProps/ctrlProp745.xml"/><Relationship Id="rId26" Type="http://schemas.openxmlformats.org/officeDocument/2006/relationships/ctrlProp" Target="../ctrlProps/ctrlProp591.xml"/><Relationship Id="rId47" Type="http://schemas.openxmlformats.org/officeDocument/2006/relationships/ctrlProp" Target="../ctrlProps/ctrlProp612.xml"/><Relationship Id="rId68" Type="http://schemas.openxmlformats.org/officeDocument/2006/relationships/ctrlProp" Target="../ctrlProps/ctrlProp633.xml"/><Relationship Id="rId89" Type="http://schemas.openxmlformats.org/officeDocument/2006/relationships/ctrlProp" Target="../ctrlProps/ctrlProp654.xml"/><Relationship Id="rId112" Type="http://schemas.openxmlformats.org/officeDocument/2006/relationships/ctrlProp" Target="../ctrlProps/ctrlProp677.xml"/><Relationship Id="rId133" Type="http://schemas.openxmlformats.org/officeDocument/2006/relationships/ctrlProp" Target="../ctrlProps/ctrlProp698.xml"/><Relationship Id="rId154" Type="http://schemas.openxmlformats.org/officeDocument/2006/relationships/ctrlProp" Target="../ctrlProps/ctrlProp719.xml"/><Relationship Id="rId175" Type="http://schemas.openxmlformats.org/officeDocument/2006/relationships/ctrlProp" Target="../ctrlProps/ctrlProp740.xml"/><Relationship Id="rId16" Type="http://schemas.openxmlformats.org/officeDocument/2006/relationships/ctrlProp" Target="../ctrlProps/ctrlProp581.xml"/><Relationship Id="rId37" Type="http://schemas.openxmlformats.org/officeDocument/2006/relationships/ctrlProp" Target="../ctrlProps/ctrlProp602.xml"/><Relationship Id="rId58" Type="http://schemas.openxmlformats.org/officeDocument/2006/relationships/ctrlProp" Target="../ctrlProps/ctrlProp623.xml"/><Relationship Id="rId79" Type="http://schemas.openxmlformats.org/officeDocument/2006/relationships/ctrlProp" Target="../ctrlProps/ctrlProp644.xml"/><Relationship Id="rId102" Type="http://schemas.openxmlformats.org/officeDocument/2006/relationships/ctrlProp" Target="../ctrlProps/ctrlProp667.xml"/><Relationship Id="rId123" Type="http://schemas.openxmlformats.org/officeDocument/2006/relationships/ctrlProp" Target="../ctrlProps/ctrlProp688.xml"/><Relationship Id="rId144" Type="http://schemas.openxmlformats.org/officeDocument/2006/relationships/ctrlProp" Target="../ctrlProps/ctrlProp709.xml"/><Relationship Id="rId90" Type="http://schemas.openxmlformats.org/officeDocument/2006/relationships/ctrlProp" Target="../ctrlProps/ctrlProp655.xml"/><Relationship Id="rId165" Type="http://schemas.openxmlformats.org/officeDocument/2006/relationships/ctrlProp" Target="../ctrlProps/ctrlProp730.xml"/><Relationship Id="rId186" Type="http://schemas.openxmlformats.org/officeDocument/2006/relationships/ctrlProp" Target="../ctrlProps/ctrlProp751.xml"/><Relationship Id="rId27" Type="http://schemas.openxmlformats.org/officeDocument/2006/relationships/ctrlProp" Target="../ctrlProps/ctrlProp592.xml"/><Relationship Id="rId48" Type="http://schemas.openxmlformats.org/officeDocument/2006/relationships/ctrlProp" Target="../ctrlProps/ctrlProp613.xml"/><Relationship Id="rId69" Type="http://schemas.openxmlformats.org/officeDocument/2006/relationships/ctrlProp" Target="../ctrlProps/ctrlProp634.xml"/><Relationship Id="rId113" Type="http://schemas.openxmlformats.org/officeDocument/2006/relationships/ctrlProp" Target="../ctrlProps/ctrlProp678.xml"/><Relationship Id="rId134" Type="http://schemas.openxmlformats.org/officeDocument/2006/relationships/ctrlProp" Target="../ctrlProps/ctrlProp699.xml"/><Relationship Id="rId80" Type="http://schemas.openxmlformats.org/officeDocument/2006/relationships/ctrlProp" Target="../ctrlProps/ctrlProp645.xml"/><Relationship Id="rId155" Type="http://schemas.openxmlformats.org/officeDocument/2006/relationships/ctrlProp" Target="../ctrlProps/ctrlProp720.xml"/><Relationship Id="rId176" Type="http://schemas.openxmlformats.org/officeDocument/2006/relationships/ctrlProp" Target="../ctrlProps/ctrlProp741.xml"/><Relationship Id="rId17" Type="http://schemas.openxmlformats.org/officeDocument/2006/relationships/ctrlProp" Target="../ctrlProps/ctrlProp582.xml"/><Relationship Id="rId38" Type="http://schemas.openxmlformats.org/officeDocument/2006/relationships/ctrlProp" Target="../ctrlProps/ctrlProp603.xml"/><Relationship Id="rId59" Type="http://schemas.openxmlformats.org/officeDocument/2006/relationships/ctrlProp" Target="../ctrlProps/ctrlProp624.xml"/><Relationship Id="rId103" Type="http://schemas.openxmlformats.org/officeDocument/2006/relationships/ctrlProp" Target="../ctrlProps/ctrlProp668.xml"/><Relationship Id="rId124" Type="http://schemas.openxmlformats.org/officeDocument/2006/relationships/ctrlProp" Target="../ctrlProps/ctrlProp689.xml"/><Relationship Id="rId70" Type="http://schemas.openxmlformats.org/officeDocument/2006/relationships/ctrlProp" Target="../ctrlProps/ctrlProp635.xml"/><Relationship Id="rId91" Type="http://schemas.openxmlformats.org/officeDocument/2006/relationships/ctrlProp" Target="../ctrlProps/ctrlProp656.xml"/><Relationship Id="rId145" Type="http://schemas.openxmlformats.org/officeDocument/2006/relationships/ctrlProp" Target="../ctrlProps/ctrlProp710.xml"/><Relationship Id="rId166" Type="http://schemas.openxmlformats.org/officeDocument/2006/relationships/ctrlProp" Target="../ctrlProps/ctrlProp731.xml"/><Relationship Id="rId187" Type="http://schemas.openxmlformats.org/officeDocument/2006/relationships/ctrlProp" Target="../ctrlProps/ctrlProp752.xml"/><Relationship Id="rId1" Type="http://schemas.openxmlformats.org/officeDocument/2006/relationships/printerSettings" Target="../printerSettings/printerSettings57.bin"/><Relationship Id="rId28" Type="http://schemas.openxmlformats.org/officeDocument/2006/relationships/ctrlProp" Target="../ctrlProps/ctrlProp593.xml"/><Relationship Id="rId49" Type="http://schemas.openxmlformats.org/officeDocument/2006/relationships/ctrlProp" Target="../ctrlProps/ctrlProp614.xml"/><Relationship Id="rId114" Type="http://schemas.openxmlformats.org/officeDocument/2006/relationships/ctrlProp" Target="../ctrlProps/ctrlProp679.xml"/><Relationship Id="rId60" Type="http://schemas.openxmlformats.org/officeDocument/2006/relationships/ctrlProp" Target="../ctrlProps/ctrlProp625.xml"/><Relationship Id="rId81" Type="http://schemas.openxmlformats.org/officeDocument/2006/relationships/ctrlProp" Target="../ctrlProps/ctrlProp646.xml"/><Relationship Id="rId135" Type="http://schemas.openxmlformats.org/officeDocument/2006/relationships/ctrlProp" Target="../ctrlProps/ctrlProp700.xml"/><Relationship Id="rId156" Type="http://schemas.openxmlformats.org/officeDocument/2006/relationships/ctrlProp" Target="../ctrlProps/ctrlProp721.xml"/><Relationship Id="rId177" Type="http://schemas.openxmlformats.org/officeDocument/2006/relationships/ctrlProp" Target="../ctrlProps/ctrlProp742.xml"/><Relationship Id="rId18" Type="http://schemas.openxmlformats.org/officeDocument/2006/relationships/ctrlProp" Target="../ctrlProps/ctrlProp583.xml"/><Relationship Id="rId39" Type="http://schemas.openxmlformats.org/officeDocument/2006/relationships/ctrlProp" Target="../ctrlProps/ctrlProp604.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3.xml"/><Relationship Id="rId1" Type="http://schemas.openxmlformats.org/officeDocument/2006/relationships/printerSettings" Target="../printerSettings/printerSettings59.bin"/><Relationship Id="rId4" Type="http://schemas.openxmlformats.org/officeDocument/2006/relationships/ctrlProp" Target="../ctrlProps/ctrlProp761.xml"/></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4.xml"/><Relationship Id="rId1" Type="http://schemas.openxmlformats.org/officeDocument/2006/relationships/printerSettings" Target="../printerSettings/printerSettings60.bin"/><Relationship Id="rId4" Type="http://schemas.openxmlformats.org/officeDocument/2006/relationships/ctrlProp" Target="../ctrlProps/ctrlProp762.x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5.xml"/><Relationship Id="rId1" Type="http://schemas.openxmlformats.org/officeDocument/2006/relationships/printerSettings" Target="../printerSettings/printerSettings61.bin"/><Relationship Id="rId4" Type="http://schemas.openxmlformats.org/officeDocument/2006/relationships/ctrlProp" Target="../ctrlProps/ctrlProp763.xml"/></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768.xml"/><Relationship Id="rId13" Type="http://schemas.openxmlformats.org/officeDocument/2006/relationships/ctrlProp" Target="../ctrlProps/ctrlProp773.xml"/><Relationship Id="rId18" Type="http://schemas.openxmlformats.org/officeDocument/2006/relationships/ctrlProp" Target="../ctrlProps/ctrlProp778.xml"/><Relationship Id="rId3" Type="http://schemas.openxmlformats.org/officeDocument/2006/relationships/vmlDrawing" Target="../drawings/vmlDrawing32.vml"/><Relationship Id="rId21" Type="http://schemas.openxmlformats.org/officeDocument/2006/relationships/ctrlProp" Target="../ctrlProps/ctrlProp781.xml"/><Relationship Id="rId7" Type="http://schemas.openxmlformats.org/officeDocument/2006/relationships/ctrlProp" Target="../ctrlProps/ctrlProp767.xml"/><Relationship Id="rId12" Type="http://schemas.openxmlformats.org/officeDocument/2006/relationships/ctrlProp" Target="../ctrlProps/ctrlProp772.xml"/><Relationship Id="rId17" Type="http://schemas.openxmlformats.org/officeDocument/2006/relationships/ctrlProp" Target="../ctrlProps/ctrlProp777.xml"/><Relationship Id="rId2" Type="http://schemas.openxmlformats.org/officeDocument/2006/relationships/drawing" Target="../drawings/drawing36.xml"/><Relationship Id="rId16" Type="http://schemas.openxmlformats.org/officeDocument/2006/relationships/ctrlProp" Target="../ctrlProps/ctrlProp776.xml"/><Relationship Id="rId20" Type="http://schemas.openxmlformats.org/officeDocument/2006/relationships/ctrlProp" Target="../ctrlProps/ctrlProp780.xml"/><Relationship Id="rId1" Type="http://schemas.openxmlformats.org/officeDocument/2006/relationships/printerSettings" Target="../printerSettings/printerSettings62.bin"/><Relationship Id="rId6" Type="http://schemas.openxmlformats.org/officeDocument/2006/relationships/ctrlProp" Target="../ctrlProps/ctrlProp766.xml"/><Relationship Id="rId11" Type="http://schemas.openxmlformats.org/officeDocument/2006/relationships/ctrlProp" Target="../ctrlProps/ctrlProp771.xml"/><Relationship Id="rId5" Type="http://schemas.openxmlformats.org/officeDocument/2006/relationships/ctrlProp" Target="../ctrlProps/ctrlProp765.xml"/><Relationship Id="rId15" Type="http://schemas.openxmlformats.org/officeDocument/2006/relationships/ctrlProp" Target="../ctrlProps/ctrlProp775.xml"/><Relationship Id="rId10" Type="http://schemas.openxmlformats.org/officeDocument/2006/relationships/ctrlProp" Target="../ctrlProps/ctrlProp770.xml"/><Relationship Id="rId19" Type="http://schemas.openxmlformats.org/officeDocument/2006/relationships/ctrlProp" Target="../ctrlProps/ctrlProp779.xml"/><Relationship Id="rId4" Type="http://schemas.openxmlformats.org/officeDocument/2006/relationships/ctrlProp" Target="../ctrlProps/ctrlProp764.xml"/><Relationship Id="rId9" Type="http://schemas.openxmlformats.org/officeDocument/2006/relationships/ctrlProp" Target="../ctrlProps/ctrlProp769.xml"/><Relationship Id="rId14" Type="http://schemas.openxmlformats.org/officeDocument/2006/relationships/ctrlProp" Target="../ctrlProps/ctrlProp774.xml"/><Relationship Id="rId22" Type="http://schemas.openxmlformats.org/officeDocument/2006/relationships/ctrlProp" Target="../ctrlProps/ctrlProp78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32"/>
  <sheetViews>
    <sheetView workbookViewId="0"/>
  </sheetViews>
  <sheetFormatPr defaultColWidth="8.58203125" defaultRowHeight="14.5"/>
  <cols>
    <col min="1" max="1" width="12.08203125" style="72" customWidth="1"/>
    <col min="2" max="3" width="8.58203125" style="72"/>
    <col min="4" max="4" width="17.58203125" style="72" customWidth="1"/>
    <col min="5" max="6" width="8.58203125" style="72"/>
    <col min="7" max="7" width="20.58203125" style="72" customWidth="1"/>
    <col min="8" max="9" width="8.58203125" style="72"/>
    <col min="10" max="10" width="13.58203125" style="72" bestFit="1" customWidth="1"/>
    <col min="11" max="16384" width="8.58203125" style="72"/>
  </cols>
  <sheetData>
    <row r="1" spans="1:11">
      <c r="B1" s="72">
        <v>0</v>
      </c>
      <c r="E1" s="72">
        <v>0</v>
      </c>
      <c r="H1" s="72">
        <v>0</v>
      </c>
      <c r="K1" s="72">
        <v>0</v>
      </c>
    </row>
    <row r="2" spans="1:11">
      <c r="A2" s="72" t="s">
        <v>2225</v>
      </c>
      <c r="B2" s="72">
        <v>2</v>
      </c>
      <c r="D2" s="72" t="s">
        <v>2226</v>
      </c>
      <c r="E2" s="72">
        <v>1</v>
      </c>
      <c r="G2" s="72" t="s">
        <v>2227</v>
      </c>
      <c r="H2" s="72">
        <v>1</v>
      </c>
      <c r="J2" s="72" t="s">
        <v>5346</v>
      </c>
      <c r="K2" s="72">
        <v>1</v>
      </c>
    </row>
    <row r="3" spans="1:11">
      <c r="A3" s="72" t="s">
        <v>2228</v>
      </c>
      <c r="B3" s="72">
        <v>3</v>
      </c>
      <c r="D3" s="72" t="s">
        <v>2229</v>
      </c>
      <c r="E3" s="72">
        <v>2</v>
      </c>
      <c r="G3" s="72" t="s">
        <v>2</v>
      </c>
      <c r="H3" s="72">
        <v>4</v>
      </c>
      <c r="J3" s="72" t="s">
        <v>5347</v>
      </c>
      <c r="K3" s="72">
        <v>2</v>
      </c>
    </row>
    <row r="4" spans="1:11">
      <c r="A4" s="72" t="s">
        <v>2230</v>
      </c>
      <c r="B4" s="72">
        <v>4</v>
      </c>
      <c r="D4" s="72" t="s">
        <v>2231</v>
      </c>
      <c r="E4" s="72">
        <v>3</v>
      </c>
      <c r="G4" s="72" t="s">
        <v>244</v>
      </c>
      <c r="H4" s="72">
        <v>2</v>
      </c>
      <c r="J4" s="72" t="s">
        <v>5348</v>
      </c>
      <c r="K4" s="72">
        <v>3</v>
      </c>
    </row>
    <row r="5" spans="1:11">
      <c r="A5" s="72" t="s">
        <v>2232</v>
      </c>
      <c r="B5" s="72">
        <v>1</v>
      </c>
      <c r="D5" s="72" t="s">
        <v>25</v>
      </c>
      <c r="E5" s="72">
        <v>8</v>
      </c>
      <c r="G5" s="72" t="s">
        <v>2233</v>
      </c>
      <c r="H5" s="72">
        <v>7</v>
      </c>
      <c r="J5" s="72" t="s">
        <v>5349</v>
      </c>
      <c r="K5" s="72">
        <v>4</v>
      </c>
    </row>
    <row r="6" spans="1:11">
      <c r="A6" s="72">
        <v>0</v>
      </c>
      <c r="B6" s="72">
        <v>0</v>
      </c>
      <c r="D6" s="72" t="s">
        <v>2234</v>
      </c>
      <c r="E6" s="72">
        <v>4</v>
      </c>
      <c r="G6" s="72" t="s">
        <v>128</v>
      </c>
      <c r="H6" s="72">
        <v>6</v>
      </c>
      <c r="J6" s="72" t="s">
        <v>5350</v>
      </c>
      <c r="K6" s="72">
        <v>5</v>
      </c>
    </row>
    <row r="7" spans="1:11">
      <c r="D7" s="72" t="s">
        <v>2235</v>
      </c>
      <c r="E7" s="72">
        <v>5</v>
      </c>
      <c r="G7" s="72" t="s">
        <v>67</v>
      </c>
      <c r="H7" s="72">
        <v>5</v>
      </c>
      <c r="J7" s="72">
        <v>0</v>
      </c>
      <c r="K7" s="72">
        <v>0</v>
      </c>
    </row>
    <row r="8" spans="1:11">
      <c r="D8" s="72" t="s">
        <v>2236</v>
      </c>
      <c r="E8" s="72">
        <v>6</v>
      </c>
      <c r="G8" s="72" t="s">
        <v>2237</v>
      </c>
      <c r="H8" s="72">
        <v>3</v>
      </c>
    </row>
    <row r="9" spans="1:11">
      <c r="D9" s="72" t="s">
        <v>1116</v>
      </c>
      <c r="E9" s="72">
        <v>7</v>
      </c>
      <c r="G9" s="72" t="s">
        <v>25</v>
      </c>
      <c r="H9" s="72">
        <v>8</v>
      </c>
    </row>
    <row r="10" spans="1:11">
      <c r="D10" s="72">
        <v>0</v>
      </c>
      <c r="E10" s="72">
        <v>0</v>
      </c>
      <c r="G10" s="72">
        <v>0</v>
      </c>
      <c r="H10" s="72">
        <v>0</v>
      </c>
    </row>
    <row r="12" spans="1:11">
      <c r="A12" s="73"/>
      <c r="E12" s="72">
        <v>0</v>
      </c>
      <c r="H12" s="72">
        <v>0</v>
      </c>
      <c r="K12" s="72">
        <v>0</v>
      </c>
    </row>
    <row r="13" spans="1:11">
      <c r="A13" s="72" t="s">
        <v>2238</v>
      </c>
      <c r="D13" s="72" t="s">
        <v>5078</v>
      </c>
      <c r="E13" s="72">
        <v>1</v>
      </c>
      <c r="G13" s="72" t="s">
        <v>5125</v>
      </c>
      <c r="H13" s="72">
        <v>1</v>
      </c>
      <c r="J13" s="72" t="s">
        <v>1117</v>
      </c>
      <c r="K13" s="72">
        <v>1</v>
      </c>
    </row>
    <row r="14" spans="1:11">
      <c r="A14" s="72" t="s">
        <v>2239</v>
      </c>
      <c r="D14" s="72" t="s">
        <v>5077</v>
      </c>
      <c r="E14" s="72">
        <v>2</v>
      </c>
      <c r="G14" s="72" t="s">
        <v>5126</v>
      </c>
      <c r="H14" s="72">
        <v>2</v>
      </c>
      <c r="J14" s="72" t="s">
        <v>1118</v>
      </c>
      <c r="K14" s="72">
        <v>2</v>
      </c>
    </row>
    <row r="15" spans="1:11">
      <c r="A15" s="72" t="s">
        <v>2240</v>
      </c>
      <c r="D15" s="72" t="s">
        <v>5120</v>
      </c>
      <c r="E15" s="72">
        <v>3</v>
      </c>
      <c r="G15" s="72" t="s">
        <v>5127</v>
      </c>
      <c r="H15" s="72">
        <v>3</v>
      </c>
      <c r="J15" s="72" t="s">
        <v>5244</v>
      </c>
      <c r="K15" s="72">
        <v>3</v>
      </c>
    </row>
    <row r="16" spans="1:11">
      <c r="A16" s="72" t="s">
        <v>2241</v>
      </c>
      <c r="D16" s="72" t="s">
        <v>5079</v>
      </c>
      <c r="E16" s="72">
        <v>4</v>
      </c>
      <c r="G16" s="72" t="s">
        <v>5128</v>
      </c>
      <c r="H16" s="72">
        <v>4</v>
      </c>
      <c r="J16" s="72">
        <v>0</v>
      </c>
      <c r="K16" s="72">
        <v>0</v>
      </c>
    </row>
    <row r="17" spans="1:11">
      <c r="A17" s="72" t="s">
        <v>2242</v>
      </c>
      <c r="D17" s="72" t="s">
        <v>5121</v>
      </c>
      <c r="E17" s="72">
        <v>5</v>
      </c>
      <c r="G17" s="72">
        <v>0</v>
      </c>
      <c r="H17" s="72">
        <v>0</v>
      </c>
    </row>
    <row r="18" spans="1:11">
      <c r="A18" s="72" t="s">
        <v>2243</v>
      </c>
      <c r="D18" s="72" t="s">
        <v>5122</v>
      </c>
      <c r="E18" s="72">
        <v>6</v>
      </c>
    </row>
    <row r="19" spans="1:11">
      <c r="A19" s="72" t="s">
        <v>2244</v>
      </c>
      <c r="D19" s="72" t="s">
        <v>5123</v>
      </c>
      <c r="E19" s="72">
        <v>7</v>
      </c>
    </row>
    <row r="20" spans="1:11">
      <c r="A20" s="72" t="s">
        <v>2245</v>
      </c>
      <c r="D20" s="72" t="s">
        <v>5124</v>
      </c>
      <c r="E20" s="72">
        <v>8</v>
      </c>
    </row>
    <row r="21" spans="1:11">
      <c r="A21" s="72" t="s">
        <v>2246</v>
      </c>
      <c r="D21" s="72">
        <v>0</v>
      </c>
      <c r="E21" s="72">
        <v>0</v>
      </c>
    </row>
    <row r="24" spans="1:11">
      <c r="E24" s="72">
        <v>0</v>
      </c>
      <c r="H24" s="72">
        <v>0</v>
      </c>
      <c r="K24" s="72">
        <v>0</v>
      </c>
    </row>
    <row r="25" spans="1:11">
      <c r="D25" s="72" t="s">
        <v>5238</v>
      </c>
      <c r="E25" s="72">
        <v>1</v>
      </c>
      <c r="G25" s="72" t="s">
        <v>5351</v>
      </c>
      <c r="H25" s="72">
        <v>1</v>
      </c>
      <c r="J25" s="72" t="s">
        <v>5535</v>
      </c>
      <c r="K25" s="72">
        <v>1</v>
      </c>
    </row>
    <row r="26" spans="1:11">
      <c r="D26" s="72" t="s">
        <v>5239</v>
      </c>
      <c r="E26" s="72">
        <v>2</v>
      </c>
      <c r="G26" s="72" t="s">
        <v>5352</v>
      </c>
      <c r="H26" s="72">
        <v>2</v>
      </c>
      <c r="J26" s="72" t="s">
        <v>5536</v>
      </c>
      <c r="K26" s="72">
        <v>2</v>
      </c>
    </row>
    <row r="27" spans="1:11">
      <c r="D27" s="72" t="s">
        <v>5240</v>
      </c>
      <c r="E27" s="72">
        <v>3</v>
      </c>
      <c r="G27" s="72" t="s">
        <v>5353</v>
      </c>
      <c r="H27" s="72">
        <v>3</v>
      </c>
      <c r="J27" s="72">
        <v>0</v>
      </c>
      <c r="K27" s="72">
        <v>0</v>
      </c>
    </row>
    <row r="28" spans="1:11">
      <c r="D28" s="72" t="s">
        <v>5241</v>
      </c>
      <c r="E28" s="72">
        <v>5</v>
      </c>
      <c r="G28" s="72">
        <v>0</v>
      </c>
      <c r="H28" s="72">
        <v>0</v>
      </c>
    </row>
    <row r="29" spans="1:11">
      <c r="D29" s="72" t="s">
        <v>5242</v>
      </c>
      <c r="E29" s="72">
        <v>6</v>
      </c>
    </row>
    <row r="30" spans="1:11">
      <c r="D30" s="72" t="s">
        <v>5243</v>
      </c>
      <c r="E30" s="72">
        <v>7</v>
      </c>
    </row>
    <row r="31" spans="1:11">
      <c r="D31" s="72" t="s">
        <v>25</v>
      </c>
      <c r="E31" s="72">
        <v>8</v>
      </c>
    </row>
    <row r="32" spans="1:11">
      <c r="D32" s="72">
        <v>0</v>
      </c>
      <c r="E32" s="72">
        <v>0</v>
      </c>
    </row>
  </sheetData>
  <sheetProtection algorithmName="SHA-512" hashValue="y0V8yGWkKbs/IXsefzSRbDOoMlyJ5Lb3Poob11pOL9ssJN2mP4pMunpMCDZNy250wWlSrFvj7wvDW1vKniwBxQ==" saltValue="FDHhIC4f5o+a4J9PFqQsa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Q23"/>
  <sheetViews>
    <sheetView workbookViewId="0"/>
  </sheetViews>
  <sheetFormatPr defaultColWidth="8.58203125" defaultRowHeight="15.5"/>
  <cols>
    <col min="1" max="14" width="20.58203125" style="70" customWidth="1"/>
    <col min="15" max="15" width="24.08203125" style="70" bestFit="1" customWidth="1"/>
    <col min="16" max="17" width="20.58203125" style="70" customWidth="1"/>
    <col min="18" max="18" width="12.83203125" style="70" customWidth="1"/>
    <col min="19" max="16384" width="8.58203125" style="70"/>
  </cols>
  <sheetData>
    <row r="1" spans="1:17">
      <c r="A1" s="69" t="s">
        <v>1985</v>
      </c>
      <c r="B1" s="69" t="s">
        <v>1986</v>
      </c>
      <c r="C1" s="69" t="s">
        <v>1987</v>
      </c>
      <c r="D1" s="69" t="s">
        <v>1988</v>
      </c>
      <c r="E1" s="69" t="s">
        <v>1989</v>
      </c>
      <c r="F1" s="69" t="s">
        <v>1990</v>
      </c>
      <c r="G1" s="69" t="s">
        <v>1991</v>
      </c>
      <c r="H1" s="69" t="s">
        <v>1992</v>
      </c>
      <c r="I1" s="69" t="s">
        <v>1993</v>
      </c>
      <c r="J1" s="69" t="s">
        <v>1994</v>
      </c>
      <c r="K1" s="69" t="s">
        <v>1995</v>
      </c>
      <c r="L1" s="69" t="s">
        <v>1996</v>
      </c>
      <c r="M1" s="69" t="s">
        <v>1997</v>
      </c>
      <c r="N1" s="69" t="s">
        <v>1998</v>
      </c>
      <c r="O1" s="69" t="s">
        <v>1999</v>
      </c>
      <c r="P1" s="69" t="s">
        <v>2000</v>
      </c>
      <c r="Q1" s="69" t="s">
        <v>2001</v>
      </c>
    </row>
    <row r="2" spans="1:17">
      <c r="A2" s="71" t="s">
        <v>2002</v>
      </c>
      <c r="B2" s="71" t="s">
        <v>2003</v>
      </c>
      <c r="C2" s="71" t="s">
        <v>2004</v>
      </c>
      <c r="D2" s="71" t="s">
        <v>2005</v>
      </c>
      <c r="E2" s="71" t="s">
        <v>2006</v>
      </c>
      <c r="F2" s="71" t="s">
        <v>2007</v>
      </c>
      <c r="G2" s="71" t="s">
        <v>2008</v>
      </c>
      <c r="H2" s="71" t="s">
        <v>2009</v>
      </c>
      <c r="I2" s="71" t="s">
        <v>2010</v>
      </c>
      <c r="J2" s="71" t="s">
        <v>2011</v>
      </c>
      <c r="K2" s="71" t="s">
        <v>2012</v>
      </c>
      <c r="L2" s="71" t="s">
        <v>2013</v>
      </c>
      <c r="M2" s="71" t="s">
        <v>2031</v>
      </c>
      <c r="N2" s="71" t="s">
        <v>2015</v>
      </c>
      <c r="O2" s="71" t="s">
        <v>2016</v>
      </c>
      <c r="P2" s="71" t="s">
        <v>2017</v>
      </c>
      <c r="Q2" s="71" t="s">
        <v>2018</v>
      </c>
    </row>
    <row r="3" spans="1:17">
      <c r="A3" s="71" t="s">
        <v>2019</v>
      </c>
      <c r="B3" s="71" t="s">
        <v>2020</v>
      </c>
      <c r="C3" s="71" t="s">
        <v>2021</v>
      </c>
      <c r="D3" s="71" t="s">
        <v>2022</v>
      </c>
      <c r="E3" s="71" t="s">
        <v>2023</v>
      </c>
      <c r="F3" s="71" t="s">
        <v>2024</v>
      </c>
      <c r="G3" s="71" t="s">
        <v>2025</v>
      </c>
      <c r="H3" s="71" t="s">
        <v>2026</v>
      </c>
      <c r="I3" s="71" t="s">
        <v>2027</v>
      </c>
      <c r="J3" s="71" t="s">
        <v>2028</v>
      </c>
      <c r="K3" s="71" t="s">
        <v>2029</v>
      </c>
      <c r="L3" s="71" t="s">
        <v>2030</v>
      </c>
      <c r="M3" s="71" t="s">
        <v>2048</v>
      </c>
      <c r="N3" s="71" t="s">
        <v>2032</v>
      </c>
      <c r="O3" s="71" t="s">
        <v>2033</v>
      </c>
      <c r="P3" s="71" t="s">
        <v>2034</v>
      </c>
      <c r="Q3" s="71" t="s">
        <v>2035</v>
      </c>
    </row>
    <row r="4" spans="1:17">
      <c r="A4" s="71" t="s">
        <v>2036</v>
      </c>
      <c r="B4" s="71" t="s">
        <v>2037</v>
      </c>
      <c r="C4" s="71" t="s">
        <v>2038</v>
      </c>
      <c r="D4" s="71" t="s">
        <v>2039</v>
      </c>
      <c r="E4" s="71" t="s">
        <v>2040</v>
      </c>
      <c r="F4" s="71" t="s">
        <v>2041</v>
      </c>
      <c r="G4" s="71" t="s">
        <v>2042</v>
      </c>
      <c r="H4" s="71" t="s">
        <v>2043</v>
      </c>
      <c r="I4" s="71" t="s">
        <v>2044</v>
      </c>
      <c r="J4" s="71" t="s">
        <v>2045</v>
      </c>
      <c r="K4" s="71" t="s">
        <v>2046</v>
      </c>
      <c r="L4" s="71" t="s">
        <v>2047</v>
      </c>
      <c r="M4" s="71" t="s">
        <v>2065</v>
      </c>
      <c r="N4" s="71" t="s">
        <v>2049</v>
      </c>
      <c r="O4" s="71" t="s">
        <v>2050</v>
      </c>
      <c r="P4" s="71" t="s">
        <v>2051</v>
      </c>
      <c r="Q4" s="71" t="s">
        <v>2052</v>
      </c>
    </row>
    <row r="5" spans="1:17">
      <c r="A5" s="71" t="s">
        <v>2053</v>
      </c>
      <c r="B5" s="71" t="s">
        <v>2054</v>
      </c>
      <c r="C5" s="71" t="s">
        <v>2055</v>
      </c>
      <c r="D5" s="71" t="s">
        <v>2056</v>
      </c>
      <c r="E5" s="71" t="s">
        <v>2057</v>
      </c>
      <c r="F5" s="71" t="s">
        <v>2058</v>
      </c>
      <c r="G5" s="71" t="s">
        <v>2059</v>
      </c>
      <c r="H5" s="71" t="s">
        <v>2060</v>
      </c>
      <c r="I5" s="71" t="s">
        <v>2061</v>
      </c>
      <c r="J5" s="71" t="s">
        <v>2062</v>
      </c>
      <c r="K5" s="71" t="s">
        <v>2063</v>
      </c>
      <c r="L5" s="71" t="s">
        <v>2064</v>
      </c>
      <c r="M5" s="71" t="s">
        <v>2082</v>
      </c>
      <c r="N5" s="71" t="s">
        <v>2066</v>
      </c>
      <c r="O5" s="71" t="s">
        <v>2067</v>
      </c>
      <c r="P5" s="71" t="s">
        <v>2068</v>
      </c>
      <c r="Q5" s="71" t="s">
        <v>2069</v>
      </c>
    </row>
    <row r="6" spans="1:17">
      <c r="A6" s="71" t="s">
        <v>2070</v>
      </c>
      <c r="B6" s="71" t="s">
        <v>2071</v>
      </c>
      <c r="C6" s="71" t="s">
        <v>2072</v>
      </c>
      <c r="D6" s="71" t="s">
        <v>2073</v>
      </c>
      <c r="E6" s="71" t="s">
        <v>2074</v>
      </c>
      <c r="F6" s="71" t="s">
        <v>2075</v>
      </c>
      <c r="G6" s="71" t="s">
        <v>2076</v>
      </c>
      <c r="H6" s="71" t="s">
        <v>2077</v>
      </c>
      <c r="I6" s="71" t="s">
        <v>2078</v>
      </c>
      <c r="J6" s="71" t="s">
        <v>2079</v>
      </c>
      <c r="K6" s="71" t="s">
        <v>2080</v>
      </c>
      <c r="L6" s="71" t="s">
        <v>2081</v>
      </c>
      <c r="M6" s="71" t="s">
        <v>2099</v>
      </c>
      <c r="N6" s="71" t="s">
        <v>2083</v>
      </c>
      <c r="O6" s="71" t="s">
        <v>2084</v>
      </c>
      <c r="P6" s="71" t="s">
        <v>2085</v>
      </c>
      <c r="Q6" s="71" t="s">
        <v>2086</v>
      </c>
    </row>
    <row r="7" spans="1:17">
      <c r="A7" s="71" t="s">
        <v>2087</v>
      </c>
      <c r="B7" s="71" t="s">
        <v>2088</v>
      </c>
      <c r="C7" s="71" t="s">
        <v>2089</v>
      </c>
      <c r="D7" s="71" t="s">
        <v>2090</v>
      </c>
      <c r="E7" s="71" t="s">
        <v>2091</v>
      </c>
      <c r="F7" s="71" t="s">
        <v>2092</v>
      </c>
      <c r="G7" s="71" t="s">
        <v>2093</v>
      </c>
      <c r="H7" s="71" t="s">
        <v>2094</v>
      </c>
      <c r="I7" s="71" t="s">
        <v>2095</v>
      </c>
      <c r="J7" s="71" t="s">
        <v>2096</v>
      </c>
      <c r="K7" s="71" t="s">
        <v>2097</v>
      </c>
      <c r="L7" s="71" t="s">
        <v>2098</v>
      </c>
      <c r="M7" s="71" t="s">
        <v>2116</v>
      </c>
      <c r="N7" s="71" t="s">
        <v>2100</v>
      </c>
      <c r="O7" s="71" t="s">
        <v>2101</v>
      </c>
      <c r="P7" s="71" t="s">
        <v>2102</v>
      </c>
      <c r="Q7" s="71" t="s">
        <v>2103</v>
      </c>
    </row>
    <row r="8" spans="1:17">
      <c r="A8" s="71" t="s">
        <v>2104</v>
      </c>
      <c r="B8" s="71" t="s">
        <v>2105</v>
      </c>
      <c r="C8" s="71" t="s">
        <v>2106</v>
      </c>
      <c r="D8" s="71" t="s">
        <v>2107</v>
      </c>
      <c r="E8" s="71" t="s">
        <v>2108</v>
      </c>
      <c r="F8" s="71" t="s">
        <v>2109</v>
      </c>
      <c r="G8" s="71" t="s">
        <v>2110</v>
      </c>
      <c r="H8" s="71" t="s">
        <v>2111</v>
      </c>
      <c r="I8" s="71" t="s">
        <v>2112</v>
      </c>
      <c r="J8" s="71" t="s">
        <v>2113</v>
      </c>
      <c r="K8" s="71" t="s">
        <v>2114</v>
      </c>
      <c r="L8" s="71" t="s">
        <v>2115</v>
      </c>
      <c r="M8" s="71" t="s">
        <v>2132</v>
      </c>
      <c r="N8" s="71" t="s">
        <v>2117</v>
      </c>
      <c r="O8" s="71" t="s">
        <v>2118</v>
      </c>
      <c r="P8" s="71" t="s">
        <v>2119</v>
      </c>
      <c r="Q8" s="71" t="s">
        <v>2120</v>
      </c>
    </row>
    <row r="9" spans="1:17">
      <c r="A9" s="71" t="s">
        <v>2121</v>
      </c>
      <c r="B9" s="71" t="s">
        <v>2122</v>
      </c>
      <c r="C9" s="71" t="s">
        <v>2123</v>
      </c>
      <c r="D9" s="71" t="s">
        <v>2124</v>
      </c>
      <c r="E9" s="71"/>
      <c r="F9" s="71" t="s">
        <v>2125</v>
      </c>
      <c r="G9" s="71" t="s">
        <v>2126</v>
      </c>
      <c r="H9" s="71" t="s">
        <v>2127</v>
      </c>
      <c r="I9" s="71" t="s">
        <v>2128</v>
      </c>
      <c r="J9" s="71" t="s">
        <v>2129</v>
      </c>
      <c r="K9" s="71" t="s">
        <v>2130</v>
      </c>
      <c r="L9" s="71" t="s">
        <v>2131</v>
      </c>
      <c r="M9" s="71" t="s">
        <v>2147</v>
      </c>
      <c r="N9" s="71" t="s">
        <v>2133</v>
      </c>
      <c r="O9" s="71" t="s">
        <v>2134</v>
      </c>
      <c r="P9" s="71" t="s">
        <v>2135</v>
      </c>
      <c r="Q9" s="71" t="s">
        <v>2136</v>
      </c>
    </row>
    <row r="10" spans="1:17">
      <c r="A10" s="71" t="s">
        <v>2137</v>
      </c>
      <c r="B10" s="71" t="s">
        <v>2138</v>
      </c>
      <c r="C10" s="71" t="s">
        <v>2139</v>
      </c>
      <c r="D10" s="71" t="s">
        <v>2140</v>
      </c>
      <c r="E10" s="71"/>
      <c r="F10" s="71" t="s">
        <v>2141</v>
      </c>
      <c r="G10" s="71" t="s">
        <v>2142</v>
      </c>
      <c r="H10" s="71" t="s">
        <v>2143</v>
      </c>
      <c r="I10" s="71" t="s">
        <v>2144</v>
      </c>
      <c r="J10" s="71"/>
      <c r="K10" s="71" t="s">
        <v>2145</v>
      </c>
      <c r="L10" s="71" t="s">
        <v>2146</v>
      </c>
      <c r="N10" s="71" t="s">
        <v>2148</v>
      </c>
      <c r="O10" s="71" t="s">
        <v>2149</v>
      </c>
      <c r="P10" s="71"/>
      <c r="Q10" s="71" t="s">
        <v>2150</v>
      </c>
    </row>
    <row r="11" spans="1:17">
      <c r="A11" s="71" t="s">
        <v>2151</v>
      </c>
      <c r="B11" s="71"/>
      <c r="C11" s="71" t="s">
        <v>2152</v>
      </c>
      <c r="D11" s="71" t="s">
        <v>2153</v>
      </c>
      <c r="E11" s="71"/>
      <c r="F11" s="71" t="s">
        <v>2154</v>
      </c>
      <c r="G11" s="71" t="s">
        <v>2155</v>
      </c>
      <c r="H11" s="71" t="s">
        <v>2156</v>
      </c>
      <c r="I11" s="71" t="s">
        <v>2157</v>
      </c>
      <c r="J11" s="71"/>
      <c r="K11" s="71" t="s">
        <v>2158</v>
      </c>
      <c r="L11" s="71" t="s">
        <v>2159</v>
      </c>
      <c r="M11" s="71"/>
      <c r="N11" s="71" t="s">
        <v>2160</v>
      </c>
      <c r="O11" s="71" t="s">
        <v>2161</v>
      </c>
      <c r="P11" s="71"/>
      <c r="Q11" s="71" t="s">
        <v>2162</v>
      </c>
    </row>
    <row r="12" spans="1:17">
      <c r="A12" s="71" t="s">
        <v>2163</v>
      </c>
      <c r="B12" s="71"/>
      <c r="C12" s="71" t="s">
        <v>11855</v>
      </c>
      <c r="D12" s="71" t="s">
        <v>2164</v>
      </c>
      <c r="E12" s="71"/>
      <c r="F12" s="71" t="s">
        <v>2165</v>
      </c>
      <c r="G12" s="71" t="s">
        <v>2166</v>
      </c>
      <c r="H12" s="71" t="s">
        <v>2167</v>
      </c>
      <c r="I12" s="71" t="s">
        <v>2168</v>
      </c>
      <c r="J12" s="71"/>
      <c r="K12" s="71" t="s">
        <v>2169</v>
      </c>
      <c r="L12" s="71" t="s">
        <v>2170</v>
      </c>
      <c r="M12" s="71"/>
      <c r="N12" s="71" t="s">
        <v>2171</v>
      </c>
      <c r="O12" s="71" t="s">
        <v>2172</v>
      </c>
      <c r="P12" s="71"/>
      <c r="Q12" s="71" t="s">
        <v>2173</v>
      </c>
    </row>
    <row r="13" spans="1:17">
      <c r="A13" s="71" t="s">
        <v>2174</v>
      </c>
      <c r="B13" s="71"/>
      <c r="C13" s="71" t="s">
        <v>2175</v>
      </c>
      <c r="D13" s="71" t="s">
        <v>2176</v>
      </c>
      <c r="E13" s="71"/>
      <c r="F13" s="71" t="s">
        <v>2177</v>
      </c>
      <c r="G13" s="71" t="s">
        <v>2178</v>
      </c>
      <c r="H13" s="71" t="s">
        <v>2179</v>
      </c>
      <c r="I13" s="71" t="s">
        <v>2180</v>
      </c>
      <c r="J13" s="71"/>
      <c r="K13" s="71" t="s">
        <v>2181</v>
      </c>
      <c r="L13" s="71"/>
      <c r="M13" s="71"/>
      <c r="N13" s="71" t="s">
        <v>2182</v>
      </c>
      <c r="O13" s="71" t="s">
        <v>2183</v>
      </c>
      <c r="P13" s="71"/>
      <c r="Q13" s="71" t="s">
        <v>2184</v>
      </c>
    </row>
    <row r="14" spans="1:17">
      <c r="A14" s="71" t="s">
        <v>2185</v>
      </c>
      <c r="B14" s="71"/>
      <c r="C14" s="71" t="s">
        <v>2186</v>
      </c>
      <c r="D14" s="71" t="s">
        <v>2187</v>
      </c>
      <c r="E14" s="71"/>
      <c r="F14" s="71" t="s">
        <v>2188</v>
      </c>
      <c r="G14" s="71" t="s">
        <v>2189</v>
      </c>
      <c r="H14" s="71" t="s">
        <v>2190</v>
      </c>
      <c r="I14" s="71" t="s">
        <v>2191</v>
      </c>
      <c r="J14" s="71"/>
      <c r="K14" s="71" t="s">
        <v>2192</v>
      </c>
      <c r="L14" s="71"/>
      <c r="M14" s="71"/>
      <c r="N14" s="71"/>
      <c r="O14" s="71" t="s">
        <v>2193</v>
      </c>
      <c r="P14" s="71"/>
      <c r="Q14" s="71" t="s">
        <v>2194</v>
      </c>
    </row>
    <row r="15" spans="1:17">
      <c r="A15" s="71" t="s">
        <v>2195</v>
      </c>
      <c r="B15" s="71"/>
      <c r="C15" s="71" t="s">
        <v>2196</v>
      </c>
      <c r="D15" s="71" t="s">
        <v>2197</v>
      </c>
      <c r="E15" s="71"/>
      <c r="F15" s="71"/>
      <c r="G15" s="71" t="s">
        <v>2198</v>
      </c>
      <c r="H15" s="71" t="s">
        <v>2199</v>
      </c>
      <c r="I15" s="71"/>
      <c r="J15" s="71"/>
      <c r="K15" s="71" t="s">
        <v>2200</v>
      </c>
      <c r="L15" s="71"/>
      <c r="M15" s="71"/>
      <c r="N15" s="71"/>
      <c r="O15" s="71" t="s">
        <v>2014</v>
      </c>
      <c r="P15" s="71"/>
      <c r="Q15" s="71" t="s">
        <v>2201</v>
      </c>
    </row>
    <row r="16" spans="1:17">
      <c r="A16" s="71"/>
      <c r="B16" s="71"/>
      <c r="C16" s="71" t="s">
        <v>2174</v>
      </c>
      <c r="D16" s="71" t="s">
        <v>2202</v>
      </c>
      <c r="E16" s="71"/>
      <c r="F16" s="71"/>
      <c r="G16" s="71" t="s">
        <v>2203</v>
      </c>
      <c r="H16" s="71" t="s">
        <v>2204</v>
      </c>
      <c r="I16" s="71"/>
      <c r="J16" s="71"/>
      <c r="K16" s="71"/>
      <c r="L16" s="71"/>
      <c r="M16" s="71"/>
      <c r="N16" s="71"/>
      <c r="O16" s="71" t="s">
        <v>11859</v>
      </c>
      <c r="P16" s="71"/>
      <c r="Q16" s="71" t="s">
        <v>11856</v>
      </c>
    </row>
    <row r="17" spans="1:17">
      <c r="A17" s="71"/>
      <c r="B17" s="71"/>
      <c r="C17" s="71" t="s">
        <v>2205</v>
      </c>
      <c r="D17" s="71" t="s">
        <v>2206</v>
      </c>
      <c r="E17" s="71"/>
      <c r="F17" s="71"/>
      <c r="G17" s="71" t="s">
        <v>2207</v>
      </c>
      <c r="H17" s="71" t="s">
        <v>2208</v>
      </c>
      <c r="I17" s="71"/>
      <c r="J17" s="71"/>
      <c r="K17" s="71"/>
      <c r="L17" s="71"/>
      <c r="M17" s="71"/>
      <c r="N17" s="71"/>
      <c r="O17" s="71"/>
      <c r="P17" s="71"/>
      <c r="Q17" s="71" t="s">
        <v>2209</v>
      </c>
    </row>
    <row r="18" spans="1:17">
      <c r="A18" s="71"/>
      <c r="B18" s="71"/>
      <c r="C18" s="71" t="s">
        <v>2210</v>
      </c>
      <c r="D18" s="71" t="s">
        <v>2211</v>
      </c>
      <c r="E18" s="71"/>
      <c r="F18" s="71"/>
      <c r="G18" s="71" t="s">
        <v>2212</v>
      </c>
      <c r="H18" s="71" t="s">
        <v>2213</v>
      </c>
      <c r="I18" s="71"/>
      <c r="J18" s="71"/>
      <c r="K18" s="71"/>
      <c r="L18" s="71"/>
      <c r="M18" s="71"/>
      <c r="N18" s="71"/>
      <c r="O18" s="71"/>
      <c r="P18" s="71"/>
      <c r="Q18" s="71"/>
    </row>
    <row r="19" spans="1:17">
      <c r="A19" s="71"/>
      <c r="B19" s="71"/>
      <c r="C19" s="71" t="s">
        <v>2214</v>
      </c>
      <c r="D19" s="70" t="s">
        <v>11857</v>
      </c>
      <c r="E19" s="71"/>
      <c r="F19" s="71"/>
      <c r="G19" s="71" t="s">
        <v>2163</v>
      </c>
      <c r="H19" s="71" t="s">
        <v>2216</v>
      </c>
      <c r="I19" s="71"/>
      <c r="J19" s="71"/>
      <c r="K19" s="71"/>
      <c r="L19" s="71"/>
      <c r="M19" s="71"/>
      <c r="N19" s="71"/>
      <c r="O19" s="71"/>
      <c r="P19" s="71"/>
      <c r="Q19" s="71"/>
    </row>
    <row r="20" spans="1:17">
      <c r="A20" s="71"/>
      <c r="B20" s="71"/>
      <c r="C20" s="71" t="s">
        <v>2217</v>
      </c>
      <c r="D20" s="71" t="s">
        <v>2215</v>
      </c>
      <c r="E20" s="71"/>
      <c r="F20" s="71"/>
      <c r="G20" s="71" t="s">
        <v>2219</v>
      </c>
      <c r="H20" s="71" t="s">
        <v>2220</v>
      </c>
      <c r="I20" s="71"/>
      <c r="J20" s="71"/>
      <c r="K20" s="71"/>
      <c r="L20" s="71"/>
      <c r="M20" s="71"/>
      <c r="N20" s="71"/>
      <c r="O20" s="71"/>
      <c r="P20" s="71"/>
      <c r="Q20" s="71"/>
    </row>
    <row r="21" spans="1:17">
      <c r="A21" s="71"/>
      <c r="B21" s="71"/>
      <c r="C21" s="71" t="s">
        <v>2221</v>
      </c>
      <c r="D21" s="71" t="s">
        <v>2218</v>
      </c>
      <c r="E21" s="71"/>
      <c r="F21" s="71"/>
      <c r="G21" s="71" t="s">
        <v>2223</v>
      </c>
      <c r="H21" s="71"/>
      <c r="I21" s="71"/>
      <c r="J21" s="71"/>
      <c r="K21" s="71"/>
      <c r="L21" s="71"/>
      <c r="M21" s="71"/>
      <c r="N21" s="71"/>
      <c r="O21" s="71"/>
      <c r="P21" s="71"/>
      <c r="Q21" s="71"/>
    </row>
    <row r="22" spans="1:17">
      <c r="A22" s="71"/>
      <c r="B22" s="71"/>
      <c r="C22" s="71"/>
      <c r="D22" s="71" t="s">
        <v>2222</v>
      </c>
      <c r="E22" s="71"/>
      <c r="F22" s="71"/>
      <c r="G22" s="71" t="s">
        <v>11736</v>
      </c>
      <c r="H22" s="71"/>
      <c r="I22" s="71"/>
      <c r="J22" s="71"/>
      <c r="K22" s="71"/>
      <c r="L22" s="71"/>
      <c r="M22" s="71"/>
      <c r="N22" s="71"/>
      <c r="O22" s="71"/>
      <c r="P22" s="71"/>
      <c r="Q22" s="71"/>
    </row>
    <row r="23" spans="1:17">
      <c r="A23" s="71"/>
      <c r="B23" s="71"/>
      <c r="C23" s="71"/>
      <c r="D23" s="71" t="s">
        <v>2224</v>
      </c>
      <c r="E23" s="71"/>
      <c r="F23" s="71"/>
      <c r="G23" s="71"/>
      <c r="H23" s="71"/>
      <c r="I23" s="71"/>
      <c r="J23" s="71"/>
      <c r="K23" s="71"/>
      <c r="L23" s="71"/>
      <c r="M23" s="71"/>
      <c r="N23" s="71"/>
      <c r="O23" s="71"/>
      <c r="P23" s="71"/>
      <c r="Q23" s="71"/>
    </row>
  </sheetData>
  <sheetProtection algorithmName="SHA-512" hashValue="b8wE1rUyBr42edhKPJdrr7J2sa/qR5h4eH7GWVIMn+QAJLblXJ/qn+6jF1OPor2wLN0RK0fCa467P5iUGIEgGg==" saltValue="a1YS6OMZiGA3jCAz/3Cbh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XEZ4716"/>
  <sheetViews>
    <sheetView zoomScale="85" zoomScaleNormal="85" workbookViewId="0"/>
  </sheetViews>
  <sheetFormatPr defaultColWidth="8.83203125" defaultRowHeight="15.5"/>
  <cols>
    <col min="1" max="1" width="64.58203125" style="109" bestFit="1" customWidth="1"/>
    <col min="2" max="2" width="31.33203125" style="109" bestFit="1" customWidth="1"/>
    <col min="3" max="3" width="64.58203125" style="109" bestFit="1" customWidth="1"/>
    <col min="4" max="4" width="31.83203125" style="109" bestFit="1" customWidth="1"/>
    <col min="5" max="5" width="28.83203125" style="123" bestFit="1" customWidth="1"/>
    <col min="6" max="6" width="12.5" style="109" bestFit="1" customWidth="1"/>
    <col min="7" max="7" width="40.33203125" style="109" bestFit="1" customWidth="1"/>
    <col min="8" max="8" width="8.83203125" style="109" hidden="1" customWidth="1"/>
    <col min="9" max="11" width="0" style="109" hidden="1" customWidth="1"/>
    <col min="12" max="16384" width="8.83203125" style="109"/>
  </cols>
  <sheetData>
    <row r="1" spans="1:9">
      <c r="A1" s="81" t="s">
        <v>1959</v>
      </c>
      <c r="B1" s="81" t="s">
        <v>1960</v>
      </c>
      <c r="C1" s="81" t="s">
        <v>1961</v>
      </c>
      <c r="D1" s="81" t="s">
        <v>1962</v>
      </c>
      <c r="E1" s="82" t="s">
        <v>1963</v>
      </c>
      <c r="F1" s="81" t="s">
        <v>1964</v>
      </c>
      <c r="G1" s="81" t="s">
        <v>1965</v>
      </c>
      <c r="H1" s="81" t="s">
        <v>1966</v>
      </c>
      <c r="I1" s="81" t="s">
        <v>11531</v>
      </c>
    </row>
    <row r="2" spans="1:9">
      <c r="A2" s="83" t="s">
        <v>1967</v>
      </c>
      <c r="B2" s="83" t="s">
        <v>1968</v>
      </c>
      <c r="C2" s="83" t="s">
        <v>1969</v>
      </c>
      <c r="D2" s="83" t="s">
        <v>1970</v>
      </c>
      <c r="E2" s="84" t="str">
        <f>school_profile_type</f>
        <v>GESPv2022.12.02</v>
      </c>
      <c r="F2" s="83" t="b">
        <f>E2="GESPv2021.12.17"</f>
        <v>0</v>
      </c>
      <c r="G2" s="83"/>
      <c r="H2" s="83"/>
    </row>
    <row r="3" spans="1:9">
      <c r="A3" s="83" t="s">
        <v>1971</v>
      </c>
      <c r="B3" s="83" t="s">
        <v>1972</v>
      </c>
      <c r="C3" s="83" t="s">
        <v>1971</v>
      </c>
      <c r="D3" s="83" t="s">
        <v>1973</v>
      </c>
      <c r="E3" s="84">
        <f>sch_id</f>
        <v>127503</v>
      </c>
      <c r="F3" s="83" t="b">
        <f>AND(LEN(E3)=6, OR(E3&lt;299999, AND(E3&gt;499999, E3&lt;600000)))</f>
        <v>1</v>
      </c>
      <c r="G3" s="83" t="s">
        <v>1974</v>
      </c>
      <c r="H3" s="83"/>
    </row>
    <row r="4" spans="1:9">
      <c r="A4" s="83" t="s">
        <v>1975</v>
      </c>
      <c r="B4" s="83" t="s">
        <v>1972</v>
      </c>
      <c r="C4" s="83" t="s">
        <v>1975</v>
      </c>
      <c r="D4" s="83" t="s">
        <v>1983</v>
      </c>
      <c r="E4" s="84" t="str">
        <f>sch_name</f>
        <v>PLARIDEL CENTRAL SCHOOL</v>
      </c>
      <c r="F4" s="83" t="b">
        <f>AND(E4&lt;&gt;"",E4&lt;&gt;0,LEN(E4)&gt;2)</f>
        <v>1</v>
      </c>
      <c r="G4" s="83" t="s">
        <v>2263</v>
      </c>
      <c r="H4" s="83">
        <v>1</v>
      </c>
    </row>
    <row r="5" spans="1:9">
      <c r="A5" s="83" t="s">
        <v>1976</v>
      </c>
      <c r="B5" s="83" t="s">
        <v>1972</v>
      </c>
      <c r="C5" s="83" t="s">
        <v>1976</v>
      </c>
      <c r="D5" s="83" t="s">
        <v>1984</v>
      </c>
      <c r="E5" s="84">
        <f>sch_prev_name</f>
        <v>0</v>
      </c>
      <c r="F5" s="83" t="b">
        <v>1</v>
      </c>
      <c r="G5" s="83"/>
      <c r="H5" s="83">
        <v>2</v>
      </c>
    </row>
    <row r="6" spans="1:9">
      <c r="A6" s="83" t="s">
        <v>1977</v>
      </c>
      <c r="B6" s="83" t="s">
        <v>1972</v>
      </c>
      <c r="C6" s="83" t="s">
        <v>1977</v>
      </c>
      <c r="D6" s="83" t="s">
        <v>2257</v>
      </c>
      <c r="E6" s="84">
        <f>sch_add_no</f>
        <v>0</v>
      </c>
      <c r="F6" s="83" t="b">
        <v>1</v>
      </c>
      <c r="G6" s="83"/>
      <c r="H6" s="83">
        <v>3</v>
      </c>
    </row>
    <row r="7" spans="1:9">
      <c r="A7" s="83" t="s">
        <v>1978</v>
      </c>
      <c r="B7" s="83" t="s">
        <v>1972</v>
      </c>
      <c r="C7" s="83" t="s">
        <v>1978</v>
      </c>
      <c r="D7" s="83" t="s">
        <v>2258</v>
      </c>
      <c r="E7" s="84" t="str">
        <f>sch_add_street</f>
        <v>Calderon St.</v>
      </c>
      <c r="F7" s="83" t="b">
        <v>1</v>
      </c>
      <c r="G7" s="83"/>
      <c r="H7" s="83">
        <v>4</v>
      </c>
    </row>
    <row r="8" spans="1:9">
      <c r="A8" s="83" t="s">
        <v>1979</v>
      </c>
      <c r="B8" s="83" t="s">
        <v>1972</v>
      </c>
      <c r="C8" s="83" t="s">
        <v>1979</v>
      </c>
      <c r="D8" s="83" t="s">
        <v>2259</v>
      </c>
      <c r="E8" s="84" t="str">
        <f>sch_add_brgy</f>
        <v>Northern Poblacion</v>
      </c>
      <c r="F8" s="83" t="b">
        <v>1</v>
      </c>
      <c r="G8" s="83"/>
      <c r="H8" s="83">
        <v>5</v>
      </c>
    </row>
    <row r="9" spans="1:9">
      <c r="A9" s="83" t="s">
        <v>1980</v>
      </c>
      <c r="B9" s="83" t="s">
        <v>1972</v>
      </c>
      <c r="C9" s="83" t="s">
        <v>1980</v>
      </c>
      <c r="D9" s="83" t="s">
        <v>2260</v>
      </c>
      <c r="E9" s="84" t="str">
        <f>sch_add_mun_city</f>
        <v>Plaridel</v>
      </c>
      <c r="F9" s="83" t="b">
        <v>1</v>
      </c>
      <c r="G9" s="83"/>
      <c r="H9" s="83">
        <v>6</v>
      </c>
    </row>
    <row r="10" spans="1:9">
      <c r="A10" s="83" t="s">
        <v>1981</v>
      </c>
      <c r="B10" s="83" t="s">
        <v>1972</v>
      </c>
      <c r="C10" s="83" t="s">
        <v>1981</v>
      </c>
      <c r="D10" s="83" t="s">
        <v>2261</v>
      </c>
      <c r="E10" s="84" t="str">
        <f>sch_add_prov</f>
        <v>Misamis Occidental</v>
      </c>
      <c r="F10" s="83" t="b">
        <v>1</v>
      </c>
      <c r="G10" s="83"/>
      <c r="H10" s="83">
        <v>7</v>
      </c>
    </row>
    <row r="11" spans="1:9">
      <c r="A11" s="83" t="s">
        <v>1982</v>
      </c>
      <c r="B11" s="83" t="s">
        <v>1972</v>
      </c>
      <c r="C11" s="83" t="s">
        <v>1982</v>
      </c>
      <c r="D11" s="83" t="s">
        <v>2262</v>
      </c>
      <c r="E11" s="84">
        <f>sch_add_zip</f>
        <v>7209</v>
      </c>
      <c r="F11" s="83" t="b">
        <v>1</v>
      </c>
      <c r="G11" s="83"/>
      <c r="H11" s="83">
        <v>8</v>
      </c>
    </row>
    <row r="12" spans="1:9">
      <c r="A12" s="83" t="s">
        <v>2247</v>
      </c>
      <c r="B12" s="83" t="s">
        <v>1972</v>
      </c>
      <c r="C12" s="83" t="s">
        <v>2247</v>
      </c>
      <c r="D12" s="83" t="s">
        <v>2264</v>
      </c>
      <c r="E12" s="84" t="str">
        <f>sch_region</f>
        <v>X</v>
      </c>
      <c r="F12" s="83" t="b">
        <v>1</v>
      </c>
      <c r="G12" s="83"/>
      <c r="H12" s="83">
        <v>9</v>
      </c>
    </row>
    <row r="13" spans="1:9">
      <c r="A13" s="83" t="s">
        <v>2248</v>
      </c>
      <c r="B13" s="83" t="s">
        <v>1972</v>
      </c>
      <c r="C13" s="83" t="s">
        <v>2248</v>
      </c>
      <c r="D13" s="83" t="s">
        <v>2265</v>
      </c>
      <c r="E13" s="84" t="str">
        <f>sch_division</f>
        <v>Misamis Occidental</v>
      </c>
      <c r="F13" s="83" t="b">
        <v>1</v>
      </c>
      <c r="G13" s="83"/>
      <c r="H13" s="83">
        <v>10</v>
      </c>
    </row>
    <row r="14" spans="1:9">
      <c r="A14" s="83" t="s">
        <v>2249</v>
      </c>
      <c r="B14" s="83" t="s">
        <v>1972</v>
      </c>
      <c r="C14" s="83" t="s">
        <v>2249</v>
      </c>
      <c r="D14" s="83" t="s">
        <v>2266</v>
      </c>
      <c r="E14" s="84" t="str">
        <f>sch_dist</f>
        <v>Plaridel North</v>
      </c>
      <c r="F14" s="83" t="b">
        <v>1</v>
      </c>
      <c r="G14" s="83"/>
      <c r="H14" s="83">
        <v>11</v>
      </c>
    </row>
    <row r="15" spans="1:9">
      <c r="A15" s="83" t="s">
        <v>2250</v>
      </c>
      <c r="B15" s="83" t="s">
        <v>1972</v>
      </c>
      <c r="C15" s="83" t="s">
        <v>2250</v>
      </c>
      <c r="D15" s="83" t="s">
        <v>2267</v>
      </c>
      <c r="E15" s="84" t="str">
        <f>sch_leg_dist</f>
        <v>1st District</v>
      </c>
      <c r="F15" s="83" t="b">
        <v>1</v>
      </c>
      <c r="G15" s="83"/>
      <c r="H15" s="83">
        <v>12</v>
      </c>
    </row>
    <row r="16" spans="1:9">
      <c r="A16" s="83" t="s">
        <v>2251</v>
      </c>
      <c r="B16" s="83" t="s">
        <v>1972</v>
      </c>
      <c r="C16" s="83" t="s">
        <v>2251</v>
      </c>
      <c r="D16" s="83" t="s">
        <v>2268</v>
      </c>
      <c r="E16" s="84" t="str">
        <f>sch_tel_no</f>
        <v>n/a</v>
      </c>
      <c r="F16" s="83" t="b">
        <v>1</v>
      </c>
      <c r="G16" s="83"/>
      <c r="H16" s="83">
        <v>13</v>
      </c>
    </row>
    <row r="17" spans="1:8">
      <c r="A17" s="83" t="s">
        <v>2252</v>
      </c>
      <c r="B17" s="83" t="s">
        <v>1972</v>
      </c>
      <c r="C17" s="83" t="s">
        <v>2252</v>
      </c>
      <c r="D17" s="83" t="s">
        <v>2269</v>
      </c>
      <c r="E17" s="84">
        <f>sch_mob_no</f>
        <v>9817015549</v>
      </c>
      <c r="F17" s="83" t="b">
        <v>1</v>
      </c>
      <c r="G17" s="83"/>
      <c r="H17" s="83">
        <v>14</v>
      </c>
    </row>
    <row r="18" spans="1:8">
      <c r="A18" s="83" t="s">
        <v>2253</v>
      </c>
      <c r="B18" s="83" t="s">
        <v>1972</v>
      </c>
      <c r="C18" s="83" t="s">
        <v>2253</v>
      </c>
      <c r="D18" s="83" t="s">
        <v>2270</v>
      </c>
      <c r="E18" s="84" t="str">
        <f>sch_fax_no</f>
        <v>n/a</v>
      </c>
      <c r="F18" s="83" t="b">
        <v>1</v>
      </c>
      <c r="G18" s="83"/>
      <c r="H18" s="83">
        <v>15</v>
      </c>
    </row>
    <row r="19" spans="1:8">
      <c r="A19" s="83" t="s">
        <v>2254</v>
      </c>
      <c r="B19" s="83" t="s">
        <v>1972</v>
      </c>
      <c r="C19" s="83" t="s">
        <v>2254</v>
      </c>
      <c r="D19" s="83" t="s">
        <v>2271</v>
      </c>
      <c r="E19" s="84" t="str">
        <f>sch_web_add</f>
        <v>n/a</v>
      </c>
      <c r="F19" s="83" t="b">
        <v>1</v>
      </c>
      <c r="G19" s="83"/>
      <c r="H19" s="83">
        <v>16</v>
      </c>
    </row>
    <row r="20" spans="1:8">
      <c r="A20" s="83" t="s">
        <v>2255</v>
      </c>
      <c r="B20" s="83" t="s">
        <v>1972</v>
      </c>
      <c r="C20" s="83" t="s">
        <v>2255</v>
      </c>
      <c r="D20" s="83" t="s">
        <v>2272</v>
      </c>
      <c r="E20" s="84" t="str">
        <f>sch_email_add</f>
        <v>127503@deped.gov.ph</v>
      </c>
      <c r="F20" s="83" t="b">
        <v>1</v>
      </c>
      <c r="G20" s="83"/>
      <c r="H20" s="83">
        <v>17</v>
      </c>
    </row>
    <row r="21" spans="1:8">
      <c r="A21" s="83" t="s">
        <v>2256</v>
      </c>
      <c r="B21" s="83" t="s">
        <v>1972</v>
      </c>
      <c r="C21" s="83" t="s">
        <v>2256</v>
      </c>
      <c r="D21" s="83" t="s">
        <v>2273</v>
      </c>
      <c r="E21" s="84">
        <f>sch_date_est</f>
        <v>1919</v>
      </c>
      <c r="F21" s="83" t="b">
        <v>1</v>
      </c>
      <c r="G21" s="83"/>
      <c r="H21" s="83">
        <v>18</v>
      </c>
    </row>
    <row r="22" spans="1:8">
      <c r="A22" s="83" t="s">
        <v>2274</v>
      </c>
      <c r="B22" s="83" t="s">
        <v>1972</v>
      </c>
      <c r="C22" s="83" t="s">
        <v>2274</v>
      </c>
      <c r="D22" s="83" t="s">
        <v>2275</v>
      </c>
      <c r="E22" s="84" t="b">
        <f>sch_central_school</f>
        <v>1</v>
      </c>
      <c r="F22" s="83" t="b">
        <f>OR(E22=TRUE, E22=FALSE)</f>
        <v>1</v>
      </c>
      <c r="G22" s="83" t="s">
        <v>2287</v>
      </c>
      <c r="H22" s="83">
        <v>19</v>
      </c>
    </row>
    <row r="23" spans="1:8">
      <c r="A23" s="83" t="s">
        <v>2276</v>
      </c>
      <c r="B23" s="83" t="s">
        <v>1972</v>
      </c>
      <c r="C23" s="83" t="s">
        <v>2276</v>
      </c>
      <c r="D23" s="83" t="s">
        <v>2282</v>
      </c>
      <c r="E23" s="84" t="b">
        <f>sch_sped_center</f>
        <v>0</v>
      </c>
      <c r="F23" s="83" t="b">
        <f t="shared" ref="F23:F28" si="0">OR(E23=TRUE, E23=FALSE)</f>
        <v>1</v>
      </c>
      <c r="G23" s="83" t="s">
        <v>2287</v>
      </c>
      <c r="H23" s="83">
        <v>21</v>
      </c>
    </row>
    <row r="24" spans="1:8">
      <c r="A24" s="83" t="s">
        <v>2277</v>
      </c>
      <c r="B24" s="83" t="s">
        <v>1972</v>
      </c>
      <c r="C24" s="83" t="s">
        <v>2277</v>
      </c>
      <c r="D24" s="83" t="s">
        <v>2283</v>
      </c>
      <c r="E24" s="84" t="b">
        <f>sch_sped_classes</f>
        <v>1</v>
      </c>
      <c r="F24" s="83" t="b">
        <f t="shared" si="0"/>
        <v>1</v>
      </c>
      <c r="G24" s="83" t="s">
        <v>2287</v>
      </c>
      <c r="H24" s="83">
        <v>22</v>
      </c>
    </row>
    <row r="25" spans="1:8">
      <c r="A25" s="83" t="s">
        <v>2278</v>
      </c>
      <c r="B25" s="83" t="s">
        <v>1972</v>
      </c>
      <c r="C25" s="83" t="s">
        <v>2278</v>
      </c>
      <c r="D25" s="83" t="s">
        <v>2284</v>
      </c>
      <c r="E25" s="84" t="b">
        <f>sch_annex_extension_school</f>
        <v>0</v>
      </c>
      <c r="F25" s="83" t="b">
        <f t="shared" si="0"/>
        <v>1</v>
      </c>
      <c r="G25" s="83" t="s">
        <v>2287</v>
      </c>
      <c r="H25" s="83">
        <v>23</v>
      </c>
    </row>
    <row r="26" spans="1:8">
      <c r="A26" s="83" t="s">
        <v>2279</v>
      </c>
      <c r="B26" s="83" t="s">
        <v>1972</v>
      </c>
      <c r="C26" s="83" t="s">
        <v>2279</v>
      </c>
      <c r="D26" s="83" t="s">
        <v>11839</v>
      </c>
      <c r="E26" s="84">
        <f>sch_annex_extension_mother_sch_id</f>
        <v>0</v>
      </c>
      <c r="F26" s="83" t="b">
        <v>1</v>
      </c>
      <c r="G26" s="83"/>
      <c r="H26" s="83">
        <v>24</v>
      </c>
    </row>
    <row r="27" spans="1:8">
      <c r="A27" s="83" t="s">
        <v>2280</v>
      </c>
      <c r="B27" s="83" t="s">
        <v>1972</v>
      </c>
      <c r="C27" s="83" t="s">
        <v>2280</v>
      </c>
      <c r="D27" s="83" t="s">
        <v>2285</v>
      </c>
      <c r="E27" s="84" t="b">
        <f>sch_coc_kinder</f>
        <v>1</v>
      </c>
      <c r="F27" s="83" t="b">
        <f t="shared" si="0"/>
        <v>1</v>
      </c>
      <c r="G27" s="83" t="s">
        <v>2287</v>
      </c>
      <c r="H27" s="83">
        <v>25</v>
      </c>
    </row>
    <row r="28" spans="1:8">
      <c r="A28" s="83" t="s">
        <v>2281</v>
      </c>
      <c r="B28" s="83" t="s">
        <v>1972</v>
      </c>
      <c r="C28" s="83" t="s">
        <v>2281</v>
      </c>
      <c r="D28" s="83" t="s">
        <v>2286</v>
      </c>
      <c r="E28" s="84" t="b">
        <f>sch_coc_k1to6</f>
        <v>1</v>
      </c>
      <c r="F28" s="83" t="b">
        <f t="shared" si="0"/>
        <v>1</v>
      </c>
      <c r="G28" s="83" t="s">
        <v>2287</v>
      </c>
      <c r="H28" s="83">
        <v>26</v>
      </c>
    </row>
    <row r="29" spans="1:8">
      <c r="A29" s="83" t="s">
        <v>2288</v>
      </c>
      <c r="B29" s="83" t="s">
        <v>1972</v>
      </c>
      <c r="C29" s="83" t="s">
        <v>2288</v>
      </c>
      <c r="D29" s="83" t="s">
        <v>2293</v>
      </c>
      <c r="E29" s="84" t="str">
        <f>head_name</f>
        <v>RICO S. MISPEROS</v>
      </c>
      <c r="F29" s="83" t="b">
        <v>1</v>
      </c>
      <c r="G29" s="83"/>
      <c r="H29" s="83">
        <v>27</v>
      </c>
    </row>
    <row r="30" spans="1:8">
      <c r="A30" s="83" t="s">
        <v>2289</v>
      </c>
      <c r="B30" s="83" t="s">
        <v>1972</v>
      </c>
      <c r="C30" s="83" t="s">
        <v>2289</v>
      </c>
      <c r="D30" s="83" t="s">
        <v>2294</v>
      </c>
      <c r="E30" s="84" t="str">
        <f>head_pos_title</f>
        <v>SCHOOL PRINCIPAL II</v>
      </c>
      <c r="F30" s="83" t="b">
        <v>1</v>
      </c>
      <c r="G30" s="83"/>
      <c r="H30" s="83">
        <v>28</v>
      </c>
    </row>
    <row r="31" spans="1:8">
      <c r="A31" s="83" t="s">
        <v>2290</v>
      </c>
      <c r="B31" s="83" t="s">
        <v>1972</v>
      </c>
      <c r="C31" s="83" t="s">
        <v>2290</v>
      </c>
      <c r="D31" s="83" t="s">
        <v>2295</v>
      </c>
      <c r="E31" s="84" t="str">
        <f>po_name</f>
        <v>MICHAEL T. JAMIS</v>
      </c>
      <c r="F31" s="83" t="b">
        <v>1</v>
      </c>
      <c r="G31" s="83"/>
      <c r="H31" s="83">
        <v>29</v>
      </c>
    </row>
    <row r="32" spans="1:8">
      <c r="A32" s="83" t="s">
        <v>2291</v>
      </c>
      <c r="B32" s="83" t="s">
        <v>1972</v>
      </c>
      <c r="C32" s="83" t="s">
        <v>2291</v>
      </c>
      <c r="D32" s="83" t="s">
        <v>2296</v>
      </c>
      <c r="E32" s="84" t="str">
        <f>sdo_head_name</f>
        <v>EDWIN R. MARIBOJOC, EdD, CESO V</v>
      </c>
      <c r="F32" s="83" t="b">
        <v>1</v>
      </c>
      <c r="G32" s="83"/>
      <c r="H32" s="83">
        <v>30</v>
      </c>
    </row>
    <row r="33" spans="1:8" s="112" customFormat="1" ht="16" thickBot="1">
      <c r="A33" s="85" t="s">
        <v>2292</v>
      </c>
      <c r="B33" s="85" t="s">
        <v>1972</v>
      </c>
      <c r="C33" s="85" t="s">
        <v>2292</v>
      </c>
      <c r="D33" s="85" t="s">
        <v>2297</v>
      </c>
      <c r="E33" s="86" t="str">
        <f>sdo_pos_title</f>
        <v>Schools Division Superintendent</v>
      </c>
      <c r="F33" s="85" t="b">
        <v>1</v>
      </c>
      <c r="G33" s="85"/>
      <c r="H33" s="85">
        <v>31</v>
      </c>
    </row>
    <row r="34" spans="1:8">
      <c r="A34" s="83" t="s">
        <v>2298</v>
      </c>
      <c r="B34" s="83" t="s">
        <v>2338</v>
      </c>
      <c r="C34" s="83" t="s">
        <v>2298</v>
      </c>
      <c r="D34" s="83" t="s">
        <v>2339</v>
      </c>
      <c r="E34" s="84">
        <f>alive_muslim_m_k</f>
        <v>0</v>
      </c>
      <c r="F34" s="83" t="b">
        <v>1</v>
      </c>
      <c r="G34" s="83"/>
      <c r="H34" s="83"/>
    </row>
    <row r="35" spans="1:8">
      <c r="A35" s="83" t="s">
        <v>2299</v>
      </c>
      <c r="B35" s="83" t="s">
        <v>2338</v>
      </c>
      <c r="C35" s="83" t="s">
        <v>2299</v>
      </c>
      <c r="D35" s="83" t="s">
        <v>2340</v>
      </c>
      <c r="E35" s="84">
        <f>alive_muslim_f_k</f>
        <v>0</v>
      </c>
      <c r="F35" s="83" t="b">
        <v>1</v>
      </c>
      <c r="G35" s="83"/>
      <c r="H35" s="83"/>
    </row>
    <row r="36" spans="1:8">
      <c r="A36" s="83" t="s">
        <v>2300</v>
      </c>
      <c r="B36" s="83" t="s">
        <v>2338</v>
      </c>
      <c r="C36" s="83" t="s">
        <v>2300</v>
      </c>
      <c r="D36" s="83" t="s">
        <v>2341</v>
      </c>
      <c r="E36" s="84">
        <f>alive_muslim_m_g1</f>
        <v>0</v>
      </c>
      <c r="F36" s="83" t="b">
        <v>1</v>
      </c>
      <c r="G36" s="83"/>
      <c r="H36" s="83"/>
    </row>
    <row r="37" spans="1:8">
      <c r="A37" s="83" t="s">
        <v>2301</v>
      </c>
      <c r="B37" s="83" t="s">
        <v>2338</v>
      </c>
      <c r="C37" s="83" t="s">
        <v>2301</v>
      </c>
      <c r="D37" s="83" t="s">
        <v>2342</v>
      </c>
      <c r="E37" s="84">
        <f>alive_muslim_f_g1</f>
        <v>0</v>
      </c>
      <c r="F37" s="83" t="b">
        <v>1</v>
      </c>
      <c r="G37" s="83"/>
      <c r="H37" s="83"/>
    </row>
    <row r="38" spans="1:8">
      <c r="A38" s="83" t="s">
        <v>2302</v>
      </c>
      <c r="B38" s="83" t="s">
        <v>2338</v>
      </c>
      <c r="C38" s="83" t="s">
        <v>2302</v>
      </c>
      <c r="D38" s="83" t="s">
        <v>2343</v>
      </c>
      <c r="E38" s="84">
        <f>alive_muslim_m_g2</f>
        <v>0</v>
      </c>
      <c r="F38" s="83" t="b">
        <v>1</v>
      </c>
      <c r="G38" s="83"/>
      <c r="H38" s="83"/>
    </row>
    <row r="39" spans="1:8">
      <c r="A39" s="83" t="s">
        <v>2303</v>
      </c>
      <c r="B39" s="83" t="s">
        <v>2338</v>
      </c>
      <c r="C39" s="83" t="s">
        <v>2303</v>
      </c>
      <c r="D39" s="83" t="s">
        <v>2344</v>
      </c>
      <c r="E39" s="84">
        <f>alive_muslim_f_g2</f>
        <v>0</v>
      </c>
      <c r="F39" s="83" t="b">
        <v>1</v>
      </c>
      <c r="G39" s="83"/>
      <c r="H39" s="83"/>
    </row>
    <row r="40" spans="1:8">
      <c r="A40" s="83" t="s">
        <v>2304</v>
      </c>
      <c r="B40" s="83" t="s">
        <v>2338</v>
      </c>
      <c r="C40" s="83" t="s">
        <v>2304</v>
      </c>
      <c r="D40" s="83" t="s">
        <v>2345</v>
      </c>
      <c r="E40" s="84">
        <f>alive_muslim_m_g3</f>
        <v>0</v>
      </c>
      <c r="F40" s="83" t="b">
        <v>1</v>
      </c>
      <c r="G40" s="83"/>
      <c r="H40" s="83"/>
    </row>
    <row r="41" spans="1:8">
      <c r="A41" s="83" t="s">
        <v>2305</v>
      </c>
      <c r="B41" s="83" t="s">
        <v>2338</v>
      </c>
      <c r="C41" s="83" t="s">
        <v>2305</v>
      </c>
      <c r="D41" s="83" t="s">
        <v>2346</v>
      </c>
      <c r="E41" s="84">
        <f>alive_muslim_f_g3</f>
        <v>0</v>
      </c>
      <c r="F41" s="83" t="b">
        <v>1</v>
      </c>
      <c r="G41" s="83"/>
      <c r="H41" s="83"/>
    </row>
    <row r="42" spans="1:8">
      <c r="A42" s="83" t="s">
        <v>2306</v>
      </c>
      <c r="B42" s="83" t="s">
        <v>2338</v>
      </c>
      <c r="C42" s="83" t="s">
        <v>2306</v>
      </c>
      <c r="D42" s="83" t="s">
        <v>2347</v>
      </c>
      <c r="E42" s="84">
        <f>alive_muslim_m_g4</f>
        <v>0</v>
      </c>
      <c r="F42" s="83" t="b">
        <v>1</v>
      </c>
      <c r="G42" s="83"/>
      <c r="H42" s="83"/>
    </row>
    <row r="43" spans="1:8">
      <c r="A43" s="83" t="s">
        <v>2307</v>
      </c>
      <c r="B43" s="83" t="s">
        <v>2338</v>
      </c>
      <c r="C43" s="83" t="s">
        <v>2307</v>
      </c>
      <c r="D43" s="83" t="s">
        <v>2348</v>
      </c>
      <c r="E43" s="84">
        <f>alive_muslim_f_g4</f>
        <v>0</v>
      </c>
      <c r="F43" s="83" t="b">
        <v>1</v>
      </c>
      <c r="G43" s="83"/>
      <c r="H43" s="83"/>
    </row>
    <row r="44" spans="1:8">
      <c r="A44" s="83" t="s">
        <v>2308</v>
      </c>
      <c r="B44" s="83" t="s">
        <v>2338</v>
      </c>
      <c r="C44" s="83" t="s">
        <v>2308</v>
      </c>
      <c r="D44" s="83" t="s">
        <v>2349</v>
      </c>
      <c r="E44" s="84">
        <f>alive_muslim_m_g5</f>
        <v>0</v>
      </c>
      <c r="F44" s="83" t="b">
        <v>1</v>
      </c>
      <c r="G44" s="83"/>
      <c r="H44" s="83"/>
    </row>
    <row r="45" spans="1:8">
      <c r="A45" s="83" t="s">
        <v>2309</v>
      </c>
      <c r="B45" s="83" t="s">
        <v>2338</v>
      </c>
      <c r="C45" s="83" t="s">
        <v>2309</v>
      </c>
      <c r="D45" s="83" t="s">
        <v>2350</v>
      </c>
      <c r="E45" s="84">
        <f>alive_muslim_f_g5</f>
        <v>0</v>
      </c>
      <c r="F45" s="83" t="b">
        <v>1</v>
      </c>
      <c r="G45" s="83"/>
      <c r="H45" s="83"/>
    </row>
    <row r="46" spans="1:8">
      <c r="A46" s="83" t="s">
        <v>2310</v>
      </c>
      <c r="B46" s="83" t="s">
        <v>2338</v>
      </c>
      <c r="C46" s="83" t="s">
        <v>2310</v>
      </c>
      <c r="D46" s="83" t="s">
        <v>2351</v>
      </c>
      <c r="E46" s="84">
        <f>alive_muslim_m_g6</f>
        <v>0</v>
      </c>
      <c r="F46" s="83" t="b">
        <v>1</v>
      </c>
      <c r="G46" s="83"/>
      <c r="H46" s="83"/>
    </row>
    <row r="47" spans="1:8">
      <c r="A47" s="83" t="s">
        <v>2311</v>
      </c>
      <c r="B47" s="83" t="s">
        <v>2338</v>
      </c>
      <c r="C47" s="83" t="s">
        <v>2311</v>
      </c>
      <c r="D47" s="83" t="s">
        <v>2352</v>
      </c>
      <c r="E47" s="84">
        <f>alive_muslim_f_g6</f>
        <v>0</v>
      </c>
      <c r="F47" s="83" t="b">
        <v>1</v>
      </c>
      <c r="G47" s="83"/>
      <c r="H47" s="83"/>
    </row>
    <row r="48" spans="1:8">
      <c r="A48" s="83" t="s">
        <v>2312</v>
      </c>
      <c r="B48" s="83" t="s">
        <v>2338</v>
      </c>
      <c r="C48" s="83" t="s">
        <v>2312</v>
      </c>
      <c r="D48" s="83" t="s">
        <v>2353</v>
      </c>
      <c r="E48" s="84">
        <f>alive_nonmuslim_m_k</f>
        <v>0</v>
      </c>
      <c r="F48" s="83" t="b">
        <v>1</v>
      </c>
      <c r="G48" s="83"/>
      <c r="H48" s="83"/>
    </row>
    <row r="49" spans="1:8">
      <c r="A49" s="83" t="s">
        <v>2313</v>
      </c>
      <c r="B49" s="83" t="s">
        <v>2338</v>
      </c>
      <c r="C49" s="83" t="s">
        <v>2313</v>
      </c>
      <c r="D49" s="83" t="s">
        <v>2354</v>
      </c>
      <c r="E49" s="84">
        <f>alive_nonmuslim_f_k</f>
        <v>0</v>
      </c>
      <c r="F49" s="83" t="b">
        <v>1</v>
      </c>
      <c r="G49" s="83"/>
      <c r="H49" s="83"/>
    </row>
    <row r="50" spans="1:8">
      <c r="A50" s="83" t="s">
        <v>2314</v>
      </c>
      <c r="B50" s="83" t="s">
        <v>2338</v>
      </c>
      <c r="C50" s="83" t="s">
        <v>2314</v>
      </c>
      <c r="D50" s="83" t="s">
        <v>2355</v>
      </c>
      <c r="E50" s="84">
        <f>alive_nonmuslim_m_g1</f>
        <v>0</v>
      </c>
      <c r="F50" s="83" t="b">
        <v>1</v>
      </c>
      <c r="G50" s="83"/>
      <c r="H50" s="83"/>
    </row>
    <row r="51" spans="1:8">
      <c r="A51" s="83" t="s">
        <v>2315</v>
      </c>
      <c r="B51" s="83" t="s">
        <v>2338</v>
      </c>
      <c r="C51" s="83" t="s">
        <v>2315</v>
      </c>
      <c r="D51" s="83" t="s">
        <v>2356</v>
      </c>
      <c r="E51" s="84">
        <f>alive_nonmuslim_f_g1</f>
        <v>0</v>
      </c>
      <c r="F51" s="83" t="b">
        <v>1</v>
      </c>
      <c r="G51" s="83"/>
      <c r="H51" s="83"/>
    </row>
    <row r="52" spans="1:8">
      <c r="A52" s="83" t="s">
        <v>2316</v>
      </c>
      <c r="B52" s="83" t="s">
        <v>2338</v>
      </c>
      <c r="C52" s="83" t="s">
        <v>2316</v>
      </c>
      <c r="D52" s="83" t="s">
        <v>2357</v>
      </c>
      <c r="E52" s="84">
        <f>alive_nonmuslim_m_g2</f>
        <v>0</v>
      </c>
      <c r="F52" s="83" t="b">
        <v>1</v>
      </c>
      <c r="G52" s="83"/>
      <c r="H52" s="83"/>
    </row>
    <row r="53" spans="1:8">
      <c r="A53" s="83" t="s">
        <v>2317</v>
      </c>
      <c r="B53" s="83" t="s">
        <v>2338</v>
      </c>
      <c r="C53" s="83" t="s">
        <v>2317</v>
      </c>
      <c r="D53" s="83" t="s">
        <v>2358</v>
      </c>
      <c r="E53" s="84">
        <f>alive_nonmuslim_f_g2</f>
        <v>0</v>
      </c>
      <c r="F53" s="83" t="b">
        <v>1</v>
      </c>
      <c r="G53" s="83"/>
      <c r="H53" s="83"/>
    </row>
    <row r="54" spans="1:8">
      <c r="A54" s="83" t="s">
        <v>2318</v>
      </c>
      <c r="B54" s="83" t="s">
        <v>2338</v>
      </c>
      <c r="C54" s="83" t="s">
        <v>2318</v>
      </c>
      <c r="D54" s="83" t="s">
        <v>2359</v>
      </c>
      <c r="E54" s="84">
        <f>alive_nonmuslim_m_g3</f>
        <v>0</v>
      </c>
      <c r="F54" s="83" t="b">
        <v>1</v>
      </c>
      <c r="G54" s="83"/>
      <c r="H54" s="83"/>
    </row>
    <row r="55" spans="1:8">
      <c r="A55" s="83" t="s">
        <v>2319</v>
      </c>
      <c r="B55" s="83" t="s">
        <v>2338</v>
      </c>
      <c r="C55" s="83" t="s">
        <v>2319</v>
      </c>
      <c r="D55" s="83" t="s">
        <v>2360</v>
      </c>
      <c r="E55" s="84">
        <f>alive_nonmuslim_f_g3</f>
        <v>0</v>
      </c>
      <c r="F55" s="83" t="b">
        <v>1</v>
      </c>
      <c r="G55" s="83"/>
      <c r="H55" s="83"/>
    </row>
    <row r="56" spans="1:8">
      <c r="A56" s="83" t="s">
        <v>2320</v>
      </c>
      <c r="B56" s="83" t="s">
        <v>2338</v>
      </c>
      <c r="C56" s="83" t="s">
        <v>2320</v>
      </c>
      <c r="D56" s="83" t="s">
        <v>2361</v>
      </c>
      <c r="E56" s="84">
        <f>alive_nonmuslim_m_g4</f>
        <v>0</v>
      </c>
      <c r="F56" s="83" t="b">
        <v>1</v>
      </c>
      <c r="G56" s="83"/>
      <c r="H56" s="83"/>
    </row>
    <row r="57" spans="1:8">
      <c r="A57" s="83" t="s">
        <v>2321</v>
      </c>
      <c r="B57" s="83" t="s">
        <v>2338</v>
      </c>
      <c r="C57" s="83" t="s">
        <v>2321</v>
      </c>
      <c r="D57" s="83" t="s">
        <v>2362</v>
      </c>
      <c r="E57" s="84">
        <f>alive_nonmuslim_f_g4</f>
        <v>0</v>
      </c>
      <c r="F57" s="83" t="b">
        <v>1</v>
      </c>
      <c r="G57" s="83"/>
      <c r="H57" s="83"/>
    </row>
    <row r="58" spans="1:8">
      <c r="A58" s="83" t="s">
        <v>2322</v>
      </c>
      <c r="B58" s="83" t="s">
        <v>2338</v>
      </c>
      <c r="C58" s="83" t="s">
        <v>2322</v>
      </c>
      <c r="D58" s="83" t="s">
        <v>2363</v>
      </c>
      <c r="E58" s="84">
        <f>alive_nonmuslim_m_g5</f>
        <v>0</v>
      </c>
      <c r="F58" s="83" t="b">
        <v>1</v>
      </c>
      <c r="G58" s="83"/>
      <c r="H58" s="83"/>
    </row>
    <row r="59" spans="1:8">
      <c r="A59" s="83" t="s">
        <v>2323</v>
      </c>
      <c r="B59" s="83" t="s">
        <v>2338</v>
      </c>
      <c r="C59" s="83" t="s">
        <v>2323</v>
      </c>
      <c r="D59" s="83" t="s">
        <v>2364</v>
      </c>
      <c r="E59" s="84">
        <f>alive_nonmuslim_f_g5</f>
        <v>0</v>
      </c>
      <c r="F59" s="83" t="b">
        <v>1</v>
      </c>
      <c r="G59" s="83"/>
      <c r="H59" s="83"/>
    </row>
    <row r="60" spans="1:8">
      <c r="A60" s="83" t="s">
        <v>2324</v>
      </c>
      <c r="B60" s="83" t="s">
        <v>2338</v>
      </c>
      <c r="C60" s="83" t="s">
        <v>2324</v>
      </c>
      <c r="D60" s="83" t="s">
        <v>2365</v>
      </c>
      <c r="E60" s="84">
        <f>alive_nonmuslim_m_g6</f>
        <v>0</v>
      </c>
      <c r="F60" s="83" t="b">
        <v>1</v>
      </c>
      <c r="G60" s="83"/>
      <c r="H60" s="83"/>
    </row>
    <row r="61" spans="1:8">
      <c r="A61" s="83" t="s">
        <v>2325</v>
      </c>
      <c r="B61" s="83" t="s">
        <v>2338</v>
      </c>
      <c r="C61" s="83" t="s">
        <v>2325</v>
      </c>
      <c r="D61" s="83" t="s">
        <v>2366</v>
      </c>
      <c r="E61" s="84">
        <f>alive_nonmuslim_f_g6</f>
        <v>0</v>
      </c>
      <c r="F61" s="83" t="b">
        <v>1</v>
      </c>
      <c r="G61" s="83"/>
      <c r="H61" s="83"/>
    </row>
    <row r="62" spans="1:8">
      <c r="A62" s="83" t="s">
        <v>2326</v>
      </c>
      <c r="B62" s="83" t="s">
        <v>2338</v>
      </c>
      <c r="C62" s="83" t="s">
        <v>2326</v>
      </c>
      <c r="D62" s="83" t="s">
        <v>2367</v>
      </c>
      <c r="E62" s="84">
        <f>sses_m_g1</f>
        <v>0</v>
      </c>
      <c r="F62" s="83" t="b">
        <v>1</v>
      </c>
      <c r="G62" s="83"/>
      <c r="H62" s="83"/>
    </row>
    <row r="63" spans="1:8">
      <c r="A63" s="83" t="s">
        <v>2327</v>
      </c>
      <c r="B63" s="83" t="s">
        <v>2338</v>
      </c>
      <c r="C63" s="83" t="s">
        <v>2327</v>
      </c>
      <c r="D63" s="83" t="s">
        <v>2368</v>
      </c>
      <c r="E63" s="84">
        <f>sses_f_g1</f>
        <v>0</v>
      </c>
      <c r="F63" s="83" t="b">
        <v>1</v>
      </c>
      <c r="G63" s="83"/>
      <c r="H63" s="83"/>
    </row>
    <row r="64" spans="1:8">
      <c r="A64" s="83" t="s">
        <v>2328</v>
      </c>
      <c r="B64" s="83" t="s">
        <v>2338</v>
      </c>
      <c r="C64" s="83" t="s">
        <v>2328</v>
      </c>
      <c r="D64" s="83" t="s">
        <v>2369</v>
      </c>
      <c r="E64" s="84">
        <f>sses_m_g2</f>
        <v>0</v>
      </c>
      <c r="F64" s="83" t="b">
        <v>1</v>
      </c>
      <c r="G64" s="83"/>
      <c r="H64" s="83"/>
    </row>
    <row r="65" spans="1:8">
      <c r="A65" s="83" t="s">
        <v>2329</v>
      </c>
      <c r="B65" s="83" t="s">
        <v>2338</v>
      </c>
      <c r="C65" s="83" t="s">
        <v>2329</v>
      </c>
      <c r="D65" s="83" t="s">
        <v>2370</v>
      </c>
      <c r="E65" s="84">
        <f>sses_f_g2</f>
        <v>0</v>
      </c>
      <c r="F65" s="83" t="b">
        <v>1</v>
      </c>
      <c r="G65" s="83"/>
      <c r="H65" s="83"/>
    </row>
    <row r="66" spans="1:8">
      <c r="A66" s="83" t="s">
        <v>2330</v>
      </c>
      <c r="B66" s="83" t="s">
        <v>2338</v>
      </c>
      <c r="C66" s="83" t="s">
        <v>2330</v>
      </c>
      <c r="D66" s="83" t="s">
        <v>2371</v>
      </c>
      <c r="E66" s="84">
        <f>sses_m_g3</f>
        <v>0</v>
      </c>
      <c r="F66" s="83" t="b">
        <v>1</v>
      </c>
      <c r="G66" s="83"/>
      <c r="H66" s="83"/>
    </row>
    <row r="67" spans="1:8">
      <c r="A67" s="83" t="s">
        <v>2331</v>
      </c>
      <c r="B67" s="83" t="s">
        <v>2338</v>
      </c>
      <c r="C67" s="83" t="s">
        <v>2331</v>
      </c>
      <c r="D67" s="83" t="s">
        <v>2372</v>
      </c>
      <c r="E67" s="84">
        <f>sses_f_g3</f>
        <v>0</v>
      </c>
      <c r="F67" s="83" t="b">
        <v>1</v>
      </c>
      <c r="G67" s="83"/>
      <c r="H67" s="83"/>
    </row>
    <row r="68" spans="1:8">
      <c r="A68" s="83" t="s">
        <v>2332</v>
      </c>
      <c r="B68" s="83" t="s">
        <v>2338</v>
      </c>
      <c r="C68" s="83" t="s">
        <v>2332</v>
      </c>
      <c r="D68" s="83" t="s">
        <v>2373</v>
      </c>
      <c r="E68" s="84">
        <f>sses_m_g4</f>
        <v>0</v>
      </c>
      <c r="F68" s="83" t="b">
        <v>1</v>
      </c>
      <c r="G68" s="83"/>
      <c r="H68" s="83"/>
    </row>
    <row r="69" spans="1:8">
      <c r="A69" s="83" t="s">
        <v>2333</v>
      </c>
      <c r="B69" s="83" t="s">
        <v>2338</v>
      </c>
      <c r="C69" s="83" t="s">
        <v>2333</v>
      </c>
      <c r="D69" s="83" t="s">
        <v>2374</v>
      </c>
      <c r="E69" s="84">
        <f>sses_f_g4</f>
        <v>0</v>
      </c>
      <c r="F69" s="83" t="b">
        <v>1</v>
      </c>
      <c r="G69" s="83"/>
      <c r="H69" s="83"/>
    </row>
    <row r="70" spans="1:8">
      <c r="A70" s="83" t="s">
        <v>2334</v>
      </c>
      <c r="B70" s="83" t="s">
        <v>2338</v>
      </c>
      <c r="C70" s="83" t="s">
        <v>2334</v>
      </c>
      <c r="D70" s="83" t="s">
        <v>2375</v>
      </c>
      <c r="E70" s="84">
        <f>sses_m_g5</f>
        <v>0</v>
      </c>
      <c r="F70" s="83" t="b">
        <v>1</v>
      </c>
      <c r="G70" s="83"/>
      <c r="H70" s="83"/>
    </row>
    <row r="71" spans="1:8">
      <c r="A71" s="83" t="s">
        <v>2335</v>
      </c>
      <c r="B71" s="83" t="s">
        <v>2338</v>
      </c>
      <c r="C71" s="83" t="s">
        <v>2335</v>
      </c>
      <c r="D71" s="83" t="s">
        <v>2376</v>
      </c>
      <c r="E71" s="84">
        <f>sses_f_g5</f>
        <v>0</v>
      </c>
      <c r="F71" s="83" t="b">
        <v>1</v>
      </c>
      <c r="G71" s="83"/>
      <c r="H71" s="83"/>
    </row>
    <row r="72" spans="1:8">
      <c r="A72" s="83" t="s">
        <v>2336</v>
      </c>
      <c r="B72" s="83" t="s">
        <v>2338</v>
      </c>
      <c r="C72" s="83" t="s">
        <v>2336</v>
      </c>
      <c r="D72" s="83" t="s">
        <v>2377</v>
      </c>
      <c r="E72" s="84">
        <f>sses_m_g6</f>
        <v>0</v>
      </c>
      <c r="F72" s="83" t="b">
        <v>1</v>
      </c>
      <c r="G72" s="83"/>
      <c r="H72" s="83"/>
    </row>
    <row r="73" spans="1:8" ht="16" thickBot="1">
      <c r="A73" s="85" t="s">
        <v>2337</v>
      </c>
      <c r="B73" s="85" t="s">
        <v>2338</v>
      </c>
      <c r="C73" s="85" t="s">
        <v>2337</v>
      </c>
      <c r="D73" s="85" t="s">
        <v>2378</v>
      </c>
      <c r="E73" s="86">
        <f>sses_f_g6</f>
        <v>0</v>
      </c>
      <c r="F73" s="85" t="b">
        <v>1</v>
      </c>
      <c r="G73" s="85"/>
      <c r="H73" s="85"/>
    </row>
    <row r="74" spans="1:8">
      <c r="A74" s="83" t="s">
        <v>2379</v>
      </c>
      <c r="B74" s="83" t="s">
        <v>2380</v>
      </c>
      <c r="C74" s="83" t="s">
        <v>2379</v>
      </c>
      <c r="D74" s="83" t="s">
        <v>2702</v>
      </c>
      <c r="E74" s="84">
        <f>sped_home_vi_age_5to10</f>
        <v>0</v>
      </c>
      <c r="F74" s="83" t="b">
        <v>1</v>
      </c>
      <c r="G74" s="83"/>
      <c r="H74" s="83"/>
    </row>
    <row r="75" spans="1:8">
      <c r="A75" s="83" t="s">
        <v>2381</v>
      </c>
      <c r="B75" s="83" t="s">
        <v>2380</v>
      </c>
      <c r="C75" s="83" t="s">
        <v>2381</v>
      </c>
      <c r="D75" s="83" t="s">
        <v>2703</v>
      </c>
      <c r="E75" s="84">
        <f>sped_home_vi_age_11to15</f>
        <v>0</v>
      </c>
      <c r="F75" s="83" t="b">
        <v>1</v>
      </c>
      <c r="G75" s="83"/>
      <c r="H75" s="83"/>
    </row>
    <row r="76" spans="1:8">
      <c r="A76" s="83" t="s">
        <v>2382</v>
      </c>
      <c r="B76" s="83" t="s">
        <v>2380</v>
      </c>
      <c r="C76" s="83" t="s">
        <v>2382</v>
      </c>
      <c r="D76" s="83" t="s">
        <v>2704</v>
      </c>
      <c r="E76" s="84">
        <f>sped_home_vi_age_16to20</f>
        <v>0</v>
      </c>
      <c r="F76" s="83" t="b">
        <v>1</v>
      </c>
      <c r="G76" s="83"/>
      <c r="H76" s="83"/>
    </row>
    <row r="77" spans="1:8">
      <c r="A77" s="83" t="s">
        <v>2383</v>
      </c>
      <c r="B77" s="83" t="s">
        <v>2380</v>
      </c>
      <c r="C77" s="83" t="s">
        <v>2383</v>
      </c>
      <c r="D77" s="83" t="s">
        <v>2705</v>
      </c>
      <c r="E77" s="84">
        <f>sped_home_vi_age_21to25</f>
        <v>0</v>
      </c>
      <c r="F77" s="83" t="b">
        <v>1</v>
      </c>
      <c r="G77" s="83"/>
      <c r="H77" s="83"/>
    </row>
    <row r="78" spans="1:8">
      <c r="A78" s="83" t="s">
        <v>2384</v>
      </c>
      <c r="B78" s="83" t="s">
        <v>2380</v>
      </c>
      <c r="C78" s="83" t="s">
        <v>2384</v>
      </c>
      <c r="D78" s="83" t="s">
        <v>2706</v>
      </c>
      <c r="E78" s="84">
        <f>sped_home_vi_gp_ktog6</f>
        <v>0</v>
      </c>
      <c r="F78" s="83" t="b">
        <v>1</v>
      </c>
      <c r="G78" s="83"/>
      <c r="H78" s="83"/>
    </row>
    <row r="79" spans="1:8">
      <c r="A79" s="83" t="s">
        <v>2385</v>
      </c>
      <c r="B79" s="83" t="s">
        <v>2380</v>
      </c>
      <c r="C79" s="83" t="s">
        <v>2385</v>
      </c>
      <c r="D79" s="83" t="s">
        <v>2707</v>
      </c>
      <c r="E79" s="84">
        <f>sped_home_vi_gp_tp</f>
        <v>0</v>
      </c>
      <c r="F79" s="83" t="b">
        <v>1</v>
      </c>
      <c r="G79" s="83"/>
      <c r="H79" s="83"/>
    </row>
    <row r="80" spans="1:8">
      <c r="A80" s="83" t="s">
        <v>2386</v>
      </c>
      <c r="B80" s="83" t="s">
        <v>2380</v>
      </c>
      <c r="C80" s="83" t="s">
        <v>2386</v>
      </c>
      <c r="D80" s="83" t="s">
        <v>2708</v>
      </c>
      <c r="E80" s="84">
        <f>sped_home_vi_ltp_age_5to10</f>
        <v>0</v>
      </c>
      <c r="F80" s="83" t="b">
        <v>1</v>
      </c>
      <c r="G80" s="83"/>
      <c r="H80" s="83"/>
    </row>
    <row r="81" spans="1:8">
      <c r="A81" s="83" t="s">
        <v>2387</v>
      </c>
      <c r="B81" s="83" t="s">
        <v>2380</v>
      </c>
      <c r="C81" s="83" t="s">
        <v>2387</v>
      </c>
      <c r="D81" s="83" t="s">
        <v>2709</v>
      </c>
      <c r="E81" s="84">
        <f>sped_home_vi_ltp_age_11to15</f>
        <v>0</v>
      </c>
      <c r="F81" s="83" t="b">
        <v>1</v>
      </c>
      <c r="G81" s="83"/>
      <c r="H81" s="83"/>
    </row>
    <row r="82" spans="1:8">
      <c r="A82" s="83" t="s">
        <v>2388</v>
      </c>
      <c r="B82" s="83" t="s">
        <v>2380</v>
      </c>
      <c r="C82" s="83" t="s">
        <v>2388</v>
      </c>
      <c r="D82" s="83" t="s">
        <v>2710</v>
      </c>
      <c r="E82" s="84">
        <f>sped_home_vi_ltp_age_16to20</f>
        <v>0</v>
      </c>
      <c r="F82" s="83" t="b">
        <v>1</v>
      </c>
      <c r="G82" s="83"/>
      <c r="H82" s="83"/>
    </row>
    <row r="83" spans="1:8">
      <c r="A83" s="83" t="s">
        <v>2389</v>
      </c>
      <c r="B83" s="83" t="s">
        <v>2380</v>
      </c>
      <c r="C83" s="83" t="s">
        <v>2389</v>
      </c>
      <c r="D83" s="83" t="s">
        <v>2711</v>
      </c>
      <c r="E83" s="84">
        <f>sped_home_vi_ltp_age_21to25</f>
        <v>0</v>
      </c>
      <c r="F83" s="83" t="b">
        <v>1</v>
      </c>
      <c r="G83" s="83"/>
      <c r="H83" s="83"/>
    </row>
    <row r="84" spans="1:8">
      <c r="A84" s="83" t="s">
        <v>2390</v>
      </c>
      <c r="B84" s="83" t="s">
        <v>2380</v>
      </c>
      <c r="C84" s="83" t="s">
        <v>2390</v>
      </c>
      <c r="D84" s="83" t="s">
        <v>2712</v>
      </c>
      <c r="E84" s="84">
        <f>sped_hosp_vi_age_5to10</f>
        <v>0</v>
      </c>
      <c r="F84" s="83" t="b">
        <v>1</v>
      </c>
      <c r="G84" s="83"/>
      <c r="H84" s="83"/>
    </row>
    <row r="85" spans="1:8">
      <c r="A85" s="83" t="s">
        <v>2391</v>
      </c>
      <c r="B85" s="83" t="s">
        <v>2380</v>
      </c>
      <c r="C85" s="83" t="s">
        <v>2391</v>
      </c>
      <c r="D85" s="83" t="s">
        <v>2713</v>
      </c>
      <c r="E85" s="84">
        <f>sped_hosp_vi_age_11to15</f>
        <v>0</v>
      </c>
      <c r="F85" s="83" t="b">
        <v>1</v>
      </c>
      <c r="G85" s="83"/>
      <c r="H85" s="83"/>
    </row>
    <row r="86" spans="1:8">
      <c r="A86" s="83" t="s">
        <v>2392</v>
      </c>
      <c r="B86" s="83" t="s">
        <v>2380</v>
      </c>
      <c r="C86" s="83" t="s">
        <v>2392</v>
      </c>
      <c r="D86" s="83" t="s">
        <v>2714</v>
      </c>
      <c r="E86" s="84">
        <f>sped_hosp_vi_age_16to20</f>
        <v>0</v>
      </c>
      <c r="F86" s="83" t="b">
        <v>1</v>
      </c>
      <c r="G86" s="83"/>
      <c r="H86" s="83"/>
    </row>
    <row r="87" spans="1:8">
      <c r="A87" s="83" t="s">
        <v>2393</v>
      </c>
      <c r="B87" s="83" t="s">
        <v>2380</v>
      </c>
      <c r="C87" s="83" t="s">
        <v>2393</v>
      </c>
      <c r="D87" s="83" t="s">
        <v>2715</v>
      </c>
      <c r="E87" s="84">
        <f>sped_hosp_vi_age_21to25</f>
        <v>0</v>
      </c>
      <c r="F87" s="83" t="b">
        <v>1</v>
      </c>
      <c r="G87" s="83"/>
      <c r="H87" s="83"/>
    </row>
    <row r="88" spans="1:8">
      <c r="A88" s="83" t="s">
        <v>2394</v>
      </c>
      <c r="B88" s="83" t="s">
        <v>2380</v>
      </c>
      <c r="C88" s="83" t="s">
        <v>2394</v>
      </c>
      <c r="D88" s="83" t="s">
        <v>2716</v>
      </c>
      <c r="E88" s="84">
        <f>sped_hosp_vi_gp_ktog6</f>
        <v>0</v>
      </c>
      <c r="F88" s="83" t="b">
        <v>1</v>
      </c>
      <c r="G88" s="83"/>
      <c r="H88" s="83"/>
    </row>
    <row r="89" spans="1:8">
      <c r="A89" s="83" t="s">
        <v>2395</v>
      </c>
      <c r="B89" s="83" t="s">
        <v>2380</v>
      </c>
      <c r="C89" s="83" t="s">
        <v>2395</v>
      </c>
      <c r="D89" s="83" t="s">
        <v>2717</v>
      </c>
      <c r="E89" s="84">
        <f>sped_hosp_vi_gp_tp</f>
        <v>0</v>
      </c>
      <c r="F89" s="83" t="b">
        <v>1</v>
      </c>
      <c r="G89" s="83"/>
      <c r="H89" s="83"/>
    </row>
    <row r="90" spans="1:8">
      <c r="A90" s="83" t="s">
        <v>2396</v>
      </c>
      <c r="B90" s="83" t="s">
        <v>2380</v>
      </c>
      <c r="C90" s="83" t="s">
        <v>2396</v>
      </c>
      <c r="D90" s="83" t="s">
        <v>2718</v>
      </c>
      <c r="E90" s="84">
        <f>sped_hosp_vi_ltp_age_5to10</f>
        <v>0</v>
      </c>
      <c r="F90" s="83" t="b">
        <v>1</v>
      </c>
      <c r="G90" s="83"/>
      <c r="H90" s="83"/>
    </row>
    <row r="91" spans="1:8">
      <c r="A91" s="83" t="s">
        <v>2397</v>
      </c>
      <c r="B91" s="83" t="s">
        <v>2380</v>
      </c>
      <c r="C91" s="83" t="s">
        <v>2397</v>
      </c>
      <c r="D91" s="83" t="s">
        <v>2719</v>
      </c>
      <c r="E91" s="84">
        <f>sped_hosp_vi_ltp_age_11to15</f>
        <v>0</v>
      </c>
      <c r="F91" s="83" t="b">
        <v>1</v>
      </c>
      <c r="G91" s="83"/>
      <c r="H91" s="83"/>
    </row>
    <row r="92" spans="1:8">
      <c r="A92" s="83" t="s">
        <v>2398</v>
      </c>
      <c r="B92" s="83" t="s">
        <v>2380</v>
      </c>
      <c r="C92" s="83" t="s">
        <v>2398</v>
      </c>
      <c r="D92" s="83" t="s">
        <v>2720</v>
      </c>
      <c r="E92" s="84">
        <f>sped_hosp_vi_ltp_age_16to20</f>
        <v>0</v>
      </c>
      <c r="F92" s="83" t="b">
        <v>1</v>
      </c>
      <c r="G92" s="83"/>
      <c r="H92" s="83"/>
    </row>
    <row r="93" spans="1:8">
      <c r="A93" s="83" t="s">
        <v>2399</v>
      </c>
      <c r="B93" s="83" t="s">
        <v>2380</v>
      </c>
      <c r="C93" s="83" t="s">
        <v>2399</v>
      </c>
      <c r="D93" s="83" t="s">
        <v>2721</v>
      </c>
      <c r="E93" s="84">
        <f>sped_hosp_vi_ltp_age_21to25</f>
        <v>0</v>
      </c>
      <c r="F93" s="83" t="b">
        <v>1</v>
      </c>
      <c r="G93" s="83"/>
      <c r="H93" s="83"/>
    </row>
    <row r="94" spans="1:8">
      <c r="A94" s="83" t="s">
        <v>2400</v>
      </c>
      <c r="B94" s="83" t="s">
        <v>2380</v>
      </c>
      <c r="C94" s="83" t="s">
        <v>2400</v>
      </c>
      <c r="D94" s="83" t="s">
        <v>2762</v>
      </c>
      <c r="E94" s="84">
        <f>sped_home_hi_age_5to10</f>
        <v>0</v>
      </c>
      <c r="F94" s="83" t="b">
        <v>1</v>
      </c>
      <c r="G94" s="83"/>
      <c r="H94" s="83"/>
    </row>
    <row r="95" spans="1:8">
      <c r="A95" s="83" t="s">
        <v>2401</v>
      </c>
      <c r="B95" s="83" t="s">
        <v>2380</v>
      </c>
      <c r="C95" s="83" t="s">
        <v>2401</v>
      </c>
      <c r="D95" s="83" t="s">
        <v>2763</v>
      </c>
      <c r="E95" s="84">
        <f>sped_home_hi_age_11to15</f>
        <v>0</v>
      </c>
      <c r="F95" s="83" t="b">
        <v>1</v>
      </c>
      <c r="G95" s="83"/>
      <c r="H95" s="83"/>
    </row>
    <row r="96" spans="1:8">
      <c r="A96" s="83" t="s">
        <v>2402</v>
      </c>
      <c r="B96" s="83" t="s">
        <v>2380</v>
      </c>
      <c r="C96" s="83" t="s">
        <v>2402</v>
      </c>
      <c r="D96" s="83" t="s">
        <v>2764</v>
      </c>
      <c r="E96" s="84">
        <f>sped_home_hi_age_16to20</f>
        <v>0</v>
      </c>
      <c r="F96" s="83" t="b">
        <v>1</v>
      </c>
      <c r="G96" s="83"/>
      <c r="H96" s="83"/>
    </row>
    <row r="97" spans="1:8">
      <c r="A97" s="83" t="s">
        <v>2403</v>
      </c>
      <c r="B97" s="83" t="s">
        <v>2380</v>
      </c>
      <c r="C97" s="83" t="s">
        <v>2403</v>
      </c>
      <c r="D97" s="83" t="s">
        <v>2765</v>
      </c>
      <c r="E97" s="84">
        <f>sped_home_hi_age_21to25</f>
        <v>0</v>
      </c>
      <c r="F97" s="83" t="b">
        <v>1</v>
      </c>
      <c r="G97" s="83"/>
      <c r="H97" s="83"/>
    </row>
    <row r="98" spans="1:8">
      <c r="A98" s="83" t="s">
        <v>2404</v>
      </c>
      <c r="B98" s="83" t="s">
        <v>2380</v>
      </c>
      <c r="C98" s="83" t="s">
        <v>2404</v>
      </c>
      <c r="D98" s="83" t="s">
        <v>2766</v>
      </c>
      <c r="E98" s="84">
        <f>sped_home_hi_gp_ktog6</f>
        <v>0</v>
      </c>
      <c r="F98" s="83" t="b">
        <v>1</v>
      </c>
      <c r="G98" s="83"/>
      <c r="H98" s="83"/>
    </row>
    <row r="99" spans="1:8">
      <c r="A99" s="83" t="s">
        <v>2405</v>
      </c>
      <c r="B99" s="83" t="s">
        <v>2380</v>
      </c>
      <c r="C99" s="83" t="s">
        <v>2405</v>
      </c>
      <c r="D99" s="83" t="s">
        <v>2767</v>
      </c>
      <c r="E99" s="84">
        <f>sped_home_hi_gp_tp</f>
        <v>0</v>
      </c>
      <c r="F99" s="83" t="b">
        <v>1</v>
      </c>
      <c r="G99" s="83"/>
      <c r="H99" s="83"/>
    </row>
    <row r="100" spans="1:8">
      <c r="A100" s="83" t="s">
        <v>2406</v>
      </c>
      <c r="B100" s="83" t="s">
        <v>2380</v>
      </c>
      <c r="C100" s="83" t="s">
        <v>2406</v>
      </c>
      <c r="D100" s="83" t="s">
        <v>2768</v>
      </c>
      <c r="E100" s="84">
        <f>sped_home_hi_ltp_age_5to10</f>
        <v>0</v>
      </c>
      <c r="F100" s="83" t="b">
        <v>1</v>
      </c>
      <c r="G100" s="83"/>
      <c r="H100" s="83"/>
    </row>
    <row r="101" spans="1:8">
      <c r="A101" s="83" t="s">
        <v>2407</v>
      </c>
      <c r="B101" s="83" t="s">
        <v>2380</v>
      </c>
      <c r="C101" s="83" t="s">
        <v>2407</v>
      </c>
      <c r="D101" s="83" t="s">
        <v>2769</v>
      </c>
      <c r="E101" s="84">
        <f>sped_home_hi_ltp_age_11to15</f>
        <v>0</v>
      </c>
      <c r="F101" s="83" t="b">
        <v>1</v>
      </c>
      <c r="G101" s="83"/>
      <c r="H101" s="83"/>
    </row>
    <row r="102" spans="1:8">
      <c r="A102" s="83" t="s">
        <v>2408</v>
      </c>
      <c r="B102" s="83" t="s">
        <v>2380</v>
      </c>
      <c r="C102" s="83" t="s">
        <v>2408</v>
      </c>
      <c r="D102" s="83" t="s">
        <v>2770</v>
      </c>
      <c r="E102" s="84">
        <f>sped_home_hi_ltp_age_16to20</f>
        <v>0</v>
      </c>
      <c r="F102" s="83" t="b">
        <v>1</v>
      </c>
      <c r="G102" s="83"/>
      <c r="H102" s="83"/>
    </row>
    <row r="103" spans="1:8">
      <c r="A103" s="83" t="s">
        <v>2409</v>
      </c>
      <c r="B103" s="83" t="s">
        <v>2380</v>
      </c>
      <c r="C103" s="83" t="s">
        <v>2409</v>
      </c>
      <c r="D103" s="83" t="s">
        <v>2771</v>
      </c>
      <c r="E103" s="84">
        <f>sped_home_hi_ltp_age_21to25</f>
        <v>0</v>
      </c>
      <c r="F103" s="83" t="b">
        <v>1</v>
      </c>
      <c r="G103" s="83"/>
      <c r="H103" s="83"/>
    </row>
    <row r="104" spans="1:8">
      <c r="A104" s="83" t="s">
        <v>2410</v>
      </c>
      <c r="B104" s="83" t="s">
        <v>2380</v>
      </c>
      <c r="C104" s="83" t="s">
        <v>2410</v>
      </c>
      <c r="D104" s="83" t="s">
        <v>2772</v>
      </c>
      <c r="E104" s="84">
        <f>sped_hosp_hi_age_5to10</f>
        <v>0</v>
      </c>
      <c r="F104" s="83" t="b">
        <v>1</v>
      </c>
      <c r="G104" s="83"/>
      <c r="H104" s="83"/>
    </row>
    <row r="105" spans="1:8">
      <c r="A105" s="83" t="s">
        <v>2411</v>
      </c>
      <c r="B105" s="83" t="s">
        <v>2380</v>
      </c>
      <c r="C105" s="83" t="s">
        <v>2411</v>
      </c>
      <c r="D105" s="83" t="s">
        <v>2773</v>
      </c>
      <c r="E105" s="84">
        <f>sped_hosp_hi_age_11to15</f>
        <v>0</v>
      </c>
      <c r="F105" s="83" t="b">
        <v>1</v>
      </c>
      <c r="G105" s="83"/>
      <c r="H105" s="83"/>
    </row>
    <row r="106" spans="1:8">
      <c r="A106" s="83" t="s">
        <v>2412</v>
      </c>
      <c r="B106" s="83" t="s">
        <v>2380</v>
      </c>
      <c r="C106" s="83" t="s">
        <v>2412</v>
      </c>
      <c r="D106" s="83" t="s">
        <v>2774</v>
      </c>
      <c r="E106" s="84">
        <f>sped_hosp_hi_age_16to20</f>
        <v>0</v>
      </c>
      <c r="F106" s="83" t="b">
        <v>1</v>
      </c>
      <c r="G106" s="83"/>
      <c r="H106" s="83"/>
    </row>
    <row r="107" spans="1:8">
      <c r="A107" s="83" t="s">
        <v>2413</v>
      </c>
      <c r="B107" s="83" t="s">
        <v>2380</v>
      </c>
      <c r="C107" s="83" t="s">
        <v>2413</v>
      </c>
      <c r="D107" s="83" t="s">
        <v>2775</v>
      </c>
      <c r="E107" s="84">
        <f>sped_hosp_hi_age_21to25</f>
        <v>0</v>
      </c>
      <c r="F107" s="83" t="b">
        <v>1</v>
      </c>
      <c r="G107" s="83"/>
      <c r="H107" s="83"/>
    </row>
    <row r="108" spans="1:8">
      <c r="A108" s="83" t="s">
        <v>2414</v>
      </c>
      <c r="B108" s="83" t="s">
        <v>2380</v>
      </c>
      <c r="C108" s="83" t="s">
        <v>2414</v>
      </c>
      <c r="D108" s="83" t="s">
        <v>2776</v>
      </c>
      <c r="E108" s="84">
        <f>sped_hosp_hi_gp_ktog6</f>
        <v>0</v>
      </c>
      <c r="F108" s="83" t="b">
        <v>1</v>
      </c>
      <c r="G108" s="83"/>
      <c r="H108" s="83"/>
    </row>
    <row r="109" spans="1:8">
      <c r="A109" s="83" t="s">
        <v>2415</v>
      </c>
      <c r="B109" s="83" t="s">
        <v>2380</v>
      </c>
      <c r="C109" s="83" t="s">
        <v>2415</v>
      </c>
      <c r="D109" s="83" t="s">
        <v>2777</v>
      </c>
      <c r="E109" s="84">
        <f>sped_hosp_hi_gp_tp</f>
        <v>0</v>
      </c>
      <c r="F109" s="83" t="b">
        <v>1</v>
      </c>
      <c r="G109" s="83"/>
      <c r="H109" s="83"/>
    </row>
    <row r="110" spans="1:8">
      <c r="A110" s="83" t="s">
        <v>2416</v>
      </c>
      <c r="B110" s="83" t="s">
        <v>2380</v>
      </c>
      <c r="C110" s="83" t="s">
        <v>2416</v>
      </c>
      <c r="D110" s="83" t="s">
        <v>2778</v>
      </c>
      <c r="E110" s="84">
        <f>sped_hosp_hi_ltp_age_5to10</f>
        <v>0</v>
      </c>
      <c r="F110" s="83" t="b">
        <v>1</v>
      </c>
      <c r="G110" s="83"/>
      <c r="H110" s="83"/>
    </row>
    <row r="111" spans="1:8">
      <c r="A111" s="83" t="s">
        <v>2417</v>
      </c>
      <c r="B111" s="83" t="s">
        <v>2380</v>
      </c>
      <c r="C111" s="83" t="s">
        <v>2417</v>
      </c>
      <c r="D111" s="83" t="s">
        <v>2779</v>
      </c>
      <c r="E111" s="84">
        <f>sped_hosp_hi_ltp_age_11to15</f>
        <v>0</v>
      </c>
      <c r="F111" s="83" t="b">
        <v>1</v>
      </c>
      <c r="G111" s="83"/>
      <c r="H111" s="83"/>
    </row>
    <row r="112" spans="1:8">
      <c r="A112" s="83" t="s">
        <v>2418</v>
      </c>
      <c r="B112" s="83" t="s">
        <v>2380</v>
      </c>
      <c r="C112" s="83" t="s">
        <v>2418</v>
      </c>
      <c r="D112" s="83" t="s">
        <v>2780</v>
      </c>
      <c r="E112" s="84">
        <f>sped_hosp_hi_ltp_age_16to20</f>
        <v>0</v>
      </c>
      <c r="F112" s="83" t="b">
        <v>1</v>
      </c>
      <c r="G112" s="83"/>
      <c r="H112" s="83"/>
    </row>
    <row r="113" spans="1:8">
      <c r="A113" s="83" t="s">
        <v>2419</v>
      </c>
      <c r="B113" s="83" t="s">
        <v>2380</v>
      </c>
      <c r="C113" s="83" t="s">
        <v>2419</v>
      </c>
      <c r="D113" s="83" t="s">
        <v>2781</v>
      </c>
      <c r="E113" s="84">
        <f>sped_hosp_hi_ltp_age_21to25</f>
        <v>0</v>
      </c>
      <c r="F113" s="83" t="b">
        <v>1</v>
      </c>
      <c r="G113" s="83"/>
      <c r="H113" s="83"/>
    </row>
    <row r="114" spans="1:8">
      <c r="A114" s="83" t="s">
        <v>2420</v>
      </c>
      <c r="B114" s="83" t="s">
        <v>2380</v>
      </c>
      <c r="C114" s="83" t="s">
        <v>2420</v>
      </c>
      <c r="D114" s="83" t="s">
        <v>2742</v>
      </c>
      <c r="E114" s="84">
        <f>sped_home_ld_age_5to10</f>
        <v>0</v>
      </c>
      <c r="F114" s="83" t="b">
        <v>1</v>
      </c>
      <c r="G114" s="83"/>
      <c r="H114" s="83"/>
    </row>
    <row r="115" spans="1:8">
      <c r="A115" s="83" t="s">
        <v>2421</v>
      </c>
      <c r="B115" s="83" t="s">
        <v>2380</v>
      </c>
      <c r="C115" s="83" t="s">
        <v>2421</v>
      </c>
      <c r="D115" s="83" t="s">
        <v>2743</v>
      </c>
      <c r="E115" s="84">
        <f>sped_home_ld_age_11to15</f>
        <v>0</v>
      </c>
      <c r="F115" s="83" t="b">
        <v>1</v>
      </c>
      <c r="G115" s="83"/>
      <c r="H115" s="83"/>
    </row>
    <row r="116" spans="1:8">
      <c r="A116" s="83" t="s">
        <v>2422</v>
      </c>
      <c r="B116" s="83" t="s">
        <v>2380</v>
      </c>
      <c r="C116" s="83" t="s">
        <v>2422</v>
      </c>
      <c r="D116" s="83" t="s">
        <v>2744</v>
      </c>
      <c r="E116" s="84">
        <f>sped_home_ld_age_16to20</f>
        <v>0</v>
      </c>
      <c r="F116" s="83" t="b">
        <v>1</v>
      </c>
      <c r="G116" s="83"/>
      <c r="H116" s="83"/>
    </row>
    <row r="117" spans="1:8">
      <c r="A117" s="83" t="s">
        <v>2423</v>
      </c>
      <c r="B117" s="83" t="s">
        <v>2380</v>
      </c>
      <c r="C117" s="83" t="s">
        <v>2423</v>
      </c>
      <c r="D117" s="83" t="s">
        <v>2745</v>
      </c>
      <c r="E117" s="84">
        <f>sped_home_ld_age_21to25</f>
        <v>0</v>
      </c>
      <c r="F117" s="83" t="b">
        <v>1</v>
      </c>
      <c r="G117" s="83"/>
      <c r="H117" s="83"/>
    </row>
    <row r="118" spans="1:8">
      <c r="A118" s="83" t="s">
        <v>2424</v>
      </c>
      <c r="B118" s="83" t="s">
        <v>2380</v>
      </c>
      <c r="C118" s="83" t="s">
        <v>2424</v>
      </c>
      <c r="D118" s="83" t="s">
        <v>2746</v>
      </c>
      <c r="E118" s="84">
        <f>sped_home_ld_gp_ktog6</f>
        <v>0</v>
      </c>
      <c r="F118" s="83" t="b">
        <v>1</v>
      </c>
      <c r="G118" s="83"/>
      <c r="H118" s="83"/>
    </row>
    <row r="119" spans="1:8">
      <c r="A119" s="83" t="s">
        <v>2425</v>
      </c>
      <c r="B119" s="83" t="s">
        <v>2380</v>
      </c>
      <c r="C119" s="83" t="s">
        <v>2425</v>
      </c>
      <c r="D119" s="83" t="s">
        <v>2747</v>
      </c>
      <c r="E119" s="84">
        <f>sped_home_ld_gp_tp</f>
        <v>0</v>
      </c>
      <c r="F119" s="83" t="b">
        <v>1</v>
      </c>
      <c r="G119" s="83"/>
      <c r="H119" s="83"/>
    </row>
    <row r="120" spans="1:8">
      <c r="A120" s="83" t="s">
        <v>2426</v>
      </c>
      <c r="B120" s="83" t="s">
        <v>2380</v>
      </c>
      <c r="C120" s="83" t="s">
        <v>2426</v>
      </c>
      <c r="D120" s="83" t="s">
        <v>2748</v>
      </c>
      <c r="E120" s="84">
        <f>sped_home_ld_ltp_age_5to10</f>
        <v>0</v>
      </c>
      <c r="F120" s="83" t="b">
        <v>1</v>
      </c>
      <c r="G120" s="83"/>
      <c r="H120" s="83"/>
    </row>
    <row r="121" spans="1:8">
      <c r="A121" s="83" t="s">
        <v>2427</v>
      </c>
      <c r="B121" s="83" t="s">
        <v>2380</v>
      </c>
      <c r="C121" s="83" t="s">
        <v>2427</v>
      </c>
      <c r="D121" s="83" t="s">
        <v>2749</v>
      </c>
      <c r="E121" s="84">
        <f>sped_home_ld_ltp_age_11to15</f>
        <v>0</v>
      </c>
      <c r="F121" s="83" t="b">
        <v>1</v>
      </c>
      <c r="G121" s="83"/>
      <c r="H121" s="83"/>
    </row>
    <row r="122" spans="1:8">
      <c r="A122" s="83" t="s">
        <v>2428</v>
      </c>
      <c r="B122" s="83" t="s">
        <v>2380</v>
      </c>
      <c r="C122" s="83" t="s">
        <v>2428</v>
      </c>
      <c r="D122" s="83" t="s">
        <v>2750</v>
      </c>
      <c r="E122" s="84">
        <f>sped_home_ld_ltp_age_16to20</f>
        <v>0</v>
      </c>
      <c r="F122" s="83" t="b">
        <v>1</v>
      </c>
      <c r="G122" s="83"/>
      <c r="H122" s="83"/>
    </row>
    <row r="123" spans="1:8">
      <c r="A123" s="83" t="s">
        <v>2429</v>
      </c>
      <c r="B123" s="83" t="s">
        <v>2380</v>
      </c>
      <c r="C123" s="83" t="s">
        <v>2429</v>
      </c>
      <c r="D123" s="83" t="s">
        <v>2751</v>
      </c>
      <c r="E123" s="84">
        <f>sped_home_ld_ltp_age_21to25</f>
        <v>0</v>
      </c>
      <c r="F123" s="83" t="b">
        <v>1</v>
      </c>
      <c r="G123" s="83"/>
      <c r="H123" s="83"/>
    </row>
    <row r="124" spans="1:8">
      <c r="A124" s="83" t="s">
        <v>2430</v>
      </c>
      <c r="B124" s="83" t="s">
        <v>2380</v>
      </c>
      <c r="C124" s="83" t="s">
        <v>2430</v>
      </c>
      <c r="D124" s="83" t="s">
        <v>2752</v>
      </c>
      <c r="E124" s="84">
        <f>sped_hosp_ld_age_5to10</f>
        <v>0</v>
      </c>
      <c r="F124" s="83" t="b">
        <v>1</v>
      </c>
      <c r="G124" s="83"/>
      <c r="H124" s="83"/>
    </row>
    <row r="125" spans="1:8">
      <c r="A125" s="83" t="s">
        <v>2431</v>
      </c>
      <c r="B125" s="83" t="s">
        <v>2380</v>
      </c>
      <c r="C125" s="83" t="s">
        <v>2431</v>
      </c>
      <c r="D125" s="83" t="s">
        <v>2753</v>
      </c>
      <c r="E125" s="84">
        <f>sped_hosp_ld_age_11to15</f>
        <v>0</v>
      </c>
      <c r="F125" s="83" t="b">
        <v>1</v>
      </c>
      <c r="G125" s="83"/>
      <c r="H125" s="83"/>
    </row>
    <row r="126" spans="1:8">
      <c r="A126" s="83" t="s">
        <v>2432</v>
      </c>
      <c r="B126" s="83" t="s">
        <v>2380</v>
      </c>
      <c r="C126" s="83" t="s">
        <v>2432</v>
      </c>
      <c r="D126" s="83" t="s">
        <v>2754</v>
      </c>
      <c r="E126" s="84">
        <f>sped_hosp_ld_age_16to20</f>
        <v>0</v>
      </c>
      <c r="F126" s="83" t="b">
        <v>1</v>
      </c>
      <c r="G126" s="83"/>
      <c r="H126" s="83"/>
    </row>
    <row r="127" spans="1:8">
      <c r="A127" s="83" t="s">
        <v>2433</v>
      </c>
      <c r="B127" s="83" t="s">
        <v>2380</v>
      </c>
      <c r="C127" s="83" t="s">
        <v>2433</v>
      </c>
      <c r="D127" s="83" t="s">
        <v>2755</v>
      </c>
      <c r="E127" s="84">
        <f>sped_hosp_ld_age_21to25</f>
        <v>0</v>
      </c>
      <c r="F127" s="83" t="b">
        <v>1</v>
      </c>
      <c r="G127" s="83"/>
      <c r="H127" s="83"/>
    </row>
    <row r="128" spans="1:8">
      <c r="A128" s="83" t="s">
        <v>2434</v>
      </c>
      <c r="B128" s="83" t="s">
        <v>2380</v>
      </c>
      <c r="C128" s="83" t="s">
        <v>2434</v>
      </c>
      <c r="D128" s="83" t="s">
        <v>2756</v>
      </c>
      <c r="E128" s="84">
        <f>sped_hosp_ld_gp_ktog6</f>
        <v>0</v>
      </c>
      <c r="F128" s="83" t="b">
        <v>1</v>
      </c>
      <c r="G128" s="83"/>
      <c r="H128" s="83"/>
    </row>
    <row r="129" spans="1:8">
      <c r="A129" s="83" t="s">
        <v>2435</v>
      </c>
      <c r="B129" s="83" t="s">
        <v>2380</v>
      </c>
      <c r="C129" s="83" t="s">
        <v>2435</v>
      </c>
      <c r="D129" s="83" t="s">
        <v>2757</v>
      </c>
      <c r="E129" s="84">
        <f>sped_hosp_ld_gp_tp</f>
        <v>0</v>
      </c>
      <c r="F129" s="83" t="b">
        <v>1</v>
      </c>
      <c r="G129" s="83"/>
      <c r="H129" s="83"/>
    </row>
    <row r="130" spans="1:8">
      <c r="A130" s="83" t="s">
        <v>2436</v>
      </c>
      <c r="B130" s="83" t="s">
        <v>2380</v>
      </c>
      <c r="C130" s="83" t="s">
        <v>2436</v>
      </c>
      <c r="D130" s="83" t="s">
        <v>2758</v>
      </c>
      <c r="E130" s="84">
        <f>sped_hosp_ld_ltp_age_5to10</f>
        <v>0</v>
      </c>
      <c r="F130" s="83" t="b">
        <v>1</v>
      </c>
      <c r="G130" s="83"/>
      <c r="H130" s="83"/>
    </row>
    <row r="131" spans="1:8">
      <c r="A131" s="83" t="s">
        <v>2437</v>
      </c>
      <c r="B131" s="83" t="s">
        <v>2380</v>
      </c>
      <c r="C131" s="83" t="s">
        <v>2437</v>
      </c>
      <c r="D131" s="83" t="s">
        <v>2759</v>
      </c>
      <c r="E131" s="84">
        <f>sped_hosp_ld_ltp_age_11to15</f>
        <v>0</v>
      </c>
      <c r="F131" s="83" t="b">
        <v>1</v>
      </c>
      <c r="G131" s="83"/>
      <c r="H131" s="83"/>
    </row>
    <row r="132" spans="1:8">
      <c r="A132" s="83" t="s">
        <v>2438</v>
      </c>
      <c r="B132" s="83" t="s">
        <v>2380</v>
      </c>
      <c r="C132" s="83" t="s">
        <v>2438</v>
      </c>
      <c r="D132" s="83" t="s">
        <v>2760</v>
      </c>
      <c r="E132" s="84">
        <f>sped_hosp_ld_ltp_age_16to20</f>
        <v>0</v>
      </c>
      <c r="F132" s="83" t="b">
        <v>1</v>
      </c>
      <c r="G132" s="83"/>
      <c r="H132" s="83"/>
    </row>
    <row r="133" spans="1:8">
      <c r="A133" s="83" t="s">
        <v>2439</v>
      </c>
      <c r="B133" s="83" t="s">
        <v>2380</v>
      </c>
      <c r="C133" s="83" t="s">
        <v>2439</v>
      </c>
      <c r="D133" s="83" t="s">
        <v>2761</v>
      </c>
      <c r="E133" s="84">
        <f>sped_hosp_ld_ltp_age_21to25</f>
        <v>0</v>
      </c>
      <c r="F133" s="83" t="b">
        <v>1</v>
      </c>
      <c r="G133" s="83"/>
      <c r="H133" s="83"/>
    </row>
    <row r="134" spans="1:8">
      <c r="A134" s="83" t="s">
        <v>2440</v>
      </c>
      <c r="B134" s="83" t="s">
        <v>2380</v>
      </c>
      <c r="C134" s="83" t="s">
        <v>2440</v>
      </c>
      <c r="D134" s="83" t="s">
        <v>2782</v>
      </c>
      <c r="E134" s="84">
        <f>sped_home_id_age_5to10</f>
        <v>0</v>
      </c>
      <c r="F134" s="83" t="b">
        <v>1</v>
      </c>
      <c r="G134" s="83"/>
      <c r="H134" s="83"/>
    </row>
    <row r="135" spans="1:8">
      <c r="A135" s="83" t="s">
        <v>2441</v>
      </c>
      <c r="B135" s="83" t="s">
        <v>2380</v>
      </c>
      <c r="C135" s="83" t="s">
        <v>2441</v>
      </c>
      <c r="D135" s="83" t="s">
        <v>2783</v>
      </c>
      <c r="E135" s="84">
        <f>sped_home_id_age_11to15</f>
        <v>0</v>
      </c>
      <c r="F135" s="83" t="b">
        <v>1</v>
      </c>
      <c r="G135" s="83"/>
      <c r="H135" s="83"/>
    </row>
    <row r="136" spans="1:8">
      <c r="A136" s="83" t="s">
        <v>2442</v>
      </c>
      <c r="B136" s="83" t="s">
        <v>2380</v>
      </c>
      <c r="C136" s="83" t="s">
        <v>2442</v>
      </c>
      <c r="D136" s="83" t="s">
        <v>2784</v>
      </c>
      <c r="E136" s="84">
        <f>sped_home_id_age_16to20</f>
        <v>0</v>
      </c>
      <c r="F136" s="83" t="b">
        <v>1</v>
      </c>
      <c r="G136" s="83"/>
      <c r="H136" s="83"/>
    </row>
    <row r="137" spans="1:8">
      <c r="A137" s="83" t="s">
        <v>2443</v>
      </c>
      <c r="B137" s="83" t="s">
        <v>2380</v>
      </c>
      <c r="C137" s="83" t="s">
        <v>2443</v>
      </c>
      <c r="D137" s="83" t="s">
        <v>2785</v>
      </c>
      <c r="E137" s="84">
        <f>sped_home_id_age_21to25</f>
        <v>0</v>
      </c>
      <c r="F137" s="83" t="b">
        <v>1</v>
      </c>
      <c r="G137" s="83"/>
      <c r="H137" s="83"/>
    </row>
    <row r="138" spans="1:8">
      <c r="A138" s="83" t="s">
        <v>2444</v>
      </c>
      <c r="B138" s="83" t="s">
        <v>2380</v>
      </c>
      <c r="C138" s="83" t="s">
        <v>2444</v>
      </c>
      <c r="D138" s="83" t="s">
        <v>2786</v>
      </c>
      <c r="E138" s="84">
        <f>sped_home_id_gp_ktog6</f>
        <v>0</v>
      </c>
      <c r="F138" s="83" t="b">
        <v>1</v>
      </c>
      <c r="G138" s="83"/>
      <c r="H138" s="83"/>
    </row>
    <row r="139" spans="1:8">
      <c r="A139" s="83" t="s">
        <v>2445</v>
      </c>
      <c r="B139" s="83" t="s">
        <v>2380</v>
      </c>
      <c r="C139" s="83" t="s">
        <v>2445</v>
      </c>
      <c r="D139" s="83" t="s">
        <v>2787</v>
      </c>
      <c r="E139" s="84">
        <f>sped_home_id_gp_tp</f>
        <v>0</v>
      </c>
      <c r="F139" s="83" t="b">
        <v>1</v>
      </c>
      <c r="G139" s="83"/>
      <c r="H139" s="83"/>
    </row>
    <row r="140" spans="1:8">
      <c r="A140" s="83" t="s">
        <v>2446</v>
      </c>
      <c r="B140" s="83" t="s">
        <v>2380</v>
      </c>
      <c r="C140" s="83" t="s">
        <v>2446</v>
      </c>
      <c r="D140" s="83" t="s">
        <v>2788</v>
      </c>
      <c r="E140" s="84">
        <f>sped_home_id_ltp_age_5to10</f>
        <v>0</v>
      </c>
      <c r="F140" s="83" t="b">
        <v>1</v>
      </c>
      <c r="G140" s="83"/>
      <c r="H140" s="83"/>
    </row>
    <row r="141" spans="1:8">
      <c r="A141" s="83" t="s">
        <v>2447</v>
      </c>
      <c r="B141" s="83" t="s">
        <v>2380</v>
      </c>
      <c r="C141" s="83" t="s">
        <v>2447</v>
      </c>
      <c r="D141" s="83" t="s">
        <v>2789</v>
      </c>
      <c r="E141" s="84">
        <f>sped_home_id_ltp_age_11to15</f>
        <v>0</v>
      </c>
      <c r="F141" s="83" t="b">
        <v>1</v>
      </c>
      <c r="G141" s="83"/>
      <c r="H141" s="83"/>
    </row>
    <row r="142" spans="1:8">
      <c r="A142" s="83" t="s">
        <v>2448</v>
      </c>
      <c r="B142" s="83" t="s">
        <v>2380</v>
      </c>
      <c r="C142" s="83" t="s">
        <v>2448</v>
      </c>
      <c r="D142" s="83" t="s">
        <v>2790</v>
      </c>
      <c r="E142" s="84">
        <f>sped_home_id_ltp_age_16to20</f>
        <v>0</v>
      </c>
      <c r="F142" s="83" t="b">
        <v>1</v>
      </c>
      <c r="G142" s="83"/>
      <c r="H142" s="83"/>
    </row>
    <row r="143" spans="1:8">
      <c r="A143" s="83" t="s">
        <v>2449</v>
      </c>
      <c r="B143" s="83" t="s">
        <v>2380</v>
      </c>
      <c r="C143" s="83" t="s">
        <v>2449</v>
      </c>
      <c r="D143" s="83" t="s">
        <v>2791</v>
      </c>
      <c r="E143" s="84">
        <f>sped_home_id_ltp_age_21to25</f>
        <v>0</v>
      </c>
      <c r="F143" s="83" t="b">
        <v>1</v>
      </c>
      <c r="G143" s="83"/>
      <c r="H143" s="83"/>
    </row>
    <row r="144" spans="1:8">
      <c r="A144" s="83" t="s">
        <v>2450</v>
      </c>
      <c r="B144" s="83" t="s">
        <v>2380</v>
      </c>
      <c r="C144" s="83" t="s">
        <v>2450</v>
      </c>
      <c r="D144" s="83" t="s">
        <v>2792</v>
      </c>
      <c r="E144" s="84">
        <f>sped_hosp_id_age_5to10</f>
        <v>0</v>
      </c>
      <c r="F144" s="83" t="b">
        <v>1</v>
      </c>
      <c r="G144" s="83"/>
      <c r="H144" s="83"/>
    </row>
    <row r="145" spans="1:8">
      <c r="A145" s="83" t="s">
        <v>2451</v>
      </c>
      <c r="B145" s="83" t="s">
        <v>2380</v>
      </c>
      <c r="C145" s="83" t="s">
        <v>2451</v>
      </c>
      <c r="D145" s="83" t="s">
        <v>2793</v>
      </c>
      <c r="E145" s="84">
        <f>sped_hosp_id_age_11to15</f>
        <v>0</v>
      </c>
      <c r="F145" s="83" t="b">
        <v>1</v>
      </c>
      <c r="G145" s="83"/>
      <c r="H145" s="83"/>
    </row>
    <row r="146" spans="1:8">
      <c r="A146" s="83" t="s">
        <v>2452</v>
      </c>
      <c r="B146" s="83" t="s">
        <v>2380</v>
      </c>
      <c r="C146" s="83" t="s">
        <v>2452</v>
      </c>
      <c r="D146" s="83" t="s">
        <v>2794</v>
      </c>
      <c r="E146" s="84">
        <f>sped_hosp_id_age_16to20</f>
        <v>0</v>
      </c>
      <c r="F146" s="83" t="b">
        <v>1</v>
      </c>
      <c r="G146" s="83"/>
      <c r="H146" s="83"/>
    </row>
    <row r="147" spans="1:8">
      <c r="A147" s="83" t="s">
        <v>2453</v>
      </c>
      <c r="B147" s="83" t="s">
        <v>2380</v>
      </c>
      <c r="C147" s="83" t="s">
        <v>2453</v>
      </c>
      <c r="D147" s="83" t="s">
        <v>2795</v>
      </c>
      <c r="E147" s="84">
        <f>sped_hosp_id_age_21to25</f>
        <v>0</v>
      </c>
      <c r="F147" s="83" t="b">
        <v>1</v>
      </c>
      <c r="G147" s="83"/>
      <c r="H147" s="83"/>
    </row>
    <row r="148" spans="1:8">
      <c r="A148" s="83" t="s">
        <v>2454</v>
      </c>
      <c r="B148" s="83" t="s">
        <v>2380</v>
      </c>
      <c r="C148" s="83" t="s">
        <v>2454</v>
      </c>
      <c r="D148" s="83" t="s">
        <v>2796</v>
      </c>
      <c r="E148" s="84">
        <f>sped_hosp_id_gp_ktog6</f>
        <v>0</v>
      </c>
      <c r="F148" s="83" t="b">
        <v>1</v>
      </c>
      <c r="G148" s="83"/>
      <c r="H148" s="83"/>
    </row>
    <row r="149" spans="1:8">
      <c r="A149" s="83" t="s">
        <v>2455</v>
      </c>
      <c r="B149" s="83" t="s">
        <v>2380</v>
      </c>
      <c r="C149" s="83" t="s">
        <v>2455</v>
      </c>
      <c r="D149" s="83" t="s">
        <v>2797</v>
      </c>
      <c r="E149" s="84">
        <f>sped_hosp_id_gp_tp</f>
        <v>0</v>
      </c>
      <c r="F149" s="83" t="b">
        <v>1</v>
      </c>
      <c r="G149" s="83"/>
      <c r="H149" s="83"/>
    </row>
    <row r="150" spans="1:8">
      <c r="A150" s="83" t="s">
        <v>2456</v>
      </c>
      <c r="B150" s="83" t="s">
        <v>2380</v>
      </c>
      <c r="C150" s="83" t="s">
        <v>2456</v>
      </c>
      <c r="D150" s="83" t="s">
        <v>2798</v>
      </c>
      <c r="E150" s="84">
        <f>sped_hosp_id_ltp_age_5to10</f>
        <v>0</v>
      </c>
      <c r="F150" s="83" t="b">
        <v>1</v>
      </c>
      <c r="G150" s="83"/>
      <c r="H150" s="83"/>
    </row>
    <row r="151" spans="1:8">
      <c r="A151" s="83" t="s">
        <v>2457</v>
      </c>
      <c r="B151" s="83" t="s">
        <v>2380</v>
      </c>
      <c r="C151" s="83" t="s">
        <v>2457</v>
      </c>
      <c r="D151" s="83" t="s">
        <v>2799</v>
      </c>
      <c r="E151" s="84">
        <f>sped_hosp_id_ltp_age_11to15</f>
        <v>0</v>
      </c>
      <c r="F151" s="83" t="b">
        <v>1</v>
      </c>
      <c r="G151" s="83"/>
      <c r="H151" s="83"/>
    </row>
    <row r="152" spans="1:8">
      <c r="A152" s="83" t="s">
        <v>2458</v>
      </c>
      <c r="B152" s="83" t="s">
        <v>2380</v>
      </c>
      <c r="C152" s="83" t="s">
        <v>2458</v>
      </c>
      <c r="D152" s="83" t="s">
        <v>2800</v>
      </c>
      <c r="E152" s="84">
        <f>sped_hosp_id_ltp_age_16to20</f>
        <v>0</v>
      </c>
      <c r="F152" s="83" t="b">
        <v>1</v>
      </c>
      <c r="G152" s="83"/>
      <c r="H152" s="83"/>
    </row>
    <row r="153" spans="1:8">
      <c r="A153" s="83" t="s">
        <v>2459</v>
      </c>
      <c r="B153" s="83" t="s">
        <v>2380</v>
      </c>
      <c r="C153" s="83" t="s">
        <v>2459</v>
      </c>
      <c r="D153" s="83" t="s">
        <v>2801</v>
      </c>
      <c r="E153" s="84">
        <f>sped_hosp_id_ltp_age_21to25</f>
        <v>0</v>
      </c>
      <c r="F153" s="83" t="b">
        <v>1</v>
      </c>
      <c r="G153" s="83"/>
      <c r="H153" s="83"/>
    </row>
    <row r="154" spans="1:8">
      <c r="A154" s="83" t="s">
        <v>2460</v>
      </c>
      <c r="B154" s="83" t="s">
        <v>2380</v>
      </c>
      <c r="C154" s="83" t="s">
        <v>2460</v>
      </c>
      <c r="D154" s="83" t="s">
        <v>2802</v>
      </c>
      <c r="E154" s="84">
        <f>sped_home_asd_age_5to10</f>
        <v>0</v>
      </c>
      <c r="F154" s="83" t="b">
        <v>1</v>
      </c>
      <c r="G154" s="83"/>
      <c r="H154" s="83"/>
    </row>
    <row r="155" spans="1:8">
      <c r="A155" s="83" t="s">
        <v>2461</v>
      </c>
      <c r="B155" s="83" t="s">
        <v>2380</v>
      </c>
      <c r="C155" s="83" t="s">
        <v>2461</v>
      </c>
      <c r="D155" s="83" t="s">
        <v>2803</v>
      </c>
      <c r="E155" s="84">
        <f>sped_home_asd_age_11to15</f>
        <v>0</v>
      </c>
      <c r="F155" s="83" t="b">
        <v>1</v>
      </c>
      <c r="G155" s="83"/>
      <c r="H155" s="83"/>
    </row>
    <row r="156" spans="1:8">
      <c r="A156" s="83" t="s">
        <v>2462</v>
      </c>
      <c r="B156" s="83" t="s">
        <v>2380</v>
      </c>
      <c r="C156" s="83" t="s">
        <v>2462</v>
      </c>
      <c r="D156" s="83" t="s">
        <v>2804</v>
      </c>
      <c r="E156" s="84">
        <f>sped_home_asd_age_16to20</f>
        <v>0</v>
      </c>
      <c r="F156" s="83" t="b">
        <v>1</v>
      </c>
      <c r="G156" s="83"/>
      <c r="H156" s="83"/>
    </row>
    <row r="157" spans="1:8">
      <c r="A157" s="83" t="s">
        <v>2463</v>
      </c>
      <c r="B157" s="83" t="s">
        <v>2380</v>
      </c>
      <c r="C157" s="83" t="s">
        <v>2463</v>
      </c>
      <c r="D157" s="83" t="s">
        <v>2805</v>
      </c>
      <c r="E157" s="84">
        <f>sped_home_asd_age_21to25</f>
        <v>0</v>
      </c>
      <c r="F157" s="83" t="b">
        <v>1</v>
      </c>
      <c r="G157" s="83"/>
      <c r="H157" s="83"/>
    </row>
    <row r="158" spans="1:8">
      <c r="A158" s="83" t="s">
        <v>2464</v>
      </c>
      <c r="B158" s="83" t="s">
        <v>2380</v>
      </c>
      <c r="C158" s="83" t="s">
        <v>2464</v>
      </c>
      <c r="D158" s="83" t="s">
        <v>2806</v>
      </c>
      <c r="E158" s="84">
        <f>sped_home_asd_gp_ktog6</f>
        <v>0</v>
      </c>
      <c r="F158" s="83" t="b">
        <v>1</v>
      </c>
      <c r="G158" s="83"/>
      <c r="H158" s="83"/>
    </row>
    <row r="159" spans="1:8">
      <c r="A159" s="83" t="s">
        <v>2465</v>
      </c>
      <c r="B159" s="83" t="s">
        <v>2380</v>
      </c>
      <c r="C159" s="83" t="s">
        <v>2465</v>
      </c>
      <c r="D159" s="83" t="s">
        <v>2807</v>
      </c>
      <c r="E159" s="84">
        <f>sped_home_asd_gp_tp</f>
        <v>0</v>
      </c>
      <c r="F159" s="83" t="b">
        <v>1</v>
      </c>
      <c r="G159" s="83"/>
      <c r="H159" s="83"/>
    </row>
    <row r="160" spans="1:8">
      <c r="A160" s="83" t="s">
        <v>2466</v>
      </c>
      <c r="B160" s="83" t="s">
        <v>2380</v>
      </c>
      <c r="C160" s="83" t="s">
        <v>2466</v>
      </c>
      <c r="D160" s="83" t="s">
        <v>2808</v>
      </c>
      <c r="E160" s="84">
        <f>sped_home_asd_ltp_age_5to10</f>
        <v>0</v>
      </c>
      <c r="F160" s="83" t="b">
        <v>1</v>
      </c>
      <c r="G160" s="83"/>
      <c r="H160" s="83"/>
    </row>
    <row r="161" spans="1:8">
      <c r="A161" s="83" t="s">
        <v>2467</v>
      </c>
      <c r="B161" s="83" t="s">
        <v>2380</v>
      </c>
      <c r="C161" s="83" t="s">
        <v>2467</v>
      </c>
      <c r="D161" s="83" t="s">
        <v>2809</v>
      </c>
      <c r="E161" s="84">
        <f>sped_home_asd_ltp_age_11to15</f>
        <v>0</v>
      </c>
      <c r="F161" s="83" t="b">
        <v>1</v>
      </c>
      <c r="G161" s="83"/>
      <c r="H161" s="83"/>
    </row>
    <row r="162" spans="1:8">
      <c r="A162" s="83" t="s">
        <v>2468</v>
      </c>
      <c r="B162" s="83" t="s">
        <v>2380</v>
      </c>
      <c r="C162" s="83" t="s">
        <v>2468</v>
      </c>
      <c r="D162" s="83" t="s">
        <v>2810</v>
      </c>
      <c r="E162" s="84">
        <f>sped_home_asd_ltp_age_16to20</f>
        <v>0</v>
      </c>
      <c r="F162" s="83" t="b">
        <v>1</v>
      </c>
      <c r="G162" s="83"/>
      <c r="H162" s="83"/>
    </row>
    <row r="163" spans="1:8">
      <c r="A163" s="83" t="s">
        <v>2469</v>
      </c>
      <c r="B163" s="83" t="s">
        <v>2380</v>
      </c>
      <c r="C163" s="83" t="s">
        <v>2469</v>
      </c>
      <c r="D163" s="83" t="s">
        <v>2811</v>
      </c>
      <c r="E163" s="84">
        <f>sped_home_asd_ltp_age_21to25</f>
        <v>0</v>
      </c>
      <c r="F163" s="83" t="b">
        <v>1</v>
      </c>
      <c r="G163" s="83"/>
      <c r="H163" s="83"/>
    </row>
    <row r="164" spans="1:8">
      <c r="A164" s="83" t="s">
        <v>2470</v>
      </c>
      <c r="B164" s="83" t="s">
        <v>2380</v>
      </c>
      <c r="C164" s="83" t="s">
        <v>2470</v>
      </c>
      <c r="D164" s="83" t="s">
        <v>2812</v>
      </c>
      <c r="E164" s="84">
        <f>sped_hosp_asd_age_5to10</f>
        <v>0</v>
      </c>
      <c r="F164" s="83" t="b">
        <v>1</v>
      </c>
      <c r="G164" s="83"/>
      <c r="H164" s="83"/>
    </row>
    <row r="165" spans="1:8">
      <c r="A165" s="83" t="s">
        <v>2471</v>
      </c>
      <c r="B165" s="83" t="s">
        <v>2380</v>
      </c>
      <c r="C165" s="83" t="s">
        <v>2471</v>
      </c>
      <c r="D165" s="83" t="s">
        <v>2813</v>
      </c>
      <c r="E165" s="84">
        <f>sped_hosp_asd_age_11to15</f>
        <v>0</v>
      </c>
      <c r="F165" s="83" t="b">
        <v>1</v>
      </c>
      <c r="G165" s="83"/>
      <c r="H165" s="83"/>
    </row>
    <row r="166" spans="1:8">
      <c r="A166" s="83" t="s">
        <v>2472</v>
      </c>
      <c r="B166" s="83" t="s">
        <v>2380</v>
      </c>
      <c r="C166" s="83" t="s">
        <v>2472</v>
      </c>
      <c r="D166" s="83" t="s">
        <v>2814</v>
      </c>
      <c r="E166" s="84">
        <f>sped_hosp_asd_age_16to20</f>
        <v>0</v>
      </c>
      <c r="F166" s="83" t="b">
        <v>1</v>
      </c>
      <c r="G166" s="83"/>
      <c r="H166" s="83"/>
    </row>
    <row r="167" spans="1:8">
      <c r="A167" s="83" t="s">
        <v>2473</v>
      </c>
      <c r="B167" s="83" t="s">
        <v>2380</v>
      </c>
      <c r="C167" s="83" t="s">
        <v>2473</v>
      </c>
      <c r="D167" s="83" t="s">
        <v>2815</v>
      </c>
      <c r="E167" s="84">
        <f>sped_hosp_asd_age_21to25</f>
        <v>0</v>
      </c>
      <c r="F167" s="83" t="b">
        <v>1</v>
      </c>
      <c r="G167" s="83"/>
      <c r="H167" s="83"/>
    </row>
    <row r="168" spans="1:8">
      <c r="A168" s="83" t="s">
        <v>2474</v>
      </c>
      <c r="B168" s="83" t="s">
        <v>2380</v>
      </c>
      <c r="C168" s="83" t="s">
        <v>2474</v>
      </c>
      <c r="D168" s="83" t="s">
        <v>2816</v>
      </c>
      <c r="E168" s="84">
        <f>sped_hosp_asd_gp_ktog6</f>
        <v>0</v>
      </c>
      <c r="F168" s="83" t="b">
        <v>1</v>
      </c>
      <c r="G168" s="83"/>
      <c r="H168" s="83"/>
    </row>
    <row r="169" spans="1:8">
      <c r="A169" s="83" t="s">
        <v>2475</v>
      </c>
      <c r="B169" s="83" t="s">
        <v>2380</v>
      </c>
      <c r="C169" s="83" t="s">
        <v>2475</v>
      </c>
      <c r="D169" s="83" t="s">
        <v>2817</v>
      </c>
      <c r="E169" s="84">
        <f>sped_hosp_asd_gp_tp</f>
        <v>0</v>
      </c>
      <c r="F169" s="83" t="b">
        <v>1</v>
      </c>
      <c r="G169" s="83"/>
      <c r="H169" s="83"/>
    </row>
    <row r="170" spans="1:8">
      <c r="A170" s="83" t="s">
        <v>2476</v>
      </c>
      <c r="B170" s="83" t="s">
        <v>2380</v>
      </c>
      <c r="C170" s="83" t="s">
        <v>2476</v>
      </c>
      <c r="D170" s="83" t="s">
        <v>2818</v>
      </c>
      <c r="E170" s="84">
        <f>sped_hosp_asd_ltp_age_5to10</f>
        <v>0</v>
      </c>
      <c r="F170" s="83" t="b">
        <v>1</v>
      </c>
      <c r="G170" s="83"/>
      <c r="H170" s="83"/>
    </row>
    <row r="171" spans="1:8">
      <c r="A171" s="83" t="s">
        <v>2477</v>
      </c>
      <c r="B171" s="83" t="s">
        <v>2380</v>
      </c>
      <c r="C171" s="83" t="s">
        <v>2477</v>
      </c>
      <c r="D171" s="83" t="s">
        <v>2819</v>
      </c>
      <c r="E171" s="84">
        <f>sped_hosp_asd_ltp_age_11to15</f>
        <v>0</v>
      </c>
      <c r="F171" s="83" t="b">
        <v>1</v>
      </c>
      <c r="G171" s="83"/>
      <c r="H171" s="83"/>
    </row>
    <row r="172" spans="1:8">
      <c r="A172" s="83" t="s">
        <v>2478</v>
      </c>
      <c r="B172" s="83" t="s">
        <v>2380</v>
      </c>
      <c r="C172" s="83" t="s">
        <v>2478</v>
      </c>
      <c r="D172" s="83" t="s">
        <v>2820</v>
      </c>
      <c r="E172" s="84">
        <f>sped_hosp_asd_ltp_age_16to20</f>
        <v>0</v>
      </c>
      <c r="F172" s="83" t="b">
        <v>1</v>
      </c>
      <c r="G172" s="83"/>
      <c r="H172" s="83"/>
    </row>
    <row r="173" spans="1:8">
      <c r="A173" s="83" t="s">
        <v>2479</v>
      </c>
      <c r="B173" s="83" t="s">
        <v>2380</v>
      </c>
      <c r="C173" s="83" t="s">
        <v>2479</v>
      </c>
      <c r="D173" s="83" t="s">
        <v>2821</v>
      </c>
      <c r="E173" s="84">
        <f>sped_hosp_asd_ltp_age_21to25</f>
        <v>0</v>
      </c>
      <c r="F173" s="83" t="b">
        <v>1</v>
      </c>
      <c r="G173" s="83"/>
      <c r="H173" s="83"/>
    </row>
    <row r="174" spans="1:8">
      <c r="A174" s="83" t="s">
        <v>2480</v>
      </c>
      <c r="B174" s="83" t="s">
        <v>2380</v>
      </c>
      <c r="C174" s="83" t="s">
        <v>2480</v>
      </c>
      <c r="D174" s="83" t="s">
        <v>2822</v>
      </c>
      <c r="E174" s="84">
        <f>sped_home_ebd_age_5to10</f>
        <v>0</v>
      </c>
      <c r="F174" s="83" t="b">
        <v>1</v>
      </c>
      <c r="G174" s="83"/>
      <c r="H174" s="83"/>
    </row>
    <row r="175" spans="1:8">
      <c r="A175" s="83" t="s">
        <v>2481</v>
      </c>
      <c r="B175" s="83" t="s">
        <v>2380</v>
      </c>
      <c r="C175" s="83" t="s">
        <v>2481</v>
      </c>
      <c r="D175" s="83" t="s">
        <v>2823</v>
      </c>
      <c r="E175" s="84">
        <f>sped_home_ebd_age_11to15</f>
        <v>0</v>
      </c>
      <c r="F175" s="83" t="b">
        <v>1</v>
      </c>
      <c r="G175" s="83"/>
      <c r="H175" s="83"/>
    </row>
    <row r="176" spans="1:8">
      <c r="A176" s="83" t="s">
        <v>2482</v>
      </c>
      <c r="B176" s="83" t="s">
        <v>2380</v>
      </c>
      <c r="C176" s="83" t="s">
        <v>2482</v>
      </c>
      <c r="D176" s="83" t="s">
        <v>2824</v>
      </c>
      <c r="E176" s="84">
        <f>sped_home_ebd_age_16to20</f>
        <v>0</v>
      </c>
      <c r="F176" s="83" t="b">
        <v>1</v>
      </c>
      <c r="G176" s="83"/>
      <c r="H176" s="83"/>
    </row>
    <row r="177" spans="1:8">
      <c r="A177" s="83" t="s">
        <v>2483</v>
      </c>
      <c r="B177" s="83" t="s">
        <v>2380</v>
      </c>
      <c r="C177" s="83" t="s">
        <v>2483</v>
      </c>
      <c r="D177" s="83" t="s">
        <v>2825</v>
      </c>
      <c r="E177" s="84">
        <f>sped_home_ebd_age_21to25</f>
        <v>0</v>
      </c>
      <c r="F177" s="83" t="b">
        <v>1</v>
      </c>
      <c r="G177" s="83"/>
      <c r="H177" s="83"/>
    </row>
    <row r="178" spans="1:8">
      <c r="A178" s="83" t="s">
        <v>2484</v>
      </c>
      <c r="B178" s="83" t="s">
        <v>2380</v>
      </c>
      <c r="C178" s="83" t="s">
        <v>2484</v>
      </c>
      <c r="D178" s="83" t="s">
        <v>2826</v>
      </c>
      <c r="E178" s="84">
        <f>sped_home_ebd_gp_ktog6</f>
        <v>0</v>
      </c>
      <c r="F178" s="83" t="b">
        <v>1</v>
      </c>
      <c r="G178" s="83"/>
      <c r="H178" s="83"/>
    </row>
    <row r="179" spans="1:8">
      <c r="A179" s="83" t="s">
        <v>2485</v>
      </c>
      <c r="B179" s="83" t="s">
        <v>2380</v>
      </c>
      <c r="C179" s="83" t="s">
        <v>2485</v>
      </c>
      <c r="D179" s="83" t="s">
        <v>2827</v>
      </c>
      <c r="E179" s="84">
        <f>sped_home_ebd_gp_tp</f>
        <v>0</v>
      </c>
      <c r="F179" s="83" t="b">
        <v>1</v>
      </c>
      <c r="G179" s="83"/>
      <c r="H179" s="83"/>
    </row>
    <row r="180" spans="1:8">
      <c r="A180" s="83" t="s">
        <v>2486</v>
      </c>
      <c r="B180" s="83" t="s">
        <v>2380</v>
      </c>
      <c r="C180" s="83" t="s">
        <v>2486</v>
      </c>
      <c r="D180" s="83" t="s">
        <v>2828</v>
      </c>
      <c r="E180" s="84">
        <f>sped_home_ebd_ltp_age_5to10</f>
        <v>0</v>
      </c>
      <c r="F180" s="83" t="b">
        <v>1</v>
      </c>
      <c r="G180" s="83"/>
      <c r="H180" s="83"/>
    </row>
    <row r="181" spans="1:8">
      <c r="A181" s="83" t="s">
        <v>2487</v>
      </c>
      <c r="B181" s="83" t="s">
        <v>2380</v>
      </c>
      <c r="C181" s="83" t="s">
        <v>2487</v>
      </c>
      <c r="D181" s="83" t="s">
        <v>2829</v>
      </c>
      <c r="E181" s="84">
        <f>sped_home_ebd_ltp_age_11to15</f>
        <v>0</v>
      </c>
      <c r="F181" s="83" t="b">
        <v>1</v>
      </c>
      <c r="G181" s="83"/>
      <c r="H181" s="83"/>
    </row>
    <row r="182" spans="1:8">
      <c r="A182" s="83" t="s">
        <v>2488</v>
      </c>
      <c r="B182" s="83" t="s">
        <v>2380</v>
      </c>
      <c r="C182" s="83" t="s">
        <v>2488</v>
      </c>
      <c r="D182" s="83" t="s">
        <v>2830</v>
      </c>
      <c r="E182" s="84">
        <f>sped_home_ebd_ltp_age_16to20</f>
        <v>0</v>
      </c>
      <c r="F182" s="83" t="b">
        <v>1</v>
      </c>
      <c r="G182" s="83"/>
      <c r="H182" s="83"/>
    </row>
    <row r="183" spans="1:8">
      <c r="A183" s="83" t="s">
        <v>2489</v>
      </c>
      <c r="B183" s="83" t="s">
        <v>2380</v>
      </c>
      <c r="C183" s="83" t="s">
        <v>2489</v>
      </c>
      <c r="D183" s="83" t="s">
        <v>2831</v>
      </c>
      <c r="E183" s="84">
        <f>sped_home_ebd_ltp_age_21to25</f>
        <v>0</v>
      </c>
      <c r="F183" s="83" t="b">
        <v>1</v>
      </c>
      <c r="G183" s="83"/>
      <c r="H183" s="83"/>
    </row>
    <row r="184" spans="1:8">
      <c r="A184" s="83" t="s">
        <v>2490</v>
      </c>
      <c r="B184" s="83" t="s">
        <v>2380</v>
      </c>
      <c r="C184" s="83" t="s">
        <v>2490</v>
      </c>
      <c r="D184" s="83" t="s">
        <v>2832</v>
      </c>
      <c r="E184" s="84">
        <f>sped_hosp_ebd_age_5to10</f>
        <v>0</v>
      </c>
      <c r="F184" s="83" t="b">
        <v>1</v>
      </c>
      <c r="G184" s="83"/>
      <c r="H184" s="83"/>
    </row>
    <row r="185" spans="1:8">
      <c r="A185" s="83" t="s">
        <v>2491</v>
      </c>
      <c r="B185" s="83" t="s">
        <v>2380</v>
      </c>
      <c r="C185" s="83" t="s">
        <v>2491</v>
      </c>
      <c r="D185" s="83" t="s">
        <v>2833</v>
      </c>
      <c r="E185" s="84">
        <f>sped_hosp_ebd_age_11to15</f>
        <v>0</v>
      </c>
      <c r="F185" s="83" t="b">
        <v>1</v>
      </c>
      <c r="G185" s="83"/>
      <c r="H185" s="83"/>
    </row>
    <row r="186" spans="1:8">
      <c r="A186" s="83" t="s">
        <v>2492</v>
      </c>
      <c r="B186" s="83" t="s">
        <v>2380</v>
      </c>
      <c r="C186" s="83" t="s">
        <v>2492</v>
      </c>
      <c r="D186" s="83" t="s">
        <v>2834</v>
      </c>
      <c r="E186" s="84">
        <f>sped_hosp_ebd_age_16to20</f>
        <v>0</v>
      </c>
      <c r="F186" s="83" t="b">
        <v>1</v>
      </c>
      <c r="G186" s="83"/>
      <c r="H186" s="83"/>
    </row>
    <row r="187" spans="1:8">
      <c r="A187" s="83" t="s">
        <v>2493</v>
      </c>
      <c r="B187" s="83" t="s">
        <v>2380</v>
      </c>
      <c r="C187" s="83" t="s">
        <v>2493</v>
      </c>
      <c r="D187" s="83" t="s">
        <v>2835</v>
      </c>
      <c r="E187" s="84">
        <f>sped_hosp_ebd_age_21to25</f>
        <v>0</v>
      </c>
      <c r="F187" s="83" t="b">
        <v>1</v>
      </c>
      <c r="G187" s="83"/>
      <c r="H187" s="83"/>
    </row>
    <row r="188" spans="1:8">
      <c r="A188" s="83" t="s">
        <v>2494</v>
      </c>
      <c r="B188" s="83" t="s">
        <v>2380</v>
      </c>
      <c r="C188" s="83" t="s">
        <v>2494</v>
      </c>
      <c r="D188" s="83" t="s">
        <v>2836</v>
      </c>
      <c r="E188" s="84">
        <f>sped_hosp_ebd_gp_ktog6</f>
        <v>0</v>
      </c>
      <c r="F188" s="83" t="b">
        <v>1</v>
      </c>
      <c r="G188" s="83"/>
      <c r="H188" s="83"/>
    </row>
    <row r="189" spans="1:8">
      <c r="A189" s="83" t="s">
        <v>2495</v>
      </c>
      <c r="B189" s="83" t="s">
        <v>2380</v>
      </c>
      <c r="C189" s="83" t="s">
        <v>2495</v>
      </c>
      <c r="D189" s="83" t="s">
        <v>2837</v>
      </c>
      <c r="E189" s="84">
        <f>sped_hosp_ebd_gp_tp</f>
        <v>0</v>
      </c>
      <c r="F189" s="83" t="b">
        <v>1</v>
      </c>
      <c r="G189" s="83"/>
      <c r="H189" s="83"/>
    </row>
    <row r="190" spans="1:8">
      <c r="A190" s="83" t="s">
        <v>2496</v>
      </c>
      <c r="B190" s="83" t="s">
        <v>2380</v>
      </c>
      <c r="C190" s="83" t="s">
        <v>2496</v>
      </c>
      <c r="D190" s="83" t="s">
        <v>2838</v>
      </c>
      <c r="E190" s="84">
        <f>sped_hosp_ebd_ltp_age_5to10</f>
        <v>0</v>
      </c>
      <c r="F190" s="83" t="b">
        <v>1</v>
      </c>
      <c r="G190" s="83"/>
      <c r="H190" s="83"/>
    </row>
    <row r="191" spans="1:8">
      <c r="A191" s="83" t="s">
        <v>2497</v>
      </c>
      <c r="B191" s="83" t="s">
        <v>2380</v>
      </c>
      <c r="C191" s="83" t="s">
        <v>2497</v>
      </c>
      <c r="D191" s="83" t="s">
        <v>2839</v>
      </c>
      <c r="E191" s="84">
        <f>sped_hosp_ebd_ltp_age_11to15</f>
        <v>0</v>
      </c>
      <c r="F191" s="83" t="b">
        <v>1</v>
      </c>
      <c r="G191" s="83"/>
      <c r="H191" s="83"/>
    </row>
    <row r="192" spans="1:8">
      <c r="A192" s="83" t="s">
        <v>2498</v>
      </c>
      <c r="B192" s="83" t="s">
        <v>2380</v>
      </c>
      <c r="C192" s="83" t="s">
        <v>2498</v>
      </c>
      <c r="D192" s="83" t="s">
        <v>2840</v>
      </c>
      <c r="E192" s="84">
        <f>sped_hosp_ebd_ltp_age_16to20</f>
        <v>0</v>
      </c>
      <c r="F192" s="83" t="b">
        <v>1</v>
      </c>
      <c r="G192" s="83"/>
      <c r="H192" s="83"/>
    </row>
    <row r="193" spans="1:8">
      <c r="A193" s="83" t="s">
        <v>2499</v>
      </c>
      <c r="B193" s="83" t="s">
        <v>2380</v>
      </c>
      <c r="C193" s="83" t="s">
        <v>2499</v>
      </c>
      <c r="D193" s="83" t="s">
        <v>2841</v>
      </c>
      <c r="E193" s="84">
        <f>sped_hosp_ebd_ltp_age_21to25</f>
        <v>0</v>
      </c>
      <c r="F193" s="83" t="b">
        <v>1</v>
      </c>
      <c r="G193" s="83"/>
      <c r="H193" s="83"/>
    </row>
    <row r="194" spans="1:8">
      <c r="A194" s="83" t="s">
        <v>2500</v>
      </c>
      <c r="B194" s="83" t="s">
        <v>2380</v>
      </c>
      <c r="C194" s="83" t="s">
        <v>2500</v>
      </c>
      <c r="D194" s="83" t="s">
        <v>2842</v>
      </c>
      <c r="E194" s="84">
        <f>sped_home_oph_age_5to10</f>
        <v>0</v>
      </c>
      <c r="F194" s="83" t="b">
        <v>1</v>
      </c>
      <c r="G194" s="83"/>
      <c r="H194" s="83"/>
    </row>
    <row r="195" spans="1:8">
      <c r="A195" s="83" t="s">
        <v>2501</v>
      </c>
      <c r="B195" s="83" t="s">
        <v>2380</v>
      </c>
      <c r="C195" s="83" t="s">
        <v>2501</v>
      </c>
      <c r="D195" s="83" t="s">
        <v>2843</v>
      </c>
      <c r="E195" s="84">
        <f>sped_home_oph_age_11to15</f>
        <v>0</v>
      </c>
      <c r="F195" s="83" t="b">
        <v>1</v>
      </c>
      <c r="G195" s="83"/>
      <c r="H195" s="83"/>
    </row>
    <row r="196" spans="1:8">
      <c r="A196" s="83" t="s">
        <v>2502</v>
      </c>
      <c r="B196" s="83" t="s">
        <v>2380</v>
      </c>
      <c r="C196" s="83" t="s">
        <v>2502</v>
      </c>
      <c r="D196" s="83" t="s">
        <v>2844</v>
      </c>
      <c r="E196" s="84">
        <f>sped_home_oph_age_16to20</f>
        <v>0</v>
      </c>
      <c r="F196" s="83" t="b">
        <v>1</v>
      </c>
      <c r="G196" s="83"/>
      <c r="H196" s="83"/>
    </row>
    <row r="197" spans="1:8">
      <c r="A197" s="83" t="s">
        <v>2503</v>
      </c>
      <c r="B197" s="83" t="s">
        <v>2380</v>
      </c>
      <c r="C197" s="83" t="s">
        <v>2503</v>
      </c>
      <c r="D197" s="83" t="s">
        <v>2845</v>
      </c>
      <c r="E197" s="84">
        <f>sped_home_oph_age_21to25</f>
        <v>0</v>
      </c>
      <c r="F197" s="83" t="b">
        <v>1</v>
      </c>
      <c r="G197" s="83"/>
      <c r="H197" s="83"/>
    </row>
    <row r="198" spans="1:8">
      <c r="A198" s="83" t="s">
        <v>2504</v>
      </c>
      <c r="B198" s="83" t="s">
        <v>2380</v>
      </c>
      <c r="C198" s="83" t="s">
        <v>2504</v>
      </c>
      <c r="D198" s="83" t="s">
        <v>2846</v>
      </c>
      <c r="E198" s="84">
        <f>sped_home_oph_gp_ktog6</f>
        <v>0</v>
      </c>
      <c r="F198" s="83" t="b">
        <v>1</v>
      </c>
      <c r="G198" s="83"/>
      <c r="H198" s="83"/>
    </row>
    <row r="199" spans="1:8">
      <c r="A199" s="83" t="s">
        <v>2505</v>
      </c>
      <c r="B199" s="83" t="s">
        <v>2380</v>
      </c>
      <c r="C199" s="83" t="s">
        <v>2505</v>
      </c>
      <c r="D199" s="83" t="s">
        <v>2847</v>
      </c>
      <c r="E199" s="84">
        <f>sped_home_oph_gp_tp</f>
        <v>0</v>
      </c>
      <c r="F199" s="83" t="b">
        <v>1</v>
      </c>
      <c r="G199" s="83"/>
      <c r="H199" s="83"/>
    </row>
    <row r="200" spans="1:8">
      <c r="A200" s="83" t="s">
        <v>2506</v>
      </c>
      <c r="B200" s="83" t="s">
        <v>2380</v>
      </c>
      <c r="C200" s="83" t="s">
        <v>2506</v>
      </c>
      <c r="D200" s="83" t="s">
        <v>2848</v>
      </c>
      <c r="E200" s="84">
        <f>sped_home_oph_ltp_age_5to10</f>
        <v>0</v>
      </c>
      <c r="F200" s="83" t="b">
        <v>1</v>
      </c>
      <c r="G200" s="83"/>
      <c r="H200" s="83"/>
    </row>
    <row r="201" spans="1:8">
      <c r="A201" s="83" t="s">
        <v>2507</v>
      </c>
      <c r="B201" s="83" t="s">
        <v>2380</v>
      </c>
      <c r="C201" s="83" t="s">
        <v>2507</v>
      </c>
      <c r="D201" s="83" t="s">
        <v>2849</v>
      </c>
      <c r="E201" s="84">
        <f>sped_home_oph_ltp_age_11to15</f>
        <v>0</v>
      </c>
      <c r="F201" s="83" t="b">
        <v>1</v>
      </c>
      <c r="G201" s="83"/>
      <c r="H201" s="83"/>
    </row>
    <row r="202" spans="1:8">
      <c r="A202" s="83" t="s">
        <v>2508</v>
      </c>
      <c r="B202" s="83" t="s">
        <v>2380</v>
      </c>
      <c r="C202" s="83" t="s">
        <v>2508</v>
      </c>
      <c r="D202" s="83" t="s">
        <v>2850</v>
      </c>
      <c r="E202" s="84">
        <f>sped_home_oph_ltp_age_16to20</f>
        <v>0</v>
      </c>
      <c r="F202" s="83" t="b">
        <v>1</v>
      </c>
      <c r="G202" s="83"/>
      <c r="H202" s="83"/>
    </row>
    <row r="203" spans="1:8">
      <c r="A203" s="83" t="s">
        <v>2509</v>
      </c>
      <c r="B203" s="83" t="s">
        <v>2380</v>
      </c>
      <c r="C203" s="83" t="s">
        <v>2509</v>
      </c>
      <c r="D203" s="83" t="s">
        <v>2851</v>
      </c>
      <c r="E203" s="84">
        <f>sped_home_oph_ltp_age_21to25</f>
        <v>0</v>
      </c>
      <c r="F203" s="83" t="b">
        <v>1</v>
      </c>
      <c r="G203" s="83"/>
      <c r="H203" s="83"/>
    </row>
    <row r="204" spans="1:8">
      <c r="A204" s="83" t="s">
        <v>2510</v>
      </c>
      <c r="B204" s="83" t="s">
        <v>2380</v>
      </c>
      <c r="C204" s="83" t="s">
        <v>2510</v>
      </c>
      <c r="D204" s="83" t="s">
        <v>2852</v>
      </c>
      <c r="E204" s="84">
        <f>sped_hosp_oph_age_5to10</f>
        <v>0</v>
      </c>
      <c r="F204" s="83" t="b">
        <v>1</v>
      </c>
      <c r="G204" s="83"/>
      <c r="H204" s="83"/>
    </row>
    <row r="205" spans="1:8">
      <c r="A205" s="83" t="s">
        <v>2511</v>
      </c>
      <c r="B205" s="83" t="s">
        <v>2380</v>
      </c>
      <c r="C205" s="83" t="s">
        <v>2511</v>
      </c>
      <c r="D205" s="83" t="s">
        <v>2853</v>
      </c>
      <c r="E205" s="84">
        <f>sped_hosp_oph_age_11to15</f>
        <v>0</v>
      </c>
      <c r="F205" s="83" t="b">
        <v>1</v>
      </c>
      <c r="G205" s="83"/>
      <c r="H205" s="83"/>
    </row>
    <row r="206" spans="1:8">
      <c r="A206" s="83" t="s">
        <v>2512</v>
      </c>
      <c r="B206" s="83" t="s">
        <v>2380</v>
      </c>
      <c r="C206" s="83" t="s">
        <v>2512</v>
      </c>
      <c r="D206" s="83" t="s">
        <v>2854</v>
      </c>
      <c r="E206" s="84">
        <f>sped_hosp_oph_age_16to20</f>
        <v>0</v>
      </c>
      <c r="F206" s="83" t="b">
        <v>1</v>
      </c>
      <c r="G206" s="83"/>
      <c r="H206" s="83"/>
    </row>
    <row r="207" spans="1:8">
      <c r="A207" s="83" t="s">
        <v>2513</v>
      </c>
      <c r="B207" s="83" t="s">
        <v>2380</v>
      </c>
      <c r="C207" s="83" t="s">
        <v>2513</v>
      </c>
      <c r="D207" s="83" t="s">
        <v>2855</v>
      </c>
      <c r="E207" s="84">
        <f>sped_hosp_oph_age_21to25</f>
        <v>0</v>
      </c>
      <c r="F207" s="83" t="b">
        <v>1</v>
      </c>
      <c r="G207" s="83"/>
      <c r="H207" s="83"/>
    </row>
    <row r="208" spans="1:8">
      <c r="A208" s="83" t="s">
        <v>2514</v>
      </c>
      <c r="B208" s="83" t="s">
        <v>2380</v>
      </c>
      <c r="C208" s="83" t="s">
        <v>2514</v>
      </c>
      <c r="D208" s="83" t="s">
        <v>2856</v>
      </c>
      <c r="E208" s="84">
        <f>sped_hosp_oph_gp_ktog6</f>
        <v>0</v>
      </c>
      <c r="F208" s="83" t="b">
        <v>1</v>
      </c>
      <c r="G208" s="83"/>
      <c r="H208" s="83"/>
    </row>
    <row r="209" spans="1:8">
      <c r="A209" s="83" t="s">
        <v>2515</v>
      </c>
      <c r="B209" s="83" t="s">
        <v>2380</v>
      </c>
      <c r="C209" s="83" t="s">
        <v>2515</v>
      </c>
      <c r="D209" s="83" t="s">
        <v>2857</v>
      </c>
      <c r="E209" s="84">
        <f>sped_hosp_oph_gp_tp</f>
        <v>0</v>
      </c>
      <c r="F209" s="83" t="b">
        <v>1</v>
      </c>
      <c r="G209" s="83"/>
      <c r="H209" s="83"/>
    </row>
    <row r="210" spans="1:8">
      <c r="A210" s="83" t="s">
        <v>2516</v>
      </c>
      <c r="B210" s="83" t="s">
        <v>2380</v>
      </c>
      <c r="C210" s="83" t="s">
        <v>2516</v>
      </c>
      <c r="D210" s="83" t="s">
        <v>2858</v>
      </c>
      <c r="E210" s="84">
        <f>sped_hosp_oph_ltp_age_5to10</f>
        <v>0</v>
      </c>
      <c r="F210" s="83" t="b">
        <v>1</v>
      </c>
      <c r="G210" s="83"/>
      <c r="H210" s="83"/>
    </row>
    <row r="211" spans="1:8">
      <c r="A211" s="83" t="s">
        <v>2517</v>
      </c>
      <c r="B211" s="83" t="s">
        <v>2380</v>
      </c>
      <c r="C211" s="83" t="s">
        <v>2517</v>
      </c>
      <c r="D211" s="83" t="s">
        <v>2859</v>
      </c>
      <c r="E211" s="84">
        <f>sped_hosp_oph_ltp_age_11to15</f>
        <v>0</v>
      </c>
      <c r="F211" s="83" t="b">
        <v>1</v>
      </c>
      <c r="G211" s="83"/>
      <c r="H211" s="83"/>
    </row>
    <row r="212" spans="1:8">
      <c r="A212" s="83" t="s">
        <v>2518</v>
      </c>
      <c r="B212" s="83" t="s">
        <v>2380</v>
      </c>
      <c r="C212" s="83" t="s">
        <v>2518</v>
      </c>
      <c r="D212" s="83" t="s">
        <v>2860</v>
      </c>
      <c r="E212" s="84">
        <f>sped_hosp_oph_ltp_age_16to20</f>
        <v>0</v>
      </c>
      <c r="F212" s="83" t="b">
        <v>1</v>
      </c>
      <c r="G212" s="83"/>
      <c r="H212" s="83"/>
    </row>
    <row r="213" spans="1:8">
      <c r="A213" s="83" t="s">
        <v>2519</v>
      </c>
      <c r="B213" s="83" t="s">
        <v>2380</v>
      </c>
      <c r="C213" s="83" t="s">
        <v>2519</v>
      </c>
      <c r="D213" s="83" t="s">
        <v>2861</v>
      </c>
      <c r="E213" s="84">
        <f>sped_hosp_oph_ltp_age_21to25</f>
        <v>0</v>
      </c>
      <c r="F213" s="83" t="b">
        <v>1</v>
      </c>
      <c r="G213" s="83"/>
      <c r="H213" s="83"/>
    </row>
    <row r="214" spans="1:8">
      <c r="A214" s="83" t="s">
        <v>2520</v>
      </c>
      <c r="B214" s="83" t="s">
        <v>2380</v>
      </c>
      <c r="C214" s="83" t="s">
        <v>2520</v>
      </c>
      <c r="D214" s="83" t="s">
        <v>2862</v>
      </c>
      <c r="E214" s="84">
        <f>sped_home_sld_age_5to10</f>
        <v>0</v>
      </c>
      <c r="F214" s="83" t="b">
        <v>1</v>
      </c>
      <c r="G214" s="83"/>
      <c r="H214" s="83"/>
    </row>
    <row r="215" spans="1:8">
      <c r="A215" s="83" t="s">
        <v>2521</v>
      </c>
      <c r="B215" s="83" t="s">
        <v>2380</v>
      </c>
      <c r="C215" s="83" t="s">
        <v>2521</v>
      </c>
      <c r="D215" s="83" t="s">
        <v>2863</v>
      </c>
      <c r="E215" s="84">
        <f>sped_home_sld_age_11to15</f>
        <v>0</v>
      </c>
      <c r="F215" s="83" t="b">
        <v>1</v>
      </c>
      <c r="G215" s="83"/>
      <c r="H215" s="83"/>
    </row>
    <row r="216" spans="1:8">
      <c r="A216" s="83" t="s">
        <v>2522</v>
      </c>
      <c r="B216" s="83" t="s">
        <v>2380</v>
      </c>
      <c r="C216" s="83" t="s">
        <v>2522</v>
      </c>
      <c r="D216" s="83" t="s">
        <v>2864</v>
      </c>
      <c r="E216" s="84">
        <f>sped_home_sld_age_16to20</f>
        <v>0</v>
      </c>
      <c r="F216" s="83" t="b">
        <v>1</v>
      </c>
      <c r="G216" s="83"/>
      <c r="H216" s="83"/>
    </row>
    <row r="217" spans="1:8">
      <c r="A217" s="83" t="s">
        <v>2523</v>
      </c>
      <c r="B217" s="83" t="s">
        <v>2380</v>
      </c>
      <c r="C217" s="83" t="s">
        <v>2523</v>
      </c>
      <c r="D217" s="83" t="s">
        <v>2865</v>
      </c>
      <c r="E217" s="84">
        <f>sped_home_sld_age_21to25</f>
        <v>0</v>
      </c>
      <c r="F217" s="83" t="b">
        <v>1</v>
      </c>
      <c r="G217" s="83"/>
      <c r="H217" s="83"/>
    </row>
    <row r="218" spans="1:8">
      <c r="A218" s="83" t="s">
        <v>2524</v>
      </c>
      <c r="B218" s="83" t="s">
        <v>2380</v>
      </c>
      <c r="C218" s="83" t="s">
        <v>2524</v>
      </c>
      <c r="D218" s="83" t="s">
        <v>2866</v>
      </c>
      <c r="E218" s="84">
        <f>sped_home_sld_gp_ktog6</f>
        <v>0</v>
      </c>
      <c r="F218" s="83" t="b">
        <v>1</v>
      </c>
      <c r="G218" s="83"/>
      <c r="H218" s="83"/>
    </row>
    <row r="219" spans="1:8">
      <c r="A219" s="83" t="s">
        <v>2525</v>
      </c>
      <c r="B219" s="83" t="s">
        <v>2380</v>
      </c>
      <c r="C219" s="83" t="s">
        <v>2525</v>
      </c>
      <c r="D219" s="83" t="s">
        <v>2867</v>
      </c>
      <c r="E219" s="84">
        <f>sped_home_sld_gp_tp</f>
        <v>0</v>
      </c>
      <c r="F219" s="83" t="b">
        <v>1</v>
      </c>
      <c r="G219" s="83"/>
      <c r="H219" s="83"/>
    </row>
    <row r="220" spans="1:8">
      <c r="A220" s="83" t="s">
        <v>2526</v>
      </c>
      <c r="B220" s="83" t="s">
        <v>2380</v>
      </c>
      <c r="C220" s="83" t="s">
        <v>2526</v>
      </c>
      <c r="D220" s="83" t="s">
        <v>2868</v>
      </c>
      <c r="E220" s="84">
        <f>sped_home_sld_ltp_age_5to10</f>
        <v>0</v>
      </c>
      <c r="F220" s="83" t="b">
        <v>1</v>
      </c>
      <c r="G220" s="83"/>
      <c r="H220" s="83"/>
    </row>
    <row r="221" spans="1:8">
      <c r="A221" s="83" t="s">
        <v>2527</v>
      </c>
      <c r="B221" s="83" t="s">
        <v>2380</v>
      </c>
      <c r="C221" s="83" t="s">
        <v>2527</v>
      </c>
      <c r="D221" s="83" t="s">
        <v>2869</v>
      </c>
      <c r="E221" s="84">
        <f>sped_home_sld_ltp_age_11to15</f>
        <v>0</v>
      </c>
      <c r="F221" s="83" t="b">
        <v>1</v>
      </c>
      <c r="G221" s="83"/>
      <c r="H221" s="83"/>
    </row>
    <row r="222" spans="1:8">
      <c r="A222" s="83" t="s">
        <v>2528</v>
      </c>
      <c r="B222" s="83" t="s">
        <v>2380</v>
      </c>
      <c r="C222" s="83" t="s">
        <v>2528</v>
      </c>
      <c r="D222" s="83" t="s">
        <v>2870</v>
      </c>
      <c r="E222" s="84">
        <f>sped_home_sld_ltp_age_16to20</f>
        <v>0</v>
      </c>
      <c r="F222" s="83" t="b">
        <v>1</v>
      </c>
      <c r="G222" s="83"/>
      <c r="H222" s="83"/>
    </row>
    <row r="223" spans="1:8">
      <c r="A223" s="83" t="s">
        <v>2529</v>
      </c>
      <c r="B223" s="83" t="s">
        <v>2380</v>
      </c>
      <c r="C223" s="83" t="s">
        <v>2529</v>
      </c>
      <c r="D223" s="83" t="s">
        <v>2871</v>
      </c>
      <c r="E223" s="84">
        <f>sped_home_sld_ltp_age_21to25</f>
        <v>0</v>
      </c>
      <c r="F223" s="83" t="b">
        <v>1</v>
      </c>
      <c r="G223" s="83"/>
      <c r="H223" s="83"/>
    </row>
    <row r="224" spans="1:8">
      <c r="A224" s="83" t="s">
        <v>2530</v>
      </c>
      <c r="B224" s="83" t="s">
        <v>2380</v>
      </c>
      <c r="C224" s="83" t="s">
        <v>2530</v>
      </c>
      <c r="D224" s="83" t="s">
        <v>2872</v>
      </c>
      <c r="E224" s="84">
        <f>sped_hosp_sld_age_5to10</f>
        <v>0</v>
      </c>
      <c r="F224" s="83" t="b">
        <v>1</v>
      </c>
      <c r="G224" s="83"/>
      <c r="H224" s="83"/>
    </row>
    <row r="225" spans="1:8">
      <c r="A225" s="83" t="s">
        <v>2531</v>
      </c>
      <c r="B225" s="83" t="s">
        <v>2380</v>
      </c>
      <c r="C225" s="83" t="s">
        <v>2531</v>
      </c>
      <c r="D225" s="83" t="s">
        <v>2873</v>
      </c>
      <c r="E225" s="84">
        <f>sped_hosp_sld_age_11to15</f>
        <v>0</v>
      </c>
      <c r="F225" s="83" t="b">
        <v>1</v>
      </c>
      <c r="G225" s="83"/>
      <c r="H225" s="83"/>
    </row>
    <row r="226" spans="1:8">
      <c r="A226" s="83" t="s">
        <v>2532</v>
      </c>
      <c r="B226" s="83" t="s">
        <v>2380</v>
      </c>
      <c r="C226" s="83" t="s">
        <v>2532</v>
      </c>
      <c r="D226" s="83" t="s">
        <v>2874</v>
      </c>
      <c r="E226" s="84">
        <f>sped_hosp_sld_age_16to20</f>
        <v>0</v>
      </c>
      <c r="F226" s="83" t="b">
        <v>1</v>
      </c>
      <c r="G226" s="83"/>
      <c r="H226" s="83"/>
    </row>
    <row r="227" spans="1:8">
      <c r="A227" s="83" t="s">
        <v>2533</v>
      </c>
      <c r="B227" s="83" t="s">
        <v>2380</v>
      </c>
      <c r="C227" s="83" t="s">
        <v>2533</v>
      </c>
      <c r="D227" s="83" t="s">
        <v>2875</v>
      </c>
      <c r="E227" s="84">
        <f>sped_hosp_sld_age_21to25</f>
        <v>0</v>
      </c>
      <c r="F227" s="83" t="b">
        <v>1</v>
      </c>
      <c r="G227" s="83"/>
      <c r="H227" s="83"/>
    </row>
    <row r="228" spans="1:8">
      <c r="A228" s="83" t="s">
        <v>2534</v>
      </c>
      <c r="B228" s="83" t="s">
        <v>2380</v>
      </c>
      <c r="C228" s="83" t="s">
        <v>2534</v>
      </c>
      <c r="D228" s="83" t="s">
        <v>2876</v>
      </c>
      <c r="E228" s="84">
        <f>sped_hosp_sld_gp_ktog6</f>
        <v>0</v>
      </c>
      <c r="F228" s="83" t="b">
        <v>1</v>
      </c>
      <c r="G228" s="83"/>
      <c r="H228" s="83"/>
    </row>
    <row r="229" spans="1:8">
      <c r="A229" s="83" t="s">
        <v>2535</v>
      </c>
      <c r="B229" s="83" t="s">
        <v>2380</v>
      </c>
      <c r="C229" s="83" t="s">
        <v>2535</v>
      </c>
      <c r="D229" s="83" t="s">
        <v>2877</v>
      </c>
      <c r="E229" s="84">
        <f>sped_hosp_sld_gp_tp</f>
        <v>0</v>
      </c>
      <c r="F229" s="83" t="b">
        <v>1</v>
      </c>
      <c r="G229" s="83"/>
      <c r="H229" s="83"/>
    </row>
    <row r="230" spans="1:8">
      <c r="A230" s="83" t="s">
        <v>2536</v>
      </c>
      <c r="B230" s="83" t="s">
        <v>2380</v>
      </c>
      <c r="C230" s="83" t="s">
        <v>2536</v>
      </c>
      <c r="D230" s="83" t="s">
        <v>2878</v>
      </c>
      <c r="E230" s="84">
        <f>sped_hosp_sld_ltp_age_5to10</f>
        <v>0</v>
      </c>
      <c r="F230" s="83" t="b">
        <v>1</v>
      </c>
      <c r="G230" s="83"/>
      <c r="H230" s="83"/>
    </row>
    <row r="231" spans="1:8">
      <c r="A231" s="83" t="s">
        <v>2537</v>
      </c>
      <c r="B231" s="83" t="s">
        <v>2380</v>
      </c>
      <c r="C231" s="83" t="s">
        <v>2537</v>
      </c>
      <c r="D231" s="83" t="s">
        <v>2879</v>
      </c>
      <c r="E231" s="84">
        <f>sped_hosp_sld_ltp_age_11to15</f>
        <v>0</v>
      </c>
      <c r="F231" s="83" t="b">
        <v>1</v>
      </c>
      <c r="G231" s="83"/>
      <c r="H231" s="83"/>
    </row>
    <row r="232" spans="1:8">
      <c r="A232" s="83" t="s">
        <v>2538</v>
      </c>
      <c r="B232" s="83" t="s">
        <v>2380</v>
      </c>
      <c r="C232" s="83" t="s">
        <v>2538</v>
      </c>
      <c r="D232" s="83" t="s">
        <v>2880</v>
      </c>
      <c r="E232" s="84">
        <f>sped_hosp_sld_ltp_age_16to20</f>
        <v>0</v>
      </c>
      <c r="F232" s="83" t="b">
        <v>1</v>
      </c>
      <c r="G232" s="83"/>
      <c r="H232" s="83"/>
    </row>
    <row r="233" spans="1:8">
      <c r="A233" s="83" t="s">
        <v>2539</v>
      </c>
      <c r="B233" s="83" t="s">
        <v>2380</v>
      </c>
      <c r="C233" s="83" t="s">
        <v>2539</v>
      </c>
      <c r="D233" s="83" t="s">
        <v>2881</v>
      </c>
      <c r="E233" s="84">
        <f>sped_hosp_sld_ltp_age_21to25</f>
        <v>0</v>
      </c>
      <c r="F233" s="83" t="b">
        <v>1</v>
      </c>
      <c r="G233" s="83"/>
      <c r="H233" s="83"/>
    </row>
    <row r="234" spans="1:8">
      <c r="A234" s="83" t="s">
        <v>2540</v>
      </c>
      <c r="B234" s="83" t="s">
        <v>2380</v>
      </c>
      <c r="C234" s="83" t="s">
        <v>2540</v>
      </c>
      <c r="D234" s="83" t="s">
        <v>2882</v>
      </c>
      <c r="E234" s="84">
        <f>sped_home_cp_age_5to10</f>
        <v>0</v>
      </c>
      <c r="F234" s="83" t="b">
        <v>1</v>
      </c>
      <c r="G234" s="83"/>
      <c r="H234" s="83"/>
    </row>
    <row r="235" spans="1:8">
      <c r="A235" s="83" t="s">
        <v>2541</v>
      </c>
      <c r="B235" s="83" t="s">
        <v>2380</v>
      </c>
      <c r="C235" s="83" t="s">
        <v>2541</v>
      </c>
      <c r="D235" s="83" t="s">
        <v>2883</v>
      </c>
      <c r="E235" s="84">
        <f>sped_home_cp_age_11to15</f>
        <v>0</v>
      </c>
      <c r="F235" s="83" t="b">
        <v>1</v>
      </c>
      <c r="G235" s="83"/>
      <c r="H235" s="83"/>
    </row>
    <row r="236" spans="1:8">
      <c r="A236" s="83" t="s">
        <v>2542</v>
      </c>
      <c r="B236" s="83" t="s">
        <v>2380</v>
      </c>
      <c r="C236" s="83" t="s">
        <v>2542</v>
      </c>
      <c r="D236" s="83" t="s">
        <v>2884</v>
      </c>
      <c r="E236" s="84">
        <f>sped_home_cp_age_16to20</f>
        <v>0</v>
      </c>
      <c r="F236" s="83" t="b">
        <v>1</v>
      </c>
      <c r="G236" s="83"/>
      <c r="H236" s="83"/>
    </row>
    <row r="237" spans="1:8">
      <c r="A237" s="83" t="s">
        <v>2543</v>
      </c>
      <c r="B237" s="83" t="s">
        <v>2380</v>
      </c>
      <c r="C237" s="83" t="s">
        <v>2543</v>
      </c>
      <c r="D237" s="83" t="s">
        <v>2885</v>
      </c>
      <c r="E237" s="84">
        <f>sped_home_cp_age_21to25</f>
        <v>0</v>
      </c>
      <c r="F237" s="83" t="b">
        <v>1</v>
      </c>
      <c r="G237" s="83"/>
      <c r="H237" s="83"/>
    </row>
    <row r="238" spans="1:8">
      <c r="A238" s="83" t="s">
        <v>2544</v>
      </c>
      <c r="B238" s="83" t="s">
        <v>2380</v>
      </c>
      <c r="C238" s="83" t="s">
        <v>2544</v>
      </c>
      <c r="D238" s="83" t="s">
        <v>2886</v>
      </c>
      <c r="E238" s="84">
        <f>sped_home_cp_gp_ktog6</f>
        <v>0</v>
      </c>
      <c r="F238" s="83" t="b">
        <v>1</v>
      </c>
      <c r="G238" s="83"/>
      <c r="H238" s="83"/>
    </row>
    <row r="239" spans="1:8">
      <c r="A239" s="83" t="s">
        <v>2545</v>
      </c>
      <c r="B239" s="83" t="s">
        <v>2380</v>
      </c>
      <c r="C239" s="83" t="s">
        <v>2545</v>
      </c>
      <c r="D239" s="83" t="s">
        <v>2887</v>
      </c>
      <c r="E239" s="84">
        <f>sped_home_cp_gp_tp</f>
        <v>0</v>
      </c>
      <c r="F239" s="83" t="b">
        <v>1</v>
      </c>
      <c r="G239" s="83"/>
      <c r="H239" s="83"/>
    </row>
    <row r="240" spans="1:8">
      <c r="A240" s="83" t="s">
        <v>2546</v>
      </c>
      <c r="B240" s="83" t="s">
        <v>2380</v>
      </c>
      <c r="C240" s="83" t="s">
        <v>2546</v>
      </c>
      <c r="D240" s="83" t="s">
        <v>2888</v>
      </c>
      <c r="E240" s="84">
        <f>sped_home_cp_ltp_age_5to10</f>
        <v>0</v>
      </c>
      <c r="F240" s="83" t="b">
        <v>1</v>
      </c>
      <c r="G240" s="83"/>
      <c r="H240" s="83"/>
    </row>
    <row r="241" spans="1:8">
      <c r="A241" s="83" t="s">
        <v>2547</v>
      </c>
      <c r="B241" s="83" t="s">
        <v>2380</v>
      </c>
      <c r="C241" s="83" t="s">
        <v>2547</v>
      </c>
      <c r="D241" s="83" t="s">
        <v>2889</v>
      </c>
      <c r="E241" s="84">
        <f>sped_home_cp_ltp_age_11to15</f>
        <v>0</v>
      </c>
      <c r="F241" s="83" t="b">
        <v>1</v>
      </c>
      <c r="G241" s="83"/>
      <c r="H241" s="83"/>
    </row>
    <row r="242" spans="1:8">
      <c r="A242" s="83" t="s">
        <v>2548</v>
      </c>
      <c r="B242" s="83" t="s">
        <v>2380</v>
      </c>
      <c r="C242" s="83" t="s">
        <v>2548</v>
      </c>
      <c r="D242" s="83" t="s">
        <v>2890</v>
      </c>
      <c r="E242" s="84">
        <f>sped_home_cp_ltp_age_16to20</f>
        <v>0</v>
      </c>
      <c r="F242" s="83" t="b">
        <v>1</v>
      </c>
      <c r="G242" s="83"/>
      <c r="H242" s="83"/>
    </row>
    <row r="243" spans="1:8">
      <c r="A243" s="83" t="s">
        <v>2549</v>
      </c>
      <c r="B243" s="83" t="s">
        <v>2380</v>
      </c>
      <c r="C243" s="83" t="s">
        <v>2549</v>
      </c>
      <c r="D243" s="83" t="s">
        <v>2891</v>
      </c>
      <c r="E243" s="84">
        <f>sped_home_cp_ltp_age_21to25</f>
        <v>0</v>
      </c>
      <c r="F243" s="83" t="b">
        <v>1</v>
      </c>
      <c r="G243" s="83"/>
      <c r="H243" s="83"/>
    </row>
    <row r="244" spans="1:8">
      <c r="A244" s="83" t="s">
        <v>2550</v>
      </c>
      <c r="B244" s="83" t="s">
        <v>2380</v>
      </c>
      <c r="C244" s="83" t="s">
        <v>2550</v>
      </c>
      <c r="D244" s="83" t="s">
        <v>2892</v>
      </c>
      <c r="E244" s="84">
        <f>sped_hosp_cp_age_5to10</f>
        <v>0</v>
      </c>
      <c r="F244" s="83" t="b">
        <v>1</v>
      </c>
      <c r="G244" s="83"/>
      <c r="H244" s="83"/>
    </row>
    <row r="245" spans="1:8">
      <c r="A245" s="83" t="s">
        <v>2551</v>
      </c>
      <c r="B245" s="83" t="s">
        <v>2380</v>
      </c>
      <c r="C245" s="83" t="s">
        <v>2551</v>
      </c>
      <c r="D245" s="83" t="s">
        <v>2893</v>
      </c>
      <c r="E245" s="84">
        <f>sped_hosp_cp_age_11to15</f>
        <v>0</v>
      </c>
      <c r="F245" s="83" t="b">
        <v>1</v>
      </c>
      <c r="G245" s="83"/>
      <c r="H245" s="83"/>
    </row>
    <row r="246" spans="1:8">
      <c r="A246" s="83" t="s">
        <v>2552</v>
      </c>
      <c r="B246" s="83" t="s">
        <v>2380</v>
      </c>
      <c r="C246" s="83" t="s">
        <v>2552</v>
      </c>
      <c r="D246" s="83" t="s">
        <v>2894</v>
      </c>
      <c r="E246" s="84">
        <f>sped_hosp_cp_age_16to20</f>
        <v>0</v>
      </c>
      <c r="F246" s="83" t="b">
        <v>1</v>
      </c>
      <c r="G246" s="83"/>
      <c r="H246" s="83"/>
    </row>
    <row r="247" spans="1:8">
      <c r="A247" s="83" t="s">
        <v>2553</v>
      </c>
      <c r="B247" s="83" t="s">
        <v>2380</v>
      </c>
      <c r="C247" s="83" t="s">
        <v>2553</v>
      </c>
      <c r="D247" s="83" t="s">
        <v>2895</v>
      </c>
      <c r="E247" s="84">
        <f>sped_hosp_cp_age_21to25</f>
        <v>0</v>
      </c>
      <c r="F247" s="83" t="b">
        <v>1</v>
      </c>
      <c r="G247" s="83"/>
      <c r="H247" s="83"/>
    </row>
    <row r="248" spans="1:8">
      <c r="A248" s="83" t="s">
        <v>2554</v>
      </c>
      <c r="B248" s="83" t="s">
        <v>2380</v>
      </c>
      <c r="C248" s="83" t="s">
        <v>2554</v>
      </c>
      <c r="D248" s="83" t="s">
        <v>2896</v>
      </c>
      <c r="E248" s="84">
        <f>sped_hosp_cp_gp_ktog6</f>
        <v>0</v>
      </c>
      <c r="F248" s="83" t="b">
        <v>1</v>
      </c>
      <c r="G248" s="83"/>
      <c r="H248" s="83"/>
    </row>
    <row r="249" spans="1:8">
      <c r="A249" s="83" t="s">
        <v>2555</v>
      </c>
      <c r="B249" s="83" t="s">
        <v>2380</v>
      </c>
      <c r="C249" s="83" t="s">
        <v>2555</v>
      </c>
      <c r="D249" s="83" t="s">
        <v>2897</v>
      </c>
      <c r="E249" s="84">
        <f>sped_hosp_cp_gp_tp</f>
        <v>0</v>
      </c>
      <c r="F249" s="83" t="b">
        <v>1</v>
      </c>
      <c r="G249" s="83"/>
      <c r="H249" s="83"/>
    </row>
    <row r="250" spans="1:8">
      <c r="A250" s="83" t="s">
        <v>2556</v>
      </c>
      <c r="B250" s="83" t="s">
        <v>2380</v>
      </c>
      <c r="C250" s="83" t="s">
        <v>2556</v>
      </c>
      <c r="D250" s="83" t="s">
        <v>2898</v>
      </c>
      <c r="E250" s="84">
        <f>sped_hosp_cp_ltp_age_5to10</f>
        <v>0</v>
      </c>
      <c r="F250" s="83" t="b">
        <v>1</v>
      </c>
      <c r="G250" s="83"/>
      <c r="H250" s="83"/>
    </row>
    <row r="251" spans="1:8">
      <c r="A251" s="83" t="s">
        <v>2557</v>
      </c>
      <c r="B251" s="83" t="s">
        <v>2380</v>
      </c>
      <c r="C251" s="83" t="s">
        <v>2557</v>
      </c>
      <c r="D251" s="83" t="s">
        <v>2899</v>
      </c>
      <c r="E251" s="84">
        <f>sped_hosp_cp_ltp_age_11to15</f>
        <v>0</v>
      </c>
      <c r="F251" s="83" t="b">
        <v>1</v>
      </c>
      <c r="G251" s="83"/>
      <c r="H251" s="83"/>
    </row>
    <row r="252" spans="1:8">
      <c r="A252" s="83" t="s">
        <v>2558</v>
      </c>
      <c r="B252" s="83" t="s">
        <v>2380</v>
      </c>
      <c r="C252" s="83" t="s">
        <v>2558</v>
      </c>
      <c r="D252" s="83" t="s">
        <v>2900</v>
      </c>
      <c r="E252" s="84">
        <f>sped_hosp_cp_ltp_age_16to20</f>
        <v>0</v>
      </c>
      <c r="F252" s="83" t="b">
        <v>1</v>
      </c>
      <c r="G252" s="83"/>
      <c r="H252" s="83"/>
    </row>
    <row r="253" spans="1:8">
      <c r="A253" s="83" t="s">
        <v>2559</v>
      </c>
      <c r="B253" s="83" t="s">
        <v>2380</v>
      </c>
      <c r="C253" s="83" t="s">
        <v>2559</v>
      </c>
      <c r="D253" s="83" t="s">
        <v>2901</v>
      </c>
      <c r="E253" s="84">
        <f>sped_hosp_cp_ltp_age_21to25</f>
        <v>0</v>
      </c>
      <c r="F253" s="83" t="b">
        <v>1</v>
      </c>
      <c r="G253" s="83"/>
      <c r="H253" s="83"/>
    </row>
    <row r="254" spans="1:8">
      <c r="A254" s="83" t="s">
        <v>2560</v>
      </c>
      <c r="B254" s="83" t="s">
        <v>2380</v>
      </c>
      <c r="C254" s="83" t="s">
        <v>2560</v>
      </c>
      <c r="D254" s="83" t="s">
        <v>2902</v>
      </c>
      <c r="E254" s="84">
        <f>sped_home_cd_age_5to10</f>
        <v>0</v>
      </c>
      <c r="F254" s="83" t="b">
        <f>OR(E254=0,E254&gt;=E274)</f>
        <v>1</v>
      </c>
      <c r="G254" s="83" t="s">
        <v>3024</v>
      </c>
      <c r="H254" s="83"/>
    </row>
    <row r="255" spans="1:8">
      <c r="A255" s="83" t="s">
        <v>2561</v>
      </c>
      <c r="B255" s="83" t="s">
        <v>2380</v>
      </c>
      <c r="C255" s="83" t="s">
        <v>2561</v>
      </c>
      <c r="D255" s="83" t="s">
        <v>2903</v>
      </c>
      <c r="E255" s="84">
        <f>sped_home_cd_age_11to15</f>
        <v>0</v>
      </c>
      <c r="F255" s="83" t="b">
        <f>OR(E255=0,E255&gt;=E275)</f>
        <v>1</v>
      </c>
      <c r="G255" s="83" t="s">
        <v>3024</v>
      </c>
      <c r="H255" s="83"/>
    </row>
    <row r="256" spans="1:8">
      <c r="A256" s="83" t="s">
        <v>2562</v>
      </c>
      <c r="B256" s="83" t="s">
        <v>2380</v>
      </c>
      <c r="C256" s="83" t="s">
        <v>2562</v>
      </c>
      <c r="D256" s="83" t="s">
        <v>2904</v>
      </c>
      <c r="E256" s="84">
        <f>sped_home_cd_age_16to20</f>
        <v>0</v>
      </c>
      <c r="F256" s="83" t="b">
        <f t="shared" ref="F256:F272" si="1">OR(E256=0,E256&gt;=E276)</f>
        <v>1</v>
      </c>
      <c r="G256" s="83" t="s">
        <v>3024</v>
      </c>
      <c r="H256" s="83"/>
    </row>
    <row r="257" spans="1:8">
      <c r="A257" s="83" t="s">
        <v>2563</v>
      </c>
      <c r="B257" s="83" t="s">
        <v>2380</v>
      </c>
      <c r="C257" s="83" t="s">
        <v>2563</v>
      </c>
      <c r="D257" s="83" t="s">
        <v>2905</v>
      </c>
      <c r="E257" s="84">
        <f>sped_home_cd_age_21to25</f>
        <v>0</v>
      </c>
      <c r="F257" s="83" t="b">
        <f t="shared" si="1"/>
        <v>1</v>
      </c>
      <c r="G257" s="83" t="s">
        <v>3024</v>
      </c>
      <c r="H257" s="83"/>
    </row>
    <row r="258" spans="1:8">
      <c r="A258" s="83" t="s">
        <v>2564</v>
      </c>
      <c r="B258" s="83" t="s">
        <v>2380</v>
      </c>
      <c r="C258" s="83" t="s">
        <v>2564</v>
      </c>
      <c r="D258" s="83" t="s">
        <v>2906</v>
      </c>
      <c r="E258" s="84">
        <f>sped_home_cd_gp_ktog6</f>
        <v>0</v>
      </c>
      <c r="F258" s="83" t="b">
        <f t="shared" si="1"/>
        <v>1</v>
      </c>
      <c r="G258" s="83" t="s">
        <v>3024</v>
      </c>
      <c r="H258" s="83"/>
    </row>
    <row r="259" spans="1:8">
      <c r="A259" s="83" t="s">
        <v>2565</v>
      </c>
      <c r="B259" s="83" t="s">
        <v>2380</v>
      </c>
      <c r="C259" s="83" t="s">
        <v>2565</v>
      </c>
      <c r="D259" s="83" t="s">
        <v>2907</v>
      </c>
      <c r="E259" s="84">
        <f>sped_home_cd_gp_tp</f>
        <v>0</v>
      </c>
      <c r="F259" s="83" t="b">
        <f t="shared" si="1"/>
        <v>1</v>
      </c>
      <c r="G259" s="83" t="s">
        <v>3024</v>
      </c>
      <c r="H259" s="83"/>
    </row>
    <row r="260" spans="1:8">
      <c r="A260" s="83" t="s">
        <v>2566</v>
      </c>
      <c r="B260" s="83" t="s">
        <v>2380</v>
      </c>
      <c r="C260" s="83" t="s">
        <v>2566</v>
      </c>
      <c r="D260" s="83" t="s">
        <v>2908</v>
      </c>
      <c r="E260" s="84">
        <f>sped_home_cd_ltp_age_5to10</f>
        <v>0</v>
      </c>
      <c r="F260" s="83" t="b">
        <f t="shared" si="1"/>
        <v>1</v>
      </c>
      <c r="G260" s="83" t="s">
        <v>3024</v>
      </c>
      <c r="H260" s="83"/>
    </row>
    <row r="261" spans="1:8">
      <c r="A261" s="83" t="s">
        <v>2567</v>
      </c>
      <c r="B261" s="83" t="s">
        <v>2380</v>
      </c>
      <c r="C261" s="83" t="s">
        <v>2567</v>
      </c>
      <c r="D261" s="83" t="s">
        <v>2909</v>
      </c>
      <c r="E261" s="84">
        <f>sped_home_cd_ltp_age_11to15</f>
        <v>0</v>
      </c>
      <c r="F261" s="83" t="b">
        <f t="shared" si="1"/>
        <v>1</v>
      </c>
      <c r="G261" s="83" t="s">
        <v>3024</v>
      </c>
      <c r="H261" s="83"/>
    </row>
    <row r="262" spans="1:8">
      <c r="A262" s="83" t="s">
        <v>2568</v>
      </c>
      <c r="B262" s="83" t="s">
        <v>2380</v>
      </c>
      <c r="C262" s="83" t="s">
        <v>2568</v>
      </c>
      <c r="D262" s="83" t="s">
        <v>2910</v>
      </c>
      <c r="E262" s="84">
        <f>sped_home_cd_ltp_age_16to20</f>
        <v>0</v>
      </c>
      <c r="F262" s="83" t="b">
        <f t="shared" si="1"/>
        <v>1</v>
      </c>
      <c r="G262" s="83" t="s">
        <v>3024</v>
      </c>
      <c r="H262" s="83"/>
    </row>
    <row r="263" spans="1:8">
      <c r="A263" s="83" t="s">
        <v>2569</v>
      </c>
      <c r="B263" s="83" t="s">
        <v>2380</v>
      </c>
      <c r="C263" s="83" t="s">
        <v>2569</v>
      </c>
      <c r="D263" s="83" t="s">
        <v>2911</v>
      </c>
      <c r="E263" s="84">
        <f>sped_home_cd_ltp_age_21to25</f>
        <v>0</v>
      </c>
      <c r="F263" s="83" t="b">
        <f t="shared" si="1"/>
        <v>1</v>
      </c>
      <c r="G263" s="83" t="s">
        <v>3024</v>
      </c>
      <c r="H263" s="83"/>
    </row>
    <row r="264" spans="1:8">
      <c r="A264" s="83" t="s">
        <v>2570</v>
      </c>
      <c r="B264" s="83" t="s">
        <v>2380</v>
      </c>
      <c r="C264" s="83" t="s">
        <v>2570</v>
      </c>
      <c r="D264" s="83" t="s">
        <v>2912</v>
      </c>
      <c r="E264" s="84">
        <f>sped_hosp_cd_age_5to10</f>
        <v>0</v>
      </c>
      <c r="F264" s="83" t="b">
        <f t="shared" si="1"/>
        <v>1</v>
      </c>
      <c r="G264" s="83" t="s">
        <v>3024</v>
      </c>
      <c r="H264" s="83"/>
    </row>
    <row r="265" spans="1:8">
      <c r="A265" s="83" t="s">
        <v>2571</v>
      </c>
      <c r="B265" s="83" t="s">
        <v>2380</v>
      </c>
      <c r="C265" s="83" t="s">
        <v>2571</v>
      </c>
      <c r="D265" s="83" t="s">
        <v>2913</v>
      </c>
      <c r="E265" s="84">
        <f>sped_hosp_cd_age_11to15</f>
        <v>0</v>
      </c>
      <c r="F265" s="83" t="b">
        <f t="shared" si="1"/>
        <v>1</v>
      </c>
      <c r="G265" s="83" t="s">
        <v>3024</v>
      </c>
      <c r="H265" s="83"/>
    </row>
    <row r="266" spans="1:8">
      <c r="A266" s="83" t="s">
        <v>2572</v>
      </c>
      <c r="B266" s="83" t="s">
        <v>2380</v>
      </c>
      <c r="C266" s="83" t="s">
        <v>2572</v>
      </c>
      <c r="D266" s="83" t="s">
        <v>2914</v>
      </c>
      <c r="E266" s="84">
        <f>sped_hosp_cd_age_16to20</f>
        <v>0</v>
      </c>
      <c r="F266" s="83" t="b">
        <f t="shared" si="1"/>
        <v>1</v>
      </c>
      <c r="G266" s="83" t="s">
        <v>3024</v>
      </c>
      <c r="H266" s="83"/>
    </row>
    <row r="267" spans="1:8">
      <c r="A267" s="83" t="s">
        <v>2573</v>
      </c>
      <c r="B267" s="83" t="s">
        <v>2380</v>
      </c>
      <c r="C267" s="83" t="s">
        <v>2573</v>
      </c>
      <c r="D267" s="83" t="s">
        <v>2915</v>
      </c>
      <c r="E267" s="84">
        <f>sped_hosp_cd_age_21to25</f>
        <v>0</v>
      </c>
      <c r="F267" s="83" t="b">
        <f t="shared" si="1"/>
        <v>1</v>
      </c>
      <c r="G267" s="83" t="s">
        <v>3024</v>
      </c>
      <c r="H267" s="83"/>
    </row>
    <row r="268" spans="1:8">
      <c r="A268" s="83" t="s">
        <v>2574</v>
      </c>
      <c r="B268" s="83" t="s">
        <v>2380</v>
      </c>
      <c r="C268" s="83" t="s">
        <v>2574</v>
      </c>
      <c r="D268" s="83" t="s">
        <v>2916</v>
      </c>
      <c r="E268" s="84">
        <f>sped_hosp_cd_gp_ktog6</f>
        <v>0</v>
      </c>
      <c r="F268" s="83" t="b">
        <f t="shared" si="1"/>
        <v>1</v>
      </c>
      <c r="G268" s="83" t="s">
        <v>3024</v>
      </c>
      <c r="H268" s="83"/>
    </row>
    <row r="269" spans="1:8">
      <c r="A269" s="83" t="s">
        <v>2575</v>
      </c>
      <c r="B269" s="83" t="s">
        <v>2380</v>
      </c>
      <c r="C269" s="83" t="s">
        <v>2575</v>
      </c>
      <c r="D269" s="83" t="s">
        <v>2917</v>
      </c>
      <c r="E269" s="84">
        <f>sped_hosp_cd_gp_tp</f>
        <v>0</v>
      </c>
      <c r="F269" s="83" t="b">
        <f t="shared" si="1"/>
        <v>1</v>
      </c>
      <c r="G269" s="83" t="s">
        <v>3024</v>
      </c>
      <c r="H269" s="83"/>
    </row>
    <row r="270" spans="1:8">
      <c r="A270" s="83" t="s">
        <v>2576</v>
      </c>
      <c r="B270" s="83" t="s">
        <v>2380</v>
      </c>
      <c r="C270" s="83" t="s">
        <v>2576</v>
      </c>
      <c r="D270" s="83" t="s">
        <v>2918</v>
      </c>
      <c r="E270" s="84">
        <f>sped_hosp_cd_ltp_age_5to10</f>
        <v>0</v>
      </c>
      <c r="F270" s="83" t="b">
        <f t="shared" si="1"/>
        <v>1</v>
      </c>
      <c r="G270" s="83" t="s">
        <v>3024</v>
      </c>
      <c r="H270" s="83"/>
    </row>
    <row r="271" spans="1:8">
      <c r="A271" s="83" t="s">
        <v>2577</v>
      </c>
      <c r="B271" s="83" t="s">
        <v>2380</v>
      </c>
      <c r="C271" s="83" t="s">
        <v>2577</v>
      </c>
      <c r="D271" s="83" t="s">
        <v>2919</v>
      </c>
      <c r="E271" s="84">
        <f>sped_hosp_cd_ltp_age_11to15</f>
        <v>0</v>
      </c>
      <c r="F271" s="83" t="b">
        <f t="shared" si="1"/>
        <v>1</v>
      </c>
      <c r="G271" s="83" t="s">
        <v>3024</v>
      </c>
      <c r="H271" s="83"/>
    </row>
    <row r="272" spans="1:8">
      <c r="A272" s="83" t="s">
        <v>2578</v>
      </c>
      <c r="B272" s="83" t="s">
        <v>2380</v>
      </c>
      <c r="C272" s="83" t="s">
        <v>2578</v>
      </c>
      <c r="D272" s="83" t="s">
        <v>2920</v>
      </c>
      <c r="E272" s="84">
        <f>sped_hosp_cd_ltp_age_16to20</f>
        <v>0</v>
      </c>
      <c r="F272" s="83" t="b">
        <f t="shared" si="1"/>
        <v>1</v>
      </c>
      <c r="G272" s="83" t="s">
        <v>3024</v>
      </c>
      <c r="H272" s="83"/>
    </row>
    <row r="273" spans="1:8">
      <c r="A273" s="83" t="s">
        <v>2579</v>
      </c>
      <c r="B273" s="83" t="s">
        <v>2380</v>
      </c>
      <c r="C273" s="83" t="s">
        <v>2579</v>
      </c>
      <c r="D273" s="83" t="s">
        <v>2921</v>
      </c>
      <c r="E273" s="84">
        <f>sped_hosp_cd_ltp_age_21to25</f>
        <v>0</v>
      </c>
      <c r="F273" s="83" t="b">
        <f>OR(E273=0,E273&gt;=E293)</f>
        <v>1</v>
      </c>
      <c r="G273" s="83" t="s">
        <v>3024</v>
      </c>
      <c r="H273" s="83"/>
    </row>
    <row r="274" spans="1:8">
      <c r="A274" s="83" t="s">
        <v>2580</v>
      </c>
      <c r="B274" s="83" t="s">
        <v>2380</v>
      </c>
      <c r="C274" s="83" t="s">
        <v>2580</v>
      </c>
      <c r="D274" s="83" t="s">
        <v>2922</v>
      </c>
      <c r="E274" s="84">
        <f>sped_home_cancer_age_5to10</f>
        <v>0</v>
      </c>
      <c r="F274" s="83" t="b">
        <f>OR(E274=0,E274&lt;=E254)</f>
        <v>1</v>
      </c>
      <c r="G274" s="83" t="s">
        <v>3025</v>
      </c>
      <c r="H274" s="83"/>
    </row>
    <row r="275" spans="1:8">
      <c r="A275" s="83" t="s">
        <v>2581</v>
      </c>
      <c r="B275" s="83" t="s">
        <v>2380</v>
      </c>
      <c r="C275" s="83" t="s">
        <v>2581</v>
      </c>
      <c r="D275" s="83" t="s">
        <v>2923</v>
      </c>
      <c r="E275" s="84">
        <f>sped_home_cancer_age_11to15</f>
        <v>0</v>
      </c>
      <c r="F275" s="83" t="b">
        <f t="shared" ref="F275:F293" si="2">OR(E275=0,E275&lt;=E255)</f>
        <v>1</v>
      </c>
      <c r="G275" s="83" t="s">
        <v>3025</v>
      </c>
      <c r="H275" s="83"/>
    </row>
    <row r="276" spans="1:8">
      <c r="A276" s="83" t="s">
        <v>2582</v>
      </c>
      <c r="B276" s="83" t="s">
        <v>2380</v>
      </c>
      <c r="C276" s="83" t="s">
        <v>2582</v>
      </c>
      <c r="D276" s="83" t="s">
        <v>2924</v>
      </c>
      <c r="E276" s="84">
        <f>sped_home_cancer_age_16to20</f>
        <v>0</v>
      </c>
      <c r="F276" s="83" t="b">
        <f t="shared" si="2"/>
        <v>1</v>
      </c>
      <c r="G276" s="83" t="s">
        <v>3025</v>
      </c>
      <c r="H276" s="83"/>
    </row>
    <row r="277" spans="1:8">
      <c r="A277" s="83" t="s">
        <v>2583</v>
      </c>
      <c r="B277" s="83" t="s">
        <v>2380</v>
      </c>
      <c r="C277" s="83" t="s">
        <v>2583</v>
      </c>
      <c r="D277" s="83" t="s">
        <v>2925</v>
      </c>
      <c r="E277" s="84">
        <f>sped_home_cancer_age_21to25</f>
        <v>0</v>
      </c>
      <c r="F277" s="83" t="b">
        <f t="shared" si="2"/>
        <v>1</v>
      </c>
      <c r="G277" s="83" t="s">
        <v>3025</v>
      </c>
      <c r="H277" s="83"/>
    </row>
    <row r="278" spans="1:8">
      <c r="A278" s="83" t="s">
        <v>2584</v>
      </c>
      <c r="B278" s="83" t="s">
        <v>2380</v>
      </c>
      <c r="C278" s="83" t="s">
        <v>2584</v>
      </c>
      <c r="D278" s="83" t="s">
        <v>2926</v>
      </c>
      <c r="E278" s="84">
        <f>sped_home_cancer_gp_ktog6</f>
        <v>0</v>
      </c>
      <c r="F278" s="83" t="b">
        <f t="shared" si="2"/>
        <v>1</v>
      </c>
      <c r="G278" s="83" t="s">
        <v>3025</v>
      </c>
      <c r="H278" s="83"/>
    </row>
    <row r="279" spans="1:8">
      <c r="A279" s="83" t="s">
        <v>2585</v>
      </c>
      <c r="B279" s="83" t="s">
        <v>2380</v>
      </c>
      <c r="C279" s="83" t="s">
        <v>2585</v>
      </c>
      <c r="D279" s="83" t="s">
        <v>2927</v>
      </c>
      <c r="E279" s="84">
        <f>sped_home_cancer_gp_tp</f>
        <v>0</v>
      </c>
      <c r="F279" s="83" t="b">
        <f t="shared" si="2"/>
        <v>1</v>
      </c>
      <c r="G279" s="83" t="s">
        <v>3025</v>
      </c>
      <c r="H279" s="83"/>
    </row>
    <row r="280" spans="1:8">
      <c r="A280" s="83" t="s">
        <v>2586</v>
      </c>
      <c r="B280" s="83" t="s">
        <v>2380</v>
      </c>
      <c r="C280" s="83" t="s">
        <v>2586</v>
      </c>
      <c r="D280" s="83" t="s">
        <v>2928</v>
      </c>
      <c r="E280" s="84">
        <f>sped_home_cancer_ltp_age_5to10</f>
        <v>0</v>
      </c>
      <c r="F280" s="83" t="b">
        <f t="shared" si="2"/>
        <v>1</v>
      </c>
      <c r="G280" s="83" t="s">
        <v>3025</v>
      </c>
      <c r="H280" s="83"/>
    </row>
    <row r="281" spans="1:8">
      <c r="A281" s="83" t="s">
        <v>2587</v>
      </c>
      <c r="B281" s="83" t="s">
        <v>2380</v>
      </c>
      <c r="C281" s="83" t="s">
        <v>2587</v>
      </c>
      <c r="D281" s="83" t="s">
        <v>2929</v>
      </c>
      <c r="E281" s="84">
        <f>sped_home_cancer_ltp_age_11to15</f>
        <v>0</v>
      </c>
      <c r="F281" s="83" t="b">
        <f t="shared" si="2"/>
        <v>1</v>
      </c>
      <c r="G281" s="83" t="s">
        <v>3025</v>
      </c>
      <c r="H281" s="83"/>
    </row>
    <row r="282" spans="1:8">
      <c r="A282" s="83" t="s">
        <v>2588</v>
      </c>
      <c r="B282" s="83" t="s">
        <v>2380</v>
      </c>
      <c r="C282" s="83" t="s">
        <v>2588</v>
      </c>
      <c r="D282" s="83" t="s">
        <v>2930</v>
      </c>
      <c r="E282" s="84">
        <f>sped_home_cancer_ltp_age_16to20</f>
        <v>0</v>
      </c>
      <c r="F282" s="83" t="b">
        <f t="shared" si="2"/>
        <v>1</v>
      </c>
      <c r="G282" s="83" t="s">
        <v>3025</v>
      </c>
      <c r="H282" s="83"/>
    </row>
    <row r="283" spans="1:8">
      <c r="A283" s="83" t="s">
        <v>2589</v>
      </c>
      <c r="B283" s="83" t="s">
        <v>2380</v>
      </c>
      <c r="C283" s="83" t="s">
        <v>2589</v>
      </c>
      <c r="D283" s="83" t="s">
        <v>2931</v>
      </c>
      <c r="E283" s="84">
        <f>sped_home_cancer_ltp_age_21to25</f>
        <v>0</v>
      </c>
      <c r="F283" s="83" t="b">
        <f t="shared" si="2"/>
        <v>1</v>
      </c>
      <c r="G283" s="83" t="s">
        <v>3025</v>
      </c>
      <c r="H283" s="83"/>
    </row>
    <row r="284" spans="1:8">
      <c r="A284" s="83" t="s">
        <v>2590</v>
      </c>
      <c r="B284" s="83" t="s">
        <v>2380</v>
      </c>
      <c r="C284" s="83" t="s">
        <v>2590</v>
      </c>
      <c r="D284" s="83" t="s">
        <v>2932</v>
      </c>
      <c r="E284" s="84">
        <f>sped_hosp_cancer_age_5to10</f>
        <v>0</v>
      </c>
      <c r="F284" s="83" t="b">
        <f t="shared" si="2"/>
        <v>1</v>
      </c>
      <c r="G284" s="83" t="s">
        <v>3025</v>
      </c>
      <c r="H284" s="83"/>
    </row>
    <row r="285" spans="1:8">
      <c r="A285" s="83" t="s">
        <v>2591</v>
      </c>
      <c r="B285" s="83" t="s">
        <v>2380</v>
      </c>
      <c r="C285" s="83" t="s">
        <v>2591</v>
      </c>
      <c r="D285" s="83" t="s">
        <v>2933</v>
      </c>
      <c r="E285" s="84">
        <f>sped_hosp_cancer_age_11to15</f>
        <v>0</v>
      </c>
      <c r="F285" s="83" t="b">
        <f t="shared" si="2"/>
        <v>1</v>
      </c>
      <c r="G285" s="83" t="s">
        <v>3025</v>
      </c>
      <c r="H285" s="83"/>
    </row>
    <row r="286" spans="1:8">
      <c r="A286" s="83" t="s">
        <v>2592</v>
      </c>
      <c r="B286" s="83" t="s">
        <v>2380</v>
      </c>
      <c r="C286" s="83" t="s">
        <v>2592</v>
      </c>
      <c r="D286" s="83" t="s">
        <v>2934</v>
      </c>
      <c r="E286" s="84">
        <f>sped_hosp_cancer_age_16to20</f>
        <v>0</v>
      </c>
      <c r="F286" s="83" t="b">
        <f t="shared" si="2"/>
        <v>1</v>
      </c>
      <c r="G286" s="83" t="s">
        <v>3025</v>
      </c>
      <c r="H286" s="83"/>
    </row>
    <row r="287" spans="1:8">
      <c r="A287" s="83" t="s">
        <v>2593</v>
      </c>
      <c r="B287" s="83" t="s">
        <v>2380</v>
      </c>
      <c r="C287" s="83" t="s">
        <v>2593</v>
      </c>
      <c r="D287" s="83" t="s">
        <v>2935</v>
      </c>
      <c r="E287" s="84">
        <f>sped_hosp_cancer_age_21to25</f>
        <v>0</v>
      </c>
      <c r="F287" s="83" t="b">
        <f t="shared" si="2"/>
        <v>1</v>
      </c>
      <c r="G287" s="83" t="s">
        <v>3025</v>
      </c>
      <c r="H287" s="83"/>
    </row>
    <row r="288" spans="1:8">
      <c r="A288" s="83" t="s">
        <v>2594</v>
      </c>
      <c r="B288" s="83" t="s">
        <v>2380</v>
      </c>
      <c r="C288" s="83" t="s">
        <v>2594</v>
      </c>
      <c r="D288" s="83" t="s">
        <v>2936</v>
      </c>
      <c r="E288" s="84">
        <f>sped_hosp_cancer_gp_ktog6</f>
        <v>0</v>
      </c>
      <c r="F288" s="83" t="b">
        <f t="shared" si="2"/>
        <v>1</v>
      </c>
      <c r="G288" s="83" t="s">
        <v>3025</v>
      </c>
      <c r="H288" s="83"/>
    </row>
    <row r="289" spans="1:9">
      <c r="A289" s="83" t="s">
        <v>2595</v>
      </c>
      <c r="B289" s="83" t="s">
        <v>2380</v>
      </c>
      <c r="C289" s="83" t="s">
        <v>2595</v>
      </c>
      <c r="D289" s="83" t="s">
        <v>2937</v>
      </c>
      <c r="E289" s="84">
        <f>sped_hosp_cancer_gp_tp</f>
        <v>0</v>
      </c>
      <c r="F289" s="83" t="b">
        <f t="shared" si="2"/>
        <v>1</v>
      </c>
      <c r="G289" s="83" t="s">
        <v>3025</v>
      </c>
      <c r="H289" s="83"/>
    </row>
    <row r="290" spans="1:9">
      <c r="A290" s="83" t="s">
        <v>2596</v>
      </c>
      <c r="B290" s="83" t="s">
        <v>2380</v>
      </c>
      <c r="C290" s="83" t="s">
        <v>2596</v>
      </c>
      <c r="D290" s="83" t="s">
        <v>2938</v>
      </c>
      <c r="E290" s="84">
        <f>sped_hosp_cancer_ltp_age_5to10</f>
        <v>0</v>
      </c>
      <c r="F290" s="83" t="b">
        <f t="shared" si="2"/>
        <v>1</v>
      </c>
      <c r="G290" s="83" t="s">
        <v>3025</v>
      </c>
      <c r="H290" s="83"/>
    </row>
    <row r="291" spans="1:9">
      <c r="A291" s="83" t="s">
        <v>2597</v>
      </c>
      <c r="B291" s="83" t="s">
        <v>2380</v>
      </c>
      <c r="C291" s="83" t="s">
        <v>2597</v>
      </c>
      <c r="D291" s="83" t="s">
        <v>2939</v>
      </c>
      <c r="E291" s="84">
        <f>sped_hosp_cancer_ltp_age_11to15</f>
        <v>0</v>
      </c>
      <c r="F291" s="83" t="b">
        <f t="shared" si="2"/>
        <v>1</v>
      </c>
      <c r="G291" s="83" t="s">
        <v>3025</v>
      </c>
      <c r="H291" s="83"/>
    </row>
    <row r="292" spans="1:9">
      <c r="A292" s="83" t="s">
        <v>2598</v>
      </c>
      <c r="B292" s="83" t="s">
        <v>2380</v>
      </c>
      <c r="C292" s="83" t="s">
        <v>2598</v>
      </c>
      <c r="D292" s="83" t="s">
        <v>2940</v>
      </c>
      <c r="E292" s="84">
        <f>sped_hosp_cancer_ltp_age_16to20</f>
        <v>0</v>
      </c>
      <c r="F292" s="83" t="b">
        <f t="shared" si="2"/>
        <v>1</v>
      </c>
      <c r="G292" s="83" t="s">
        <v>3025</v>
      </c>
      <c r="H292" s="83"/>
    </row>
    <row r="293" spans="1:9">
      <c r="A293" s="83" t="s">
        <v>2599</v>
      </c>
      <c r="B293" s="83" t="s">
        <v>2380</v>
      </c>
      <c r="C293" s="83" t="s">
        <v>2599</v>
      </c>
      <c r="D293" s="83" t="s">
        <v>2941</v>
      </c>
      <c r="E293" s="84">
        <f>sped_hosp_cancer_ltp_age_21to25</f>
        <v>0</v>
      </c>
      <c r="F293" s="83" t="b">
        <f t="shared" si="2"/>
        <v>1</v>
      </c>
      <c r="G293" s="83" t="s">
        <v>3025</v>
      </c>
      <c r="H293" s="83"/>
    </row>
    <row r="294" spans="1:9">
      <c r="A294" s="83" t="s">
        <v>2690</v>
      </c>
      <c r="B294" s="83" t="s">
        <v>2380</v>
      </c>
      <c r="C294" s="83" t="s">
        <v>2690</v>
      </c>
      <c r="D294" s="83" t="s">
        <v>2722</v>
      </c>
      <c r="E294" s="84">
        <f>sped_home_md_age_5to10</f>
        <v>0</v>
      </c>
      <c r="F294" s="83" t="b">
        <v>1</v>
      </c>
      <c r="G294" s="83"/>
      <c r="H294" s="83"/>
      <c r="I294" s="83" t="s">
        <v>11533</v>
      </c>
    </row>
    <row r="295" spans="1:9">
      <c r="A295" s="83" t="s">
        <v>2691</v>
      </c>
      <c r="B295" s="83" t="s">
        <v>2380</v>
      </c>
      <c r="C295" s="83" t="s">
        <v>2691</v>
      </c>
      <c r="D295" s="83" t="s">
        <v>2723</v>
      </c>
      <c r="E295" s="84">
        <f>sped_home_md_age_11to15</f>
        <v>0</v>
      </c>
      <c r="F295" s="83" t="b">
        <v>1</v>
      </c>
      <c r="G295" s="83"/>
      <c r="H295" s="83"/>
      <c r="I295" s="83" t="s">
        <v>11533</v>
      </c>
    </row>
    <row r="296" spans="1:9">
      <c r="A296" s="83" t="s">
        <v>2692</v>
      </c>
      <c r="B296" s="83" t="s">
        <v>2380</v>
      </c>
      <c r="C296" s="83" t="s">
        <v>2692</v>
      </c>
      <c r="D296" s="83" t="s">
        <v>2724</v>
      </c>
      <c r="E296" s="84">
        <f>sped_home_md_age_16to20</f>
        <v>0</v>
      </c>
      <c r="F296" s="83" t="b">
        <v>1</v>
      </c>
      <c r="G296" s="83"/>
      <c r="H296" s="83"/>
      <c r="I296" s="83" t="s">
        <v>11533</v>
      </c>
    </row>
    <row r="297" spans="1:9">
      <c r="A297" s="83" t="s">
        <v>2693</v>
      </c>
      <c r="B297" s="83" t="s">
        <v>2380</v>
      </c>
      <c r="C297" s="83" t="s">
        <v>2693</v>
      </c>
      <c r="D297" s="83" t="s">
        <v>2725</v>
      </c>
      <c r="E297" s="84">
        <f>sped_home_md_age_21to25</f>
        <v>0</v>
      </c>
      <c r="F297" s="83" t="b">
        <v>1</v>
      </c>
      <c r="G297" s="83"/>
      <c r="H297" s="83"/>
      <c r="I297" s="83" t="s">
        <v>11533</v>
      </c>
    </row>
    <row r="298" spans="1:9">
      <c r="A298" s="83" t="s">
        <v>2694</v>
      </c>
      <c r="B298" s="83" t="s">
        <v>2380</v>
      </c>
      <c r="C298" s="83" t="s">
        <v>2694</v>
      </c>
      <c r="D298" s="83" t="s">
        <v>2726</v>
      </c>
      <c r="E298" s="84">
        <f>sped_home_md_gp_ktog6</f>
        <v>0</v>
      </c>
      <c r="F298" s="83" t="b">
        <v>1</v>
      </c>
      <c r="G298" s="83"/>
      <c r="H298" s="83"/>
      <c r="I298" s="83" t="s">
        <v>11533</v>
      </c>
    </row>
    <row r="299" spans="1:9">
      <c r="A299" s="83" t="s">
        <v>2695</v>
      </c>
      <c r="B299" s="83" t="s">
        <v>2380</v>
      </c>
      <c r="C299" s="83" t="s">
        <v>2695</v>
      </c>
      <c r="D299" s="83" t="s">
        <v>2727</v>
      </c>
      <c r="E299" s="84">
        <f>sped_home_md_gp_tp</f>
        <v>0</v>
      </c>
      <c r="F299" s="83" t="b">
        <v>1</v>
      </c>
      <c r="G299" s="83"/>
      <c r="H299" s="83"/>
      <c r="I299" s="83" t="s">
        <v>11533</v>
      </c>
    </row>
    <row r="300" spans="1:9">
      <c r="A300" s="83" t="s">
        <v>2600</v>
      </c>
      <c r="B300" s="83" t="s">
        <v>2380</v>
      </c>
      <c r="C300" s="83" t="s">
        <v>2600</v>
      </c>
      <c r="D300" s="83" t="s">
        <v>2728</v>
      </c>
      <c r="E300" s="84">
        <f>sped_home_md_ltp_age_5to10</f>
        <v>0</v>
      </c>
      <c r="F300" s="83" t="b">
        <v>1</v>
      </c>
      <c r="G300" s="83"/>
      <c r="H300" s="83"/>
      <c r="I300" s="83" t="s">
        <v>11533</v>
      </c>
    </row>
    <row r="301" spans="1:9">
      <c r="A301" s="83" t="s">
        <v>2601</v>
      </c>
      <c r="B301" s="83" t="s">
        <v>2380</v>
      </c>
      <c r="C301" s="83" t="s">
        <v>2601</v>
      </c>
      <c r="D301" s="83" t="s">
        <v>2729</v>
      </c>
      <c r="E301" s="84">
        <f>sped_home_md_ltp_age_11to15</f>
        <v>0</v>
      </c>
      <c r="F301" s="83" t="b">
        <v>1</v>
      </c>
      <c r="G301" s="83"/>
      <c r="H301" s="83"/>
      <c r="I301" s="83" t="s">
        <v>11533</v>
      </c>
    </row>
    <row r="302" spans="1:9">
      <c r="A302" s="83" t="s">
        <v>2602</v>
      </c>
      <c r="B302" s="83" t="s">
        <v>2380</v>
      </c>
      <c r="C302" s="83" t="s">
        <v>2602</v>
      </c>
      <c r="D302" s="83" t="s">
        <v>2730</v>
      </c>
      <c r="E302" s="84">
        <f>sped_home_md_ltp_age_16to20</f>
        <v>0</v>
      </c>
      <c r="F302" s="83" t="b">
        <v>1</v>
      </c>
      <c r="G302" s="83"/>
      <c r="H302" s="83"/>
      <c r="I302" s="83" t="s">
        <v>11533</v>
      </c>
    </row>
    <row r="303" spans="1:9">
      <c r="A303" s="83" t="s">
        <v>2603</v>
      </c>
      <c r="B303" s="83" t="s">
        <v>2380</v>
      </c>
      <c r="C303" s="83" t="s">
        <v>2603</v>
      </c>
      <c r="D303" s="83" t="s">
        <v>2731</v>
      </c>
      <c r="E303" s="84">
        <f>sped_home_md_ltp_age_21to25</f>
        <v>0</v>
      </c>
      <c r="F303" s="83" t="b">
        <v>1</v>
      </c>
      <c r="G303" s="83"/>
      <c r="H303" s="83"/>
      <c r="I303" s="83" t="s">
        <v>11533</v>
      </c>
    </row>
    <row r="304" spans="1:9">
      <c r="A304" s="83" t="s">
        <v>2696</v>
      </c>
      <c r="B304" s="83" t="s">
        <v>2380</v>
      </c>
      <c r="C304" s="83" t="s">
        <v>2696</v>
      </c>
      <c r="D304" s="83" t="s">
        <v>2732</v>
      </c>
      <c r="E304" s="84">
        <f>sped_hosp_md_age_5to10</f>
        <v>0</v>
      </c>
      <c r="F304" s="83" t="b">
        <v>1</v>
      </c>
      <c r="G304" s="83"/>
      <c r="H304" s="83"/>
      <c r="I304" s="83" t="s">
        <v>11533</v>
      </c>
    </row>
    <row r="305" spans="1:9">
      <c r="A305" s="83" t="s">
        <v>2697</v>
      </c>
      <c r="B305" s="83" t="s">
        <v>2380</v>
      </c>
      <c r="C305" s="83" t="s">
        <v>2697</v>
      </c>
      <c r="D305" s="83" t="s">
        <v>2733</v>
      </c>
      <c r="E305" s="84">
        <f>sped_hosp_md_age_11to15</f>
        <v>0</v>
      </c>
      <c r="F305" s="83" t="b">
        <v>1</v>
      </c>
      <c r="G305" s="83"/>
      <c r="H305" s="83"/>
      <c r="I305" s="83" t="s">
        <v>11533</v>
      </c>
    </row>
    <row r="306" spans="1:9">
      <c r="A306" s="83" t="s">
        <v>2698</v>
      </c>
      <c r="B306" s="83" t="s">
        <v>2380</v>
      </c>
      <c r="C306" s="83" t="s">
        <v>2698</v>
      </c>
      <c r="D306" s="83" t="s">
        <v>2734</v>
      </c>
      <c r="E306" s="84">
        <f>sped_hosp_md_age_16to20</f>
        <v>0</v>
      </c>
      <c r="F306" s="83" t="b">
        <v>1</v>
      </c>
      <c r="G306" s="83"/>
      <c r="H306" s="83"/>
      <c r="I306" s="83" t="s">
        <v>11533</v>
      </c>
    </row>
    <row r="307" spans="1:9">
      <c r="A307" s="83" t="s">
        <v>2699</v>
      </c>
      <c r="B307" s="83" t="s">
        <v>2380</v>
      </c>
      <c r="C307" s="83" t="s">
        <v>2699</v>
      </c>
      <c r="D307" s="83" t="s">
        <v>2735</v>
      </c>
      <c r="E307" s="84">
        <f>sped_hosp_md_age_21to25</f>
        <v>0</v>
      </c>
      <c r="F307" s="83" t="b">
        <v>1</v>
      </c>
      <c r="G307" s="83"/>
      <c r="H307" s="83"/>
      <c r="I307" s="83" t="s">
        <v>11533</v>
      </c>
    </row>
    <row r="308" spans="1:9">
      <c r="A308" s="83" t="s">
        <v>2700</v>
      </c>
      <c r="B308" s="83" t="s">
        <v>2380</v>
      </c>
      <c r="C308" s="83" t="s">
        <v>2700</v>
      </c>
      <c r="D308" s="83" t="s">
        <v>2736</v>
      </c>
      <c r="E308" s="84">
        <f>sped_hosp_md_gp_ktog6</f>
        <v>0</v>
      </c>
      <c r="F308" s="83" t="b">
        <v>1</v>
      </c>
      <c r="G308" s="83"/>
      <c r="H308" s="83"/>
      <c r="I308" s="83" t="s">
        <v>11533</v>
      </c>
    </row>
    <row r="309" spans="1:9">
      <c r="A309" s="83" t="s">
        <v>2701</v>
      </c>
      <c r="B309" s="83" t="s">
        <v>2380</v>
      </c>
      <c r="C309" s="83" t="s">
        <v>2701</v>
      </c>
      <c r="D309" s="83" t="s">
        <v>2737</v>
      </c>
      <c r="E309" s="84">
        <f>sped_hosp_md_gp_tp</f>
        <v>0</v>
      </c>
      <c r="F309" s="83" t="b">
        <v>1</v>
      </c>
      <c r="G309" s="83"/>
      <c r="H309" s="83"/>
      <c r="I309" s="83" t="s">
        <v>11533</v>
      </c>
    </row>
    <row r="310" spans="1:9">
      <c r="A310" s="83" t="s">
        <v>2604</v>
      </c>
      <c r="B310" s="83" t="s">
        <v>2380</v>
      </c>
      <c r="C310" s="83" t="s">
        <v>2604</v>
      </c>
      <c r="D310" s="83" t="s">
        <v>2738</v>
      </c>
      <c r="E310" s="84">
        <f>sped_hosp_md_ltp_age_5to10</f>
        <v>0</v>
      </c>
      <c r="F310" s="83" t="b">
        <v>1</v>
      </c>
      <c r="G310" s="83"/>
      <c r="H310" s="83"/>
      <c r="I310" s="83" t="s">
        <v>11533</v>
      </c>
    </row>
    <row r="311" spans="1:9">
      <c r="A311" s="83" t="s">
        <v>2605</v>
      </c>
      <c r="B311" s="83" t="s">
        <v>2380</v>
      </c>
      <c r="C311" s="83" t="s">
        <v>2605</v>
      </c>
      <c r="D311" s="83" t="s">
        <v>2739</v>
      </c>
      <c r="E311" s="84">
        <f>sped_hosp_md_ltp_age_11to15</f>
        <v>0</v>
      </c>
      <c r="F311" s="83" t="b">
        <v>1</v>
      </c>
      <c r="G311" s="83"/>
      <c r="H311" s="83"/>
      <c r="I311" s="83" t="s">
        <v>11533</v>
      </c>
    </row>
    <row r="312" spans="1:9">
      <c r="A312" s="83" t="s">
        <v>2606</v>
      </c>
      <c r="B312" s="83" t="s">
        <v>2380</v>
      </c>
      <c r="C312" s="83" t="s">
        <v>2606</v>
      </c>
      <c r="D312" s="83" t="s">
        <v>2740</v>
      </c>
      <c r="E312" s="84">
        <f>sped_hosp_md_ltp_age_16to20</f>
        <v>0</v>
      </c>
      <c r="F312" s="83" t="b">
        <v>1</v>
      </c>
      <c r="G312" s="83"/>
      <c r="H312" s="83"/>
      <c r="I312" s="83" t="s">
        <v>11533</v>
      </c>
    </row>
    <row r="313" spans="1:9">
      <c r="A313" s="83" t="s">
        <v>2607</v>
      </c>
      <c r="B313" s="83" t="s">
        <v>2380</v>
      </c>
      <c r="C313" s="83" t="s">
        <v>2607</v>
      </c>
      <c r="D313" s="83" t="s">
        <v>2741</v>
      </c>
      <c r="E313" s="84">
        <f>sped_hosp_md_ltp_age_21to25</f>
        <v>0</v>
      </c>
      <c r="F313" s="83" t="b">
        <v>1</v>
      </c>
      <c r="G313" s="83"/>
      <c r="H313" s="83"/>
      <c r="I313" s="83" t="s">
        <v>11533</v>
      </c>
    </row>
    <row r="314" spans="1:9">
      <c r="A314" s="83" t="s">
        <v>2608</v>
      </c>
      <c r="B314" s="83" t="s">
        <v>2380</v>
      </c>
      <c r="C314" s="83" t="s">
        <v>2608</v>
      </c>
      <c r="D314" s="83" t="s">
        <v>2942</v>
      </c>
      <c r="E314" s="84">
        <f>sped_home_diffseeing_age_5to10</f>
        <v>0</v>
      </c>
      <c r="F314" s="83" t="b">
        <v>1</v>
      </c>
      <c r="G314" s="83"/>
      <c r="H314" s="83"/>
    </row>
    <row r="315" spans="1:9">
      <c r="A315" s="83" t="s">
        <v>2609</v>
      </c>
      <c r="B315" s="83" t="s">
        <v>2380</v>
      </c>
      <c r="C315" s="83" t="s">
        <v>2609</v>
      </c>
      <c r="D315" s="83" t="s">
        <v>2943</v>
      </c>
      <c r="E315" s="84">
        <f>sped_home_diffseeing_age_11to15</f>
        <v>0</v>
      </c>
      <c r="F315" s="83" t="b">
        <v>1</v>
      </c>
      <c r="G315" s="83"/>
      <c r="H315" s="83"/>
    </row>
    <row r="316" spans="1:9">
      <c r="A316" s="83" t="s">
        <v>2610</v>
      </c>
      <c r="B316" s="83" t="s">
        <v>2380</v>
      </c>
      <c r="C316" s="83" t="s">
        <v>2610</v>
      </c>
      <c r="D316" s="83" t="s">
        <v>2944</v>
      </c>
      <c r="E316" s="84">
        <f>sped_home_diffseeing_age_16to20</f>
        <v>0</v>
      </c>
      <c r="F316" s="83" t="b">
        <v>1</v>
      </c>
      <c r="G316" s="83"/>
      <c r="H316" s="83"/>
    </row>
    <row r="317" spans="1:9">
      <c r="A317" s="83" t="s">
        <v>2611</v>
      </c>
      <c r="B317" s="83" t="s">
        <v>2380</v>
      </c>
      <c r="C317" s="83" t="s">
        <v>2611</v>
      </c>
      <c r="D317" s="83" t="s">
        <v>2945</v>
      </c>
      <c r="E317" s="84">
        <f>sped_home_diffseeing_age_21to25</f>
        <v>0</v>
      </c>
      <c r="F317" s="83" t="b">
        <v>1</v>
      </c>
      <c r="G317" s="83"/>
      <c r="H317" s="83"/>
    </row>
    <row r="318" spans="1:9">
      <c r="A318" s="83" t="s">
        <v>2612</v>
      </c>
      <c r="B318" s="83" t="s">
        <v>2380</v>
      </c>
      <c r="C318" s="83" t="s">
        <v>2612</v>
      </c>
      <c r="D318" s="83" t="s">
        <v>2946</v>
      </c>
      <c r="E318" s="84">
        <f>sped_home_diffseeing_gp_ktog6</f>
        <v>0</v>
      </c>
      <c r="F318" s="83" t="b">
        <v>1</v>
      </c>
      <c r="G318" s="83"/>
      <c r="H318" s="83"/>
    </row>
    <row r="319" spans="1:9">
      <c r="A319" s="83" t="s">
        <v>2613</v>
      </c>
      <c r="B319" s="83" t="s">
        <v>2380</v>
      </c>
      <c r="C319" s="83" t="s">
        <v>2613</v>
      </c>
      <c r="D319" s="83" t="s">
        <v>2947</v>
      </c>
      <c r="E319" s="84">
        <f>sped_home_diffseeing_gp_tp</f>
        <v>0</v>
      </c>
      <c r="F319" s="83" t="b">
        <v>1</v>
      </c>
      <c r="G319" s="83"/>
      <c r="H319" s="83"/>
    </row>
    <row r="320" spans="1:9">
      <c r="A320" s="83" t="s">
        <v>2614</v>
      </c>
      <c r="B320" s="83" t="s">
        <v>2380</v>
      </c>
      <c r="C320" s="83" t="s">
        <v>2614</v>
      </c>
      <c r="D320" s="83" t="s">
        <v>2948</v>
      </c>
      <c r="E320" s="84">
        <f>sped_home_diffseeing_ltp_age_5to10</f>
        <v>0</v>
      </c>
      <c r="F320" s="83" t="b">
        <v>1</v>
      </c>
      <c r="G320" s="83"/>
      <c r="H320" s="83"/>
    </row>
    <row r="321" spans="1:8">
      <c r="A321" s="83" t="s">
        <v>2615</v>
      </c>
      <c r="B321" s="83" t="s">
        <v>2380</v>
      </c>
      <c r="C321" s="83" t="s">
        <v>2615</v>
      </c>
      <c r="D321" s="83" t="s">
        <v>2949</v>
      </c>
      <c r="E321" s="84">
        <f>sped_home_diffseeing_ltp_age_11to15</f>
        <v>0</v>
      </c>
      <c r="F321" s="83" t="b">
        <v>1</v>
      </c>
      <c r="G321" s="83"/>
      <c r="H321" s="83"/>
    </row>
    <row r="322" spans="1:8">
      <c r="A322" s="83" t="s">
        <v>2616</v>
      </c>
      <c r="B322" s="83" t="s">
        <v>2380</v>
      </c>
      <c r="C322" s="83" t="s">
        <v>2616</v>
      </c>
      <c r="D322" s="83" t="s">
        <v>2950</v>
      </c>
      <c r="E322" s="84">
        <f>sped_home_diffseeing_ltp_age_16to20</f>
        <v>0</v>
      </c>
      <c r="F322" s="83" t="b">
        <v>1</v>
      </c>
      <c r="G322" s="83"/>
      <c r="H322" s="83"/>
    </row>
    <row r="323" spans="1:8">
      <c r="A323" s="83" t="s">
        <v>2617</v>
      </c>
      <c r="B323" s="83" t="s">
        <v>2380</v>
      </c>
      <c r="C323" s="83" t="s">
        <v>2617</v>
      </c>
      <c r="D323" s="83" t="s">
        <v>2951</v>
      </c>
      <c r="E323" s="84">
        <f>sped_home_diffseeing_ltp_age_21to25</f>
        <v>0</v>
      </c>
      <c r="F323" s="83" t="b">
        <v>1</v>
      </c>
      <c r="G323" s="83"/>
      <c r="H323" s="83"/>
    </row>
    <row r="324" spans="1:8">
      <c r="A324" s="83" t="s">
        <v>2618</v>
      </c>
      <c r="B324" s="83" t="s">
        <v>2380</v>
      </c>
      <c r="C324" s="83" t="s">
        <v>2618</v>
      </c>
      <c r="D324" s="83" t="s">
        <v>2952</v>
      </c>
      <c r="E324" s="84">
        <f>sped_home_diffhearing_age_5to10</f>
        <v>0</v>
      </c>
      <c r="F324" s="83" t="b">
        <v>1</v>
      </c>
      <c r="G324" s="83"/>
      <c r="H324" s="83"/>
    </row>
    <row r="325" spans="1:8">
      <c r="A325" s="83" t="s">
        <v>2619</v>
      </c>
      <c r="B325" s="83" t="s">
        <v>2380</v>
      </c>
      <c r="C325" s="83" t="s">
        <v>2619</v>
      </c>
      <c r="D325" s="83" t="s">
        <v>2953</v>
      </c>
      <c r="E325" s="84">
        <f>sped_home_diffhearing_age_11to15</f>
        <v>0</v>
      </c>
      <c r="F325" s="83" t="b">
        <v>1</v>
      </c>
      <c r="G325" s="83"/>
      <c r="H325" s="83"/>
    </row>
    <row r="326" spans="1:8">
      <c r="A326" s="83" t="s">
        <v>2620</v>
      </c>
      <c r="B326" s="83" t="s">
        <v>2380</v>
      </c>
      <c r="C326" s="83" t="s">
        <v>2620</v>
      </c>
      <c r="D326" s="83" t="s">
        <v>2954</v>
      </c>
      <c r="E326" s="84">
        <f>sped_home_diffhearing_age_16to20</f>
        <v>0</v>
      </c>
      <c r="F326" s="83" t="b">
        <v>1</v>
      </c>
      <c r="G326" s="83"/>
      <c r="H326" s="83"/>
    </row>
    <row r="327" spans="1:8">
      <c r="A327" s="83" t="s">
        <v>2621</v>
      </c>
      <c r="B327" s="83" t="s">
        <v>2380</v>
      </c>
      <c r="C327" s="83" t="s">
        <v>2621</v>
      </c>
      <c r="D327" s="83" t="s">
        <v>2955</v>
      </c>
      <c r="E327" s="84">
        <f>sped_home_diffhearing_age_21to25</f>
        <v>0</v>
      </c>
      <c r="F327" s="83" t="b">
        <v>1</v>
      </c>
      <c r="G327" s="83"/>
      <c r="H327" s="83"/>
    </row>
    <row r="328" spans="1:8">
      <c r="A328" s="83" t="s">
        <v>2622</v>
      </c>
      <c r="B328" s="83" t="s">
        <v>2380</v>
      </c>
      <c r="C328" s="83" t="s">
        <v>2622</v>
      </c>
      <c r="D328" s="83" t="s">
        <v>2956</v>
      </c>
      <c r="E328" s="84">
        <f>sped_home_diffhearing_gp_ktog6</f>
        <v>0</v>
      </c>
      <c r="F328" s="83" t="b">
        <v>1</v>
      </c>
      <c r="G328" s="83"/>
      <c r="H328" s="83"/>
    </row>
    <row r="329" spans="1:8">
      <c r="A329" s="83" t="s">
        <v>2623</v>
      </c>
      <c r="B329" s="83" t="s">
        <v>2380</v>
      </c>
      <c r="C329" s="83" t="s">
        <v>2623</v>
      </c>
      <c r="D329" s="83" t="s">
        <v>2957</v>
      </c>
      <c r="E329" s="84">
        <f>sped_home_diffhearing_gp_tp</f>
        <v>0</v>
      </c>
      <c r="F329" s="83" t="b">
        <v>1</v>
      </c>
      <c r="G329" s="83"/>
      <c r="H329" s="83"/>
    </row>
    <row r="330" spans="1:8">
      <c r="A330" s="83" t="s">
        <v>2624</v>
      </c>
      <c r="B330" s="83" t="s">
        <v>2380</v>
      </c>
      <c r="C330" s="83" t="s">
        <v>2624</v>
      </c>
      <c r="D330" s="83" t="s">
        <v>2958</v>
      </c>
      <c r="E330" s="84">
        <f>sped_home_diffhearing_ltp_age_5to10</f>
        <v>0</v>
      </c>
      <c r="F330" s="83" t="b">
        <v>1</v>
      </c>
      <c r="G330" s="83"/>
      <c r="H330" s="83"/>
    </row>
    <row r="331" spans="1:8">
      <c r="A331" s="83" t="s">
        <v>2625</v>
      </c>
      <c r="B331" s="83" t="s">
        <v>2380</v>
      </c>
      <c r="C331" s="83" t="s">
        <v>2625</v>
      </c>
      <c r="D331" s="83" t="s">
        <v>2959</v>
      </c>
      <c r="E331" s="84">
        <f>sped_home_diffhearing_ltp_age_11to15</f>
        <v>0</v>
      </c>
      <c r="F331" s="83" t="b">
        <v>1</v>
      </c>
      <c r="G331" s="83"/>
      <c r="H331" s="83"/>
    </row>
    <row r="332" spans="1:8">
      <c r="A332" s="83" t="s">
        <v>2626</v>
      </c>
      <c r="B332" s="83" t="s">
        <v>2380</v>
      </c>
      <c r="C332" s="83" t="s">
        <v>2626</v>
      </c>
      <c r="D332" s="83" t="s">
        <v>2960</v>
      </c>
      <c r="E332" s="84">
        <f>sped_home_diffhearing_ltp_age_16to20</f>
        <v>0</v>
      </c>
      <c r="F332" s="83" t="b">
        <v>1</v>
      </c>
      <c r="G332" s="83"/>
      <c r="H332" s="83"/>
    </row>
    <row r="333" spans="1:8">
      <c r="A333" s="83" t="s">
        <v>2627</v>
      </c>
      <c r="B333" s="83" t="s">
        <v>2380</v>
      </c>
      <c r="C333" s="83" t="s">
        <v>2627</v>
      </c>
      <c r="D333" s="83" t="s">
        <v>2961</v>
      </c>
      <c r="E333" s="84">
        <f>sped_home_diffhearing_ltp_age_21to25</f>
        <v>0</v>
      </c>
      <c r="F333" s="83" t="b">
        <v>1</v>
      </c>
      <c r="G333" s="83"/>
      <c r="H333" s="83"/>
    </row>
    <row r="334" spans="1:8">
      <c r="A334" s="83" t="s">
        <v>2628</v>
      </c>
      <c r="B334" s="83" t="s">
        <v>2380</v>
      </c>
      <c r="C334" s="83" t="s">
        <v>2628</v>
      </c>
      <c r="D334" s="83" t="s">
        <v>2962</v>
      </c>
      <c r="E334" s="84">
        <f>sped_home_diffak_age_5to10</f>
        <v>0</v>
      </c>
      <c r="F334" s="83" t="b">
        <v>1</v>
      </c>
      <c r="G334" s="83"/>
      <c r="H334" s="83"/>
    </row>
    <row r="335" spans="1:8">
      <c r="A335" s="83" t="s">
        <v>2629</v>
      </c>
      <c r="B335" s="83" t="s">
        <v>2380</v>
      </c>
      <c r="C335" s="83" t="s">
        <v>2629</v>
      </c>
      <c r="D335" s="83" t="s">
        <v>2963</v>
      </c>
      <c r="E335" s="84">
        <f>sped_home_diffak_age_11to15</f>
        <v>0</v>
      </c>
      <c r="F335" s="83" t="b">
        <v>1</v>
      </c>
      <c r="G335" s="83"/>
      <c r="H335" s="83"/>
    </row>
    <row r="336" spans="1:8">
      <c r="A336" s="83" t="s">
        <v>2630</v>
      </c>
      <c r="B336" s="83" t="s">
        <v>2380</v>
      </c>
      <c r="C336" s="83" t="s">
        <v>2630</v>
      </c>
      <c r="D336" s="83" t="s">
        <v>2964</v>
      </c>
      <c r="E336" s="84">
        <f>sped_home_diffak_age_16to20</f>
        <v>0</v>
      </c>
      <c r="F336" s="83" t="b">
        <v>1</v>
      </c>
      <c r="G336" s="83"/>
      <c r="H336" s="83"/>
    </row>
    <row r="337" spans="1:8">
      <c r="A337" s="83" t="s">
        <v>2631</v>
      </c>
      <c r="B337" s="83" t="s">
        <v>2380</v>
      </c>
      <c r="C337" s="83" t="s">
        <v>2631</v>
      </c>
      <c r="D337" s="83" t="s">
        <v>2965</v>
      </c>
      <c r="E337" s="84">
        <f>sped_home_diffak_age_21to25</f>
        <v>0</v>
      </c>
      <c r="F337" s="83" t="b">
        <v>1</v>
      </c>
      <c r="G337" s="83"/>
      <c r="H337" s="83"/>
    </row>
    <row r="338" spans="1:8">
      <c r="A338" s="83" t="s">
        <v>2632</v>
      </c>
      <c r="B338" s="83" t="s">
        <v>2380</v>
      </c>
      <c r="C338" s="83" t="s">
        <v>2632</v>
      </c>
      <c r="D338" s="83" t="s">
        <v>2966</v>
      </c>
      <c r="E338" s="84">
        <f>sped_home_diffak_gp_ktog6</f>
        <v>0</v>
      </c>
      <c r="F338" s="83" t="b">
        <v>1</v>
      </c>
      <c r="G338" s="83"/>
      <c r="H338" s="83"/>
    </row>
    <row r="339" spans="1:8">
      <c r="A339" s="83" t="s">
        <v>2633</v>
      </c>
      <c r="B339" s="83" t="s">
        <v>2380</v>
      </c>
      <c r="C339" s="83" t="s">
        <v>2633</v>
      </c>
      <c r="D339" s="83" t="s">
        <v>2967</v>
      </c>
      <c r="E339" s="84">
        <f>sped_home_diffak_gp_tp</f>
        <v>0</v>
      </c>
      <c r="F339" s="83" t="b">
        <v>1</v>
      </c>
      <c r="G339" s="83"/>
      <c r="H339" s="83"/>
    </row>
    <row r="340" spans="1:8">
      <c r="A340" s="83" t="s">
        <v>2634</v>
      </c>
      <c r="B340" s="83" t="s">
        <v>2380</v>
      </c>
      <c r="C340" s="83" t="s">
        <v>2634</v>
      </c>
      <c r="D340" s="83" t="s">
        <v>2968</v>
      </c>
      <c r="E340" s="84">
        <f>sped_home_diffak_ltp_age_5to10</f>
        <v>0</v>
      </c>
      <c r="F340" s="83" t="b">
        <v>1</v>
      </c>
      <c r="G340" s="83"/>
      <c r="H340" s="83"/>
    </row>
    <row r="341" spans="1:8">
      <c r="A341" s="83" t="s">
        <v>2635</v>
      </c>
      <c r="B341" s="83" t="s">
        <v>2380</v>
      </c>
      <c r="C341" s="83" t="s">
        <v>2635</v>
      </c>
      <c r="D341" s="83" t="s">
        <v>2969</v>
      </c>
      <c r="E341" s="84">
        <f>sped_home_diffak_ltp_age_11to15</f>
        <v>0</v>
      </c>
      <c r="F341" s="83" t="b">
        <v>1</v>
      </c>
      <c r="G341" s="83"/>
      <c r="H341" s="83"/>
    </row>
    <row r="342" spans="1:8">
      <c r="A342" s="83" t="s">
        <v>2636</v>
      </c>
      <c r="B342" s="83" t="s">
        <v>2380</v>
      </c>
      <c r="C342" s="83" t="s">
        <v>2636</v>
      </c>
      <c r="D342" s="83" t="s">
        <v>2970</v>
      </c>
      <c r="E342" s="84">
        <f>sped_home_diffak_ltp_age_16to20</f>
        <v>0</v>
      </c>
      <c r="F342" s="83" t="b">
        <v>1</v>
      </c>
      <c r="G342" s="83"/>
      <c r="H342" s="83"/>
    </row>
    <row r="343" spans="1:8">
      <c r="A343" s="83" t="s">
        <v>2637</v>
      </c>
      <c r="B343" s="83" t="s">
        <v>2380</v>
      </c>
      <c r="C343" s="83" t="s">
        <v>2637</v>
      </c>
      <c r="D343" s="83" t="s">
        <v>2971</v>
      </c>
      <c r="E343" s="84">
        <f>sped_home_diffak_ltp_age_21to25</f>
        <v>0</v>
      </c>
      <c r="F343" s="83" t="b">
        <v>1</v>
      </c>
      <c r="G343" s="83"/>
      <c r="H343" s="83"/>
    </row>
    <row r="344" spans="1:8">
      <c r="A344" s="83" t="s">
        <v>2638</v>
      </c>
      <c r="B344" s="83" t="s">
        <v>2380</v>
      </c>
      <c r="C344" s="83" t="s">
        <v>2638</v>
      </c>
      <c r="D344" s="83" t="s">
        <v>2972</v>
      </c>
      <c r="E344" s="84">
        <f>sped_home_diffrcpu_age_5to10</f>
        <v>0</v>
      </c>
      <c r="F344" s="83" t="b">
        <v>1</v>
      </c>
      <c r="G344" s="83"/>
      <c r="H344" s="83"/>
    </row>
    <row r="345" spans="1:8">
      <c r="A345" s="83" t="s">
        <v>2639</v>
      </c>
      <c r="B345" s="83" t="s">
        <v>2380</v>
      </c>
      <c r="C345" s="83" t="s">
        <v>2639</v>
      </c>
      <c r="D345" s="83" t="s">
        <v>2973</v>
      </c>
      <c r="E345" s="84">
        <f>sped_home_diffrcpu_age_11to15</f>
        <v>0</v>
      </c>
      <c r="F345" s="83" t="b">
        <v>1</v>
      </c>
      <c r="G345" s="83"/>
      <c r="H345" s="83"/>
    </row>
    <row r="346" spans="1:8">
      <c r="A346" s="83" t="s">
        <v>2640</v>
      </c>
      <c r="B346" s="83" t="s">
        <v>2380</v>
      </c>
      <c r="C346" s="83" t="s">
        <v>2640</v>
      </c>
      <c r="D346" s="83" t="s">
        <v>2974</v>
      </c>
      <c r="E346" s="84">
        <f>sped_home_diffrcpu_age_16to20</f>
        <v>0</v>
      </c>
      <c r="F346" s="83" t="b">
        <v>1</v>
      </c>
      <c r="G346" s="83"/>
      <c r="H346" s="83"/>
    </row>
    <row r="347" spans="1:8">
      <c r="A347" s="83" t="s">
        <v>2641</v>
      </c>
      <c r="B347" s="83" t="s">
        <v>2380</v>
      </c>
      <c r="C347" s="83" t="s">
        <v>2641</v>
      </c>
      <c r="D347" s="83" t="s">
        <v>2975</v>
      </c>
      <c r="E347" s="84">
        <f>sped_home_diffrcpu_age_21to25</f>
        <v>0</v>
      </c>
      <c r="F347" s="83" t="b">
        <v>1</v>
      </c>
      <c r="G347" s="83"/>
      <c r="H347" s="83"/>
    </row>
    <row r="348" spans="1:8">
      <c r="A348" s="83" t="s">
        <v>2642</v>
      </c>
      <c r="B348" s="83" t="s">
        <v>2380</v>
      </c>
      <c r="C348" s="83" t="s">
        <v>2642</v>
      </c>
      <c r="D348" s="83" t="s">
        <v>2976</v>
      </c>
      <c r="E348" s="84">
        <f>sped_home_diffrcpu_gp_ktog6</f>
        <v>0</v>
      </c>
      <c r="F348" s="83" t="b">
        <v>1</v>
      </c>
      <c r="G348" s="83"/>
      <c r="H348" s="83"/>
    </row>
    <row r="349" spans="1:8">
      <c r="A349" s="83" t="s">
        <v>2643</v>
      </c>
      <c r="B349" s="83" t="s">
        <v>2380</v>
      </c>
      <c r="C349" s="83" t="s">
        <v>2643</v>
      </c>
      <c r="D349" s="83" t="s">
        <v>2977</v>
      </c>
      <c r="E349" s="84">
        <f>sped_home_diffrcpu_gp_tp</f>
        <v>0</v>
      </c>
      <c r="F349" s="83" t="b">
        <v>1</v>
      </c>
      <c r="G349" s="83"/>
      <c r="H349" s="83"/>
    </row>
    <row r="350" spans="1:8">
      <c r="A350" s="83" t="s">
        <v>2644</v>
      </c>
      <c r="B350" s="83" t="s">
        <v>2380</v>
      </c>
      <c r="C350" s="83" t="s">
        <v>2644</v>
      </c>
      <c r="D350" s="83" t="s">
        <v>2978</v>
      </c>
      <c r="E350" s="84">
        <f>sped_home_diffrcpu_ltp_age_5to10</f>
        <v>0</v>
      </c>
      <c r="F350" s="83" t="b">
        <v>1</v>
      </c>
      <c r="G350" s="83"/>
      <c r="H350" s="83"/>
    </row>
    <row r="351" spans="1:8">
      <c r="A351" s="83" t="s">
        <v>2645</v>
      </c>
      <c r="B351" s="83" t="s">
        <v>2380</v>
      </c>
      <c r="C351" s="83" t="s">
        <v>2645</v>
      </c>
      <c r="D351" s="83" t="s">
        <v>2979</v>
      </c>
      <c r="E351" s="84">
        <f>sped_home_diffrcpu_ltp_age_11to15</f>
        <v>0</v>
      </c>
      <c r="F351" s="83" t="b">
        <v>1</v>
      </c>
      <c r="G351" s="83"/>
      <c r="H351" s="83"/>
    </row>
    <row r="352" spans="1:8">
      <c r="A352" s="83" t="s">
        <v>2646</v>
      </c>
      <c r="B352" s="83" t="s">
        <v>2380</v>
      </c>
      <c r="C352" s="83" t="s">
        <v>2646</v>
      </c>
      <c r="D352" s="83" t="s">
        <v>2980</v>
      </c>
      <c r="E352" s="84">
        <f>sped_home_diffrcpu_ltp_age_16to20</f>
        <v>0</v>
      </c>
      <c r="F352" s="83" t="b">
        <v>1</v>
      </c>
      <c r="G352" s="83"/>
      <c r="H352" s="83"/>
    </row>
    <row r="353" spans="1:8">
      <c r="A353" s="83" t="s">
        <v>2647</v>
      </c>
      <c r="B353" s="83" t="s">
        <v>2380</v>
      </c>
      <c r="C353" s="83" t="s">
        <v>2647</v>
      </c>
      <c r="D353" s="83" t="s">
        <v>2981</v>
      </c>
      <c r="E353" s="84">
        <f>sped_home_diffrcpu_ltp_age_21to25</f>
        <v>0</v>
      </c>
      <c r="F353" s="83" t="b">
        <v>1</v>
      </c>
      <c r="G353" s="83"/>
      <c r="H353" s="83"/>
    </row>
    <row r="354" spans="1:8">
      <c r="A354" s="83" t="s">
        <v>2648</v>
      </c>
      <c r="B354" s="83" t="s">
        <v>2380</v>
      </c>
      <c r="C354" s="83" t="s">
        <v>2648</v>
      </c>
      <c r="D354" s="83" t="s">
        <v>2982</v>
      </c>
      <c r="E354" s="84">
        <f>sped_home_diffaas_age_5to10</f>
        <v>0</v>
      </c>
      <c r="F354" s="83" t="b">
        <v>1</v>
      </c>
      <c r="G354" s="83"/>
      <c r="H354" s="83"/>
    </row>
    <row r="355" spans="1:8">
      <c r="A355" s="83" t="s">
        <v>2649</v>
      </c>
      <c r="B355" s="83" t="s">
        <v>2380</v>
      </c>
      <c r="C355" s="83" t="s">
        <v>2649</v>
      </c>
      <c r="D355" s="83" t="s">
        <v>2983</v>
      </c>
      <c r="E355" s="84">
        <f>sped_home_diffaas_age_11to15</f>
        <v>0</v>
      </c>
      <c r="F355" s="83" t="b">
        <v>1</v>
      </c>
      <c r="G355" s="83"/>
      <c r="H355" s="83"/>
    </row>
    <row r="356" spans="1:8">
      <c r="A356" s="83" t="s">
        <v>2650</v>
      </c>
      <c r="B356" s="83" t="s">
        <v>2380</v>
      </c>
      <c r="C356" s="83" t="s">
        <v>2650</v>
      </c>
      <c r="D356" s="83" t="s">
        <v>2984</v>
      </c>
      <c r="E356" s="84">
        <f>sped_home_diffaas_age_16to20</f>
        <v>0</v>
      </c>
      <c r="F356" s="83" t="b">
        <v>1</v>
      </c>
      <c r="G356" s="83"/>
      <c r="H356" s="83"/>
    </row>
    <row r="357" spans="1:8">
      <c r="A357" s="83" t="s">
        <v>2651</v>
      </c>
      <c r="B357" s="83" t="s">
        <v>2380</v>
      </c>
      <c r="C357" s="83" t="s">
        <v>2651</v>
      </c>
      <c r="D357" s="83" t="s">
        <v>2985</v>
      </c>
      <c r="E357" s="84">
        <f>sped_home_diffaas_age_21to25</f>
        <v>0</v>
      </c>
      <c r="F357" s="83" t="b">
        <v>1</v>
      </c>
      <c r="G357" s="83"/>
      <c r="H357" s="83"/>
    </row>
    <row r="358" spans="1:8">
      <c r="A358" s="83" t="s">
        <v>2652</v>
      </c>
      <c r="B358" s="83" t="s">
        <v>2380</v>
      </c>
      <c r="C358" s="83" t="s">
        <v>2652</v>
      </c>
      <c r="D358" s="83" t="s">
        <v>2986</v>
      </c>
      <c r="E358" s="84">
        <f>sped_home_diffaas_gp_ktog6</f>
        <v>0</v>
      </c>
      <c r="F358" s="83" t="b">
        <v>1</v>
      </c>
      <c r="G358" s="83"/>
      <c r="H358" s="83"/>
    </row>
    <row r="359" spans="1:8">
      <c r="A359" s="83" t="s">
        <v>2653</v>
      </c>
      <c r="B359" s="83" t="s">
        <v>2380</v>
      </c>
      <c r="C359" s="83" t="s">
        <v>2653</v>
      </c>
      <c r="D359" s="83" t="s">
        <v>2987</v>
      </c>
      <c r="E359" s="84">
        <f>sped_home_diffaas_gp_tp</f>
        <v>0</v>
      </c>
      <c r="F359" s="83" t="b">
        <v>1</v>
      </c>
      <c r="G359" s="83"/>
      <c r="H359" s="83"/>
    </row>
    <row r="360" spans="1:8">
      <c r="A360" s="83" t="s">
        <v>2654</v>
      </c>
      <c r="B360" s="83" t="s">
        <v>2380</v>
      </c>
      <c r="C360" s="83" t="s">
        <v>2654</v>
      </c>
      <c r="D360" s="83" t="s">
        <v>2988</v>
      </c>
      <c r="E360" s="84">
        <f>sped_home_diffaas_ltp_age_5to10</f>
        <v>0</v>
      </c>
      <c r="F360" s="83" t="b">
        <v>1</v>
      </c>
      <c r="G360" s="83"/>
      <c r="H360" s="83"/>
    </row>
    <row r="361" spans="1:8">
      <c r="A361" s="83" t="s">
        <v>2655</v>
      </c>
      <c r="B361" s="83" t="s">
        <v>2380</v>
      </c>
      <c r="C361" s="83" t="s">
        <v>2655</v>
      </c>
      <c r="D361" s="83" t="s">
        <v>2989</v>
      </c>
      <c r="E361" s="84">
        <f>sped_home_diffaas_ltp_age_11to15</f>
        <v>0</v>
      </c>
      <c r="F361" s="83" t="b">
        <v>1</v>
      </c>
      <c r="G361" s="83"/>
      <c r="H361" s="83"/>
    </row>
    <row r="362" spans="1:8">
      <c r="A362" s="83" t="s">
        <v>2656</v>
      </c>
      <c r="B362" s="83" t="s">
        <v>2380</v>
      </c>
      <c r="C362" s="83" t="s">
        <v>2656</v>
      </c>
      <c r="D362" s="83" t="s">
        <v>2990</v>
      </c>
      <c r="E362" s="84">
        <f>sped_home_diffaas_ltp_age_16to20</f>
        <v>0</v>
      </c>
      <c r="F362" s="83" t="b">
        <v>1</v>
      </c>
      <c r="G362" s="83"/>
      <c r="H362" s="83"/>
    </row>
    <row r="363" spans="1:8">
      <c r="A363" s="83" t="s">
        <v>2657</v>
      </c>
      <c r="B363" s="83" t="s">
        <v>2380</v>
      </c>
      <c r="C363" s="83" t="s">
        <v>2657</v>
      </c>
      <c r="D363" s="83" t="s">
        <v>2991</v>
      </c>
      <c r="E363" s="84">
        <f>sped_home_diffaas_ltp_age_21to25</f>
        <v>0</v>
      </c>
      <c r="F363" s="83" t="b">
        <v>1</v>
      </c>
      <c r="G363" s="83"/>
      <c r="H363" s="83"/>
    </row>
    <row r="364" spans="1:8">
      <c r="A364" s="83" t="s">
        <v>2658</v>
      </c>
      <c r="B364" s="83" t="s">
        <v>2380</v>
      </c>
      <c r="C364" s="83" t="s">
        <v>2658</v>
      </c>
      <c r="D364" s="83" t="s">
        <v>2992</v>
      </c>
      <c r="E364" s="84">
        <f>sped_home_diffdipb_age_5to10</f>
        <v>0</v>
      </c>
      <c r="F364" s="83" t="b">
        <v>1</v>
      </c>
      <c r="G364" s="83"/>
      <c r="H364" s="83"/>
    </row>
    <row r="365" spans="1:8">
      <c r="A365" s="83" t="s">
        <v>2659</v>
      </c>
      <c r="B365" s="83" t="s">
        <v>2380</v>
      </c>
      <c r="C365" s="83" t="s">
        <v>2659</v>
      </c>
      <c r="D365" s="83" t="s">
        <v>2993</v>
      </c>
      <c r="E365" s="84">
        <f>sped_home_diffdipb_age_11to15</f>
        <v>0</v>
      </c>
      <c r="F365" s="83" t="b">
        <v>1</v>
      </c>
      <c r="G365" s="83"/>
      <c r="H365" s="83"/>
    </row>
    <row r="366" spans="1:8">
      <c r="A366" s="83" t="s">
        <v>2660</v>
      </c>
      <c r="B366" s="83" t="s">
        <v>2380</v>
      </c>
      <c r="C366" s="83" t="s">
        <v>2660</v>
      </c>
      <c r="D366" s="83" t="s">
        <v>2994</v>
      </c>
      <c r="E366" s="84">
        <f>sped_home_diffdipb_age_16to20</f>
        <v>0</v>
      </c>
      <c r="F366" s="83" t="b">
        <v>1</v>
      </c>
      <c r="G366" s="83"/>
      <c r="H366" s="83"/>
    </row>
    <row r="367" spans="1:8">
      <c r="A367" s="83" t="s">
        <v>2661</v>
      </c>
      <c r="B367" s="83" t="s">
        <v>2380</v>
      </c>
      <c r="C367" s="83" t="s">
        <v>2661</v>
      </c>
      <c r="D367" s="83" t="s">
        <v>2995</v>
      </c>
      <c r="E367" s="84">
        <f>sped_home_diffdipb_age_21to25</f>
        <v>0</v>
      </c>
      <c r="F367" s="83" t="b">
        <v>1</v>
      </c>
      <c r="G367" s="83"/>
      <c r="H367" s="83"/>
    </row>
    <row r="368" spans="1:8">
      <c r="A368" s="83" t="s">
        <v>2662</v>
      </c>
      <c r="B368" s="83" t="s">
        <v>2380</v>
      </c>
      <c r="C368" s="83" t="s">
        <v>2662</v>
      </c>
      <c r="D368" s="83" t="s">
        <v>2996</v>
      </c>
      <c r="E368" s="84">
        <f>sped_home_diffdipb_gp_ktog6</f>
        <v>0</v>
      </c>
      <c r="F368" s="83" t="b">
        <v>1</v>
      </c>
      <c r="G368" s="83"/>
      <c r="H368" s="83"/>
    </row>
    <row r="369" spans="1:8">
      <c r="A369" s="83" t="s">
        <v>2663</v>
      </c>
      <c r="B369" s="83" t="s">
        <v>2380</v>
      </c>
      <c r="C369" s="83" t="s">
        <v>2663</v>
      </c>
      <c r="D369" s="83" t="s">
        <v>2997</v>
      </c>
      <c r="E369" s="84">
        <f>sped_home_diffdipb_gp_tp</f>
        <v>0</v>
      </c>
      <c r="F369" s="83" t="b">
        <v>1</v>
      </c>
      <c r="G369" s="83"/>
      <c r="H369" s="83"/>
    </row>
    <row r="370" spans="1:8">
      <c r="A370" s="83" t="s">
        <v>2664</v>
      </c>
      <c r="B370" s="83" t="s">
        <v>2380</v>
      </c>
      <c r="C370" s="83" t="s">
        <v>2664</v>
      </c>
      <c r="D370" s="83" t="s">
        <v>2998</v>
      </c>
      <c r="E370" s="84">
        <f>sped_home_diffdipb_ltp_age_5to10</f>
        <v>0</v>
      </c>
      <c r="F370" s="83" t="b">
        <v>1</v>
      </c>
      <c r="G370" s="83"/>
      <c r="H370" s="83"/>
    </row>
    <row r="371" spans="1:8">
      <c r="A371" s="83" t="s">
        <v>2665</v>
      </c>
      <c r="B371" s="83" t="s">
        <v>2380</v>
      </c>
      <c r="C371" s="83" t="s">
        <v>2665</v>
      </c>
      <c r="D371" s="83" t="s">
        <v>2999</v>
      </c>
      <c r="E371" s="84">
        <f>sped_home_diffdipb_ltp_age_11to15</f>
        <v>0</v>
      </c>
      <c r="F371" s="83" t="b">
        <v>1</v>
      </c>
      <c r="G371" s="83"/>
      <c r="H371" s="83"/>
    </row>
    <row r="372" spans="1:8">
      <c r="A372" s="83" t="s">
        <v>2666</v>
      </c>
      <c r="B372" s="83" t="s">
        <v>2380</v>
      </c>
      <c r="C372" s="83" t="s">
        <v>2666</v>
      </c>
      <c r="D372" s="83" t="s">
        <v>3000</v>
      </c>
      <c r="E372" s="84">
        <f>sped_home_diffdipb_ltp_age_16to20</f>
        <v>0</v>
      </c>
      <c r="F372" s="83" t="b">
        <v>1</v>
      </c>
      <c r="G372" s="83"/>
      <c r="H372" s="83"/>
    </row>
    <row r="373" spans="1:8">
      <c r="A373" s="83" t="s">
        <v>2667</v>
      </c>
      <c r="B373" s="83" t="s">
        <v>2380</v>
      </c>
      <c r="C373" s="83" t="s">
        <v>2667</v>
      </c>
      <c r="D373" s="83" t="s">
        <v>3001</v>
      </c>
      <c r="E373" s="84">
        <f>sped_home_diffdipb_ltp_age_21to25</f>
        <v>0</v>
      </c>
      <c r="F373" s="83" t="b">
        <v>1</v>
      </c>
      <c r="G373" s="83"/>
      <c r="H373" s="83"/>
    </row>
    <row r="374" spans="1:8">
      <c r="A374" s="83" t="s">
        <v>2668</v>
      </c>
      <c r="B374" s="83" t="s">
        <v>2380</v>
      </c>
      <c r="C374" s="83" t="s">
        <v>2668</v>
      </c>
      <c r="D374" s="83" t="s">
        <v>3002</v>
      </c>
      <c r="E374" s="84">
        <f>sped_home_diffmob_age_5to10</f>
        <v>0</v>
      </c>
      <c r="F374" s="83" t="b">
        <v>1</v>
      </c>
      <c r="G374" s="83"/>
      <c r="H374" s="83"/>
    </row>
    <row r="375" spans="1:8">
      <c r="A375" s="83" t="s">
        <v>2669</v>
      </c>
      <c r="B375" s="83" t="s">
        <v>2380</v>
      </c>
      <c r="C375" s="83" t="s">
        <v>2669</v>
      </c>
      <c r="D375" s="83" t="s">
        <v>3003</v>
      </c>
      <c r="E375" s="84">
        <f>sped_home_diffmob_age_11to15</f>
        <v>0</v>
      </c>
      <c r="F375" s="83" t="b">
        <v>1</v>
      </c>
      <c r="G375" s="83"/>
      <c r="H375" s="83"/>
    </row>
    <row r="376" spans="1:8">
      <c r="A376" s="83" t="s">
        <v>2670</v>
      </c>
      <c r="B376" s="83" t="s">
        <v>2380</v>
      </c>
      <c r="C376" s="83" t="s">
        <v>2670</v>
      </c>
      <c r="D376" s="83" t="s">
        <v>3004</v>
      </c>
      <c r="E376" s="84">
        <f>sped_home_diffmob_age_16to20</f>
        <v>0</v>
      </c>
      <c r="F376" s="83" t="b">
        <v>1</v>
      </c>
      <c r="G376" s="83"/>
      <c r="H376" s="83"/>
    </row>
    <row r="377" spans="1:8">
      <c r="A377" s="83" t="s">
        <v>2671</v>
      </c>
      <c r="B377" s="83" t="s">
        <v>2380</v>
      </c>
      <c r="C377" s="83" t="s">
        <v>2671</v>
      </c>
      <c r="D377" s="83" t="s">
        <v>3005</v>
      </c>
      <c r="E377" s="84">
        <f>sped_home_diffmob_age_21to25</f>
        <v>0</v>
      </c>
      <c r="F377" s="83" t="b">
        <v>1</v>
      </c>
      <c r="G377" s="83"/>
      <c r="H377" s="83"/>
    </row>
    <row r="378" spans="1:8">
      <c r="A378" s="83" t="s">
        <v>2672</v>
      </c>
      <c r="B378" s="83" t="s">
        <v>2380</v>
      </c>
      <c r="C378" s="83" t="s">
        <v>2672</v>
      </c>
      <c r="D378" s="83" t="s">
        <v>3006</v>
      </c>
      <c r="E378" s="84">
        <f>sped_home_diffmob_gp_ktog6</f>
        <v>0</v>
      </c>
      <c r="F378" s="83" t="b">
        <v>1</v>
      </c>
      <c r="G378" s="83"/>
      <c r="H378" s="83"/>
    </row>
    <row r="379" spans="1:8">
      <c r="A379" s="83" t="s">
        <v>2673</v>
      </c>
      <c r="B379" s="83" t="s">
        <v>2380</v>
      </c>
      <c r="C379" s="83" t="s">
        <v>2673</v>
      </c>
      <c r="D379" s="83" t="s">
        <v>3007</v>
      </c>
      <c r="E379" s="84">
        <f>sped_home_diffmob_gp_tp</f>
        <v>0</v>
      </c>
      <c r="F379" s="83" t="b">
        <v>1</v>
      </c>
      <c r="G379" s="83"/>
      <c r="H379" s="83"/>
    </row>
    <row r="380" spans="1:8">
      <c r="A380" s="83" t="s">
        <v>2674</v>
      </c>
      <c r="B380" s="83" t="s">
        <v>2380</v>
      </c>
      <c r="C380" s="83" t="s">
        <v>2674</v>
      </c>
      <c r="D380" s="83" t="s">
        <v>3008</v>
      </c>
      <c r="E380" s="84">
        <f>sped_home_diffmob_ltp_age_5to10</f>
        <v>0</v>
      </c>
      <c r="F380" s="83" t="b">
        <v>1</v>
      </c>
      <c r="G380" s="83"/>
      <c r="H380" s="83"/>
    </row>
    <row r="381" spans="1:8">
      <c r="A381" s="83" t="s">
        <v>2675</v>
      </c>
      <c r="B381" s="83" t="s">
        <v>2380</v>
      </c>
      <c r="C381" s="83" t="s">
        <v>2675</v>
      </c>
      <c r="D381" s="83" t="s">
        <v>3009</v>
      </c>
      <c r="E381" s="84">
        <f>sped_home_diffmob_ltp_age_11to15</f>
        <v>0</v>
      </c>
      <c r="F381" s="83" t="b">
        <v>1</v>
      </c>
      <c r="G381" s="83"/>
      <c r="H381" s="83"/>
    </row>
    <row r="382" spans="1:8">
      <c r="A382" s="83" t="s">
        <v>2676</v>
      </c>
      <c r="B382" s="83" t="s">
        <v>2380</v>
      </c>
      <c r="C382" s="83" t="s">
        <v>2676</v>
      </c>
      <c r="D382" s="83" t="s">
        <v>3010</v>
      </c>
      <c r="E382" s="84">
        <f>sped_home_diffmob_ltp_age_16to20</f>
        <v>0</v>
      </c>
      <c r="F382" s="83" t="b">
        <v>1</v>
      </c>
      <c r="G382" s="83"/>
      <c r="H382" s="83"/>
    </row>
    <row r="383" spans="1:8">
      <c r="A383" s="83" t="s">
        <v>2677</v>
      </c>
      <c r="B383" s="83" t="s">
        <v>2380</v>
      </c>
      <c r="C383" s="83" t="s">
        <v>2677</v>
      </c>
      <c r="D383" s="83" t="s">
        <v>3011</v>
      </c>
      <c r="E383" s="84">
        <f>sped_home_diffmob_ltp_age_21to25</f>
        <v>0</v>
      </c>
      <c r="F383" s="83" t="b">
        <v>1</v>
      </c>
      <c r="G383" s="83"/>
      <c r="H383" s="83"/>
    </row>
    <row r="384" spans="1:8">
      <c r="A384" s="83" t="s">
        <v>2678</v>
      </c>
      <c r="B384" s="83" t="s">
        <v>2380</v>
      </c>
      <c r="C384" s="83" t="s">
        <v>2678</v>
      </c>
      <c r="D384" s="83" t="s">
        <v>3012</v>
      </c>
      <c r="E384" s="84">
        <f>sped_home_diffcomm_age_5to10</f>
        <v>0</v>
      </c>
      <c r="F384" s="83" t="b">
        <v>1</v>
      </c>
      <c r="G384" s="83"/>
      <c r="H384" s="83"/>
    </row>
    <row r="385" spans="1:8">
      <c r="A385" s="83" t="s">
        <v>2679</v>
      </c>
      <c r="B385" s="83" t="s">
        <v>2380</v>
      </c>
      <c r="C385" s="83" t="s">
        <v>2679</v>
      </c>
      <c r="D385" s="83" t="s">
        <v>3013</v>
      </c>
      <c r="E385" s="84">
        <f>sped_home_diffcomm_age_11to15</f>
        <v>0</v>
      </c>
      <c r="F385" s="83" t="b">
        <v>1</v>
      </c>
      <c r="G385" s="83"/>
      <c r="H385" s="83"/>
    </row>
    <row r="386" spans="1:8">
      <c r="A386" s="83" t="s">
        <v>2680</v>
      </c>
      <c r="B386" s="83" t="s">
        <v>2380</v>
      </c>
      <c r="C386" s="83" t="s">
        <v>2680</v>
      </c>
      <c r="D386" s="83" t="s">
        <v>3014</v>
      </c>
      <c r="E386" s="84">
        <f>sped_home_diffcomm_age_16to20</f>
        <v>0</v>
      </c>
      <c r="F386" s="83" t="b">
        <v>1</v>
      </c>
      <c r="G386" s="83"/>
      <c r="H386" s="83"/>
    </row>
    <row r="387" spans="1:8">
      <c r="A387" s="83" t="s">
        <v>2681</v>
      </c>
      <c r="B387" s="83" t="s">
        <v>2380</v>
      </c>
      <c r="C387" s="83" t="s">
        <v>2681</v>
      </c>
      <c r="D387" s="83" t="s">
        <v>3015</v>
      </c>
      <c r="E387" s="84">
        <f>sped_home_diffcomm_age_21to25</f>
        <v>0</v>
      </c>
      <c r="F387" s="83" t="b">
        <v>1</v>
      </c>
      <c r="G387" s="83"/>
      <c r="H387" s="83"/>
    </row>
    <row r="388" spans="1:8">
      <c r="A388" s="83" t="s">
        <v>2682</v>
      </c>
      <c r="B388" s="83" t="s">
        <v>2380</v>
      </c>
      <c r="C388" s="83" t="s">
        <v>2682</v>
      </c>
      <c r="D388" s="83" t="s">
        <v>3016</v>
      </c>
      <c r="E388" s="84">
        <f>sped_home_diffcomm_gp_ktog6</f>
        <v>0</v>
      </c>
      <c r="F388" s="83" t="b">
        <v>1</v>
      </c>
      <c r="G388" s="83"/>
      <c r="H388" s="83"/>
    </row>
    <row r="389" spans="1:8">
      <c r="A389" s="83" t="s">
        <v>2683</v>
      </c>
      <c r="B389" s="83" t="s">
        <v>2380</v>
      </c>
      <c r="C389" s="83" t="s">
        <v>2683</v>
      </c>
      <c r="D389" s="83" t="s">
        <v>3017</v>
      </c>
      <c r="E389" s="84">
        <f>sped_home_diffcomm_gp_tp</f>
        <v>0</v>
      </c>
      <c r="F389" s="83" t="b">
        <v>1</v>
      </c>
      <c r="G389" s="83"/>
      <c r="H389" s="83"/>
    </row>
    <row r="390" spans="1:8">
      <c r="A390" s="83" t="s">
        <v>2684</v>
      </c>
      <c r="B390" s="83" t="s">
        <v>2380</v>
      </c>
      <c r="C390" s="83" t="s">
        <v>2684</v>
      </c>
      <c r="D390" s="83" t="s">
        <v>3018</v>
      </c>
      <c r="E390" s="84">
        <f>sped_home_diffcomm_ltp_age_5to10</f>
        <v>0</v>
      </c>
      <c r="F390" s="83" t="b">
        <v>1</v>
      </c>
      <c r="G390" s="83"/>
      <c r="H390" s="83"/>
    </row>
    <row r="391" spans="1:8">
      <c r="A391" s="83" t="s">
        <v>2685</v>
      </c>
      <c r="B391" s="83" t="s">
        <v>2380</v>
      </c>
      <c r="C391" s="83" t="s">
        <v>2685</v>
      </c>
      <c r="D391" s="83" t="s">
        <v>3019</v>
      </c>
      <c r="E391" s="84">
        <f>sped_home_diffcomm_ltp_age_11to15</f>
        <v>0</v>
      </c>
      <c r="F391" s="83" t="b">
        <v>1</v>
      </c>
      <c r="G391" s="83"/>
      <c r="H391" s="83"/>
    </row>
    <row r="392" spans="1:8">
      <c r="A392" s="83" t="s">
        <v>2686</v>
      </c>
      <c r="B392" s="83" t="s">
        <v>2380</v>
      </c>
      <c r="C392" s="83" t="s">
        <v>2686</v>
      </c>
      <c r="D392" s="83" t="s">
        <v>3020</v>
      </c>
      <c r="E392" s="84">
        <f>sped_home_diffcomm_ltp_age_16to20</f>
        <v>0</v>
      </c>
      <c r="F392" s="83" t="b">
        <v>1</v>
      </c>
      <c r="G392" s="83"/>
      <c r="H392" s="83"/>
    </row>
    <row r="393" spans="1:8">
      <c r="A393" s="83" t="s">
        <v>2687</v>
      </c>
      <c r="B393" s="83" t="s">
        <v>2380</v>
      </c>
      <c r="C393" s="83" t="s">
        <v>2687</v>
      </c>
      <c r="D393" s="83" t="s">
        <v>3021</v>
      </c>
      <c r="E393" s="84">
        <f>sped_home_diffcomm_ltp_age_21to25</f>
        <v>0</v>
      </c>
      <c r="F393" s="83" t="b">
        <v>1</v>
      </c>
      <c r="G393" s="83"/>
      <c r="H393" s="83"/>
    </row>
    <row r="394" spans="1:8">
      <c r="A394" s="83" t="s">
        <v>2688</v>
      </c>
      <c r="B394" s="83" t="s">
        <v>2380</v>
      </c>
      <c r="C394" s="83" t="s">
        <v>2688</v>
      </c>
      <c r="D394" s="83" t="s">
        <v>3022</v>
      </c>
      <c r="E394" s="84" t="str">
        <f>es_sped_coordinator_name</f>
        <v>RONE RAY M. PORTACION</v>
      </c>
      <c r="F394" s="83" t="b">
        <v>1</v>
      </c>
      <c r="G394" s="83"/>
      <c r="H394" s="83"/>
    </row>
    <row r="395" spans="1:8" ht="16" thickBot="1">
      <c r="A395" s="85" t="s">
        <v>2689</v>
      </c>
      <c r="B395" s="85" t="s">
        <v>2380</v>
      </c>
      <c r="C395" s="85" t="s">
        <v>2689</v>
      </c>
      <c r="D395" s="85" t="s">
        <v>3023</v>
      </c>
      <c r="E395" s="86" t="str">
        <f>es_sped_coordinator_pos</f>
        <v>Education Program Supervisor</v>
      </c>
      <c r="F395" s="85" t="b">
        <v>1</v>
      </c>
      <c r="G395" s="85"/>
      <c r="H395" s="85"/>
    </row>
    <row r="396" spans="1:8">
      <c r="A396" s="83" t="s">
        <v>3026</v>
      </c>
      <c r="B396" s="83" t="s">
        <v>3027</v>
      </c>
      <c r="C396" s="83" t="s">
        <v>3026</v>
      </c>
      <c r="D396" s="83" t="s">
        <v>3071</v>
      </c>
      <c r="E396" s="84">
        <f>sch_num_assistive_devices_atd_agtc_funct</f>
        <v>0</v>
      </c>
      <c r="F396" s="83" t="b">
        <v>1</v>
      </c>
      <c r="G396" s="83"/>
      <c r="H396" s="83"/>
    </row>
    <row r="397" spans="1:8">
      <c r="A397" s="83" t="s">
        <v>3028</v>
      </c>
      <c r="B397" s="83" t="s">
        <v>3027</v>
      </c>
      <c r="C397" s="83" t="s">
        <v>3028</v>
      </c>
      <c r="D397" s="83" t="s">
        <v>3072</v>
      </c>
      <c r="E397" s="84">
        <f>sch_num_assistive_devices_atd_aam_funct</f>
        <v>0</v>
      </c>
      <c r="F397" s="83" t="b">
        <v>1</v>
      </c>
      <c r="G397" s="83"/>
      <c r="H397" s="83"/>
    </row>
    <row r="398" spans="1:8">
      <c r="A398" s="83" t="s">
        <v>3029</v>
      </c>
      <c r="B398" s="83" t="s">
        <v>3027</v>
      </c>
      <c r="C398" s="83" t="s">
        <v>3029</v>
      </c>
      <c r="D398" s="83" t="s">
        <v>3073</v>
      </c>
      <c r="E398" s="84">
        <f>sch_num_assistive_devices_atd_aacs_funct</f>
        <v>0</v>
      </c>
      <c r="F398" s="83" t="b">
        <v>1</v>
      </c>
      <c r="G398" s="83"/>
      <c r="H398" s="83"/>
    </row>
    <row r="399" spans="1:8">
      <c r="A399" s="83" t="s">
        <v>3030</v>
      </c>
      <c r="B399" s="83" t="s">
        <v>3027</v>
      </c>
      <c r="C399" s="83" t="s">
        <v>3030</v>
      </c>
      <c r="D399" s="83" t="s">
        <v>3074</v>
      </c>
      <c r="E399" s="84">
        <f>sch_num_assistive_devices_atd_bkk_funct</f>
        <v>0</v>
      </c>
      <c r="F399" s="83" t="b">
        <v>1</v>
      </c>
      <c r="G399" s="83"/>
      <c r="H399" s="83"/>
    </row>
    <row r="400" spans="1:8">
      <c r="A400" s="83" t="s">
        <v>3031</v>
      </c>
      <c r="B400" s="83" t="s">
        <v>3027</v>
      </c>
      <c r="C400" s="83" t="s">
        <v>3031</v>
      </c>
      <c r="D400" s="83" t="s">
        <v>3075</v>
      </c>
      <c r="E400" s="84">
        <f>sch_num_assistive_devices_atd_bha_funct</f>
        <v>0</v>
      </c>
      <c r="F400" s="83" t="b">
        <v>1</v>
      </c>
      <c r="G400" s="83"/>
      <c r="H400" s="83"/>
    </row>
    <row r="401" spans="1:8">
      <c r="A401" s="83" t="s">
        <v>3032</v>
      </c>
      <c r="B401" s="83" t="s">
        <v>3027</v>
      </c>
      <c r="C401" s="83" t="s">
        <v>3032</v>
      </c>
      <c r="D401" s="83" t="s">
        <v>3076</v>
      </c>
      <c r="E401" s="84">
        <f>sch_num_assistive_devices_atd_beds_funct</f>
        <v>0</v>
      </c>
      <c r="F401" s="83" t="b">
        <v>1</v>
      </c>
      <c r="G401" s="83"/>
      <c r="H401" s="83"/>
    </row>
    <row r="402" spans="1:8">
      <c r="A402" s="83" t="s">
        <v>3033</v>
      </c>
      <c r="B402" s="83" t="s">
        <v>3027</v>
      </c>
      <c r="C402" s="83" t="s">
        <v>3033</v>
      </c>
      <c r="D402" s="83" t="s">
        <v>3077</v>
      </c>
      <c r="E402" s="84">
        <f>sch_num_assistive_devices_atd_bess_funct</f>
        <v>0</v>
      </c>
      <c r="F402" s="83" t="b">
        <v>1</v>
      </c>
      <c r="G402" s="83"/>
      <c r="H402" s="83"/>
    </row>
    <row r="403" spans="1:8">
      <c r="A403" s="83" t="s">
        <v>3034</v>
      </c>
      <c r="B403" s="83" t="s">
        <v>3027</v>
      </c>
      <c r="C403" s="83" t="s">
        <v>3034</v>
      </c>
      <c r="D403" s="83" t="s">
        <v>3078</v>
      </c>
      <c r="E403" s="84">
        <f>sch_num_assistive_devices_atd_bm_funct</f>
        <v>0</v>
      </c>
      <c r="F403" s="83" t="b">
        <v>1</v>
      </c>
      <c r="G403" s="83"/>
      <c r="H403" s="83"/>
    </row>
    <row r="404" spans="1:8">
      <c r="A404" s="83" t="s">
        <v>3035</v>
      </c>
      <c r="B404" s="83" t="s">
        <v>3027</v>
      </c>
      <c r="C404" s="83" t="s">
        <v>3035</v>
      </c>
      <c r="D404" s="83" t="s">
        <v>3079</v>
      </c>
      <c r="E404" s="84">
        <f>sch_num_assistive_devices_atd_bpe_funct</f>
        <v>0</v>
      </c>
      <c r="F404" s="83" t="b">
        <v>1</v>
      </c>
      <c r="G404" s="83"/>
      <c r="H404" s="83"/>
    </row>
    <row r="405" spans="1:8">
      <c r="A405" s="83" t="s">
        <v>3036</v>
      </c>
      <c r="B405" s="83" t="s">
        <v>3027</v>
      </c>
      <c r="C405" s="83" t="s">
        <v>3036</v>
      </c>
      <c r="D405" s="83" t="s">
        <v>3080</v>
      </c>
      <c r="E405" s="84">
        <f>sch_num_assistive_devices_atd_bts_funct</f>
        <v>0</v>
      </c>
      <c r="F405" s="83" t="b">
        <v>1</v>
      </c>
      <c r="G405" s="83"/>
      <c r="H405" s="83"/>
    </row>
    <row r="406" spans="1:8">
      <c r="A406" s="83" t="s">
        <v>3037</v>
      </c>
      <c r="B406" s="83" t="s">
        <v>3027</v>
      </c>
      <c r="C406" s="83" t="s">
        <v>3037</v>
      </c>
      <c r="D406" s="83" t="s">
        <v>3081</v>
      </c>
      <c r="E406" s="84">
        <f>sch_num_assistive_devices_atd_cwwb_funct</f>
        <v>0</v>
      </c>
      <c r="F406" s="83" t="b">
        <v>1</v>
      </c>
      <c r="G406" s="83"/>
      <c r="H406" s="83"/>
    </row>
    <row r="407" spans="1:8">
      <c r="A407" s="83" t="s">
        <v>3038</v>
      </c>
      <c r="B407" s="83" t="s">
        <v>3027</v>
      </c>
      <c r="C407" s="83" t="s">
        <v>3038</v>
      </c>
      <c r="D407" s="83" t="s">
        <v>3082</v>
      </c>
      <c r="E407" s="84">
        <f>sch_num_assistive_devices_atd_clericalc_funct</f>
        <v>0</v>
      </c>
      <c r="F407" s="83" t="b">
        <v>1</v>
      </c>
      <c r="G407" s="83"/>
      <c r="H407" s="83"/>
    </row>
    <row r="408" spans="1:8">
      <c r="A408" s="83" t="s">
        <v>3039</v>
      </c>
      <c r="B408" s="83" t="s">
        <v>3027</v>
      </c>
      <c r="C408" s="83" t="s">
        <v>3039</v>
      </c>
      <c r="D408" s="83" t="s">
        <v>3083</v>
      </c>
      <c r="E408" s="84">
        <f>sch_num_assistive_devices_atd_comprinter_funct</f>
        <v>2</v>
      </c>
      <c r="F408" s="83" t="b">
        <v>1</v>
      </c>
      <c r="G408" s="83"/>
      <c r="H408" s="83"/>
    </row>
    <row r="409" spans="1:8">
      <c r="A409" s="83" t="s">
        <v>3040</v>
      </c>
      <c r="B409" s="83" t="s">
        <v>3027</v>
      </c>
      <c r="C409" s="83" t="s">
        <v>3040</v>
      </c>
      <c r="D409" s="83" t="s">
        <v>3084</v>
      </c>
      <c r="E409" s="84">
        <f>sch_num_assistive_devices_atd_computer_funct</f>
        <v>0</v>
      </c>
      <c r="F409" s="83" t="b">
        <v>1</v>
      </c>
      <c r="G409" s="83"/>
      <c r="H409" s="83"/>
    </row>
    <row r="410" spans="1:8">
      <c r="A410" s="83" t="s">
        <v>3041</v>
      </c>
      <c r="B410" s="83" t="s">
        <v>3027</v>
      </c>
      <c r="C410" s="83" t="s">
        <v>3041</v>
      </c>
      <c r="D410" s="83" t="s">
        <v>3085</v>
      </c>
      <c r="E410" s="84">
        <f>sch_num_assistive_devices_atd_crut_funct</f>
        <v>0</v>
      </c>
      <c r="F410" s="83" t="b">
        <v>1</v>
      </c>
      <c r="G410" s="83"/>
      <c r="H410" s="83"/>
    </row>
    <row r="411" spans="1:8">
      <c r="A411" s="83" t="s">
        <v>3042</v>
      </c>
      <c r="B411" s="83" t="s">
        <v>3027</v>
      </c>
      <c r="C411" s="83" t="s">
        <v>3042</v>
      </c>
      <c r="D411" s="83" t="s">
        <v>3086</v>
      </c>
      <c r="E411" s="84">
        <f>sch_num_assistive_devices_atd_ergot_funct</f>
        <v>0</v>
      </c>
      <c r="F411" s="83" t="b">
        <v>1</v>
      </c>
      <c r="G411" s="83"/>
      <c r="H411" s="83"/>
    </row>
    <row r="412" spans="1:8">
      <c r="A412" s="83" t="s">
        <v>3043</v>
      </c>
      <c r="B412" s="83" t="s">
        <v>3027</v>
      </c>
      <c r="C412" s="83" t="s">
        <v>3043</v>
      </c>
      <c r="D412" s="83" t="s">
        <v>3087</v>
      </c>
      <c r="E412" s="84">
        <f>sch_num_assistive_devices_atd_footm_funct</f>
        <v>0</v>
      </c>
      <c r="F412" s="83" t="b">
        <v>1</v>
      </c>
      <c r="G412" s="83"/>
      <c r="H412" s="83"/>
    </row>
    <row r="413" spans="1:8">
      <c r="A413" s="83" t="s">
        <v>3044</v>
      </c>
      <c r="B413" s="83" t="s">
        <v>3027</v>
      </c>
      <c r="C413" s="83" t="s">
        <v>3044</v>
      </c>
      <c r="D413" s="83" t="s">
        <v>3088</v>
      </c>
      <c r="E413" s="84">
        <f>sch_num_assistive_devices_atd_hmet_funct</f>
        <v>0</v>
      </c>
      <c r="F413" s="83" t="b">
        <v>1</v>
      </c>
      <c r="G413" s="83"/>
      <c r="H413" s="83"/>
    </row>
    <row r="414" spans="1:8">
      <c r="A414" s="83" t="s">
        <v>3045</v>
      </c>
      <c r="B414" s="83" t="s">
        <v>3027</v>
      </c>
      <c r="C414" s="83" t="s">
        <v>3045</v>
      </c>
      <c r="D414" s="83" t="s">
        <v>3089</v>
      </c>
      <c r="E414" s="84">
        <f>sch_num_assistive_devices_atd_ha_funct</f>
        <v>0</v>
      </c>
      <c r="F414" s="83" t="b">
        <v>1</v>
      </c>
      <c r="G414" s="83"/>
      <c r="H414" s="83"/>
    </row>
    <row r="415" spans="1:8">
      <c r="A415" s="83" t="s">
        <v>3046</v>
      </c>
      <c r="B415" s="83" t="s">
        <v>3027</v>
      </c>
      <c r="C415" s="83" t="s">
        <v>3046</v>
      </c>
      <c r="D415" s="83" t="s">
        <v>3090</v>
      </c>
      <c r="E415" s="84">
        <f>sch_num_assistive_devices_atd_jaws_funct</f>
        <v>0</v>
      </c>
      <c r="F415" s="83" t="b">
        <v>1</v>
      </c>
      <c r="G415" s="83"/>
      <c r="H415" s="83"/>
    </row>
    <row r="416" spans="1:8">
      <c r="A416" s="83" t="s">
        <v>3047</v>
      </c>
      <c r="B416" s="83" t="s">
        <v>3027</v>
      </c>
      <c r="C416" s="83" t="s">
        <v>3047</v>
      </c>
      <c r="D416" s="83" t="s">
        <v>3091</v>
      </c>
      <c r="E416" s="84">
        <f>sch_num_assistive_devices_atd_lcdp_funct</f>
        <v>0</v>
      </c>
      <c r="F416" s="83" t="b">
        <v>1</v>
      </c>
      <c r="G416" s="83"/>
      <c r="H416" s="83"/>
    </row>
    <row r="417" spans="1:8">
      <c r="A417" s="83" t="s">
        <v>3048</v>
      </c>
      <c r="B417" s="83" t="s">
        <v>3027</v>
      </c>
      <c r="C417" s="83" t="s">
        <v>3048</v>
      </c>
      <c r="D417" s="83" t="s">
        <v>3092</v>
      </c>
      <c r="E417" s="84">
        <f>sch_num_assistive_devices_atd_msc_funct</f>
        <v>0</v>
      </c>
      <c r="F417" s="83" t="b">
        <v>1</v>
      </c>
      <c r="G417" s="83"/>
      <c r="H417" s="83"/>
    </row>
    <row r="418" spans="1:8">
      <c r="A418" s="83" t="s">
        <v>3049</v>
      </c>
      <c r="B418" s="83" t="s">
        <v>3027</v>
      </c>
      <c r="C418" s="83" t="s">
        <v>3049</v>
      </c>
      <c r="D418" s="83" t="s">
        <v>3093</v>
      </c>
      <c r="E418" s="84">
        <f>sch_num_assistive_devices_atd_mi_funct</f>
        <v>1</v>
      </c>
      <c r="F418" s="83" t="b">
        <v>1</v>
      </c>
      <c r="G418" s="83"/>
      <c r="H418" s="83"/>
    </row>
    <row r="419" spans="1:8">
      <c r="A419" s="83" t="s">
        <v>3050</v>
      </c>
      <c r="B419" s="83" t="s">
        <v>3027</v>
      </c>
      <c r="C419" s="83" t="s">
        <v>3050</v>
      </c>
      <c r="D419" s="83" t="s">
        <v>3094</v>
      </c>
      <c r="E419" s="84">
        <f>sch_num_assistive_devices_atd_otms_funct</f>
        <v>0</v>
      </c>
      <c r="F419" s="83" t="b">
        <v>1</v>
      </c>
      <c r="G419" s="83"/>
      <c r="H419" s="83"/>
    </row>
    <row r="420" spans="1:8">
      <c r="A420" s="83" t="s">
        <v>3051</v>
      </c>
      <c r="B420" s="83" t="s">
        <v>3027</v>
      </c>
      <c r="C420" s="83" t="s">
        <v>3051</v>
      </c>
      <c r="D420" s="83" t="s">
        <v>3095</v>
      </c>
      <c r="E420" s="84">
        <f>sch_num_assistive_devices_atd_rcweb_funct</f>
        <v>0</v>
      </c>
      <c r="F420" s="83" t="b">
        <v>1</v>
      </c>
      <c r="G420" s="83"/>
      <c r="H420" s="83"/>
    </row>
    <row r="421" spans="1:8">
      <c r="A421" s="83" t="s">
        <v>3052</v>
      </c>
      <c r="B421" s="83" t="s">
        <v>3027</v>
      </c>
      <c r="C421" s="83" t="s">
        <v>3052</v>
      </c>
      <c r="D421" s="83" t="s">
        <v>3096</v>
      </c>
      <c r="E421" s="84">
        <f>sch_num_assistive_devices_atd_sr_funct</f>
        <v>0</v>
      </c>
      <c r="F421" s="83" t="b">
        <v>1</v>
      </c>
      <c r="G421" s="83"/>
      <c r="H421" s="83"/>
    </row>
    <row r="422" spans="1:8">
      <c r="A422" s="83" t="s">
        <v>3053</v>
      </c>
      <c r="B422" s="83" t="s">
        <v>3027</v>
      </c>
      <c r="C422" s="83" t="s">
        <v>3053</v>
      </c>
      <c r="D422" s="83" t="s">
        <v>3097</v>
      </c>
      <c r="E422" s="84">
        <f>sch_num_assistive_devices_atd_sm_funct</f>
        <v>1</v>
      </c>
      <c r="F422" s="83" t="b">
        <v>1</v>
      </c>
      <c r="G422" s="83"/>
      <c r="H422" s="83"/>
    </row>
    <row r="423" spans="1:8">
      <c r="A423" s="83" t="s">
        <v>3054</v>
      </c>
      <c r="B423" s="83" t="s">
        <v>3027</v>
      </c>
      <c r="C423" s="83" t="s">
        <v>3054</v>
      </c>
      <c r="D423" s="83" t="s">
        <v>3098</v>
      </c>
      <c r="E423" s="84">
        <f>sch_num_assistive_devices_atd_tc_funct</f>
        <v>0</v>
      </c>
      <c r="F423" s="83" t="b">
        <v>1</v>
      </c>
      <c r="G423" s="83"/>
      <c r="H423" s="83"/>
    </row>
    <row r="424" spans="1:8">
      <c r="A424" s="83" t="s">
        <v>3055</v>
      </c>
      <c r="B424" s="83" t="s">
        <v>3027</v>
      </c>
      <c r="C424" s="83" t="s">
        <v>3055</v>
      </c>
      <c r="D424" s="83" t="s">
        <v>3099</v>
      </c>
      <c r="E424" s="84">
        <f>sch_num_assistive_devices_atd_talkd_funct</f>
        <v>0</v>
      </c>
      <c r="F424" s="83" t="b">
        <v>1</v>
      </c>
      <c r="G424" s="83"/>
      <c r="H424" s="83"/>
    </row>
    <row r="425" spans="1:8">
      <c r="A425" s="83" t="s">
        <v>3056</v>
      </c>
      <c r="B425" s="83" t="s">
        <v>3027</v>
      </c>
      <c r="C425" s="83" t="s">
        <v>3056</v>
      </c>
      <c r="D425" s="83" t="s">
        <v>3100</v>
      </c>
      <c r="E425" s="84">
        <f>sch_num_assistive_devices_atd_tr_funct</f>
        <v>0</v>
      </c>
      <c r="F425" s="83" t="b">
        <v>1</v>
      </c>
      <c r="G425" s="83"/>
      <c r="H425" s="83"/>
    </row>
    <row r="426" spans="1:8">
      <c r="A426" s="83" t="s">
        <v>3057</v>
      </c>
      <c r="B426" s="83" t="s">
        <v>3027</v>
      </c>
      <c r="C426" s="83" t="s">
        <v>3057</v>
      </c>
      <c r="D426" s="83" t="s">
        <v>3101</v>
      </c>
      <c r="E426" s="84">
        <f>sch_num_assistive_devices_atd_telamp_funct</f>
        <v>0</v>
      </c>
      <c r="F426" s="83" t="b">
        <v>1</v>
      </c>
      <c r="G426" s="83"/>
      <c r="H426" s="83"/>
    </row>
    <row r="427" spans="1:8">
      <c r="A427" s="83" t="s">
        <v>3058</v>
      </c>
      <c r="B427" s="83" t="s">
        <v>3027</v>
      </c>
      <c r="C427" s="83" t="s">
        <v>3058</v>
      </c>
      <c r="D427" s="83" t="s">
        <v>3102</v>
      </c>
      <c r="E427" s="84">
        <f>sch_num_assistive_devices_atd_telescope_funct</f>
        <v>0</v>
      </c>
      <c r="F427" s="83" t="b">
        <v>1</v>
      </c>
      <c r="G427" s="83"/>
      <c r="H427" s="83"/>
    </row>
    <row r="428" spans="1:8">
      <c r="A428" s="83" t="s">
        <v>3059</v>
      </c>
      <c r="B428" s="83" t="s">
        <v>3027</v>
      </c>
      <c r="C428" s="83" t="s">
        <v>3059</v>
      </c>
      <c r="D428" s="83" t="s">
        <v>3103</v>
      </c>
      <c r="E428" s="84">
        <f>sch_num_assistive_devices_atd_welchair_funct</f>
        <v>1</v>
      </c>
      <c r="F428" s="83" t="b">
        <v>1</v>
      </c>
      <c r="G428" s="83"/>
      <c r="H428" s="83"/>
    </row>
    <row r="429" spans="1:8">
      <c r="A429" s="83" t="s">
        <v>3060</v>
      </c>
      <c r="B429" s="83" t="s">
        <v>3027</v>
      </c>
      <c r="C429" s="83" t="s">
        <v>3060</v>
      </c>
      <c r="D429" s="83" t="s">
        <v>3104</v>
      </c>
      <c r="E429" s="84">
        <f>sch_num_adaptive_devices_ad_bigbubk_funct</f>
        <v>0</v>
      </c>
      <c r="F429" s="83" t="b">
        <v>1</v>
      </c>
      <c r="G429" s="83"/>
      <c r="H429" s="83"/>
    </row>
    <row r="430" spans="1:8">
      <c r="A430" s="83" t="s">
        <v>3061</v>
      </c>
      <c r="B430" s="83" t="s">
        <v>3027</v>
      </c>
      <c r="C430" s="83" t="s">
        <v>3061</v>
      </c>
      <c r="D430" s="83" t="s">
        <v>3105</v>
      </c>
      <c r="E430" s="84">
        <f>sch_num_adaptive_devices_ad_buzzer_funct</f>
        <v>0</v>
      </c>
      <c r="F430" s="83" t="b">
        <v>1</v>
      </c>
      <c r="G430" s="83"/>
      <c r="H430" s="83"/>
    </row>
    <row r="431" spans="1:8">
      <c r="A431" s="83" t="s">
        <v>3062</v>
      </c>
      <c r="B431" s="83" t="s">
        <v>3027</v>
      </c>
      <c r="C431" s="83" t="s">
        <v>3062</v>
      </c>
      <c r="D431" s="83" t="s">
        <v>3106</v>
      </c>
      <c r="E431" s="84">
        <f>sch_num_adaptive_devices_ad_fak_funct</f>
        <v>4</v>
      </c>
      <c r="F431" s="83" t="b">
        <v>1</v>
      </c>
      <c r="G431" s="83"/>
      <c r="H431" s="83"/>
    </row>
    <row r="432" spans="1:8">
      <c r="A432" s="83" t="s">
        <v>3063</v>
      </c>
      <c r="B432" s="83" t="s">
        <v>3027</v>
      </c>
      <c r="C432" s="83" t="s">
        <v>3063</v>
      </c>
      <c r="D432" s="83" t="s">
        <v>3107</v>
      </c>
      <c r="E432" s="84">
        <f>sch_num_adaptive_devices_ad_rubmat_funct</f>
        <v>0</v>
      </c>
      <c r="F432" s="83" t="b">
        <v>1</v>
      </c>
      <c r="G432" s="83"/>
      <c r="H432" s="83"/>
    </row>
    <row r="433" spans="1:8">
      <c r="A433" s="83" t="s">
        <v>3064</v>
      </c>
      <c r="B433" s="83" t="s">
        <v>3027</v>
      </c>
      <c r="C433" s="83" t="s">
        <v>3064</v>
      </c>
      <c r="D433" s="83" t="s">
        <v>3108</v>
      </c>
      <c r="E433" s="84">
        <f>sch_num_adaptive_devices_ad_swm_funct</f>
        <v>4</v>
      </c>
      <c r="F433" s="83" t="b">
        <v>1</v>
      </c>
      <c r="G433" s="83"/>
      <c r="H433" s="83"/>
    </row>
    <row r="434" spans="1:8">
      <c r="A434" s="83" t="s">
        <v>3065</v>
      </c>
      <c r="B434" s="83" t="s">
        <v>3027</v>
      </c>
      <c r="C434" s="83" t="s">
        <v>3065</v>
      </c>
      <c r="D434" s="83" t="s">
        <v>3109</v>
      </c>
      <c r="E434" s="84">
        <f>sch_num_adaptive_devices_ad_sleepbag_funct</f>
        <v>0</v>
      </c>
      <c r="F434" s="83" t="b">
        <v>1</v>
      </c>
      <c r="G434" s="83"/>
      <c r="H434" s="83"/>
    </row>
    <row r="435" spans="1:8">
      <c r="A435" s="83" t="s">
        <v>3066</v>
      </c>
      <c r="B435" s="83" t="s">
        <v>3027</v>
      </c>
      <c r="C435" s="83" t="s">
        <v>3066</v>
      </c>
      <c r="D435" s="83" t="s">
        <v>3110</v>
      </c>
      <c r="E435" s="84">
        <f>sch_num_adaptive_devices_ad_speechsyn_funct</f>
        <v>0</v>
      </c>
      <c r="F435" s="83" t="b">
        <v>1</v>
      </c>
      <c r="G435" s="83"/>
      <c r="H435" s="83"/>
    </row>
    <row r="436" spans="1:8">
      <c r="A436" s="83" t="s">
        <v>3067</v>
      </c>
      <c r="B436" s="83" t="s">
        <v>3027</v>
      </c>
      <c r="C436" s="83" t="s">
        <v>3067</v>
      </c>
      <c r="D436" s="83" t="s">
        <v>3111</v>
      </c>
      <c r="E436" s="84">
        <f>sch_num_adaptive_devices_ad_stopwat_funct</f>
        <v>0</v>
      </c>
      <c r="F436" s="83" t="b">
        <v>1</v>
      </c>
      <c r="G436" s="83"/>
      <c r="H436" s="83"/>
    </row>
    <row r="437" spans="1:8">
      <c r="A437" s="83" t="s">
        <v>3068</v>
      </c>
      <c r="B437" s="83" t="s">
        <v>3027</v>
      </c>
      <c r="C437" s="83" t="s">
        <v>3068</v>
      </c>
      <c r="D437" s="83" t="s">
        <v>3112</v>
      </c>
      <c r="E437" s="84">
        <f>sch_num_adaptive_devices_ad_tent_funct</f>
        <v>0</v>
      </c>
      <c r="F437" s="83" t="b">
        <v>1</v>
      </c>
      <c r="G437" s="83"/>
      <c r="H437" s="83"/>
    </row>
    <row r="438" spans="1:8">
      <c r="A438" s="83" t="s">
        <v>3069</v>
      </c>
      <c r="B438" s="83" t="s">
        <v>3027</v>
      </c>
      <c r="C438" s="83" t="s">
        <v>3069</v>
      </c>
      <c r="D438" s="83" t="s">
        <v>3113</v>
      </c>
      <c r="E438" s="84">
        <f>sch_num_adaptive_devices_ad_waterjug_funct</f>
        <v>0</v>
      </c>
      <c r="F438" s="83" t="b">
        <v>1</v>
      </c>
      <c r="G438" s="83"/>
      <c r="H438" s="83"/>
    </row>
    <row r="439" spans="1:8" ht="16" thickBot="1">
      <c r="A439" s="85" t="s">
        <v>3070</v>
      </c>
      <c r="B439" s="85" t="s">
        <v>3027</v>
      </c>
      <c r="C439" s="85" t="s">
        <v>3070</v>
      </c>
      <c r="D439" s="85" t="s">
        <v>3114</v>
      </c>
      <c r="E439" s="86">
        <f>sch_num_adaptive_devices_ad_whistle_funct</f>
        <v>0</v>
      </c>
      <c r="F439" s="85" t="b">
        <v>1</v>
      </c>
      <c r="G439" s="85"/>
      <c r="H439" s="85"/>
    </row>
    <row r="440" spans="1:8">
      <c r="A440" s="83" t="s">
        <v>3115</v>
      </c>
      <c r="B440" s="83" t="s">
        <v>3116</v>
      </c>
      <c r="C440" s="83" t="s">
        <v>3115</v>
      </c>
      <c r="D440" s="83" t="s">
        <v>3146</v>
      </c>
      <c r="E440" s="84">
        <f>sch_equipment_tools_blender_machine_functional</f>
        <v>0</v>
      </c>
      <c r="F440" s="83" t="b">
        <v>1</v>
      </c>
      <c r="G440" s="83"/>
      <c r="H440" s="83"/>
    </row>
    <row r="441" spans="1:8">
      <c r="A441" s="83" t="s">
        <v>3117</v>
      </c>
      <c r="B441" s="83" t="s">
        <v>3116</v>
      </c>
      <c r="C441" s="83" t="s">
        <v>3117</v>
      </c>
      <c r="D441" s="83" t="s">
        <v>3147</v>
      </c>
      <c r="E441" s="84">
        <f>sch_equipment_tools_cake_turntable_functional</f>
        <v>0</v>
      </c>
      <c r="F441" s="83" t="b">
        <v>1</v>
      </c>
      <c r="G441" s="83"/>
      <c r="H441" s="83"/>
    </row>
    <row r="442" spans="1:8">
      <c r="A442" s="83" t="s">
        <v>3118</v>
      </c>
      <c r="B442" s="83" t="s">
        <v>3116</v>
      </c>
      <c r="C442" s="83" t="s">
        <v>3118</v>
      </c>
      <c r="D442" s="83" t="s">
        <v>3148</v>
      </c>
      <c r="E442" s="84">
        <f>sch_equipment_tools_claw_hammer_functional</f>
        <v>0</v>
      </c>
      <c r="F442" s="83" t="b">
        <v>1</v>
      </c>
      <c r="G442" s="83"/>
      <c r="H442" s="83"/>
    </row>
    <row r="443" spans="1:8">
      <c r="A443" s="83" t="s">
        <v>3119</v>
      </c>
      <c r="B443" s="83" t="s">
        <v>3116</v>
      </c>
      <c r="C443" s="83" t="s">
        <v>3119</v>
      </c>
      <c r="D443" s="83" t="s">
        <v>3149</v>
      </c>
      <c r="E443" s="84">
        <f>sch_equipment_tools_crosscut_saw_functional</f>
        <v>0</v>
      </c>
      <c r="F443" s="83" t="b">
        <v>1</v>
      </c>
      <c r="G443" s="83"/>
      <c r="H443" s="83"/>
    </row>
    <row r="444" spans="1:8">
      <c r="A444" s="83" t="s">
        <v>3120</v>
      </c>
      <c r="B444" s="83" t="s">
        <v>3116</v>
      </c>
      <c r="C444" s="83" t="s">
        <v>3120</v>
      </c>
      <c r="D444" s="83" t="s">
        <v>3150</v>
      </c>
      <c r="E444" s="84">
        <f>sch_equipment_dipping_can_functional</f>
        <v>0</v>
      </c>
      <c r="F444" s="83" t="b">
        <v>1</v>
      </c>
      <c r="G444" s="83"/>
      <c r="H444" s="83"/>
    </row>
    <row r="445" spans="1:8">
      <c r="A445" s="83" t="s">
        <v>3121</v>
      </c>
      <c r="B445" s="83" t="s">
        <v>3116</v>
      </c>
      <c r="C445" s="83" t="s">
        <v>3121</v>
      </c>
      <c r="D445" s="83" t="s">
        <v>3151</v>
      </c>
      <c r="E445" s="84">
        <f>sch_equipment_tools_double_boiler_functional</f>
        <v>0</v>
      </c>
      <c r="F445" s="83" t="b">
        <v>1</v>
      </c>
      <c r="G445" s="83"/>
      <c r="H445" s="83"/>
    </row>
    <row r="446" spans="1:8">
      <c r="A446" s="83" t="s">
        <v>3122</v>
      </c>
      <c r="B446" s="83" t="s">
        <v>3116</v>
      </c>
      <c r="C446" s="83" t="s">
        <v>3122</v>
      </c>
      <c r="D446" s="83" t="s">
        <v>3152</v>
      </c>
      <c r="E446" s="84">
        <f>sch_equipment_tools_fire_extinguisher_functional</f>
        <v>1</v>
      </c>
      <c r="F446" s="83" t="b">
        <v>1</v>
      </c>
      <c r="G446" s="83"/>
      <c r="H446" s="83"/>
    </row>
    <row r="447" spans="1:8">
      <c r="A447" s="83" t="s">
        <v>3123</v>
      </c>
      <c r="B447" s="83" t="s">
        <v>3116</v>
      </c>
      <c r="C447" s="83" t="s">
        <v>3123</v>
      </c>
      <c r="D447" s="83" t="s">
        <v>3153</v>
      </c>
      <c r="E447" s="84">
        <f>sch_equipment_tools_fire_frying_pan_functional</f>
        <v>0</v>
      </c>
      <c r="F447" s="83" t="b">
        <v>1</v>
      </c>
      <c r="G447" s="83"/>
      <c r="H447" s="83"/>
    </row>
    <row r="448" spans="1:8">
      <c r="A448" s="83" t="s">
        <v>3124</v>
      </c>
      <c r="B448" s="83" t="s">
        <v>3116</v>
      </c>
      <c r="C448" s="83" t="s">
        <v>3124</v>
      </c>
      <c r="D448" s="83" t="s">
        <v>3154</v>
      </c>
      <c r="E448" s="84">
        <f>sch_equipment_garden_hose_functional</f>
        <v>0</v>
      </c>
      <c r="F448" s="83" t="b">
        <v>1</v>
      </c>
      <c r="G448" s="83"/>
      <c r="H448" s="83"/>
    </row>
    <row r="449" spans="1:8">
      <c r="A449" s="83" t="s">
        <v>3125</v>
      </c>
      <c r="B449" s="83" t="s">
        <v>3116</v>
      </c>
      <c r="C449" s="83" t="s">
        <v>3125</v>
      </c>
      <c r="D449" s="83" t="s">
        <v>3155</v>
      </c>
      <c r="E449" s="84">
        <f>sch_equipment_tools_gas_range_functional</f>
        <v>1</v>
      </c>
      <c r="F449" s="83" t="b">
        <v>1</v>
      </c>
      <c r="G449" s="83"/>
      <c r="H449" s="83"/>
    </row>
    <row r="450" spans="1:8">
      <c r="A450" s="83" t="s">
        <v>3126</v>
      </c>
      <c r="B450" s="83" t="s">
        <v>3116</v>
      </c>
      <c r="C450" s="83" t="s">
        <v>3126</v>
      </c>
      <c r="D450" s="83" t="s">
        <v>3156</v>
      </c>
      <c r="E450" s="84">
        <f>sch_equipment_tools_gloves_functional</f>
        <v>0</v>
      </c>
      <c r="F450" s="83" t="b">
        <v>1</v>
      </c>
      <c r="G450" s="83"/>
      <c r="H450" s="83"/>
    </row>
    <row r="451" spans="1:8">
      <c r="A451" s="83" t="s">
        <v>3127</v>
      </c>
      <c r="B451" s="83" t="s">
        <v>3116</v>
      </c>
      <c r="C451" s="83" t="s">
        <v>3127</v>
      </c>
      <c r="D451" s="83" t="s">
        <v>3157</v>
      </c>
      <c r="E451" s="84">
        <f>sch_equipment_tools_kitchen_knife_functional</f>
        <v>0</v>
      </c>
      <c r="F451" s="83" t="b">
        <v>1</v>
      </c>
      <c r="G451" s="83"/>
      <c r="H451" s="83"/>
    </row>
    <row r="452" spans="1:8">
      <c r="A452" s="83" t="s">
        <v>3128</v>
      </c>
      <c r="B452" s="83" t="s">
        <v>3116</v>
      </c>
      <c r="C452" s="83" t="s">
        <v>3128</v>
      </c>
      <c r="D452" s="83" t="s">
        <v>3158</v>
      </c>
      <c r="E452" s="84">
        <f>sch_equipment_tools_measuring_cups_functional</f>
        <v>1</v>
      </c>
      <c r="F452" s="83" t="b">
        <v>1</v>
      </c>
      <c r="G452" s="83"/>
      <c r="H452" s="83"/>
    </row>
    <row r="453" spans="1:8">
      <c r="A453" s="83" t="s">
        <v>3129</v>
      </c>
      <c r="B453" s="83" t="s">
        <v>3116</v>
      </c>
      <c r="C453" s="83" t="s">
        <v>3129</v>
      </c>
      <c r="D453" s="83" t="s">
        <v>3159</v>
      </c>
      <c r="E453" s="84">
        <f>sch_equipment_tools_measuring_spoons_functional</f>
        <v>0</v>
      </c>
      <c r="F453" s="83" t="b">
        <v>1</v>
      </c>
      <c r="G453" s="83"/>
      <c r="H453" s="83"/>
    </row>
    <row r="454" spans="1:8">
      <c r="A454" s="83" t="s">
        <v>3130</v>
      </c>
      <c r="B454" s="83" t="s">
        <v>3116</v>
      </c>
      <c r="C454" s="83" t="s">
        <v>3130</v>
      </c>
      <c r="D454" s="83" t="s">
        <v>3160</v>
      </c>
      <c r="E454" s="84">
        <f>sch_equipment_tools_mixing_bowl_functional</f>
        <v>1</v>
      </c>
      <c r="F454" s="83" t="b">
        <v>1</v>
      </c>
      <c r="G454" s="83"/>
      <c r="H454" s="83"/>
    </row>
    <row r="455" spans="1:8">
      <c r="A455" s="83" t="s">
        <v>3131</v>
      </c>
      <c r="B455" s="83" t="s">
        <v>3116</v>
      </c>
      <c r="C455" s="83" t="s">
        <v>3131</v>
      </c>
      <c r="D455" s="83" t="s">
        <v>3161</v>
      </c>
      <c r="E455" s="84">
        <f>sch_equipment_tools_pastry_blender_functional</f>
        <v>0</v>
      </c>
      <c r="F455" s="83" t="b">
        <v>1</v>
      </c>
      <c r="G455" s="83"/>
      <c r="H455" s="83"/>
    </row>
    <row r="456" spans="1:8">
      <c r="A456" s="83" t="s">
        <v>3132</v>
      </c>
      <c r="B456" s="83" t="s">
        <v>3116</v>
      </c>
      <c r="C456" s="83" t="s">
        <v>3132</v>
      </c>
      <c r="D456" s="83" t="s">
        <v>3162</v>
      </c>
      <c r="E456" s="84">
        <f>sch_equipment_tools_fire_pastry_tubes_functional</f>
        <v>0</v>
      </c>
      <c r="F456" s="83" t="b">
        <v>1</v>
      </c>
      <c r="G456" s="83"/>
      <c r="H456" s="83"/>
    </row>
    <row r="457" spans="1:8">
      <c r="A457" s="83" t="s">
        <v>3133</v>
      </c>
      <c r="B457" s="83" t="s">
        <v>3116</v>
      </c>
      <c r="C457" s="83" t="s">
        <v>3133</v>
      </c>
      <c r="D457" s="83" t="s">
        <v>3163</v>
      </c>
      <c r="E457" s="84">
        <f>sch_equipment_tools_pie_pan_functional</f>
        <v>0</v>
      </c>
      <c r="F457" s="83" t="b">
        <v>1</v>
      </c>
      <c r="G457" s="83"/>
      <c r="H457" s="83"/>
    </row>
    <row r="458" spans="1:8">
      <c r="A458" s="83" t="s">
        <v>3134</v>
      </c>
      <c r="B458" s="83" t="s">
        <v>3116</v>
      </c>
      <c r="C458" s="83" t="s">
        <v>3134</v>
      </c>
      <c r="D458" s="83" t="s">
        <v>3164</v>
      </c>
      <c r="E458" s="84">
        <f>sch_equipment_tools_portable_electric_drill_functional</f>
        <v>0</v>
      </c>
      <c r="F458" s="83" t="b">
        <v>1</v>
      </c>
      <c r="G458" s="83"/>
      <c r="H458" s="83"/>
    </row>
    <row r="459" spans="1:8">
      <c r="A459" s="83" t="s">
        <v>3135</v>
      </c>
      <c r="B459" s="83" t="s">
        <v>3116</v>
      </c>
      <c r="C459" s="83" t="s">
        <v>3135</v>
      </c>
      <c r="D459" s="83" t="s">
        <v>3165</v>
      </c>
      <c r="E459" s="84">
        <f>sch_equipment_tools_prunning_shear_functional</f>
        <v>0</v>
      </c>
      <c r="F459" s="83" t="b">
        <v>1</v>
      </c>
      <c r="G459" s="83"/>
      <c r="H459" s="83"/>
    </row>
    <row r="460" spans="1:8">
      <c r="A460" s="83" t="s">
        <v>3136</v>
      </c>
      <c r="B460" s="83" t="s">
        <v>3116</v>
      </c>
      <c r="C460" s="83" t="s">
        <v>3136</v>
      </c>
      <c r="D460" s="83" t="s">
        <v>3166</v>
      </c>
      <c r="E460" s="84">
        <f>sch_equipment_tools_refrigerator_functional</f>
        <v>1</v>
      </c>
      <c r="F460" s="83" t="b">
        <v>1</v>
      </c>
      <c r="G460" s="83"/>
      <c r="H460" s="83"/>
    </row>
    <row r="461" spans="1:8">
      <c r="A461" s="83" t="s">
        <v>3137</v>
      </c>
      <c r="B461" s="83" t="s">
        <v>3116</v>
      </c>
      <c r="C461" s="83" t="s">
        <v>3137</v>
      </c>
      <c r="D461" s="83" t="s">
        <v>3167</v>
      </c>
      <c r="E461" s="84">
        <f>sch_equipment_tools_fire_roasting_pan_functional</f>
        <v>0</v>
      </c>
      <c r="F461" s="83" t="b">
        <v>1</v>
      </c>
      <c r="G461" s="83"/>
      <c r="H461" s="83"/>
    </row>
    <row r="462" spans="1:8">
      <c r="A462" s="83" t="s">
        <v>3138</v>
      </c>
      <c r="B462" s="83" t="s">
        <v>3116</v>
      </c>
      <c r="C462" s="83" t="s">
        <v>3138</v>
      </c>
      <c r="D462" s="83" t="s">
        <v>3168</v>
      </c>
      <c r="E462" s="84">
        <f>sch_equipment_tools_seedling_tray_functional</f>
        <v>0</v>
      </c>
      <c r="F462" s="83" t="b">
        <v>1</v>
      </c>
      <c r="G462" s="83"/>
      <c r="H462" s="83"/>
    </row>
    <row r="463" spans="1:8">
      <c r="A463" s="83" t="s">
        <v>3139</v>
      </c>
      <c r="B463" s="83" t="s">
        <v>3116</v>
      </c>
      <c r="C463" s="83" t="s">
        <v>3139</v>
      </c>
      <c r="D463" s="83" t="s">
        <v>3169</v>
      </c>
      <c r="E463" s="84">
        <f>sch_equipment_tools_sheet_pan_functional</f>
        <v>0</v>
      </c>
      <c r="F463" s="83" t="b">
        <v>1</v>
      </c>
      <c r="G463" s="83"/>
      <c r="H463" s="83"/>
    </row>
    <row r="464" spans="1:8">
      <c r="A464" s="83" t="s">
        <v>3140</v>
      </c>
      <c r="B464" s="83" t="s">
        <v>3116</v>
      </c>
      <c r="C464" s="83" t="s">
        <v>3140</v>
      </c>
      <c r="D464" s="83" t="s">
        <v>3170</v>
      </c>
      <c r="E464" s="84">
        <f>sch_equipment_tools_spade_functional</f>
        <v>0</v>
      </c>
      <c r="F464" s="83" t="b">
        <v>1</v>
      </c>
      <c r="G464" s="83"/>
      <c r="H464" s="83"/>
    </row>
    <row r="465" spans="1:8">
      <c r="A465" s="83" t="s">
        <v>3141</v>
      </c>
      <c r="B465" s="83" t="s">
        <v>3116</v>
      </c>
      <c r="C465" s="83" t="s">
        <v>3141</v>
      </c>
      <c r="D465" s="83" t="s">
        <v>3171</v>
      </c>
      <c r="E465" s="84">
        <f>sch_equipment_tools_fire_spatula_functional</f>
        <v>1</v>
      </c>
      <c r="F465" s="83" t="b">
        <v>1</v>
      </c>
      <c r="G465" s="83"/>
      <c r="H465" s="83"/>
    </row>
    <row r="466" spans="1:8">
      <c r="A466" s="83" t="s">
        <v>3142</v>
      </c>
      <c r="B466" s="83" t="s">
        <v>3116</v>
      </c>
      <c r="C466" s="83" t="s">
        <v>3142</v>
      </c>
      <c r="D466" s="83" t="s">
        <v>3172</v>
      </c>
      <c r="E466" s="84">
        <f>sch_equipment_tools_sprinkler_functional</f>
        <v>0</v>
      </c>
      <c r="F466" s="83" t="b">
        <v>1</v>
      </c>
      <c r="G466" s="83"/>
      <c r="H466" s="83"/>
    </row>
    <row r="467" spans="1:8">
      <c r="A467" s="83" t="s">
        <v>3143</v>
      </c>
      <c r="B467" s="83" t="s">
        <v>3116</v>
      </c>
      <c r="C467" s="83" t="s">
        <v>3143</v>
      </c>
      <c r="D467" s="83" t="s">
        <v>3173</v>
      </c>
      <c r="E467" s="84">
        <f>sch_equipment_tools_strainer_functional</f>
        <v>0</v>
      </c>
      <c r="F467" s="83" t="b">
        <v>1</v>
      </c>
      <c r="G467" s="83"/>
      <c r="H467" s="83"/>
    </row>
    <row r="468" spans="1:8">
      <c r="A468" s="83" t="s">
        <v>3144</v>
      </c>
      <c r="B468" s="83" t="s">
        <v>3116</v>
      </c>
      <c r="C468" s="83" t="s">
        <v>3144</v>
      </c>
      <c r="D468" s="83" t="s">
        <v>3174</v>
      </c>
      <c r="E468" s="84">
        <f>sch_equipment_tools_tong_functional</f>
        <v>0</v>
      </c>
      <c r="F468" s="83" t="b">
        <v>1</v>
      </c>
      <c r="G468" s="83"/>
      <c r="H468" s="83"/>
    </row>
    <row r="469" spans="1:8" ht="16" thickBot="1">
      <c r="A469" s="85" t="s">
        <v>3145</v>
      </c>
      <c r="B469" s="85" t="s">
        <v>3116</v>
      </c>
      <c r="C469" s="85" t="s">
        <v>3145</v>
      </c>
      <c r="D469" s="85" t="s">
        <v>3175</v>
      </c>
      <c r="E469" s="86">
        <f>sch_equipment_tools_wooden_spoons_functional</f>
        <v>0</v>
      </c>
      <c r="F469" s="85" t="b">
        <v>1</v>
      </c>
      <c r="G469" s="85"/>
      <c r="H469" s="85"/>
    </row>
    <row r="470" spans="1:8">
      <c r="A470" s="83" t="s">
        <v>3177</v>
      </c>
      <c r="B470" s="83" t="s">
        <v>3176</v>
      </c>
      <c r="C470" s="83" t="s">
        <v>3177</v>
      </c>
      <c r="D470" s="83" t="s">
        <v>3178</v>
      </c>
      <c r="E470" s="84">
        <f>lwd_resources_vi</f>
        <v>0</v>
      </c>
      <c r="F470" s="83" t="b">
        <v>1</v>
      </c>
      <c r="G470" s="83"/>
      <c r="H470" s="83"/>
    </row>
    <row r="471" spans="1:8">
      <c r="A471" s="83" t="s">
        <v>3179</v>
      </c>
      <c r="B471" s="83" t="s">
        <v>3176</v>
      </c>
      <c r="C471" s="83" t="s">
        <v>3179</v>
      </c>
      <c r="D471" s="83" t="s">
        <v>3180</v>
      </c>
      <c r="E471" s="84">
        <f>lwd_resources_hi</f>
        <v>0</v>
      </c>
      <c r="F471" s="83" t="b">
        <v>1</v>
      </c>
      <c r="G471" s="83"/>
      <c r="H471" s="83"/>
    </row>
    <row r="472" spans="1:8">
      <c r="A472" s="83" t="s">
        <v>3181</v>
      </c>
      <c r="B472" s="83" t="s">
        <v>3176</v>
      </c>
      <c r="C472" s="83" t="s">
        <v>3181</v>
      </c>
      <c r="D472" s="83" t="s">
        <v>3182</v>
      </c>
      <c r="E472" s="84">
        <f>lwd_resources_ld</f>
        <v>0</v>
      </c>
      <c r="F472" s="83" t="b">
        <v>1</v>
      </c>
      <c r="G472" s="83"/>
      <c r="H472" s="83"/>
    </row>
    <row r="473" spans="1:8">
      <c r="A473" s="83" t="s">
        <v>3183</v>
      </c>
      <c r="B473" s="83" t="s">
        <v>3176</v>
      </c>
      <c r="C473" s="83" t="s">
        <v>3183</v>
      </c>
      <c r="D473" s="83" t="s">
        <v>3184</v>
      </c>
      <c r="E473" s="84">
        <f>lwd_resources_id</f>
        <v>0</v>
      </c>
      <c r="F473" s="83" t="b">
        <v>1</v>
      </c>
      <c r="G473" s="83"/>
      <c r="H473" s="83"/>
    </row>
    <row r="474" spans="1:8">
      <c r="A474" s="83" t="s">
        <v>3185</v>
      </c>
      <c r="B474" s="83" t="s">
        <v>3176</v>
      </c>
      <c r="C474" s="83" t="s">
        <v>3185</v>
      </c>
      <c r="D474" s="83" t="s">
        <v>3186</v>
      </c>
      <c r="E474" s="84">
        <f>lwd_resources_apd</f>
        <v>0</v>
      </c>
      <c r="F474" s="83" t="b">
        <v>1</v>
      </c>
      <c r="G474" s="83"/>
      <c r="H474" s="83"/>
    </row>
    <row r="475" spans="1:8">
      <c r="A475" s="83" t="s">
        <v>3187</v>
      </c>
      <c r="B475" s="83" t="s">
        <v>3176</v>
      </c>
      <c r="C475" s="83" t="s">
        <v>3187</v>
      </c>
      <c r="D475" s="83" t="s">
        <v>3188</v>
      </c>
      <c r="E475" s="84">
        <f>lwd_resources_ebd</f>
        <v>0</v>
      </c>
      <c r="F475" s="83" t="b">
        <v>1</v>
      </c>
      <c r="G475" s="83"/>
      <c r="H475" s="83"/>
    </row>
    <row r="476" spans="1:8">
      <c r="A476" s="83" t="s">
        <v>3189</v>
      </c>
      <c r="B476" s="83" t="s">
        <v>3176</v>
      </c>
      <c r="C476" s="83" t="s">
        <v>3189</v>
      </c>
      <c r="D476" s="83" t="s">
        <v>3190</v>
      </c>
      <c r="E476" s="84">
        <f>lwd_resources_ph</f>
        <v>0</v>
      </c>
      <c r="F476" s="83" t="b">
        <v>1</v>
      </c>
      <c r="G476" s="83"/>
      <c r="H476" s="83"/>
    </row>
    <row r="477" spans="1:8">
      <c r="A477" s="83" t="s">
        <v>3191</v>
      </c>
      <c r="B477" s="83" t="s">
        <v>3176</v>
      </c>
      <c r="C477" s="83" t="s">
        <v>3191</v>
      </c>
      <c r="D477" s="83" t="s">
        <v>3192</v>
      </c>
      <c r="E477" s="84">
        <f>lwd_resources_sld</f>
        <v>0</v>
      </c>
      <c r="F477" s="83" t="b">
        <v>1</v>
      </c>
      <c r="G477" s="83"/>
      <c r="H477" s="83"/>
    </row>
    <row r="478" spans="1:8">
      <c r="A478" s="83" t="s">
        <v>3193</v>
      </c>
      <c r="B478" s="83" t="s">
        <v>3176</v>
      </c>
      <c r="C478" s="83" t="s">
        <v>3193</v>
      </c>
      <c r="D478" s="83" t="s">
        <v>3194</v>
      </c>
      <c r="E478" s="84">
        <f>lwd_resources_cp</f>
        <v>0</v>
      </c>
      <c r="F478" s="83" t="b">
        <v>1</v>
      </c>
      <c r="G478" s="83"/>
      <c r="H478" s="83"/>
    </row>
    <row r="479" spans="1:8">
      <c r="A479" s="83" t="s">
        <v>3195</v>
      </c>
      <c r="B479" s="83" t="s">
        <v>3176</v>
      </c>
      <c r="C479" s="83" t="s">
        <v>3195</v>
      </c>
      <c r="D479" s="83" t="s">
        <v>3196</v>
      </c>
      <c r="E479" s="84">
        <f>lwd_resources_cd</f>
        <v>0</v>
      </c>
      <c r="F479" s="83" t="b">
        <v>1</v>
      </c>
      <c r="G479" s="83"/>
      <c r="H479" s="83"/>
    </row>
    <row r="480" spans="1:8">
      <c r="A480" s="83" t="s">
        <v>3197</v>
      </c>
      <c r="B480" s="83" t="s">
        <v>3176</v>
      </c>
      <c r="C480" s="83" t="s">
        <v>3197</v>
      </c>
      <c r="D480" s="83" t="s">
        <v>3198</v>
      </c>
      <c r="E480" s="84">
        <f>lwd_resources_cancer</f>
        <v>0</v>
      </c>
      <c r="F480" s="83" t="b">
        <v>1</v>
      </c>
      <c r="G480" s="83"/>
      <c r="H480" s="83"/>
    </row>
    <row r="481" spans="1:8">
      <c r="A481" s="83" t="s">
        <v>3199</v>
      </c>
      <c r="B481" s="83" t="s">
        <v>3176</v>
      </c>
      <c r="C481" s="83" t="s">
        <v>3199</v>
      </c>
      <c r="D481" s="83" t="s">
        <v>3200</v>
      </c>
      <c r="E481" s="84">
        <f>lwd_resources_md</f>
        <v>0</v>
      </c>
      <c r="F481" s="83" t="b">
        <v>1</v>
      </c>
      <c r="G481" s="83"/>
      <c r="H481" s="83"/>
    </row>
    <row r="482" spans="1:8">
      <c r="A482" s="83" t="s">
        <v>3201</v>
      </c>
      <c r="B482" s="83" t="s">
        <v>3176</v>
      </c>
      <c r="C482" s="83" t="s">
        <v>3201</v>
      </c>
      <c r="D482" s="83" t="s">
        <v>3202</v>
      </c>
      <c r="E482" s="84">
        <f>lwd_resources_braile</f>
        <v>0</v>
      </c>
      <c r="F482" s="83" t="b">
        <v>1</v>
      </c>
      <c r="G482" s="83"/>
      <c r="H482" s="83"/>
    </row>
    <row r="483" spans="1:8">
      <c r="A483" s="83" t="s">
        <v>3203</v>
      </c>
      <c r="B483" s="83" t="s">
        <v>3176</v>
      </c>
      <c r="C483" s="83" t="s">
        <v>3203</v>
      </c>
      <c r="D483" s="83" t="s">
        <v>3204</v>
      </c>
      <c r="E483" s="84">
        <f>lwd_resources_ebook</f>
        <v>0</v>
      </c>
      <c r="F483" s="83" t="b">
        <v>1</v>
      </c>
      <c r="G483" s="83"/>
      <c r="H483" s="83"/>
    </row>
    <row r="484" spans="1:8">
      <c r="A484" s="83" t="s">
        <v>3205</v>
      </c>
      <c r="B484" s="83" t="s">
        <v>3176</v>
      </c>
      <c r="C484" s="83" t="s">
        <v>3205</v>
      </c>
      <c r="D484" s="83" t="s">
        <v>3206</v>
      </c>
      <c r="E484" s="84">
        <f>lwd_resources_lpf_16</f>
        <v>0</v>
      </c>
      <c r="F484" s="83" t="b">
        <v>1</v>
      </c>
      <c r="G484" s="83"/>
      <c r="H484" s="83"/>
    </row>
    <row r="485" spans="1:8">
      <c r="A485" s="83" t="s">
        <v>3207</v>
      </c>
      <c r="B485" s="83" t="s">
        <v>3176</v>
      </c>
      <c r="C485" s="83" t="s">
        <v>3207</v>
      </c>
      <c r="D485" s="83" t="s">
        <v>3208</v>
      </c>
      <c r="E485" s="84">
        <f>lwd_resources_lpf_17</f>
        <v>0</v>
      </c>
      <c r="F485" s="83" t="b">
        <v>1</v>
      </c>
      <c r="G485" s="83"/>
      <c r="H485" s="83"/>
    </row>
    <row r="486" spans="1:8">
      <c r="A486" s="83" t="s">
        <v>3209</v>
      </c>
      <c r="B486" s="83" t="s">
        <v>3176</v>
      </c>
      <c r="C486" s="83" t="s">
        <v>3209</v>
      </c>
      <c r="D486" s="83" t="s">
        <v>3210</v>
      </c>
      <c r="E486" s="84">
        <f>lwd_resources_lpf_18</f>
        <v>0</v>
      </c>
      <c r="F486" s="83" t="b">
        <v>1</v>
      </c>
      <c r="G486" s="83"/>
      <c r="H486" s="83"/>
    </row>
    <row r="487" spans="1:8">
      <c r="A487" s="83" t="s">
        <v>3211</v>
      </c>
      <c r="B487" s="83" t="s">
        <v>3176</v>
      </c>
      <c r="C487" s="83" t="s">
        <v>3211</v>
      </c>
      <c r="D487" s="83" t="s">
        <v>3212</v>
      </c>
      <c r="E487" s="84">
        <f>lwd_resources_lpf_19</f>
        <v>0</v>
      </c>
      <c r="F487" s="83" t="b">
        <v>1</v>
      </c>
      <c r="G487" s="83"/>
      <c r="H487" s="83"/>
    </row>
    <row r="488" spans="1:8">
      <c r="A488" s="83" t="s">
        <v>3213</v>
      </c>
      <c r="B488" s="83" t="s">
        <v>3176</v>
      </c>
      <c r="C488" s="83" t="s">
        <v>3213</v>
      </c>
      <c r="D488" s="83" t="s">
        <v>3214</v>
      </c>
      <c r="E488" s="84">
        <f>lwd_resources_lpf_20</f>
        <v>0</v>
      </c>
      <c r="F488" s="83" t="b">
        <v>1</v>
      </c>
      <c r="G488" s="83"/>
      <c r="H488" s="83"/>
    </row>
    <row r="489" spans="1:8">
      <c r="A489" s="83" t="s">
        <v>3215</v>
      </c>
      <c r="B489" s="83" t="s">
        <v>3176</v>
      </c>
      <c r="C489" s="83" t="s">
        <v>3215</v>
      </c>
      <c r="D489" s="83" t="s">
        <v>3216</v>
      </c>
      <c r="E489" s="84">
        <f>lwd_resources_lpf_21</f>
        <v>0</v>
      </c>
      <c r="F489" s="83" t="b">
        <v>1</v>
      </c>
      <c r="G489" s="83"/>
      <c r="H489" s="83"/>
    </row>
    <row r="490" spans="1:8">
      <c r="A490" s="83" t="s">
        <v>3217</v>
      </c>
      <c r="B490" s="83" t="s">
        <v>3176</v>
      </c>
      <c r="C490" s="83" t="s">
        <v>3217</v>
      </c>
      <c r="D490" s="83" t="s">
        <v>3218</v>
      </c>
      <c r="E490" s="84">
        <f>lwd_resources_lpf_22</f>
        <v>0</v>
      </c>
      <c r="F490" s="83" t="b">
        <v>1</v>
      </c>
      <c r="G490" s="83"/>
      <c r="H490" s="83"/>
    </row>
    <row r="491" spans="1:8">
      <c r="A491" s="83" t="s">
        <v>3219</v>
      </c>
      <c r="B491" s="83" t="s">
        <v>3176</v>
      </c>
      <c r="C491" s="83" t="s">
        <v>3219</v>
      </c>
      <c r="D491" s="83" t="s">
        <v>3220</v>
      </c>
      <c r="E491" s="84">
        <f>lwd_resources_lpf_23</f>
        <v>0</v>
      </c>
      <c r="F491" s="83" t="b">
        <v>1</v>
      </c>
      <c r="G491" s="83"/>
      <c r="H491" s="83"/>
    </row>
    <row r="492" spans="1:8">
      <c r="A492" s="83" t="s">
        <v>3221</v>
      </c>
      <c r="B492" s="83" t="s">
        <v>3176</v>
      </c>
      <c r="C492" s="83" t="s">
        <v>3221</v>
      </c>
      <c r="D492" s="83" t="s">
        <v>3222</v>
      </c>
      <c r="E492" s="84">
        <f>lwd_resources_lpf_24</f>
        <v>0</v>
      </c>
      <c r="F492" s="83" t="b">
        <v>1</v>
      </c>
      <c r="G492" s="83"/>
      <c r="H492" s="83"/>
    </row>
    <row r="493" spans="1:8">
      <c r="A493" s="83" t="s">
        <v>3223</v>
      </c>
      <c r="B493" s="83" t="s">
        <v>3176</v>
      </c>
      <c r="C493" s="83" t="s">
        <v>3223</v>
      </c>
      <c r="D493" s="83" t="s">
        <v>3224</v>
      </c>
      <c r="E493" s="84">
        <f>lwd_resources_lpf_25</f>
        <v>0</v>
      </c>
      <c r="F493" s="83" t="b">
        <v>1</v>
      </c>
      <c r="G493" s="83"/>
      <c r="H493" s="83"/>
    </row>
    <row r="494" spans="1:8">
      <c r="A494" s="83" t="s">
        <v>3225</v>
      </c>
      <c r="B494" s="83" t="s">
        <v>3176</v>
      </c>
      <c r="C494" s="83" t="s">
        <v>3225</v>
      </c>
      <c r="D494" s="83" t="s">
        <v>3226</v>
      </c>
      <c r="E494" s="84">
        <f>lwd_resources_lpf_26</f>
        <v>0</v>
      </c>
      <c r="F494" s="83" t="b">
        <v>1</v>
      </c>
      <c r="G494" s="83"/>
      <c r="H494" s="83"/>
    </row>
    <row r="495" spans="1:8">
      <c r="A495" s="83" t="s">
        <v>3227</v>
      </c>
      <c r="B495" s="83" t="s">
        <v>3176</v>
      </c>
      <c r="C495" s="83" t="s">
        <v>3227</v>
      </c>
      <c r="D495" s="83" t="s">
        <v>3228</v>
      </c>
      <c r="E495" s="84">
        <f>lwd_resources_lpf_27</f>
        <v>0</v>
      </c>
      <c r="F495" s="83" t="b">
        <v>1</v>
      </c>
      <c r="G495" s="83"/>
      <c r="H495" s="83"/>
    </row>
    <row r="496" spans="1:8">
      <c r="A496" s="83" t="s">
        <v>3229</v>
      </c>
      <c r="B496" s="83" t="s">
        <v>3176</v>
      </c>
      <c r="C496" s="83" t="s">
        <v>3229</v>
      </c>
      <c r="D496" s="83" t="s">
        <v>3230</v>
      </c>
      <c r="E496" s="84">
        <f>lwd_resources_lpf_28</f>
        <v>0</v>
      </c>
      <c r="F496" s="83" t="b">
        <v>1</v>
      </c>
      <c r="G496" s="83"/>
      <c r="H496" s="83"/>
    </row>
    <row r="497" spans="1:8">
      <c r="A497" s="83" t="s">
        <v>3231</v>
      </c>
      <c r="B497" s="83" t="s">
        <v>3176</v>
      </c>
      <c r="C497" s="83" t="s">
        <v>3231</v>
      </c>
      <c r="D497" s="83" t="s">
        <v>3232</v>
      </c>
      <c r="E497" s="84">
        <f>lwd_resources_lpf_29</f>
        <v>0</v>
      </c>
      <c r="F497" s="83" t="b">
        <v>1</v>
      </c>
      <c r="G497" s="83"/>
      <c r="H497" s="83"/>
    </row>
    <row r="498" spans="1:8">
      <c r="A498" s="83" t="s">
        <v>3233</v>
      </c>
      <c r="B498" s="83" t="s">
        <v>3176</v>
      </c>
      <c r="C498" s="83" t="s">
        <v>3233</v>
      </c>
      <c r="D498" s="83" t="s">
        <v>3234</v>
      </c>
      <c r="E498" s="84">
        <f>lwd_resources_lpf_30</f>
        <v>0</v>
      </c>
      <c r="F498" s="83" t="b">
        <v>1</v>
      </c>
      <c r="G498" s="83"/>
      <c r="H498" s="83"/>
    </row>
    <row r="499" spans="1:8">
      <c r="A499" s="83" t="s">
        <v>3235</v>
      </c>
      <c r="B499" s="83" t="s">
        <v>3176</v>
      </c>
      <c r="C499" s="83" t="s">
        <v>3235</v>
      </c>
      <c r="D499" s="83" t="s">
        <v>3236</v>
      </c>
      <c r="E499" s="84">
        <f>lwd_resourcs_pencil_small</f>
        <v>0</v>
      </c>
      <c r="F499" s="83" t="b">
        <v>1</v>
      </c>
      <c r="G499" s="83"/>
      <c r="H499" s="83"/>
    </row>
    <row r="500" spans="1:8">
      <c r="A500" s="83" t="s">
        <v>3237</v>
      </c>
      <c r="B500" s="83" t="s">
        <v>3176</v>
      </c>
      <c r="C500" s="83" t="s">
        <v>3237</v>
      </c>
      <c r="D500" s="83" t="s">
        <v>3238</v>
      </c>
      <c r="E500" s="84">
        <f>lwd_resourcs_pencil_medium</f>
        <v>0</v>
      </c>
      <c r="F500" s="83" t="b">
        <v>1</v>
      </c>
      <c r="G500" s="83"/>
      <c r="H500" s="83"/>
    </row>
    <row r="501" spans="1:8">
      <c r="A501" s="83" t="s">
        <v>3239</v>
      </c>
      <c r="B501" s="83" t="s">
        <v>3176</v>
      </c>
      <c r="C501" s="83" t="s">
        <v>3239</v>
      </c>
      <c r="D501" s="83" t="s">
        <v>3240</v>
      </c>
      <c r="E501" s="84">
        <f>lwd_resourcs_pencil_large</f>
        <v>0</v>
      </c>
      <c r="F501" s="83" t="b">
        <v>1</v>
      </c>
      <c r="G501" s="83"/>
      <c r="H501" s="83"/>
    </row>
    <row r="502" spans="1:8">
      <c r="A502" s="83" t="s">
        <v>3241</v>
      </c>
      <c r="B502" s="83" t="s">
        <v>3176</v>
      </c>
      <c r="C502" s="83" t="s">
        <v>3241</v>
      </c>
      <c r="D502" s="83" t="s">
        <v>3242</v>
      </c>
      <c r="E502" s="84">
        <f>lwd_resources_signlanguage_dictionary</f>
        <v>0</v>
      </c>
      <c r="F502" s="83" t="b">
        <v>1</v>
      </c>
      <c r="G502" s="83"/>
      <c r="H502" s="83"/>
    </row>
    <row r="503" spans="1:8">
      <c r="A503" s="83" t="s">
        <v>3243</v>
      </c>
      <c r="B503" s="83" t="s">
        <v>3176</v>
      </c>
      <c r="C503" s="83" t="s">
        <v>3243</v>
      </c>
      <c r="D503" s="83" t="s">
        <v>3244</v>
      </c>
      <c r="E503" s="84">
        <f>lwd_resources_signlanguage_charts</f>
        <v>0</v>
      </c>
      <c r="F503" s="83" t="b">
        <v>1</v>
      </c>
      <c r="G503" s="83"/>
      <c r="H503" s="83"/>
    </row>
    <row r="504" spans="1:8">
      <c r="A504" s="83" t="s">
        <v>3245</v>
      </c>
      <c r="B504" s="83" t="s">
        <v>3176</v>
      </c>
      <c r="C504" s="83" t="s">
        <v>3245</v>
      </c>
      <c r="D504" s="83" t="s">
        <v>3246</v>
      </c>
      <c r="E504" s="84">
        <f>lwd_resources_sharpie</f>
        <v>0</v>
      </c>
      <c r="F504" s="83" t="b">
        <v>1</v>
      </c>
      <c r="G504" s="83"/>
      <c r="H504" s="83"/>
    </row>
    <row r="505" spans="1:8">
      <c r="A505" s="83" t="s">
        <v>3247</v>
      </c>
      <c r="B505" s="83" t="s">
        <v>3176</v>
      </c>
      <c r="C505" s="83" t="s">
        <v>3247</v>
      </c>
      <c r="D505" s="83" t="s">
        <v>3248</v>
      </c>
      <c r="E505" s="84">
        <f>lwd_resources_board_slates</f>
        <v>0</v>
      </c>
      <c r="F505" s="83" t="b">
        <v>1</v>
      </c>
      <c r="G505" s="83"/>
      <c r="H505" s="83"/>
    </row>
    <row r="506" spans="1:8">
      <c r="A506" s="83" t="s">
        <v>3249</v>
      </c>
      <c r="B506" s="83" t="s">
        <v>3176</v>
      </c>
      <c r="C506" s="83" t="s">
        <v>3249</v>
      </c>
      <c r="D506" s="83" t="s">
        <v>3250</v>
      </c>
      <c r="E506" s="84">
        <f>lwd_resources_tailor_slate</f>
        <v>0</v>
      </c>
      <c r="F506" s="83" t="b">
        <v>1</v>
      </c>
      <c r="G506" s="83"/>
      <c r="H506" s="83"/>
    </row>
    <row r="507" spans="1:8">
      <c r="A507" s="83" t="s">
        <v>3251</v>
      </c>
      <c r="B507" s="83" t="s">
        <v>3176</v>
      </c>
      <c r="C507" s="83" t="s">
        <v>3251</v>
      </c>
      <c r="D507" s="83" t="s">
        <v>3252</v>
      </c>
      <c r="E507" s="84">
        <f>lwd_resources_drawing_kit</f>
        <v>0</v>
      </c>
      <c r="F507" s="83" t="b">
        <v>1</v>
      </c>
      <c r="G507" s="83"/>
      <c r="H507" s="83"/>
    </row>
    <row r="508" spans="1:8">
      <c r="A508" s="83" t="s">
        <v>3253</v>
      </c>
      <c r="B508" s="83" t="s">
        <v>3176</v>
      </c>
      <c r="C508" s="83" t="s">
        <v>3253</v>
      </c>
      <c r="D508" s="83" t="s">
        <v>3254</v>
      </c>
      <c r="E508" s="84">
        <f>lwd_resources_bocce_ball</f>
        <v>0</v>
      </c>
      <c r="F508" s="83" t="b">
        <v>1</v>
      </c>
      <c r="G508" s="83"/>
      <c r="H508" s="83"/>
    </row>
    <row r="509" spans="1:8">
      <c r="A509" s="83" t="s">
        <v>3255</v>
      </c>
      <c r="B509" s="83" t="s">
        <v>3176</v>
      </c>
      <c r="C509" s="83" t="s">
        <v>3255</v>
      </c>
      <c r="D509" s="83" t="s">
        <v>3256</v>
      </c>
      <c r="E509" s="84">
        <f>lwd_resources_goal_ball</f>
        <v>0</v>
      </c>
      <c r="F509" s="83" t="b">
        <v>1</v>
      </c>
      <c r="G509" s="83"/>
      <c r="H509" s="83"/>
    </row>
    <row r="510" spans="1:8" ht="16" thickBot="1">
      <c r="A510" s="85" t="s">
        <v>3257</v>
      </c>
      <c r="B510" s="85" t="s">
        <v>3176</v>
      </c>
      <c r="C510" s="85" t="s">
        <v>3257</v>
      </c>
      <c r="D510" s="85" t="s">
        <v>3258</v>
      </c>
      <c r="E510" s="86">
        <f>lwd_resources_duralex</f>
        <v>0</v>
      </c>
      <c r="F510" s="85" t="b">
        <v>1</v>
      </c>
      <c r="G510" s="85"/>
      <c r="H510" s="85"/>
    </row>
    <row r="511" spans="1:8">
      <c r="A511" s="83" t="s">
        <v>3259</v>
      </c>
      <c r="B511" s="83" t="s">
        <v>3260</v>
      </c>
      <c r="C511" s="83" t="s">
        <v>3259</v>
      </c>
      <c r="D511" s="83" t="s">
        <v>3261</v>
      </c>
      <c r="E511" s="84">
        <f>numteach_sped_mt4_vi_diff_seeing</f>
        <v>0</v>
      </c>
      <c r="F511" s="83" t="b">
        <v>1</v>
      </c>
      <c r="G511" s="83"/>
      <c r="H511" s="83"/>
    </row>
    <row r="512" spans="1:8">
      <c r="A512" s="83" t="s">
        <v>3262</v>
      </c>
      <c r="B512" s="83" t="s">
        <v>3260</v>
      </c>
      <c r="C512" s="83" t="s">
        <v>3262</v>
      </c>
      <c r="D512" s="83" t="s">
        <v>3263</v>
      </c>
      <c r="E512" s="84">
        <f>numteach_sped_mt4_hi_diff_hearing</f>
        <v>0</v>
      </c>
      <c r="F512" s="83" t="b">
        <v>1</v>
      </c>
      <c r="G512" s="83"/>
      <c r="H512" s="83"/>
    </row>
    <row r="513" spans="1:8">
      <c r="A513" s="83" t="s">
        <v>3264</v>
      </c>
      <c r="B513" s="83" t="s">
        <v>3260</v>
      </c>
      <c r="C513" s="83" t="s">
        <v>3264</v>
      </c>
      <c r="D513" s="83" t="s">
        <v>3265</v>
      </c>
      <c r="E513" s="84">
        <f>numteach_sped_mt4_ld_diff_ak</f>
        <v>0</v>
      </c>
      <c r="F513" s="83" t="b">
        <v>1</v>
      </c>
      <c r="G513" s="83"/>
      <c r="H513" s="83"/>
    </row>
    <row r="514" spans="1:8">
      <c r="A514" s="83" t="s">
        <v>3266</v>
      </c>
      <c r="B514" s="83" t="s">
        <v>3260</v>
      </c>
      <c r="C514" s="83" t="s">
        <v>3266</v>
      </c>
      <c r="D514" s="83" t="s">
        <v>3267</v>
      </c>
      <c r="E514" s="84">
        <f>numteach_sped_mt4_id_diff_rcpau</f>
        <v>0</v>
      </c>
      <c r="F514" s="83" t="b">
        <v>1</v>
      </c>
      <c r="G514" s="83"/>
      <c r="H514" s="83"/>
    </row>
    <row r="515" spans="1:8">
      <c r="A515" s="83" t="s">
        <v>3268</v>
      </c>
      <c r="B515" s="83" t="s">
        <v>3260</v>
      </c>
      <c r="C515" s="83" t="s">
        <v>3268</v>
      </c>
      <c r="D515" s="83" t="s">
        <v>3269</v>
      </c>
      <c r="E515" s="84">
        <f>numteach_sped_mt4_asd_diff_pas</f>
        <v>0</v>
      </c>
      <c r="F515" s="83" t="b">
        <v>1</v>
      </c>
      <c r="G515" s="83"/>
      <c r="H515" s="83"/>
    </row>
    <row r="516" spans="1:8">
      <c r="A516" s="83" t="s">
        <v>3270</v>
      </c>
      <c r="B516" s="83" t="s">
        <v>3260</v>
      </c>
      <c r="C516" s="83" t="s">
        <v>3270</v>
      </c>
      <c r="D516" s="83" t="s">
        <v>3271</v>
      </c>
      <c r="E516" s="84">
        <f>numteach_sped_mt4_ebd_diff_dib</f>
        <v>0</v>
      </c>
      <c r="F516" s="83" t="b">
        <v>1</v>
      </c>
      <c r="G516" s="83"/>
      <c r="H516" s="83"/>
    </row>
    <row r="517" spans="1:8">
      <c r="A517" s="83" t="s">
        <v>3272</v>
      </c>
      <c r="B517" s="83" t="s">
        <v>3260</v>
      </c>
      <c r="C517" s="83" t="s">
        <v>3272</v>
      </c>
      <c r="D517" s="83" t="s">
        <v>3273</v>
      </c>
      <c r="E517" s="84">
        <f>numteach_sped_mt4_oh_diff_mob</f>
        <v>0</v>
      </c>
      <c r="F517" s="83" t="b">
        <v>1</v>
      </c>
      <c r="G517" s="83"/>
      <c r="H517" s="83"/>
    </row>
    <row r="518" spans="1:8">
      <c r="A518" s="83" t="s">
        <v>3274</v>
      </c>
      <c r="B518" s="83" t="s">
        <v>3260</v>
      </c>
      <c r="C518" s="83" t="s">
        <v>3274</v>
      </c>
      <c r="D518" s="83" t="s">
        <v>3275</v>
      </c>
      <c r="E518" s="84">
        <f>numteach_sped_mt4_cd_diff_com</f>
        <v>0</v>
      </c>
      <c r="F518" s="83" t="b">
        <v>1</v>
      </c>
      <c r="G518" s="83"/>
      <c r="H518" s="83"/>
    </row>
    <row r="519" spans="1:8">
      <c r="A519" s="83" t="s">
        <v>3276</v>
      </c>
      <c r="B519" s="83" t="s">
        <v>3260</v>
      </c>
      <c r="C519" s="83" t="s">
        <v>3276</v>
      </c>
      <c r="D519" s="83" t="s">
        <v>3277</v>
      </c>
      <c r="E519" s="84">
        <f>numteach_sped_mt4_md</f>
        <v>0</v>
      </c>
      <c r="F519" s="83" t="b">
        <v>1</v>
      </c>
      <c r="G519" s="83"/>
      <c r="H519" s="83"/>
    </row>
    <row r="520" spans="1:8">
      <c r="A520" s="83" t="s">
        <v>3278</v>
      </c>
      <c r="B520" s="83" t="s">
        <v>3260</v>
      </c>
      <c r="C520" s="83" t="s">
        <v>3278</v>
      </c>
      <c r="D520" s="83" t="s">
        <v>3279</v>
      </c>
      <c r="E520" s="84">
        <f>numteach_sped_mt4_md_combi_2mor_disabilities</f>
        <v>0</v>
      </c>
      <c r="F520" s="83" t="b">
        <v>1</v>
      </c>
      <c r="G520" s="83"/>
      <c r="H520" s="83"/>
    </row>
    <row r="521" spans="1:8">
      <c r="A521" s="83" t="s">
        <v>3280</v>
      </c>
      <c r="B521" s="83" t="s">
        <v>3260</v>
      </c>
      <c r="C521" s="83" t="s">
        <v>3280</v>
      </c>
      <c r="D521" s="83" t="s">
        <v>3281</v>
      </c>
      <c r="E521" s="84">
        <f>numteach_sped_mt4_yrs_serv_0to3</f>
        <v>0</v>
      </c>
      <c r="F521" s="83" t="b">
        <v>1</v>
      </c>
      <c r="G521" s="83"/>
      <c r="H521" s="83"/>
    </row>
    <row r="522" spans="1:8">
      <c r="A522" s="83" t="s">
        <v>3282</v>
      </c>
      <c r="B522" s="83" t="s">
        <v>3260</v>
      </c>
      <c r="C522" s="83" t="s">
        <v>3282</v>
      </c>
      <c r="D522" s="83" t="s">
        <v>3283</v>
      </c>
      <c r="E522" s="84">
        <f>numteach_sped_mt4_yrs_serv_4to6</f>
        <v>0</v>
      </c>
      <c r="F522" s="83" t="b">
        <v>1</v>
      </c>
      <c r="G522" s="83"/>
      <c r="H522" s="83"/>
    </row>
    <row r="523" spans="1:8">
      <c r="A523" s="83" t="s">
        <v>3284</v>
      </c>
      <c r="B523" s="83" t="s">
        <v>3260</v>
      </c>
      <c r="C523" s="83" t="s">
        <v>3284</v>
      </c>
      <c r="D523" s="83" t="s">
        <v>3285</v>
      </c>
      <c r="E523" s="84">
        <f>numteach_sped_mt4_yrs_serv_7to9</f>
        <v>0</v>
      </c>
      <c r="F523" s="83" t="b">
        <v>1</v>
      </c>
      <c r="G523" s="83"/>
      <c r="H523" s="83"/>
    </row>
    <row r="524" spans="1:8">
      <c r="A524" s="83" t="s">
        <v>3286</v>
      </c>
      <c r="B524" s="83" t="s">
        <v>3260</v>
      </c>
      <c r="C524" s="83" t="s">
        <v>3286</v>
      </c>
      <c r="D524" s="83" t="s">
        <v>3287</v>
      </c>
      <c r="E524" s="84">
        <f>numteach_sped_mt4_yrs_serv_10to12</f>
        <v>0</v>
      </c>
      <c r="F524" s="83" t="b">
        <v>1</v>
      </c>
      <c r="G524" s="83"/>
      <c r="H524" s="83"/>
    </row>
    <row r="525" spans="1:8">
      <c r="A525" s="83" t="s">
        <v>3288</v>
      </c>
      <c r="B525" s="83" t="s">
        <v>3260</v>
      </c>
      <c r="C525" s="83" t="s">
        <v>3288</v>
      </c>
      <c r="D525" s="83" t="s">
        <v>3289</v>
      </c>
      <c r="E525" s="84">
        <f>numteach_sped_mt4_yrs_serv_13to15</f>
        <v>0</v>
      </c>
      <c r="F525" s="83" t="b">
        <v>1</v>
      </c>
      <c r="G525" s="83"/>
      <c r="H525" s="83"/>
    </row>
    <row r="526" spans="1:8">
      <c r="A526" s="83" t="s">
        <v>3290</v>
      </c>
      <c r="B526" s="83" t="s">
        <v>3260</v>
      </c>
      <c r="C526" s="83" t="s">
        <v>3290</v>
      </c>
      <c r="D526" s="83" t="s">
        <v>3291</v>
      </c>
      <c r="E526" s="84">
        <f>numteach_sped_mt4_yrs_serv_16nabove</f>
        <v>0</v>
      </c>
      <c r="F526" s="83" t="b">
        <v>1</v>
      </c>
      <c r="G526" s="83"/>
      <c r="H526" s="83"/>
    </row>
    <row r="527" spans="1:8">
      <c r="A527" s="83" t="s">
        <v>3292</v>
      </c>
      <c r="B527" s="83" t="s">
        <v>3260</v>
      </c>
      <c r="C527" s="83" t="s">
        <v>3292</v>
      </c>
      <c r="D527" s="83" t="s">
        <v>3293</v>
      </c>
      <c r="E527" s="84">
        <f>numteach_sped_mt4_yrs_teach_0to3</f>
        <v>0</v>
      </c>
      <c r="F527" s="83" t="b">
        <v>1</v>
      </c>
      <c r="G527" s="83"/>
      <c r="H527" s="83"/>
    </row>
    <row r="528" spans="1:8">
      <c r="A528" s="83" t="s">
        <v>3294</v>
      </c>
      <c r="B528" s="83" t="s">
        <v>3260</v>
      </c>
      <c r="C528" s="83" t="s">
        <v>3294</v>
      </c>
      <c r="D528" s="83" t="s">
        <v>3295</v>
      </c>
      <c r="E528" s="84">
        <f>numteach_sped_mt4_yrs_teach_4to6</f>
        <v>0</v>
      </c>
      <c r="F528" s="83" t="b">
        <v>1</v>
      </c>
      <c r="G528" s="83"/>
      <c r="H528" s="83"/>
    </row>
    <row r="529" spans="1:8">
      <c r="A529" s="83" t="s">
        <v>3296</v>
      </c>
      <c r="B529" s="83" t="s">
        <v>3260</v>
      </c>
      <c r="C529" s="83" t="s">
        <v>3296</v>
      </c>
      <c r="D529" s="83" t="s">
        <v>3297</v>
      </c>
      <c r="E529" s="84">
        <f>numteach_sped_mt4_yrs_teach_7to9</f>
        <v>0</v>
      </c>
      <c r="F529" s="83" t="b">
        <v>1</v>
      </c>
      <c r="G529" s="83"/>
      <c r="H529" s="83"/>
    </row>
    <row r="530" spans="1:8">
      <c r="A530" s="83" t="s">
        <v>3298</v>
      </c>
      <c r="B530" s="83" t="s">
        <v>3260</v>
      </c>
      <c r="C530" s="83" t="s">
        <v>3298</v>
      </c>
      <c r="D530" s="83" t="s">
        <v>3299</v>
      </c>
      <c r="E530" s="84">
        <f>numteach_sped_mt4_yrs_teach_10to12</f>
        <v>0</v>
      </c>
      <c r="F530" s="83" t="b">
        <v>1</v>
      </c>
      <c r="G530" s="83"/>
      <c r="H530" s="83"/>
    </row>
    <row r="531" spans="1:8">
      <c r="A531" s="83" t="s">
        <v>3300</v>
      </c>
      <c r="B531" s="83" t="s">
        <v>3260</v>
      </c>
      <c r="C531" s="83" t="s">
        <v>3300</v>
      </c>
      <c r="D531" s="83" t="s">
        <v>3301</v>
      </c>
      <c r="E531" s="84">
        <f>numteach_sped_mt4_yrs_teach_13nabove</f>
        <v>0</v>
      </c>
      <c r="F531" s="83" t="b">
        <v>1</v>
      </c>
      <c r="G531" s="83"/>
      <c r="H531" s="83"/>
    </row>
    <row r="532" spans="1:8">
      <c r="A532" s="83" t="s">
        <v>3302</v>
      </c>
      <c r="B532" s="83" t="s">
        <v>3260</v>
      </c>
      <c r="C532" s="83" t="s">
        <v>3302</v>
      </c>
      <c r="D532" s="83" t="s">
        <v>3303</v>
      </c>
      <c r="E532" s="84">
        <f>numteach_sped_mt3_vi_diff_seeing</f>
        <v>0</v>
      </c>
      <c r="F532" s="83" t="b">
        <v>1</v>
      </c>
      <c r="G532" s="83"/>
      <c r="H532" s="83"/>
    </row>
    <row r="533" spans="1:8">
      <c r="A533" s="83" t="s">
        <v>3304</v>
      </c>
      <c r="B533" s="83" t="s">
        <v>3260</v>
      </c>
      <c r="C533" s="83" t="s">
        <v>3304</v>
      </c>
      <c r="D533" s="83" t="s">
        <v>3305</v>
      </c>
      <c r="E533" s="84">
        <f>numteach_sped_mt3_hi_diff_hearing</f>
        <v>0</v>
      </c>
      <c r="F533" s="83" t="b">
        <v>1</v>
      </c>
      <c r="G533" s="83"/>
      <c r="H533" s="83"/>
    </row>
    <row r="534" spans="1:8">
      <c r="A534" s="83" t="s">
        <v>3306</v>
      </c>
      <c r="B534" s="83" t="s">
        <v>3260</v>
      </c>
      <c r="C534" s="83" t="s">
        <v>3306</v>
      </c>
      <c r="D534" s="83" t="s">
        <v>3307</v>
      </c>
      <c r="E534" s="84">
        <f>numteach_sped_mt3_ld_diff_ak</f>
        <v>0</v>
      </c>
      <c r="F534" s="83" t="b">
        <v>1</v>
      </c>
      <c r="G534" s="83"/>
      <c r="H534" s="83"/>
    </row>
    <row r="535" spans="1:8">
      <c r="A535" s="83" t="s">
        <v>3308</v>
      </c>
      <c r="B535" s="83" t="s">
        <v>3260</v>
      </c>
      <c r="C535" s="83" t="s">
        <v>3308</v>
      </c>
      <c r="D535" s="83" t="s">
        <v>3309</v>
      </c>
      <c r="E535" s="84">
        <f>numteach_sped_mt3_id_diff_rcpau</f>
        <v>0</v>
      </c>
      <c r="F535" s="83" t="b">
        <v>1</v>
      </c>
      <c r="G535" s="83"/>
      <c r="H535" s="83"/>
    </row>
    <row r="536" spans="1:8">
      <c r="A536" s="83" t="s">
        <v>3310</v>
      </c>
      <c r="B536" s="83" t="s">
        <v>3260</v>
      </c>
      <c r="C536" s="83" t="s">
        <v>3310</v>
      </c>
      <c r="D536" s="83" t="s">
        <v>3311</v>
      </c>
      <c r="E536" s="84">
        <f>numteach_sped_mt3_asd_diff_pas</f>
        <v>0</v>
      </c>
      <c r="F536" s="83" t="b">
        <v>1</v>
      </c>
      <c r="G536" s="83"/>
      <c r="H536" s="83"/>
    </row>
    <row r="537" spans="1:8">
      <c r="A537" s="83" t="s">
        <v>3312</v>
      </c>
      <c r="B537" s="83" t="s">
        <v>3260</v>
      </c>
      <c r="C537" s="83" t="s">
        <v>3312</v>
      </c>
      <c r="D537" s="83" t="s">
        <v>3313</v>
      </c>
      <c r="E537" s="84">
        <f>numteach_sped_mt3_ebd_diff_dib</f>
        <v>0</v>
      </c>
      <c r="F537" s="83" t="b">
        <v>1</v>
      </c>
      <c r="G537" s="83"/>
      <c r="H537" s="83"/>
    </row>
    <row r="538" spans="1:8">
      <c r="A538" s="83" t="s">
        <v>3314</v>
      </c>
      <c r="B538" s="83" t="s">
        <v>3260</v>
      </c>
      <c r="C538" s="83" t="s">
        <v>3314</v>
      </c>
      <c r="D538" s="83" t="s">
        <v>3315</v>
      </c>
      <c r="E538" s="84">
        <f>numteach_sped_mt3_oh_diff_mob</f>
        <v>0</v>
      </c>
      <c r="F538" s="83" t="b">
        <v>1</v>
      </c>
      <c r="G538" s="83"/>
      <c r="H538" s="83"/>
    </row>
    <row r="539" spans="1:8">
      <c r="A539" s="83" t="s">
        <v>3316</v>
      </c>
      <c r="B539" s="83" t="s">
        <v>3260</v>
      </c>
      <c r="C539" s="83" t="s">
        <v>3316</v>
      </c>
      <c r="D539" s="83" t="s">
        <v>3317</v>
      </c>
      <c r="E539" s="84">
        <f>numteach_sped_mt3_cd_diff_com</f>
        <v>0</v>
      </c>
      <c r="F539" s="83" t="b">
        <v>1</v>
      </c>
      <c r="G539" s="83"/>
      <c r="H539" s="83"/>
    </row>
    <row r="540" spans="1:8">
      <c r="A540" s="83" t="s">
        <v>3318</v>
      </c>
      <c r="B540" s="83" t="s">
        <v>3260</v>
      </c>
      <c r="C540" s="83" t="s">
        <v>3318</v>
      </c>
      <c r="D540" s="83" t="s">
        <v>3319</v>
      </c>
      <c r="E540" s="84">
        <f>numteach_sped_mt3_md</f>
        <v>0</v>
      </c>
      <c r="F540" s="83" t="b">
        <v>1</v>
      </c>
      <c r="G540" s="83"/>
      <c r="H540" s="83"/>
    </row>
    <row r="541" spans="1:8">
      <c r="A541" s="83" t="s">
        <v>3320</v>
      </c>
      <c r="B541" s="83" t="s">
        <v>3260</v>
      </c>
      <c r="C541" s="83" t="s">
        <v>3320</v>
      </c>
      <c r="D541" s="83" t="s">
        <v>3321</v>
      </c>
      <c r="E541" s="84">
        <f>numteach_sped_mt3_md_combi_2mor_disabilities</f>
        <v>0</v>
      </c>
      <c r="F541" s="83" t="b">
        <v>1</v>
      </c>
      <c r="G541" s="83"/>
      <c r="H541" s="83"/>
    </row>
    <row r="542" spans="1:8">
      <c r="A542" s="83" t="s">
        <v>3322</v>
      </c>
      <c r="B542" s="83" t="s">
        <v>3260</v>
      </c>
      <c r="C542" s="83" t="s">
        <v>3322</v>
      </c>
      <c r="D542" s="83" t="s">
        <v>3323</v>
      </c>
      <c r="E542" s="84">
        <f>numteach_sped_mt3_yrs_serv_0to3</f>
        <v>0</v>
      </c>
      <c r="F542" s="83" t="b">
        <v>1</v>
      </c>
      <c r="G542" s="83"/>
      <c r="H542" s="83"/>
    </row>
    <row r="543" spans="1:8">
      <c r="A543" s="83" t="s">
        <v>3324</v>
      </c>
      <c r="B543" s="83" t="s">
        <v>3260</v>
      </c>
      <c r="C543" s="83" t="s">
        <v>3324</v>
      </c>
      <c r="D543" s="83" t="s">
        <v>3325</v>
      </c>
      <c r="E543" s="84">
        <f>numteach_sped_mt3_yrs_serv_4to6</f>
        <v>0</v>
      </c>
      <c r="F543" s="83" t="b">
        <v>1</v>
      </c>
      <c r="G543" s="83"/>
      <c r="H543" s="83"/>
    </row>
    <row r="544" spans="1:8">
      <c r="A544" s="83" t="s">
        <v>3326</v>
      </c>
      <c r="B544" s="83" t="s">
        <v>3260</v>
      </c>
      <c r="C544" s="83" t="s">
        <v>3326</v>
      </c>
      <c r="D544" s="83" t="s">
        <v>3327</v>
      </c>
      <c r="E544" s="84">
        <f>numteach_sped_mt3_yrs_serv_7to9</f>
        <v>0</v>
      </c>
      <c r="F544" s="83" t="b">
        <v>1</v>
      </c>
      <c r="G544" s="83"/>
      <c r="H544" s="83"/>
    </row>
    <row r="545" spans="1:8">
      <c r="A545" s="83" t="s">
        <v>3328</v>
      </c>
      <c r="B545" s="83" t="s">
        <v>3260</v>
      </c>
      <c r="C545" s="83" t="s">
        <v>3328</v>
      </c>
      <c r="D545" s="83" t="s">
        <v>3329</v>
      </c>
      <c r="E545" s="84">
        <f>numteach_sped_mt3_yrs_serv_10to12</f>
        <v>0</v>
      </c>
      <c r="F545" s="83" t="b">
        <v>1</v>
      </c>
      <c r="G545" s="83"/>
      <c r="H545" s="83"/>
    </row>
    <row r="546" spans="1:8">
      <c r="A546" s="83" t="s">
        <v>3330</v>
      </c>
      <c r="B546" s="83" t="s">
        <v>3260</v>
      </c>
      <c r="C546" s="83" t="s">
        <v>3330</v>
      </c>
      <c r="D546" s="83" t="s">
        <v>3331</v>
      </c>
      <c r="E546" s="84">
        <f>numteach_sped_mt3_yrs_serv_13to15</f>
        <v>0</v>
      </c>
      <c r="F546" s="83" t="b">
        <v>1</v>
      </c>
      <c r="G546" s="83"/>
      <c r="H546" s="83"/>
    </row>
    <row r="547" spans="1:8">
      <c r="A547" s="83" t="s">
        <v>3332</v>
      </c>
      <c r="B547" s="83" t="s">
        <v>3260</v>
      </c>
      <c r="C547" s="83" t="s">
        <v>3332</v>
      </c>
      <c r="D547" s="83" t="s">
        <v>3333</v>
      </c>
      <c r="E547" s="84">
        <f>numteach_sped_mt3_yrs_serv_16nabove</f>
        <v>0</v>
      </c>
      <c r="F547" s="83" t="b">
        <v>1</v>
      </c>
      <c r="G547" s="83"/>
      <c r="H547" s="83"/>
    </row>
    <row r="548" spans="1:8">
      <c r="A548" s="83" t="s">
        <v>3334</v>
      </c>
      <c r="B548" s="83" t="s">
        <v>3260</v>
      </c>
      <c r="C548" s="83" t="s">
        <v>3334</v>
      </c>
      <c r="D548" s="83" t="s">
        <v>3335</v>
      </c>
      <c r="E548" s="84">
        <f>numteach_sped_mt3_yrs_teach_0to3</f>
        <v>0</v>
      </c>
      <c r="F548" s="83" t="b">
        <v>1</v>
      </c>
      <c r="G548" s="83"/>
      <c r="H548" s="83"/>
    </row>
    <row r="549" spans="1:8">
      <c r="A549" s="83" t="s">
        <v>3336</v>
      </c>
      <c r="B549" s="83" t="s">
        <v>3260</v>
      </c>
      <c r="C549" s="83" t="s">
        <v>3336</v>
      </c>
      <c r="D549" s="83" t="s">
        <v>3337</v>
      </c>
      <c r="E549" s="84">
        <f>numteach_sped_mt3_yrs_teach_4to6</f>
        <v>0</v>
      </c>
      <c r="F549" s="83" t="b">
        <v>1</v>
      </c>
      <c r="G549" s="83"/>
      <c r="H549" s="83"/>
    </row>
    <row r="550" spans="1:8">
      <c r="A550" s="83" t="s">
        <v>3338</v>
      </c>
      <c r="B550" s="83" t="s">
        <v>3260</v>
      </c>
      <c r="C550" s="83" t="s">
        <v>3338</v>
      </c>
      <c r="D550" s="83" t="s">
        <v>3339</v>
      </c>
      <c r="E550" s="84">
        <f>numteach_sped_mt3_yrs_teach_7to9</f>
        <v>0</v>
      </c>
      <c r="F550" s="83" t="b">
        <v>1</v>
      </c>
      <c r="G550" s="83"/>
      <c r="H550" s="83"/>
    </row>
    <row r="551" spans="1:8">
      <c r="A551" s="83" t="s">
        <v>3340</v>
      </c>
      <c r="B551" s="83" t="s">
        <v>3260</v>
      </c>
      <c r="C551" s="83" t="s">
        <v>3340</v>
      </c>
      <c r="D551" s="83" t="s">
        <v>3341</v>
      </c>
      <c r="E551" s="84">
        <f>numteach_sped_mt3_yrs_teach_10to12</f>
        <v>0</v>
      </c>
      <c r="F551" s="83" t="b">
        <v>1</v>
      </c>
      <c r="G551" s="83"/>
      <c r="H551" s="83"/>
    </row>
    <row r="552" spans="1:8">
      <c r="A552" s="83" t="s">
        <v>3342</v>
      </c>
      <c r="B552" s="83" t="s">
        <v>3260</v>
      </c>
      <c r="C552" s="83" t="s">
        <v>3342</v>
      </c>
      <c r="D552" s="83" t="s">
        <v>3343</v>
      </c>
      <c r="E552" s="84">
        <f>numteach_sped_mt3_yrs_teach_13nabove</f>
        <v>0</v>
      </c>
      <c r="F552" s="83" t="b">
        <v>1</v>
      </c>
      <c r="G552" s="83"/>
      <c r="H552" s="83"/>
    </row>
    <row r="553" spans="1:8">
      <c r="A553" s="83" t="s">
        <v>3344</v>
      </c>
      <c r="B553" s="83" t="s">
        <v>3260</v>
      </c>
      <c r="C553" s="83" t="s">
        <v>3344</v>
      </c>
      <c r="D553" s="83" t="s">
        <v>3345</v>
      </c>
      <c r="E553" s="84">
        <f>numteach_sped_mt2_vi_diff_seeing</f>
        <v>0</v>
      </c>
      <c r="F553" s="83" t="b">
        <v>1</v>
      </c>
      <c r="G553" s="83"/>
      <c r="H553" s="83"/>
    </row>
    <row r="554" spans="1:8">
      <c r="A554" s="83" t="s">
        <v>3346</v>
      </c>
      <c r="B554" s="83" t="s">
        <v>3260</v>
      </c>
      <c r="C554" s="83" t="s">
        <v>3346</v>
      </c>
      <c r="D554" s="83" t="s">
        <v>3347</v>
      </c>
      <c r="E554" s="84">
        <f>numteach_sped_mt2_hi_diff_hearing</f>
        <v>0</v>
      </c>
      <c r="F554" s="83" t="b">
        <v>1</v>
      </c>
      <c r="G554" s="83"/>
      <c r="H554" s="83"/>
    </row>
    <row r="555" spans="1:8">
      <c r="A555" s="83" t="s">
        <v>3348</v>
      </c>
      <c r="B555" s="83" t="s">
        <v>3260</v>
      </c>
      <c r="C555" s="83" t="s">
        <v>3348</v>
      </c>
      <c r="D555" s="83" t="s">
        <v>3349</v>
      </c>
      <c r="E555" s="84">
        <f>numteach_sped_mt2_ld_diff_ak</f>
        <v>0</v>
      </c>
      <c r="F555" s="83" t="b">
        <v>1</v>
      </c>
      <c r="G555" s="83"/>
      <c r="H555" s="83"/>
    </row>
    <row r="556" spans="1:8">
      <c r="A556" s="83" t="s">
        <v>3350</v>
      </c>
      <c r="B556" s="83" t="s">
        <v>3260</v>
      </c>
      <c r="C556" s="83" t="s">
        <v>3350</v>
      </c>
      <c r="D556" s="83" t="s">
        <v>3351</v>
      </c>
      <c r="E556" s="84">
        <f>numteach_sped_mt2_id_diff_rcpau</f>
        <v>0</v>
      </c>
      <c r="F556" s="83" t="b">
        <v>1</v>
      </c>
      <c r="G556" s="83"/>
      <c r="H556" s="83"/>
    </row>
    <row r="557" spans="1:8">
      <c r="A557" s="83" t="s">
        <v>3352</v>
      </c>
      <c r="B557" s="83" t="s">
        <v>3260</v>
      </c>
      <c r="C557" s="83" t="s">
        <v>3352</v>
      </c>
      <c r="D557" s="83" t="s">
        <v>3353</v>
      </c>
      <c r="E557" s="84">
        <f>numteach_sped_mt2_asd_diff_pas</f>
        <v>0</v>
      </c>
      <c r="F557" s="83" t="b">
        <v>1</v>
      </c>
      <c r="G557" s="83"/>
      <c r="H557" s="83"/>
    </row>
    <row r="558" spans="1:8">
      <c r="A558" s="83" t="s">
        <v>3354</v>
      </c>
      <c r="B558" s="83" t="s">
        <v>3260</v>
      </c>
      <c r="C558" s="83" t="s">
        <v>3354</v>
      </c>
      <c r="D558" s="83" t="s">
        <v>3355</v>
      </c>
      <c r="E558" s="84">
        <f>numteach_sped_mt2_ebd_diff_dib</f>
        <v>0</v>
      </c>
      <c r="F558" s="83" t="b">
        <v>1</v>
      </c>
      <c r="G558" s="83"/>
      <c r="H558" s="83"/>
    </row>
    <row r="559" spans="1:8">
      <c r="A559" s="83" t="s">
        <v>3356</v>
      </c>
      <c r="B559" s="83" t="s">
        <v>3260</v>
      </c>
      <c r="C559" s="83" t="s">
        <v>3356</v>
      </c>
      <c r="D559" s="83" t="s">
        <v>3357</v>
      </c>
      <c r="E559" s="84">
        <f>numteach_sped_mt2_oh_diff_mob</f>
        <v>0</v>
      </c>
      <c r="F559" s="83" t="b">
        <v>1</v>
      </c>
      <c r="G559" s="83"/>
      <c r="H559" s="83"/>
    </row>
    <row r="560" spans="1:8">
      <c r="A560" s="83" t="s">
        <v>3358</v>
      </c>
      <c r="B560" s="83" t="s">
        <v>3260</v>
      </c>
      <c r="C560" s="83" t="s">
        <v>3358</v>
      </c>
      <c r="D560" s="83" t="s">
        <v>3359</v>
      </c>
      <c r="E560" s="84">
        <f>numteach_sped_mt2_cd_diff_com</f>
        <v>0</v>
      </c>
      <c r="F560" s="83" t="b">
        <v>1</v>
      </c>
      <c r="G560" s="83"/>
      <c r="H560" s="83"/>
    </row>
    <row r="561" spans="1:8">
      <c r="A561" s="83" t="s">
        <v>3360</v>
      </c>
      <c r="B561" s="83" t="s">
        <v>3260</v>
      </c>
      <c r="C561" s="83" t="s">
        <v>3360</v>
      </c>
      <c r="D561" s="83" t="s">
        <v>3361</v>
      </c>
      <c r="E561" s="84">
        <f>numteach_sped_mt2_md</f>
        <v>0</v>
      </c>
      <c r="F561" s="83" t="b">
        <v>1</v>
      </c>
      <c r="G561" s="83"/>
      <c r="H561" s="83"/>
    </row>
    <row r="562" spans="1:8">
      <c r="A562" s="83" t="s">
        <v>3362</v>
      </c>
      <c r="B562" s="83" t="s">
        <v>3260</v>
      </c>
      <c r="C562" s="83" t="s">
        <v>3362</v>
      </c>
      <c r="D562" s="83" t="s">
        <v>3363</v>
      </c>
      <c r="E562" s="84">
        <f>numteach_sped_mt2_md_combi_2mor_disabilities</f>
        <v>0</v>
      </c>
      <c r="F562" s="83" t="b">
        <v>1</v>
      </c>
      <c r="G562" s="83"/>
      <c r="H562" s="83"/>
    </row>
    <row r="563" spans="1:8">
      <c r="A563" s="83" t="s">
        <v>3364</v>
      </c>
      <c r="B563" s="83" t="s">
        <v>3260</v>
      </c>
      <c r="C563" s="83" t="s">
        <v>3364</v>
      </c>
      <c r="D563" s="83" t="s">
        <v>3365</v>
      </c>
      <c r="E563" s="84">
        <f>numteach_sped_mt2_yrs_serv_0to3</f>
        <v>0</v>
      </c>
      <c r="F563" s="83" t="b">
        <v>1</v>
      </c>
      <c r="G563" s="83"/>
      <c r="H563" s="83"/>
    </row>
    <row r="564" spans="1:8">
      <c r="A564" s="83" t="s">
        <v>3366</v>
      </c>
      <c r="B564" s="83" t="s">
        <v>3260</v>
      </c>
      <c r="C564" s="83" t="s">
        <v>3366</v>
      </c>
      <c r="D564" s="83" t="s">
        <v>3367</v>
      </c>
      <c r="E564" s="84">
        <f>numteach_sped_mt2_yrs_serv_4to6</f>
        <v>0</v>
      </c>
      <c r="F564" s="83" t="b">
        <v>1</v>
      </c>
      <c r="G564" s="83"/>
      <c r="H564" s="83"/>
    </row>
    <row r="565" spans="1:8">
      <c r="A565" s="83" t="s">
        <v>3368</v>
      </c>
      <c r="B565" s="83" t="s">
        <v>3260</v>
      </c>
      <c r="C565" s="83" t="s">
        <v>3368</v>
      </c>
      <c r="D565" s="83" t="s">
        <v>3369</v>
      </c>
      <c r="E565" s="84">
        <f>numteach_sped_mt2_yrs_serv_7to9</f>
        <v>0</v>
      </c>
      <c r="F565" s="83" t="b">
        <v>1</v>
      </c>
      <c r="G565" s="83"/>
      <c r="H565" s="83"/>
    </row>
    <row r="566" spans="1:8">
      <c r="A566" s="83" t="s">
        <v>3370</v>
      </c>
      <c r="B566" s="83" t="s">
        <v>3260</v>
      </c>
      <c r="C566" s="83" t="s">
        <v>3370</v>
      </c>
      <c r="D566" s="83" t="s">
        <v>3371</v>
      </c>
      <c r="E566" s="84">
        <f>numteach_sped_mt2_yrs_serv_10to12</f>
        <v>0</v>
      </c>
      <c r="F566" s="83" t="b">
        <v>1</v>
      </c>
      <c r="G566" s="83"/>
      <c r="H566" s="83"/>
    </row>
    <row r="567" spans="1:8">
      <c r="A567" s="83" t="s">
        <v>3372</v>
      </c>
      <c r="B567" s="83" t="s">
        <v>3260</v>
      </c>
      <c r="C567" s="83" t="s">
        <v>3372</v>
      </c>
      <c r="D567" s="83" t="s">
        <v>3373</v>
      </c>
      <c r="E567" s="84">
        <f>numteach_sped_mt2_yrs_serv_13to15</f>
        <v>0</v>
      </c>
      <c r="F567" s="83" t="b">
        <v>1</v>
      </c>
      <c r="G567" s="83"/>
      <c r="H567" s="83"/>
    </row>
    <row r="568" spans="1:8">
      <c r="A568" s="83" t="s">
        <v>3374</v>
      </c>
      <c r="B568" s="83" t="s">
        <v>3260</v>
      </c>
      <c r="C568" s="83" t="s">
        <v>3374</v>
      </c>
      <c r="D568" s="83" t="s">
        <v>3375</v>
      </c>
      <c r="E568" s="84">
        <f>numteach_sped_mt2_yrs_serv_16nabove</f>
        <v>0</v>
      </c>
      <c r="F568" s="83" t="b">
        <v>1</v>
      </c>
      <c r="G568" s="83"/>
      <c r="H568" s="83"/>
    </row>
    <row r="569" spans="1:8">
      <c r="A569" s="83" t="s">
        <v>3376</v>
      </c>
      <c r="B569" s="83" t="s">
        <v>3260</v>
      </c>
      <c r="C569" s="83" t="s">
        <v>3376</v>
      </c>
      <c r="D569" s="83" t="s">
        <v>3377</v>
      </c>
      <c r="E569" s="84">
        <f>numteach_sped_mt2_yrs_teach_0to3</f>
        <v>0</v>
      </c>
      <c r="F569" s="83" t="b">
        <v>1</v>
      </c>
      <c r="G569" s="83"/>
      <c r="H569" s="83"/>
    </row>
    <row r="570" spans="1:8">
      <c r="A570" s="83" t="s">
        <v>3378</v>
      </c>
      <c r="B570" s="83" t="s">
        <v>3260</v>
      </c>
      <c r="C570" s="83" t="s">
        <v>3378</v>
      </c>
      <c r="D570" s="83" t="s">
        <v>3379</v>
      </c>
      <c r="E570" s="84">
        <f>numteach_sped_mt2_yrs_teach_4to6</f>
        <v>0</v>
      </c>
      <c r="F570" s="83" t="b">
        <v>1</v>
      </c>
      <c r="G570" s="83"/>
      <c r="H570" s="83"/>
    </row>
    <row r="571" spans="1:8">
      <c r="A571" s="83" t="s">
        <v>3380</v>
      </c>
      <c r="B571" s="83" t="s">
        <v>3260</v>
      </c>
      <c r="C571" s="83" t="s">
        <v>3380</v>
      </c>
      <c r="D571" s="83" t="s">
        <v>3381</v>
      </c>
      <c r="E571" s="84">
        <f>numteach_sped_mt2_yrs_teach_7to9</f>
        <v>0</v>
      </c>
      <c r="F571" s="83" t="b">
        <v>1</v>
      </c>
      <c r="G571" s="83"/>
      <c r="H571" s="83"/>
    </row>
    <row r="572" spans="1:8">
      <c r="A572" s="83" t="s">
        <v>3382</v>
      </c>
      <c r="B572" s="83" t="s">
        <v>3260</v>
      </c>
      <c r="C572" s="83" t="s">
        <v>3382</v>
      </c>
      <c r="D572" s="83" t="s">
        <v>3383</v>
      </c>
      <c r="E572" s="84">
        <f>numteach_sped_mt2_yrs_teach_10to12</f>
        <v>0</v>
      </c>
      <c r="F572" s="83" t="b">
        <v>1</v>
      </c>
      <c r="G572" s="83"/>
      <c r="H572" s="83"/>
    </row>
    <row r="573" spans="1:8">
      <c r="A573" s="83" t="s">
        <v>3384</v>
      </c>
      <c r="B573" s="83" t="s">
        <v>3260</v>
      </c>
      <c r="C573" s="83" t="s">
        <v>3384</v>
      </c>
      <c r="D573" s="83" t="s">
        <v>3385</v>
      </c>
      <c r="E573" s="84">
        <f>numteach_sped_mt2_yrs_teach_13nabove</f>
        <v>0</v>
      </c>
      <c r="F573" s="83" t="b">
        <v>1</v>
      </c>
      <c r="G573" s="83"/>
      <c r="H573" s="83"/>
    </row>
    <row r="574" spans="1:8">
      <c r="A574" s="83" t="s">
        <v>3386</v>
      </c>
      <c r="B574" s="83" t="s">
        <v>3260</v>
      </c>
      <c r="C574" s="83" t="s">
        <v>3386</v>
      </c>
      <c r="D574" s="83" t="s">
        <v>3387</v>
      </c>
      <c r="E574" s="84">
        <f>numteach_sped_mt1_vi_diff_seeing</f>
        <v>0</v>
      </c>
      <c r="F574" s="83" t="b">
        <v>1</v>
      </c>
      <c r="G574" s="83"/>
      <c r="H574" s="83"/>
    </row>
    <row r="575" spans="1:8">
      <c r="A575" s="83" t="s">
        <v>3388</v>
      </c>
      <c r="B575" s="83" t="s">
        <v>3260</v>
      </c>
      <c r="C575" s="83" t="s">
        <v>3388</v>
      </c>
      <c r="D575" s="83" t="s">
        <v>3389</v>
      </c>
      <c r="E575" s="84">
        <f>numteach_sped_mt1_hi_diff_hearing</f>
        <v>0</v>
      </c>
      <c r="F575" s="83" t="b">
        <v>1</v>
      </c>
      <c r="G575" s="83"/>
      <c r="H575" s="83"/>
    </row>
    <row r="576" spans="1:8">
      <c r="A576" s="83" t="s">
        <v>3390</v>
      </c>
      <c r="B576" s="83" t="s">
        <v>3260</v>
      </c>
      <c r="C576" s="83" t="s">
        <v>3390</v>
      </c>
      <c r="D576" s="83" t="s">
        <v>3391</v>
      </c>
      <c r="E576" s="84">
        <f>numteach_sped_mt1_ld_diff_ak</f>
        <v>0</v>
      </c>
      <c r="F576" s="83" t="b">
        <v>1</v>
      </c>
      <c r="G576" s="83"/>
      <c r="H576" s="83"/>
    </row>
    <row r="577" spans="1:8">
      <c r="A577" s="83" t="s">
        <v>3392</v>
      </c>
      <c r="B577" s="83" t="s">
        <v>3260</v>
      </c>
      <c r="C577" s="83" t="s">
        <v>3392</v>
      </c>
      <c r="D577" s="83" t="s">
        <v>3393</v>
      </c>
      <c r="E577" s="84">
        <f>numteach_sped_mt1_id_diff_rcpau</f>
        <v>0</v>
      </c>
      <c r="F577" s="83" t="b">
        <v>1</v>
      </c>
      <c r="G577" s="83"/>
      <c r="H577" s="83"/>
    </row>
    <row r="578" spans="1:8">
      <c r="A578" s="83" t="s">
        <v>3394</v>
      </c>
      <c r="B578" s="83" t="s">
        <v>3260</v>
      </c>
      <c r="C578" s="83" t="s">
        <v>3394</v>
      </c>
      <c r="D578" s="83" t="s">
        <v>3395</v>
      </c>
      <c r="E578" s="84">
        <f>numteach_sped_mt1_asd_diff_pas</f>
        <v>0</v>
      </c>
      <c r="F578" s="83" t="b">
        <v>1</v>
      </c>
      <c r="G578" s="83"/>
      <c r="H578" s="83"/>
    </row>
    <row r="579" spans="1:8">
      <c r="A579" s="83" t="s">
        <v>3396</v>
      </c>
      <c r="B579" s="83" t="s">
        <v>3260</v>
      </c>
      <c r="C579" s="83" t="s">
        <v>3396</v>
      </c>
      <c r="D579" s="83" t="s">
        <v>3397</v>
      </c>
      <c r="E579" s="84">
        <f>numteach_sped_mt1_ebd_diff_dib</f>
        <v>0</v>
      </c>
      <c r="F579" s="83" t="b">
        <v>1</v>
      </c>
      <c r="G579" s="83"/>
      <c r="H579" s="83"/>
    </row>
    <row r="580" spans="1:8">
      <c r="A580" s="83" t="s">
        <v>3398</v>
      </c>
      <c r="B580" s="83" t="s">
        <v>3260</v>
      </c>
      <c r="C580" s="83" t="s">
        <v>3398</v>
      </c>
      <c r="D580" s="83" t="s">
        <v>3399</v>
      </c>
      <c r="E580" s="84">
        <f>numteach_sped_mt1_oh_diff_mob</f>
        <v>0</v>
      </c>
      <c r="F580" s="83" t="b">
        <v>1</v>
      </c>
      <c r="G580" s="83"/>
      <c r="H580" s="83"/>
    </row>
    <row r="581" spans="1:8">
      <c r="A581" s="83" t="s">
        <v>3400</v>
      </c>
      <c r="B581" s="83" t="s">
        <v>3260</v>
      </c>
      <c r="C581" s="83" t="s">
        <v>3400</v>
      </c>
      <c r="D581" s="83" t="s">
        <v>3401</v>
      </c>
      <c r="E581" s="84">
        <f>numteach_sped_mt1_cd_diff_com</f>
        <v>0</v>
      </c>
      <c r="F581" s="83" t="b">
        <v>1</v>
      </c>
      <c r="G581" s="83"/>
      <c r="H581" s="83"/>
    </row>
    <row r="582" spans="1:8">
      <c r="A582" s="83" t="s">
        <v>3402</v>
      </c>
      <c r="B582" s="83" t="s">
        <v>3260</v>
      </c>
      <c r="C582" s="83" t="s">
        <v>3402</v>
      </c>
      <c r="D582" s="83" t="s">
        <v>3403</v>
      </c>
      <c r="E582" s="84">
        <f>numteach_sped_mt1_md</f>
        <v>0</v>
      </c>
      <c r="F582" s="83" t="b">
        <v>1</v>
      </c>
      <c r="G582" s="83"/>
      <c r="H582" s="83"/>
    </row>
    <row r="583" spans="1:8">
      <c r="A583" s="83" t="s">
        <v>3404</v>
      </c>
      <c r="B583" s="83" t="s">
        <v>3260</v>
      </c>
      <c r="C583" s="83" t="s">
        <v>3404</v>
      </c>
      <c r="D583" s="83" t="s">
        <v>3405</v>
      </c>
      <c r="E583" s="84">
        <f>numteach_sped_mt1_md_combi_2mor_disabilities</f>
        <v>0</v>
      </c>
      <c r="F583" s="83" t="b">
        <v>1</v>
      </c>
      <c r="G583" s="83"/>
      <c r="H583" s="83"/>
    </row>
    <row r="584" spans="1:8">
      <c r="A584" s="83" t="s">
        <v>3406</v>
      </c>
      <c r="B584" s="83" t="s">
        <v>3260</v>
      </c>
      <c r="C584" s="83" t="s">
        <v>3406</v>
      </c>
      <c r="D584" s="83" t="s">
        <v>3407</v>
      </c>
      <c r="E584" s="84">
        <f>numteach_sped_mt1_yrs_serv_0to3</f>
        <v>0</v>
      </c>
      <c r="F584" s="83" t="b">
        <v>1</v>
      </c>
      <c r="G584" s="83"/>
      <c r="H584" s="83"/>
    </row>
    <row r="585" spans="1:8">
      <c r="A585" s="83" t="s">
        <v>3408</v>
      </c>
      <c r="B585" s="83" t="s">
        <v>3260</v>
      </c>
      <c r="C585" s="83" t="s">
        <v>3408</v>
      </c>
      <c r="D585" s="83" t="s">
        <v>3409</v>
      </c>
      <c r="E585" s="84">
        <f>numteach_sped_mt1_yrs_serv_4to6</f>
        <v>0</v>
      </c>
      <c r="F585" s="83" t="b">
        <v>1</v>
      </c>
      <c r="G585" s="83"/>
      <c r="H585" s="83"/>
    </row>
    <row r="586" spans="1:8">
      <c r="A586" s="83" t="s">
        <v>3410</v>
      </c>
      <c r="B586" s="83" t="s">
        <v>3260</v>
      </c>
      <c r="C586" s="83" t="s">
        <v>3410</v>
      </c>
      <c r="D586" s="83" t="s">
        <v>3411</v>
      </c>
      <c r="E586" s="84">
        <f>numteach_sped_mt1_yrs_serv_7to9</f>
        <v>0</v>
      </c>
      <c r="F586" s="83" t="b">
        <v>1</v>
      </c>
      <c r="G586" s="83"/>
      <c r="H586" s="83"/>
    </row>
    <row r="587" spans="1:8">
      <c r="A587" s="83" t="s">
        <v>3412</v>
      </c>
      <c r="B587" s="83" t="s">
        <v>3260</v>
      </c>
      <c r="C587" s="83" t="s">
        <v>3412</v>
      </c>
      <c r="D587" s="83" t="s">
        <v>3413</v>
      </c>
      <c r="E587" s="84">
        <f>numteach_sped_mt1_yrs_serv_10to12</f>
        <v>0</v>
      </c>
      <c r="F587" s="83" t="b">
        <v>1</v>
      </c>
      <c r="G587" s="83"/>
      <c r="H587" s="83"/>
    </row>
    <row r="588" spans="1:8">
      <c r="A588" s="83" t="s">
        <v>3414</v>
      </c>
      <c r="B588" s="83" t="s">
        <v>3260</v>
      </c>
      <c r="C588" s="83" t="s">
        <v>3414</v>
      </c>
      <c r="D588" s="83" t="s">
        <v>3415</v>
      </c>
      <c r="E588" s="84">
        <f>numteach_sped_mt1_yrs_serv_13to15</f>
        <v>0</v>
      </c>
      <c r="F588" s="83" t="b">
        <v>1</v>
      </c>
      <c r="G588" s="83"/>
      <c r="H588" s="83"/>
    </row>
    <row r="589" spans="1:8">
      <c r="A589" s="83" t="s">
        <v>3416</v>
      </c>
      <c r="B589" s="83" t="s">
        <v>3260</v>
      </c>
      <c r="C589" s="83" t="s">
        <v>3416</v>
      </c>
      <c r="D589" s="83" t="s">
        <v>3417</v>
      </c>
      <c r="E589" s="84">
        <f>numteach_sped_mt1_yrs_serv_16nabove</f>
        <v>0</v>
      </c>
      <c r="F589" s="83" t="b">
        <v>1</v>
      </c>
      <c r="G589" s="83"/>
      <c r="H589" s="83"/>
    </row>
    <row r="590" spans="1:8">
      <c r="A590" s="83" t="s">
        <v>3418</v>
      </c>
      <c r="B590" s="83" t="s">
        <v>3260</v>
      </c>
      <c r="C590" s="83" t="s">
        <v>3418</v>
      </c>
      <c r="D590" s="83" t="s">
        <v>3419</v>
      </c>
      <c r="E590" s="84">
        <f>numteach_sped_mt1_yrs_teach_0to3</f>
        <v>0</v>
      </c>
      <c r="F590" s="83" t="b">
        <v>1</v>
      </c>
      <c r="G590" s="83"/>
      <c r="H590" s="83"/>
    </row>
    <row r="591" spans="1:8">
      <c r="A591" s="83" t="s">
        <v>3420</v>
      </c>
      <c r="B591" s="83" t="s">
        <v>3260</v>
      </c>
      <c r="C591" s="83" t="s">
        <v>3420</v>
      </c>
      <c r="D591" s="83" t="s">
        <v>3421</v>
      </c>
      <c r="E591" s="84">
        <f>numteach_sped_mt1_yrs_teach_4to6</f>
        <v>0</v>
      </c>
      <c r="F591" s="83" t="b">
        <v>1</v>
      </c>
      <c r="G591" s="83"/>
      <c r="H591" s="83"/>
    </row>
    <row r="592" spans="1:8">
      <c r="A592" s="83" t="s">
        <v>3422</v>
      </c>
      <c r="B592" s="83" t="s">
        <v>3260</v>
      </c>
      <c r="C592" s="83" t="s">
        <v>3422</v>
      </c>
      <c r="D592" s="83" t="s">
        <v>3423</v>
      </c>
      <c r="E592" s="84">
        <f>numteach_sped_mt1_yrs_teach_7to9</f>
        <v>0</v>
      </c>
      <c r="F592" s="83" t="b">
        <v>1</v>
      </c>
      <c r="G592" s="83"/>
      <c r="H592" s="83"/>
    </row>
    <row r="593" spans="1:8">
      <c r="A593" s="83" t="s">
        <v>3424</v>
      </c>
      <c r="B593" s="83" t="s">
        <v>3260</v>
      </c>
      <c r="C593" s="83" t="s">
        <v>3424</v>
      </c>
      <c r="D593" s="83" t="s">
        <v>3425</v>
      </c>
      <c r="E593" s="84">
        <f>numteach_sped_mt1_yrs_teach_10to12</f>
        <v>0</v>
      </c>
      <c r="F593" s="83" t="b">
        <v>1</v>
      </c>
      <c r="G593" s="83"/>
      <c r="H593" s="83"/>
    </row>
    <row r="594" spans="1:8">
      <c r="A594" s="83" t="s">
        <v>3426</v>
      </c>
      <c r="B594" s="83" t="s">
        <v>3260</v>
      </c>
      <c r="C594" s="83" t="s">
        <v>3426</v>
      </c>
      <c r="D594" s="83" t="s">
        <v>3427</v>
      </c>
      <c r="E594" s="84">
        <f>numteach_sped_mt1_yrs_teach_13nabove</f>
        <v>0</v>
      </c>
      <c r="F594" s="83" t="b">
        <v>1</v>
      </c>
      <c r="G594" s="83"/>
      <c r="H594" s="83"/>
    </row>
    <row r="595" spans="1:8">
      <c r="A595" s="83" t="s">
        <v>3428</v>
      </c>
      <c r="B595" s="83" t="s">
        <v>3260</v>
      </c>
      <c r="C595" s="83" t="s">
        <v>3428</v>
      </c>
      <c r="D595" s="83" t="s">
        <v>3429</v>
      </c>
      <c r="E595" s="84">
        <f>numteach_sped_t3_vi_diff_seeing</f>
        <v>0</v>
      </c>
      <c r="F595" s="83" t="b">
        <v>1</v>
      </c>
      <c r="G595" s="83"/>
      <c r="H595" s="83"/>
    </row>
    <row r="596" spans="1:8">
      <c r="A596" s="83" t="s">
        <v>3430</v>
      </c>
      <c r="B596" s="83" t="s">
        <v>3260</v>
      </c>
      <c r="C596" s="83" t="s">
        <v>3430</v>
      </c>
      <c r="D596" s="83" t="s">
        <v>3431</v>
      </c>
      <c r="E596" s="84">
        <f>numteach_sped_t3_hi_diff_hearing</f>
        <v>0</v>
      </c>
      <c r="F596" s="83" t="b">
        <v>1</v>
      </c>
      <c r="G596" s="83"/>
      <c r="H596" s="83"/>
    </row>
    <row r="597" spans="1:8">
      <c r="A597" s="83" t="s">
        <v>3432</v>
      </c>
      <c r="B597" s="83" t="s">
        <v>3260</v>
      </c>
      <c r="C597" s="83" t="s">
        <v>3432</v>
      </c>
      <c r="D597" s="83" t="s">
        <v>3433</v>
      </c>
      <c r="E597" s="84">
        <f>numteach_sped_t3_ld_diff_ak</f>
        <v>0</v>
      </c>
      <c r="F597" s="83" t="b">
        <v>1</v>
      </c>
      <c r="G597" s="83"/>
      <c r="H597" s="83"/>
    </row>
    <row r="598" spans="1:8">
      <c r="A598" s="83" t="s">
        <v>3434</v>
      </c>
      <c r="B598" s="83" t="s">
        <v>3260</v>
      </c>
      <c r="C598" s="83" t="s">
        <v>3434</v>
      </c>
      <c r="D598" s="83" t="s">
        <v>3435</v>
      </c>
      <c r="E598" s="84">
        <f>numteach_sped_t3_id_diff_rcpau</f>
        <v>0</v>
      </c>
      <c r="F598" s="83" t="b">
        <v>1</v>
      </c>
      <c r="G598" s="83"/>
      <c r="H598" s="83"/>
    </row>
    <row r="599" spans="1:8">
      <c r="A599" s="83" t="s">
        <v>3436</v>
      </c>
      <c r="B599" s="83" t="s">
        <v>3260</v>
      </c>
      <c r="C599" s="83" t="s">
        <v>3436</v>
      </c>
      <c r="D599" s="83" t="s">
        <v>3437</v>
      </c>
      <c r="E599" s="84">
        <f>numteach_sped_t3_asd_diff_pas</f>
        <v>0</v>
      </c>
      <c r="F599" s="83" t="b">
        <v>1</v>
      </c>
      <c r="G599" s="83"/>
      <c r="H599" s="83"/>
    </row>
    <row r="600" spans="1:8">
      <c r="A600" s="83" t="s">
        <v>3438</v>
      </c>
      <c r="B600" s="83" t="s">
        <v>3260</v>
      </c>
      <c r="C600" s="83" t="s">
        <v>3438</v>
      </c>
      <c r="D600" s="83" t="s">
        <v>3439</v>
      </c>
      <c r="E600" s="84">
        <f>numteach_sped_t3_ebd_diff_dib</f>
        <v>0</v>
      </c>
      <c r="F600" s="83" t="b">
        <v>1</v>
      </c>
      <c r="G600" s="83"/>
      <c r="H600" s="83"/>
    </row>
    <row r="601" spans="1:8">
      <c r="A601" s="83" t="s">
        <v>3440</v>
      </c>
      <c r="B601" s="83" t="s">
        <v>3260</v>
      </c>
      <c r="C601" s="83" t="s">
        <v>3440</v>
      </c>
      <c r="D601" s="83" t="s">
        <v>3441</v>
      </c>
      <c r="E601" s="84">
        <f>numteach_sped_t3_oh_diff_mob</f>
        <v>0</v>
      </c>
      <c r="F601" s="83" t="b">
        <v>1</v>
      </c>
      <c r="G601" s="83"/>
      <c r="H601" s="83"/>
    </row>
    <row r="602" spans="1:8">
      <c r="A602" s="83" t="s">
        <v>3442</v>
      </c>
      <c r="B602" s="83" t="s">
        <v>3260</v>
      </c>
      <c r="C602" s="83" t="s">
        <v>3442</v>
      </c>
      <c r="D602" s="83" t="s">
        <v>3443</v>
      </c>
      <c r="E602" s="84">
        <f>numteach_sped_t3_cd_diff_com</f>
        <v>0</v>
      </c>
      <c r="F602" s="83" t="b">
        <v>1</v>
      </c>
      <c r="G602" s="83"/>
      <c r="H602" s="83"/>
    </row>
    <row r="603" spans="1:8">
      <c r="A603" s="83" t="s">
        <v>3444</v>
      </c>
      <c r="B603" s="83" t="s">
        <v>3260</v>
      </c>
      <c r="C603" s="83" t="s">
        <v>3444</v>
      </c>
      <c r="D603" s="83" t="s">
        <v>3445</v>
      </c>
      <c r="E603" s="84">
        <f>numteach_sped_t3_md</f>
        <v>0</v>
      </c>
      <c r="F603" s="83" t="b">
        <v>1</v>
      </c>
      <c r="G603" s="83"/>
      <c r="H603" s="83"/>
    </row>
    <row r="604" spans="1:8">
      <c r="A604" s="83" t="s">
        <v>3446</v>
      </c>
      <c r="B604" s="83" t="s">
        <v>3260</v>
      </c>
      <c r="C604" s="83" t="s">
        <v>3446</v>
      </c>
      <c r="D604" s="83" t="s">
        <v>3447</v>
      </c>
      <c r="E604" s="84">
        <f>numteach_sped_t3_md_combi_2mor_disabilities</f>
        <v>0</v>
      </c>
      <c r="F604" s="83" t="b">
        <v>1</v>
      </c>
      <c r="G604" s="83"/>
      <c r="H604" s="83"/>
    </row>
    <row r="605" spans="1:8">
      <c r="A605" s="83" t="s">
        <v>3448</v>
      </c>
      <c r="B605" s="83" t="s">
        <v>3260</v>
      </c>
      <c r="C605" s="83" t="s">
        <v>3448</v>
      </c>
      <c r="D605" s="83" t="s">
        <v>3449</v>
      </c>
      <c r="E605" s="84">
        <f>numteach_sped_t3_yrs_serv_0to3</f>
        <v>0</v>
      </c>
      <c r="F605" s="83" t="b">
        <v>1</v>
      </c>
      <c r="G605" s="83"/>
      <c r="H605" s="83"/>
    </row>
    <row r="606" spans="1:8">
      <c r="A606" s="83" t="s">
        <v>3450</v>
      </c>
      <c r="B606" s="83" t="s">
        <v>3260</v>
      </c>
      <c r="C606" s="83" t="s">
        <v>3450</v>
      </c>
      <c r="D606" s="83" t="s">
        <v>3451</v>
      </c>
      <c r="E606" s="84">
        <f>numteach_sped_t3_yrs_serv_4to6</f>
        <v>0</v>
      </c>
      <c r="F606" s="83" t="b">
        <v>1</v>
      </c>
      <c r="G606" s="83"/>
      <c r="H606" s="83"/>
    </row>
    <row r="607" spans="1:8">
      <c r="A607" s="83" t="s">
        <v>3452</v>
      </c>
      <c r="B607" s="83" t="s">
        <v>3260</v>
      </c>
      <c r="C607" s="83" t="s">
        <v>3452</v>
      </c>
      <c r="D607" s="83" t="s">
        <v>3453</v>
      </c>
      <c r="E607" s="84">
        <f>numteach_sped_t3_yrs_serv_7to9</f>
        <v>0</v>
      </c>
      <c r="F607" s="83" t="b">
        <v>1</v>
      </c>
      <c r="G607" s="83"/>
      <c r="H607" s="83"/>
    </row>
    <row r="608" spans="1:8">
      <c r="A608" s="83" t="s">
        <v>3454</v>
      </c>
      <c r="B608" s="83" t="s">
        <v>3260</v>
      </c>
      <c r="C608" s="83" t="s">
        <v>3454</v>
      </c>
      <c r="D608" s="83" t="s">
        <v>3455</v>
      </c>
      <c r="E608" s="84">
        <f>numteach_sped_t3_yrs_serv_10to12</f>
        <v>0</v>
      </c>
      <c r="F608" s="83" t="b">
        <v>1</v>
      </c>
      <c r="G608" s="83"/>
      <c r="H608" s="83"/>
    </row>
    <row r="609" spans="1:8">
      <c r="A609" s="83" t="s">
        <v>3456</v>
      </c>
      <c r="B609" s="83" t="s">
        <v>3260</v>
      </c>
      <c r="C609" s="83" t="s">
        <v>3456</v>
      </c>
      <c r="D609" s="83" t="s">
        <v>3457</v>
      </c>
      <c r="E609" s="84">
        <f>numteach_sped_t3_yrs_serv_13to15</f>
        <v>0</v>
      </c>
      <c r="F609" s="83" t="b">
        <v>1</v>
      </c>
      <c r="G609" s="83"/>
      <c r="H609" s="83"/>
    </row>
    <row r="610" spans="1:8">
      <c r="A610" s="83" t="s">
        <v>3458</v>
      </c>
      <c r="B610" s="83" t="s">
        <v>3260</v>
      </c>
      <c r="C610" s="83" t="s">
        <v>3458</v>
      </c>
      <c r="D610" s="83" t="s">
        <v>3459</v>
      </c>
      <c r="E610" s="84">
        <f>numteach_sped_t3_yrs_serv_16nabove</f>
        <v>0</v>
      </c>
      <c r="F610" s="83" t="b">
        <v>1</v>
      </c>
      <c r="G610" s="83"/>
      <c r="H610" s="83"/>
    </row>
    <row r="611" spans="1:8">
      <c r="A611" s="83" t="s">
        <v>3460</v>
      </c>
      <c r="B611" s="83" t="s">
        <v>3260</v>
      </c>
      <c r="C611" s="83" t="s">
        <v>3460</v>
      </c>
      <c r="D611" s="83" t="s">
        <v>3461</v>
      </c>
      <c r="E611" s="84">
        <f>numteach_sped_t3_yrs_teach_0to3</f>
        <v>0</v>
      </c>
      <c r="F611" s="83" t="b">
        <v>1</v>
      </c>
      <c r="G611" s="83"/>
      <c r="H611" s="83"/>
    </row>
    <row r="612" spans="1:8">
      <c r="A612" s="83" t="s">
        <v>3462</v>
      </c>
      <c r="B612" s="83" t="s">
        <v>3260</v>
      </c>
      <c r="C612" s="83" t="s">
        <v>3462</v>
      </c>
      <c r="D612" s="83" t="s">
        <v>3463</v>
      </c>
      <c r="E612" s="84">
        <f>numteach_sped_t3_yrs_teach_4to6</f>
        <v>0</v>
      </c>
      <c r="F612" s="83" t="b">
        <v>1</v>
      </c>
      <c r="G612" s="83"/>
      <c r="H612" s="83"/>
    </row>
    <row r="613" spans="1:8">
      <c r="A613" s="83" t="s">
        <v>3464</v>
      </c>
      <c r="B613" s="83" t="s">
        <v>3260</v>
      </c>
      <c r="C613" s="83" t="s">
        <v>3464</v>
      </c>
      <c r="D613" s="83" t="s">
        <v>3465</v>
      </c>
      <c r="E613" s="84">
        <f>numteach_sped_t3_yrs_teach_7to9</f>
        <v>0</v>
      </c>
      <c r="F613" s="83" t="b">
        <v>1</v>
      </c>
      <c r="G613" s="83"/>
      <c r="H613" s="83"/>
    </row>
    <row r="614" spans="1:8">
      <c r="A614" s="83" t="s">
        <v>3466</v>
      </c>
      <c r="B614" s="83" t="s">
        <v>3260</v>
      </c>
      <c r="C614" s="83" t="s">
        <v>3466</v>
      </c>
      <c r="D614" s="83" t="s">
        <v>3467</v>
      </c>
      <c r="E614" s="84">
        <f>numteach_sped_t3_yrs_teach_10to12</f>
        <v>0</v>
      </c>
      <c r="F614" s="83" t="b">
        <v>1</v>
      </c>
      <c r="G614" s="83"/>
      <c r="H614" s="83"/>
    </row>
    <row r="615" spans="1:8">
      <c r="A615" s="83" t="s">
        <v>3468</v>
      </c>
      <c r="B615" s="83" t="s">
        <v>3260</v>
      </c>
      <c r="C615" s="83" t="s">
        <v>3468</v>
      </c>
      <c r="D615" s="83" t="s">
        <v>3469</v>
      </c>
      <c r="E615" s="84">
        <f>numteach_sped_t3_yrs_teach_13nabove</f>
        <v>0</v>
      </c>
      <c r="F615" s="83" t="b">
        <v>1</v>
      </c>
      <c r="G615" s="83"/>
      <c r="H615" s="83"/>
    </row>
    <row r="616" spans="1:8">
      <c r="A616" s="83" t="s">
        <v>3470</v>
      </c>
      <c r="B616" s="83" t="s">
        <v>3260</v>
      </c>
      <c r="C616" s="83" t="s">
        <v>3470</v>
      </c>
      <c r="D616" s="83" t="s">
        <v>3471</v>
      </c>
      <c r="E616" s="84">
        <f>numteach_sped_t2_vi_diff_seeing</f>
        <v>0</v>
      </c>
      <c r="F616" s="83" t="b">
        <v>1</v>
      </c>
      <c r="G616" s="83"/>
      <c r="H616" s="83"/>
    </row>
    <row r="617" spans="1:8">
      <c r="A617" s="83" t="s">
        <v>3472</v>
      </c>
      <c r="B617" s="83" t="s">
        <v>3260</v>
      </c>
      <c r="C617" s="83" t="s">
        <v>3472</v>
      </c>
      <c r="D617" s="83" t="s">
        <v>3473</v>
      </c>
      <c r="E617" s="84">
        <f>numteach_sped_t2_hi_diff_hearing</f>
        <v>0</v>
      </c>
      <c r="F617" s="83" t="b">
        <v>1</v>
      </c>
      <c r="G617" s="83"/>
      <c r="H617" s="83"/>
    </row>
    <row r="618" spans="1:8">
      <c r="A618" s="83" t="s">
        <v>3474</v>
      </c>
      <c r="B618" s="83" t="s">
        <v>3260</v>
      </c>
      <c r="C618" s="83" t="s">
        <v>3474</v>
      </c>
      <c r="D618" s="83" t="s">
        <v>3475</v>
      </c>
      <c r="E618" s="84">
        <f>numteach_sped_t2_ld_diff_ak</f>
        <v>0</v>
      </c>
      <c r="F618" s="83" t="b">
        <v>1</v>
      </c>
      <c r="G618" s="83"/>
      <c r="H618" s="83"/>
    </row>
    <row r="619" spans="1:8">
      <c r="A619" s="83" t="s">
        <v>3476</v>
      </c>
      <c r="B619" s="83" t="s">
        <v>3260</v>
      </c>
      <c r="C619" s="83" t="s">
        <v>3476</v>
      </c>
      <c r="D619" s="83" t="s">
        <v>3477</v>
      </c>
      <c r="E619" s="84">
        <f>numteach_sped_t2_id_diff_rcpau</f>
        <v>0</v>
      </c>
      <c r="F619" s="83" t="b">
        <v>1</v>
      </c>
      <c r="G619" s="83"/>
      <c r="H619" s="83"/>
    </row>
    <row r="620" spans="1:8">
      <c r="A620" s="83" t="s">
        <v>3478</v>
      </c>
      <c r="B620" s="83" t="s">
        <v>3260</v>
      </c>
      <c r="C620" s="83" t="s">
        <v>3478</v>
      </c>
      <c r="D620" s="83" t="s">
        <v>3479</v>
      </c>
      <c r="E620" s="84">
        <f>numteach_sped_t2_asd_diff_pas</f>
        <v>0</v>
      </c>
      <c r="F620" s="83" t="b">
        <v>1</v>
      </c>
      <c r="G620" s="83"/>
      <c r="H620" s="83"/>
    </row>
    <row r="621" spans="1:8">
      <c r="A621" s="83" t="s">
        <v>3480</v>
      </c>
      <c r="B621" s="83" t="s">
        <v>3260</v>
      </c>
      <c r="C621" s="83" t="s">
        <v>3480</v>
      </c>
      <c r="D621" s="83" t="s">
        <v>3481</v>
      </c>
      <c r="E621" s="84">
        <f>numteach_sped_t2_ebd_diff_dib</f>
        <v>0</v>
      </c>
      <c r="F621" s="83" t="b">
        <v>1</v>
      </c>
      <c r="G621" s="83"/>
      <c r="H621" s="83"/>
    </row>
    <row r="622" spans="1:8">
      <c r="A622" s="83" t="s">
        <v>3482</v>
      </c>
      <c r="B622" s="83" t="s">
        <v>3260</v>
      </c>
      <c r="C622" s="83" t="s">
        <v>3482</v>
      </c>
      <c r="D622" s="83" t="s">
        <v>3483</v>
      </c>
      <c r="E622" s="84">
        <f>numteach_sped_t2_oh_diff_mob</f>
        <v>0</v>
      </c>
      <c r="F622" s="83" t="b">
        <v>1</v>
      </c>
      <c r="G622" s="83"/>
      <c r="H622" s="83"/>
    </row>
    <row r="623" spans="1:8">
      <c r="A623" s="83" t="s">
        <v>3484</v>
      </c>
      <c r="B623" s="83" t="s">
        <v>3260</v>
      </c>
      <c r="C623" s="83" t="s">
        <v>3484</v>
      </c>
      <c r="D623" s="83" t="s">
        <v>3485</v>
      </c>
      <c r="E623" s="84">
        <f>numteach_sped_t2_cd_diff_com</f>
        <v>0</v>
      </c>
      <c r="F623" s="83" t="b">
        <v>1</v>
      </c>
      <c r="G623" s="83"/>
      <c r="H623" s="83"/>
    </row>
    <row r="624" spans="1:8">
      <c r="A624" s="83" t="s">
        <v>3486</v>
      </c>
      <c r="B624" s="83" t="s">
        <v>3260</v>
      </c>
      <c r="C624" s="83" t="s">
        <v>3486</v>
      </c>
      <c r="D624" s="83" t="s">
        <v>3487</v>
      </c>
      <c r="E624" s="84">
        <f>numteach_sped_t2_md</f>
        <v>0</v>
      </c>
      <c r="F624" s="83" t="b">
        <v>1</v>
      </c>
      <c r="G624" s="83"/>
      <c r="H624" s="83"/>
    </row>
    <row r="625" spans="1:8">
      <c r="A625" s="83" t="s">
        <v>3488</v>
      </c>
      <c r="B625" s="83" t="s">
        <v>3260</v>
      </c>
      <c r="C625" s="83" t="s">
        <v>3488</v>
      </c>
      <c r="D625" s="83" t="s">
        <v>3489</v>
      </c>
      <c r="E625" s="84">
        <f>numteach_sped_t2_md_combi_2mor_disabilities</f>
        <v>0</v>
      </c>
      <c r="F625" s="83" t="b">
        <v>1</v>
      </c>
      <c r="G625" s="83"/>
      <c r="H625" s="83"/>
    </row>
    <row r="626" spans="1:8">
      <c r="A626" s="83" t="s">
        <v>3490</v>
      </c>
      <c r="B626" s="83" t="s">
        <v>3260</v>
      </c>
      <c r="C626" s="83" t="s">
        <v>3490</v>
      </c>
      <c r="D626" s="83" t="s">
        <v>3491</v>
      </c>
      <c r="E626" s="84">
        <f>numteach_sped_t2_yrs_serv_0to3</f>
        <v>0</v>
      </c>
      <c r="F626" s="83" t="b">
        <v>1</v>
      </c>
      <c r="G626" s="83"/>
      <c r="H626" s="83"/>
    </row>
    <row r="627" spans="1:8">
      <c r="A627" s="83" t="s">
        <v>3492</v>
      </c>
      <c r="B627" s="83" t="s">
        <v>3260</v>
      </c>
      <c r="C627" s="83" t="s">
        <v>3492</v>
      </c>
      <c r="D627" s="83" t="s">
        <v>3493</v>
      </c>
      <c r="E627" s="84">
        <f>numteach_sped_t2_yrs_serv_4to6</f>
        <v>0</v>
      </c>
      <c r="F627" s="83" t="b">
        <v>1</v>
      </c>
      <c r="G627" s="83"/>
      <c r="H627" s="83"/>
    </row>
    <row r="628" spans="1:8">
      <c r="A628" s="83" t="s">
        <v>3494</v>
      </c>
      <c r="B628" s="83" t="s">
        <v>3260</v>
      </c>
      <c r="C628" s="83" t="s">
        <v>3494</v>
      </c>
      <c r="D628" s="83" t="s">
        <v>3495</v>
      </c>
      <c r="E628" s="84">
        <f>numteach_sped_t2_yrs_serv_7to9</f>
        <v>0</v>
      </c>
      <c r="F628" s="83" t="b">
        <v>1</v>
      </c>
      <c r="G628" s="83"/>
      <c r="H628" s="83"/>
    </row>
    <row r="629" spans="1:8">
      <c r="A629" s="83" t="s">
        <v>3496</v>
      </c>
      <c r="B629" s="83" t="s">
        <v>3260</v>
      </c>
      <c r="C629" s="83" t="s">
        <v>3496</v>
      </c>
      <c r="D629" s="83" t="s">
        <v>3497</v>
      </c>
      <c r="E629" s="84">
        <f>numteach_sped_t2_yrs_serv_10to12</f>
        <v>0</v>
      </c>
      <c r="F629" s="83" t="b">
        <v>1</v>
      </c>
      <c r="G629" s="83"/>
      <c r="H629" s="83"/>
    </row>
    <row r="630" spans="1:8">
      <c r="A630" s="83" t="s">
        <v>3498</v>
      </c>
      <c r="B630" s="83" t="s">
        <v>3260</v>
      </c>
      <c r="C630" s="83" t="s">
        <v>3498</v>
      </c>
      <c r="D630" s="83" t="s">
        <v>3499</v>
      </c>
      <c r="E630" s="84">
        <f>numteach_sped_t2_yrs_serv_13to15</f>
        <v>0</v>
      </c>
      <c r="F630" s="83" t="b">
        <v>1</v>
      </c>
      <c r="G630" s="83"/>
      <c r="H630" s="83"/>
    </row>
    <row r="631" spans="1:8">
      <c r="A631" s="83" t="s">
        <v>3500</v>
      </c>
      <c r="B631" s="83" t="s">
        <v>3260</v>
      </c>
      <c r="C631" s="83" t="s">
        <v>3500</v>
      </c>
      <c r="D631" s="83" t="s">
        <v>3501</v>
      </c>
      <c r="E631" s="84">
        <f>numteach_sped_t2_yrs_serv_16nabove</f>
        <v>0</v>
      </c>
      <c r="F631" s="83" t="b">
        <v>1</v>
      </c>
      <c r="G631" s="83"/>
      <c r="H631" s="83"/>
    </row>
    <row r="632" spans="1:8">
      <c r="A632" s="83" t="s">
        <v>3502</v>
      </c>
      <c r="B632" s="83" t="s">
        <v>3260</v>
      </c>
      <c r="C632" s="83" t="s">
        <v>3502</v>
      </c>
      <c r="D632" s="83" t="s">
        <v>3503</v>
      </c>
      <c r="E632" s="84">
        <f>numteach_sped_t2_yrs_teach_0to3</f>
        <v>0</v>
      </c>
      <c r="F632" s="83" t="b">
        <v>1</v>
      </c>
      <c r="G632" s="83"/>
      <c r="H632" s="83"/>
    </row>
    <row r="633" spans="1:8">
      <c r="A633" s="83" t="s">
        <v>3504</v>
      </c>
      <c r="B633" s="83" t="s">
        <v>3260</v>
      </c>
      <c r="C633" s="83" t="s">
        <v>3504</v>
      </c>
      <c r="D633" s="83" t="s">
        <v>3505</v>
      </c>
      <c r="E633" s="84">
        <f>numteach_sped_t2_yrs_teach_4to6</f>
        <v>0</v>
      </c>
      <c r="F633" s="83" t="b">
        <v>1</v>
      </c>
      <c r="G633" s="83"/>
      <c r="H633" s="83"/>
    </row>
    <row r="634" spans="1:8">
      <c r="A634" s="83" t="s">
        <v>3506</v>
      </c>
      <c r="B634" s="83" t="s">
        <v>3260</v>
      </c>
      <c r="C634" s="83" t="s">
        <v>3506</v>
      </c>
      <c r="D634" s="83" t="s">
        <v>3507</v>
      </c>
      <c r="E634" s="84">
        <f>numteach_sped_t2_yrs_teach_7to9</f>
        <v>0</v>
      </c>
      <c r="F634" s="83" t="b">
        <v>1</v>
      </c>
      <c r="G634" s="83"/>
      <c r="H634" s="83"/>
    </row>
    <row r="635" spans="1:8">
      <c r="A635" s="83" t="s">
        <v>3508</v>
      </c>
      <c r="B635" s="83" t="s">
        <v>3260</v>
      </c>
      <c r="C635" s="83" t="s">
        <v>3508</v>
      </c>
      <c r="D635" s="83" t="s">
        <v>3509</v>
      </c>
      <c r="E635" s="84">
        <f>numteach_sped_t2_yrs_teach_10to12</f>
        <v>0</v>
      </c>
      <c r="F635" s="83" t="b">
        <v>1</v>
      </c>
      <c r="G635" s="83"/>
      <c r="H635" s="83"/>
    </row>
    <row r="636" spans="1:8">
      <c r="A636" s="83" t="s">
        <v>3510</v>
      </c>
      <c r="B636" s="83" t="s">
        <v>3260</v>
      </c>
      <c r="C636" s="83" t="s">
        <v>3510</v>
      </c>
      <c r="D636" s="83" t="s">
        <v>3511</v>
      </c>
      <c r="E636" s="84">
        <f>numteach_sped_t2_yrs_teach_13nabove</f>
        <v>0</v>
      </c>
      <c r="F636" s="83" t="b">
        <v>1</v>
      </c>
      <c r="G636" s="83"/>
      <c r="H636" s="83"/>
    </row>
    <row r="637" spans="1:8">
      <c r="A637" s="83" t="s">
        <v>3512</v>
      </c>
      <c r="B637" s="83" t="s">
        <v>3260</v>
      </c>
      <c r="C637" s="83" t="s">
        <v>3512</v>
      </c>
      <c r="D637" s="83" t="s">
        <v>3513</v>
      </c>
      <c r="E637" s="84">
        <f>numteach_sped_t1_vi_diff_seeing</f>
        <v>0</v>
      </c>
      <c r="F637" s="83" t="b">
        <v>1</v>
      </c>
      <c r="G637" s="83"/>
      <c r="H637" s="83"/>
    </row>
    <row r="638" spans="1:8">
      <c r="A638" s="83" t="s">
        <v>3514</v>
      </c>
      <c r="B638" s="83" t="s">
        <v>3260</v>
      </c>
      <c r="C638" s="83" t="s">
        <v>3514</v>
      </c>
      <c r="D638" s="83" t="s">
        <v>3515</v>
      </c>
      <c r="E638" s="84">
        <f>numteach_sped_t1_hi_diff_hearing</f>
        <v>0</v>
      </c>
      <c r="F638" s="83" t="b">
        <v>1</v>
      </c>
      <c r="G638" s="83"/>
      <c r="H638" s="83"/>
    </row>
    <row r="639" spans="1:8">
      <c r="A639" s="83" t="s">
        <v>3516</v>
      </c>
      <c r="B639" s="83" t="s">
        <v>3260</v>
      </c>
      <c r="C639" s="83" t="s">
        <v>3516</v>
      </c>
      <c r="D639" s="83" t="s">
        <v>3517</v>
      </c>
      <c r="E639" s="84">
        <f>numteach_sped_t1_ld_diff_ak</f>
        <v>0</v>
      </c>
      <c r="F639" s="83" t="b">
        <v>1</v>
      </c>
      <c r="G639" s="83"/>
      <c r="H639" s="83"/>
    </row>
    <row r="640" spans="1:8">
      <c r="A640" s="83" t="s">
        <v>3518</v>
      </c>
      <c r="B640" s="83" t="s">
        <v>3260</v>
      </c>
      <c r="C640" s="83" t="s">
        <v>3518</v>
      </c>
      <c r="D640" s="83" t="s">
        <v>3519</v>
      </c>
      <c r="E640" s="84">
        <f>numteach_sped_t1_id_diff_rcpau</f>
        <v>1</v>
      </c>
      <c r="F640" s="83" t="b">
        <v>1</v>
      </c>
      <c r="G640" s="83"/>
      <c r="H640" s="83"/>
    </row>
    <row r="641" spans="1:8">
      <c r="A641" s="83" t="s">
        <v>3520</v>
      </c>
      <c r="B641" s="83" t="s">
        <v>3260</v>
      </c>
      <c r="C641" s="83" t="s">
        <v>3520</v>
      </c>
      <c r="D641" s="83" t="s">
        <v>3521</v>
      </c>
      <c r="E641" s="84">
        <f>numteach_sped_t1_asd_diff_pas</f>
        <v>0</v>
      </c>
      <c r="F641" s="83" t="b">
        <v>1</v>
      </c>
      <c r="G641" s="83"/>
      <c r="H641" s="83"/>
    </row>
    <row r="642" spans="1:8">
      <c r="A642" s="83" t="s">
        <v>3522</v>
      </c>
      <c r="B642" s="83" t="s">
        <v>3260</v>
      </c>
      <c r="C642" s="83" t="s">
        <v>3522</v>
      </c>
      <c r="D642" s="83" t="s">
        <v>3523</v>
      </c>
      <c r="E642" s="84">
        <f>numteach_sped_t1_ebd_diff_dib</f>
        <v>0</v>
      </c>
      <c r="F642" s="83" t="b">
        <v>1</v>
      </c>
      <c r="G642" s="83"/>
      <c r="H642" s="83"/>
    </row>
    <row r="643" spans="1:8">
      <c r="A643" s="83" t="s">
        <v>3524</v>
      </c>
      <c r="B643" s="83" t="s">
        <v>3260</v>
      </c>
      <c r="C643" s="83" t="s">
        <v>3524</v>
      </c>
      <c r="D643" s="83" t="s">
        <v>3525</v>
      </c>
      <c r="E643" s="84">
        <f>numteach_sped_t1_oh_diff_mob</f>
        <v>0</v>
      </c>
      <c r="F643" s="83" t="b">
        <v>1</v>
      </c>
      <c r="G643" s="83"/>
      <c r="H643" s="83"/>
    </row>
    <row r="644" spans="1:8">
      <c r="A644" s="83" t="s">
        <v>3526</v>
      </c>
      <c r="B644" s="83" t="s">
        <v>3260</v>
      </c>
      <c r="C644" s="83" t="s">
        <v>3526</v>
      </c>
      <c r="D644" s="83" t="s">
        <v>3527</v>
      </c>
      <c r="E644" s="84">
        <f>numteach_sped_t1_cd_diff_com</f>
        <v>0</v>
      </c>
      <c r="F644" s="83" t="b">
        <v>1</v>
      </c>
      <c r="G644" s="83"/>
      <c r="H644" s="83"/>
    </row>
    <row r="645" spans="1:8">
      <c r="A645" s="83" t="s">
        <v>3528</v>
      </c>
      <c r="B645" s="83" t="s">
        <v>3260</v>
      </c>
      <c r="C645" s="83" t="s">
        <v>3528</v>
      </c>
      <c r="D645" s="83" t="s">
        <v>3529</v>
      </c>
      <c r="E645" s="84">
        <f>numteach_sped_t1_md</f>
        <v>0</v>
      </c>
      <c r="F645" s="83" t="b">
        <v>1</v>
      </c>
      <c r="G645" s="83"/>
      <c r="H645" s="83"/>
    </row>
    <row r="646" spans="1:8">
      <c r="A646" s="83" t="s">
        <v>3530</v>
      </c>
      <c r="B646" s="83" t="s">
        <v>3260</v>
      </c>
      <c r="C646" s="83" t="s">
        <v>3530</v>
      </c>
      <c r="D646" s="83" t="s">
        <v>3531</v>
      </c>
      <c r="E646" s="84">
        <f>numteach_sped_t1_md_combi_2mor_disabilities</f>
        <v>3</v>
      </c>
      <c r="F646" s="83" t="b">
        <v>1</v>
      </c>
      <c r="G646" s="83"/>
      <c r="H646" s="83"/>
    </row>
    <row r="647" spans="1:8">
      <c r="A647" s="83" t="s">
        <v>3532</v>
      </c>
      <c r="B647" s="83" t="s">
        <v>3260</v>
      </c>
      <c r="C647" s="83" t="s">
        <v>3532</v>
      </c>
      <c r="D647" s="83" t="s">
        <v>3533</v>
      </c>
      <c r="E647" s="84">
        <f>numteach_sped_t1_yrs_serv_0to3</f>
        <v>0</v>
      </c>
      <c r="F647" s="83" t="b">
        <v>1</v>
      </c>
      <c r="G647" s="83"/>
      <c r="H647" s="83"/>
    </row>
    <row r="648" spans="1:8">
      <c r="A648" s="83" t="s">
        <v>3534</v>
      </c>
      <c r="B648" s="83" t="s">
        <v>3260</v>
      </c>
      <c r="C648" s="83" t="s">
        <v>3534</v>
      </c>
      <c r="D648" s="83" t="s">
        <v>3535</v>
      </c>
      <c r="E648" s="84">
        <f>numteach_sped_t1_yrs_serv_4to6</f>
        <v>1</v>
      </c>
      <c r="F648" s="83" t="b">
        <v>1</v>
      </c>
      <c r="G648" s="83"/>
      <c r="H648" s="83"/>
    </row>
    <row r="649" spans="1:8">
      <c r="A649" s="83" t="s">
        <v>3536</v>
      </c>
      <c r="B649" s="83" t="s">
        <v>3260</v>
      </c>
      <c r="C649" s="83" t="s">
        <v>3536</v>
      </c>
      <c r="D649" s="83" t="s">
        <v>3537</v>
      </c>
      <c r="E649" s="84">
        <f>numteach_sped_t1_yrs_serv_7to9</f>
        <v>0</v>
      </c>
      <c r="F649" s="83" t="b">
        <v>1</v>
      </c>
      <c r="G649" s="83"/>
      <c r="H649" s="83"/>
    </row>
    <row r="650" spans="1:8">
      <c r="A650" s="83" t="s">
        <v>3538</v>
      </c>
      <c r="B650" s="83" t="s">
        <v>3260</v>
      </c>
      <c r="C650" s="83" t="s">
        <v>3538</v>
      </c>
      <c r="D650" s="83" t="s">
        <v>3539</v>
      </c>
      <c r="E650" s="84">
        <f>numteach_sped_t1_yrs_serv_10to12</f>
        <v>0</v>
      </c>
      <c r="F650" s="83" t="b">
        <v>1</v>
      </c>
      <c r="G650" s="83"/>
      <c r="H650" s="83"/>
    </row>
    <row r="651" spans="1:8">
      <c r="A651" s="83" t="s">
        <v>3540</v>
      </c>
      <c r="B651" s="83" t="s">
        <v>3260</v>
      </c>
      <c r="C651" s="83" t="s">
        <v>3540</v>
      </c>
      <c r="D651" s="83" t="s">
        <v>3541</v>
      </c>
      <c r="E651" s="84">
        <f>numteach_sped_t1_yrs_serv_13to15</f>
        <v>0</v>
      </c>
      <c r="F651" s="83" t="b">
        <v>1</v>
      </c>
      <c r="G651" s="83"/>
      <c r="H651" s="83"/>
    </row>
    <row r="652" spans="1:8">
      <c r="A652" s="83" t="s">
        <v>3542</v>
      </c>
      <c r="B652" s="83" t="s">
        <v>3260</v>
      </c>
      <c r="C652" s="83" t="s">
        <v>3542</v>
      </c>
      <c r="D652" s="83" t="s">
        <v>3543</v>
      </c>
      <c r="E652" s="84">
        <f>numteach_sped_t1_yrs_serv_16nabove</f>
        <v>3</v>
      </c>
      <c r="F652" s="83" t="b">
        <v>1</v>
      </c>
      <c r="G652" s="83"/>
      <c r="H652" s="83"/>
    </row>
    <row r="653" spans="1:8">
      <c r="A653" s="83" t="s">
        <v>3544</v>
      </c>
      <c r="B653" s="83" t="s">
        <v>3260</v>
      </c>
      <c r="C653" s="83" t="s">
        <v>3544</v>
      </c>
      <c r="D653" s="83" t="s">
        <v>3545</v>
      </c>
      <c r="E653" s="84">
        <f>numteach_sped_t1_yrs_teach_0to3</f>
        <v>1</v>
      </c>
      <c r="F653" s="83" t="b">
        <v>1</v>
      </c>
      <c r="G653" s="83"/>
      <c r="H653" s="83"/>
    </row>
    <row r="654" spans="1:8">
      <c r="A654" s="83" t="s">
        <v>3546</v>
      </c>
      <c r="B654" s="83" t="s">
        <v>3260</v>
      </c>
      <c r="C654" s="83" t="s">
        <v>3546</v>
      </c>
      <c r="D654" s="83" t="s">
        <v>3547</v>
      </c>
      <c r="E654" s="84">
        <f>numteach_sped_t1_yrs_teach_4to6</f>
        <v>0</v>
      </c>
      <c r="F654" s="83" t="b">
        <v>1</v>
      </c>
      <c r="G654" s="83"/>
      <c r="H654" s="83"/>
    </row>
    <row r="655" spans="1:8">
      <c r="A655" s="83" t="s">
        <v>3548</v>
      </c>
      <c r="B655" s="83" t="s">
        <v>3260</v>
      </c>
      <c r="C655" s="83" t="s">
        <v>3548</v>
      </c>
      <c r="D655" s="83" t="s">
        <v>3549</v>
      </c>
      <c r="E655" s="84">
        <f>numteach_sped_t1_yrs_teach_7to9</f>
        <v>0</v>
      </c>
      <c r="F655" s="83" t="b">
        <v>1</v>
      </c>
      <c r="G655" s="83"/>
      <c r="H655" s="83"/>
    </row>
    <row r="656" spans="1:8">
      <c r="A656" s="83" t="s">
        <v>3550</v>
      </c>
      <c r="B656" s="83" t="s">
        <v>3260</v>
      </c>
      <c r="C656" s="83" t="s">
        <v>3550</v>
      </c>
      <c r="D656" s="83" t="s">
        <v>3551</v>
      </c>
      <c r="E656" s="84">
        <f>numteach_sped_t1_yrs_teach_10to12</f>
        <v>0</v>
      </c>
      <c r="F656" s="83" t="b">
        <v>1</v>
      </c>
      <c r="G656" s="83"/>
      <c r="H656" s="83"/>
    </row>
    <row r="657" spans="1:8">
      <c r="A657" s="83" t="s">
        <v>3552</v>
      </c>
      <c r="B657" s="83" t="s">
        <v>3260</v>
      </c>
      <c r="C657" s="83" t="s">
        <v>3552</v>
      </c>
      <c r="D657" s="83" t="s">
        <v>3553</v>
      </c>
      <c r="E657" s="84">
        <f>numteach_sped_t1_yrs_teach_13nabove</f>
        <v>3</v>
      </c>
      <c r="F657" s="83" t="b">
        <v>1</v>
      </c>
      <c r="G657" s="83"/>
      <c r="H657" s="83"/>
    </row>
    <row r="658" spans="1:8">
      <c r="A658" s="83" t="s">
        <v>3554</v>
      </c>
      <c r="B658" s="83" t="s">
        <v>3260</v>
      </c>
      <c r="C658" s="83" t="s">
        <v>3554</v>
      </c>
      <c r="D658" s="83" t="s">
        <v>3557</v>
      </c>
      <c r="E658" s="84" t="str">
        <f>div_hr_personnel_name</f>
        <v>ELMA CEZARIE Y. ROMERO</v>
      </c>
      <c r="F658" s="83" t="b">
        <v>1</v>
      </c>
      <c r="G658" s="83"/>
      <c r="H658" s="83"/>
    </row>
    <row r="659" spans="1:8" ht="16" thickBot="1">
      <c r="A659" s="85" t="s">
        <v>3556</v>
      </c>
      <c r="B659" s="85" t="s">
        <v>3260</v>
      </c>
      <c r="C659" s="85" t="s">
        <v>3556</v>
      </c>
      <c r="D659" s="85" t="s">
        <v>3558</v>
      </c>
      <c r="E659" s="86" t="str">
        <f>div_hr_personnel_pos</f>
        <v>Administrative Officer IV</v>
      </c>
      <c r="F659" s="85" t="b">
        <v>1</v>
      </c>
      <c r="G659" s="85"/>
      <c r="H659" s="85"/>
    </row>
    <row r="660" spans="1:8">
      <c r="A660" s="83" t="s">
        <v>3559</v>
      </c>
      <c r="B660" s="83" t="s">
        <v>3555</v>
      </c>
      <c r="C660" s="83" t="s">
        <v>3559</v>
      </c>
      <c r="D660" s="83" t="s">
        <v>3560</v>
      </c>
      <c r="E660" s="84">
        <f>personnel_kinder_sef_prov</f>
        <v>0</v>
      </c>
      <c r="F660" s="83" t="b">
        <v>1</v>
      </c>
      <c r="G660" s="83"/>
      <c r="H660" s="83"/>
    </row>
    <row r="661" spans="1:8">
      <c r="A661" s="83" t="s">
        <v>3561</v>
      </c>
      <c r="B661" s="83" t="s">
        <v>3555</v>
      </c>
      <c r="C661" s="83" t="s">
        <v>3561</v>
      </c>
      <c r="D661" s="83" t="s">
        <v>3562</v>
      </c>
      <c r="E661" s="84">
        <f>personnel_kinder_sef_mun_city</f>
        <v>0</v>
      </c>
      <c r="F661" s="83" t="b">
        <v>1</v>
      </c>
      <c r="G661" s="83"/>
      <c r="H661" s="83"/>
    </row>
    <row r="662" spans="1:8">
      <c r="A662" s="83" t="s">
        <v>3563</v>
      </c>
      <c r="B662" s="83" t="s">
        <v>3555</v>
      </c>
      <c r="C662" s="83" t="s">
        <v>3563</v>
      </c>
      <c r="D662" s="83" t="s">
        <v>3564</v>
      </c>
      <c r="E662" s="84">
        <f>personnel_kinder_lgu</f>
        <v>0</v>
      </c>
      <c r="F662" s="83" t="b">
        <v>1</v>
      </c>
      <c r="G662" s="83"/>
      <c r="H662" s="83"/>
    </row>
    <row r="663" spans="1:8">
      <c r="A663" s="83" t="s">
        <v>3565</v>
      </c>
      <c r="B663" s="83" t="s">
        <v>3555</v>
      </c>
      <c r="C663" s="83" t="s">
        <v>3565</v>
      </c>
      <c r="D663" s="83" t="s">
        <v>3566</v>
      </c>
      <c r="E663" s="84">
        <f>personnel_kinder_others</f>
        <v>0</v>
      </c>
      <c r="F663" s="83" t="b">
        <v>1</v>
      </c>
      <c r="G663" s="83"/>
      <c r="H663" s="83"/>
    </row>
    <row r="664" spans="1:8">
      <c r="A664" s="83" t="s">
        <v>3567</v>
      </c>
      <c r="B664" s="83" t="s">
        <v>3555</v>
      </c>
      <c r="C664" s="83" t="s">
        <v>3567</v>
      </c>
      <c r="D664" s="83" t="s">
        <v>3568</v>
      </c>
      <c r="E664" s="84">
        <f>personnel_elem_sef_prov</f>
        <v>0</v>
      </c>
      <c r="F664" s="83" t="b">
        <v>1</v>
      </c>
      <c r="G664" s="83"/>
      <c r="H664" s="83"/>
    </row>
    <row r="665" spans="1:8">
      <c r="A665" s="83" t="s">
        <v>3569</v>
      </c>
      <c r="B665" s="83" t="s">
        <v>3555</v>
      </c>
      <c r="C665" s="83" t="s">
        <v>3569</v>
      </c>
      <c r="D665" s="83" t="s">
        <v>3570</v>
      </c>
      <c r="E665" s="84">
        <f>personnel_elem_sef_mun_city</f>
        <v>0</v>
      </c>
      <c r="F665" s="83" t="b">
        <v>1</v>
      </c>
      <c r="G665" s="83"/>
      <c r="H665" s="83"/>
    </row>
    <row r="666" spans="1:8">
      <c r="A666" s="83" t="s">
        <v>3571</v>
      </c>
      <c r="B666" s="83" t="s">
        <v>3555</v>
      </c>
      <c r="C666" s="83" t="s">
        <v>3571</v>
      </c>
      <c r="D666" s="83" t="s">
        <v>3572</v>
      </c>
      <c r="E666" s="84">
        <f>personnel_elem_lgu</f>
        <v>0</v>
      </c>
      <c r="F666" s="83" t="b">
        <v>1</v>
      </c>
      <c r="G666" s="83"/>
      <c r="H666" s="83"/>
    </row>
    <row r="667" spans="1:8">
      <c r="A667" s="83" t="s">
        <v>3573</v>
      </c>
      <c r="B667" s="83" t="s">
        <v>3555</v>
      </c>
      <c r="C667" s="83" t="s">
        <v>3573</v>
      </c>
      <c r="D667" s="83" t="s">
        <v>3574</v>
      </c>
      <c r="E667" s="84">
        <f>personnel_elem_others</f>
        <v>0</v>
      </c>
      <c r="F667" s="83" t="b">
        <v>1</v>
      </c>
      <c r="G667" s="83"/>
      <c r="H667" s="83"/>
    </row>
    <row r="668" spans="1:8">
      <c r="A668" s="83" t="s">
        <v>3575</v>
      </c>
      <c r="B668" s="83" t="s">
        <v>3555</v>
      </c>
      <c r="C668" s="83" t="s">
        <v>3575</v>
      </c>
      <c r="D668" s="83" t="s">
        <v>3587</v>
      </c>
      <c r="E668" s="84">
        <f>personnel_kinder_qualified_m</f>
        <v>0</v>
      </c>
      <c r="F668" s="83" t="b">
        <v>1</v>
      </c>
      <c r="G668" s="83"/>
      <c r="H668" s="83"/>
    </row>
    <row r="669" spans="1:8">
      <c r="A669" s="83" t="s">
        <v>3577</v>
      </c>
      <c r="B669" s="83" t="s">
        <v>3555</v>
      </c>
      <c r="C669" s="83" t="s">
        <v>3577</v>
      </c>
      <c r="D669" s="83" t="s">
        <v>3588</v>
      </c>
      <c r="E669" s="84">
        <f>personnel_kinder_qualified_f</f>
        <v>0</v>
      </c>
      <c r="F669" s="83" t="b">
        <v>1</v>
      </c>
      <c r="G669" s="83"/>
      <c r="H669" s="83"/>
    </row>
    <row r="670" spans="1:8">
      <c r="A670" s="83" t="s">
        <v>3579</v>
      </c>
      <c r="B670" s="83" t="s">
        <v>3555</v>
      </c>
      <c r="C670" s="83" t="s">
        <v>3579</v>
      </c>
      <c r="D670" s="83" t="s">
        <v>3589</v>
      </c>
      <c r="E670" s="84">
        <f>personnel_kinder_trained_m</f>
        <v>0</v>
      </c>
      <c r="F670" s="83" t="b">
        <v>1</v>
      </c>
      <c r="G670" s="83"/>
      <c r="H670" s="83"/>
    </row>
    <row r="671" spans="1:8">
      <c r="A671" s="83" t="s">
        <v>3581</v>
      </c>
      <c r="B671" s="83" t="s">
        <v>3555</v>
      </c>
      <c r="C671" s="83" t="s">
        <v>3581</v>
      </c>
      <c r="D671" s="83" t="s">
        <v>3590</v>
      </c>
      <c r="E671" s="84">
        <f>personnel_kinder_trained_f</f>
        <v>0</v>
      </c>
      <c r="F671" s="83" t="b">
        <v>1</v>
      </c>
      <c r="G671" s="83"/>
      <c r="H671" s="83"/>
    </row>
    <row r="672" spans="1:8">
      <c r="A672" s="83" t="s">
        <v>3583</v>
      </c>
      <c r="B672" s="83" t="s">
        <v>3555</v>
      </c>
      <c r="C672" s="83" t="s">
        <v>3583</v>
      </c>
      <c r="D672" s="83" t="s">
        <v>3576</v>
      </c>
      <c r="E672" s="84">
        <f>personnel_elem_alive_qualified_m</f>
        <v>0</v>
      </c>
      <c r="F672" s="83" t="b">
        <v>1</v>
      </c>
      <c r="G672" s="83"/>
      <c r="H672" s="83"/>
    </row>
    <row r="673" spans="1:8">
      <c r="A673" s="83" t="s">
        <v>3584</v>
      </c>
      <c r="B673" s="83" t="s">
        <v>3555</v>
      </c>
      <c r="C673" s="83" t="s">
        <v>3584</v>
      </c>
      <c r="D673" s="83" t="s">
        <v>3578</v>
      </c>
      <c r="E673" s="84">
        <f>personnel_elem_alive_qualified_f</f>
        <v>0</v>
      </c>
      <c r="F673" s="83" t="b">
        <v>1</v>
      </c>
      <c r="G673" s="83"/>
      <c r="H673" s="83"/>
    </row>
    <row r="674" spans="1:8">
      <c r="A674" s="83" t="s">
        <v>3585</v>
      </c>
      <c r="B674" s="83" t="s">
        <v>3555</v>
      </c>
      <c r="C674" s="83" t="s">
        <v>3585</v>
      </c>
      <c r="D674" s="83" t="s">
        <v>3580</v>
      </c>
      <c r="E674" s="84">
        <f>personnel_elem_alive_trained_m</f>
        <v>0</v>
      </c>
      <c r="F674" s="83" t="b">
        <v>1</v>
      </c>
      <c r="G674" s="83"/>
      <c r="H674" s="83"/>
    </row>
    <row r="675" spans="1:8">
      <c r="A675" s="83" t="s">
        <v>3586</v>
      </c>
      <c r="B675" s="83" t="s">
        <v>3555</v>
      </c>
      <c r="C675" s="83" t="s">
        <v>3586</v>
      </c>
      <c r="D675" s="83" t="s">
        <v>3582</v>
      </c>
      <c r="E675" s="84">
        <f>personnel_elem_alive_trained_f</f>
        <v>0</v>
      </c>
      <c r="F675" s="83" t="b">
        <v>1</v>
      </c>
      <c r="G675" s="83"/>
      <c r="H675" s="83"/>
    </row>
    <row r="676" spans="1:8">
      <c r="A676" s="83" t="s">
        <v>3591</v>
      </c>
      <c r="B676" s="83" t="s">
        <v>3555</v>
      </c>
      <c r="C676" s="83" t="s">
        <v>3591</v>
      </c>
      <c r="D676" s="83" t="s">
        <v>3592</v>
      </c>
      <c r="E676" s="84" t="str">
        <f>seps_name</f>
        <v>QUEENIE DARRAH S. TAŇAMOR</v>
      </c>
      <c r="F676" s="83" t="b">
        <v>1</v>
      </c>
      <c r="G676" s="83"/>
      <c r="H676" s="83"/>
    </row>
    <row r="677" spans="1:8">
      <c r="A677" s="83" t="s">
        <v>3593</v>
      </c>
      <c r="B677" s="83" t="s">
        <v>3555</v>
      </c>
      <c r="C677" s="83" t="s">
        <v>3593</v>
      </c>
      <c r="D677" s="83" t="s">
        <v>3595</v>
      </c>
      <c r="E677" s="84">
        <f>personnel_deped_subsi_cont_serv_cos_m</f>
        <v>0</v>
      </c>
      <c r="F677" s="83" t="b">
        <v>1</v>
      </c>
      <c r="G677" s="83"/>
      <c r="H677" s="83"/>
    </row>
    <row r="678" spans="1:8">
      <c r="A678" s="83" t="s">
        <v>3594</v>
      </c>
      <c r="B678" s="83" t="s">
        <v>3555</v>
      </c>
      <c r="C678" s="83" t="s">
        <v>3594</v>
      </c>
      <c r="D678" s="83" t="s">
        <v>3596</v>
      </c>
      <c r="E678" s="84">
        <f>personnel_deped_subsi_cont_serv_cos_f</f>
        <v>0</v>
      </c>
      <c r="F678" s="83" t="b">
        <v>1</v>
      </c>
      <c r="G678" s="83"/>
      <c r="H678" s="83"/>
    </row>
    <row r="679" spans="1:8">
      <c r="A679" s="83" t="s">
        <v>3597</v>
      </c>
      <c r="B679" s="83" t="s">
        <v>3555</v>
      </c>
      <c r="C679" s="83" t="s">
        <v>3597</v>
      </c>
      <c r="D679" s="83" t="s">
        <v>3599</v>
      </c>
      <c r="E679" s="84">
        <f>div_alive_coor_name</f>
        <v>0</v>
      </c>
      <c r="F679" s="83" t="b">
        <v>1</v>
      </c>
      <c r="G679" s="83"/>
      <c r="H679" s="83"/>
    </row>
    <row r="680" spans="1:8" ht="16" thickBot="1">
      <c r="A680" s="85" t="s">
        <v>3598</v>
      </c>
      <c r="B680" s="85" t="s">
        <v>3555</v>
      </c>
      <c r="C680" s="85" t="s">
        <v>3598</v>
      </c>
      <c r="D680" s="85" t="s">
        <v>3600</v>
      </c>
      <c r="E680" s="86">
        <f>div_alive_coor_pos</f>
        <v>0</v>
      </c>
      <c r="F680" s="85" t="b">
        <v>1</v>
      </c>
      <c r="G680" s="85"/>
      <c r="H680" s="85"/>
    </row>
    <row r="681" spans="1:8">
      <c r="A681" s="83" t="s">
        <v>3601</v>
      </c>
      <c r="B681" s="83" t="s">
        <v>3602</v>
      </c>
      <c r="C681" s="83" t="s">
        <v>3601</v>
      </c>
      <c r="D681" s="83" t="s">
        <v>3603</v>
      </c>
      <c r="E681" s="84">
        <f>personnel_nonteach_sp4_psipop</f>
        <v>0</v>
      </c>
      <c r="F681" s="83" t="b">
        <v>1</v>
      </c>
      <c r="G681" s="83"/>
      <c r="H681" s="83"/>
    </row>
    <row r="682" spans="1:8">
      <c r="A682" s="83" t="s">
        <v>3604</v>
      </c>
      <c r="B682" s="83" t="s">
        <v>3602</v>
      </c>
      <c r="C682" s="83" t="s">
        <v>3604</v>
      </c>
      <c r="D682" s="83" t="s">
        <v>3605</v>
      </c>
      <c r="E682" s="84">
        <f>personnel_nonteach_sp4_actual_m</f>
        <v>0</v>
      </c>
      <c r="F682" s="83" t="b">
        <v>1</v>
      </c>
      <c r="G682" s="83"/>
      <c r="H682" s="83"/>
    </row>
    <row r="683" spans="1:8">
      <c r="A683" s="83" t="s">
        <v>3606</v>
      </c>
      <c r="B683" s="83" t="s">
        <v>3602</v>
      </c>
      <c r="C683" s="83" t="s">
        <v>3606</v>
      </c>
      <c r="D683" s="83" t="s">
        <v>3607</v>
      </c>
      <c r="E683" s="84">
        <f>personnel_nonteach_sp4_actual_f</f>
        <v>0</v>
      </c>
      <c r="F683" s="83" t="b">
        <v>1</v>
      </c>
      <c r="G683" s="83"/>
      <c r="H683" s="83"/>
    </row>
    <row r="684" spans="1:8">
      <c r="A684" s="83" t="s">
        <v>3608</v>
      </c>
      <c r="B684" s="83" t="s">
        <v>3602</v>
      </c>
      <c r="C684" s="83" t="s">
        <v>3608</v>
      </c>
      <c r="D684" s="83" t="s">
        <v>3609</v>
      </c>
      <c r="E684" s="84">
        <f>personnel_nonteach_sp4_onleave</f>
        <v>0</v>
      </c>
      <c r="F684" s="83" t="b">
        <v>1</v>
      </c>
      <c r="G684" s="83"/>
      <c r="H684" s="83"/>
    </row>
    <row r="685" spans="1:8">
      <c r="A685" s="83" t="s">
        <v>3610</v>
      </c>
      <c r="B685" s="83" t="s">
        <v>3602</v>
      </c>
      <c r="C685" s="83" t="s">
        <v>3610</v>
      </c>
      <c r="D685" s="83" t="s">
        <v>3611</v>
      </c>
      <c r="E685" s="84">
        <f>personnel_nonteach_sp4_vacant</f>
        <v>0</v>
      </c>
      <c r="F685" s="83" t="b">
        <v>1</v>
      </c>
      <c r="G685" s="83"/>
      <c r="H685" s="83"/>
    </row>
    <row r="686" spans="1:8">
      <c r="A686" s="83" t="s">
        <v>3612</v>
      </c>
      <c r="B686" s="83" t="s">
        <v>3602</v>
      </c>
      <c r="C686" s="83" t="s">
        <v>3612</v>
      </c>
      <c r="D686" s="83" t="s">
        <v>3613</v>
      </c>
      <c r="E686" s="84">
        <f>personnel_nonteach_sp4_detailed_depedoffice</f>
        <v>0</v>
      </c>
      <c r="F686" s="83" t="b">
        <v>1</v>
      </c>
      <c r="G686" s="83"/>
      <c r="H686" s="83"/>
    </row>
    <row r="687" spans="1:8">
      <c r="A687" s="83" t="s">
        <v>3614</v>
      </c>
      <c r="B687" s="83" t="s">
        <v>3602</v>
      </c>
      <c r="C687" s="83" t="s">
        <v>3614</v>
      </c>
      <c r="D687" s="83" t="s">
        <v>3615</v>
      </c>
      <c r="E687" s="84">
        <f>personnel_nonteach_sp4_detailed_hs</f>
        <v>0</v>
      </c>
      <c r="F687" s="83" t="b">
        <v>1</v>
      </c>
      <c r="G687" s="83"/>
      <c r="H687" s="83"/>
    </row>
    <row r="688" spans="1:8">
      <c r="A688" s="83" t="s">
        <v>3616</v>
      </c>
      <c r="B688" s="83" t="s">
        <v>3602</v>
      </c>
      <c r="C688" s="83" t="s">
        <v>3616</v>
      </c>
      <c r="D688" s="83" t="s">
        <v>3617</v>
      </c>
      <c r="E688" s="84">
        <f>personnel_nonteach_sp4_detailed_outdiv</f>
        <v>0</v>
      </c>
      <c r="F688" s="83" t="b">
        <v>1</v>
      </c>
      <c r="G688" s="83"/>
      <c r="H688" s="83"/>
    </row>
    <row r="689" spans="1:8">
      <c r="A689" s="83" t="s">
        <v>3618</v>
      </c>
      <c r="B689" s="83" t="s">
        <v>3602</v>
      </c>
      <c r="C689" s="83" t="s">
        <v>3618</v>
      </c>
      <c r="D689" s="83" t="s">
        <v>3619</v>
      </c>
      <c r="E689" s="84">
        <f>personnel_nonteach_sp4_detailed_othersch_m</f>
        <v>0</v>
      </c>
      <c r="F689" s="83" t="b">
        <v>1</v>
      </c>
      <c r="G689" s="83"/>
      <c r="H689" s="83"/>
    </row>
    <row r="690" spans="1:8">
      <c r="A690" s="83" t="s">
        <v>3620</v>
      </c>
      <c r="B690" s="83" t="s">
        <v>3602</v>
      </c>
      <c r="C690" s="83" t="s">
        <v>3620</v>
      </c>
      <c r="D690" s="83" t="s">
        <v>3621</v>
      </c>
      <c r="E690" s="84">
        <f>personnel_nonteach_sp4_detailed_othersch_f</f>
        <v>0</v>
      </c>
      <c r="F690" s="83" t="b">
        <v>1</v>
      </c>
      <c r="G690" s="83"/>
      <c r="H690" s="83"/>
    </row>
    <row r="691" spans="1:8">
      <c r="A691" s="83" t="s">
        <v>3622</v>
      </c>
      <c r="B691" s="83" t="s">
        <v>3602</v>
      </c>
      <c r="C691" s="83" t="s">
        <v>3622</v>
      </c>
      <c r="D691" s="83" t="s">
        <v>3623</v>
      </c>
      <c r="E691" s="84">
        <f>personnel_nonteach_sp3_psipop</f>
        <v>0</v>
      </c>
      <c r="F691" s="83" t="b">
        <v>1</v>
      </c>
      <c r="G691" s="83"/>
      <c r="H691" s="83"/>
    </row>
    <row r="692" spans="1:8">
      <c r="A692" s="83" t="s">
        <v>3624</v>
      </c>
      <c r="B692" s="83" t="s">
        <v>3602</v>
      </c>
      <c r="C692" s="83" t="s">
        <v>3624</v>
      </c>
      <c r="D692" s="83" t="s">
        <v>3625</v>
      </c>
      <c r="E692" s="84">
        <f>personnel_nonteach_sp3_actual_m</f>
        <v>0</v>
      </c>
      <c r="F692" s="83" t="b">
        <v>1</v>
      </c>
      <c r="G692" s="83"/>
      <c r="H692" s="83"/>
    </row>
    <row r="693" spans="1:8">
      <c r="A693" s="83" t="s">
        <v>3626</v>
      </c>
      <c r="B693" s="83" t="s">
        <v>3602</v>
      </c>
      <c r="C693" s="83" t="s">
        <v>3626</v>
      </c>
      <c r="D693" s="83" t="s">
        <v>3627</v>
      </c>
      <c r="E693" s="84">
        <f>personnel_nonteach_sp3_actual_f</f>
        <v>0</v>
      </c>
      <c r="F693" s="83" t="b">
        <v>1</v>
      </c>
      <c r="G693" s="83"/>
      <c r="H693" s="83"/>
    </row>
    <row r="694" spans="1:8">
      <c r="A694" s="83" t="s">
        <v>3628</v>
      </c>
      <c r="B694" s="83" t="s">
        <v>3602</v>
      </c>
      <c r="C694" s="83" t="s">
        <v>3628</v>
      </c>
      <c r="D694" s="83" t="s">
        <v>3629</v>
      </c>
      <c r="E694" s="84">
        <f>personnel_nonteach_sp3_onleave</f>
        <v>0</v>
      </c>
      <c r="F694" s="83" t="b">
        <v>1</v>
      </c>
      <c r="G694" s="83"/>
      <c r="H694" s="83"/>
    </row>
    <row r="695" spans="1:8">
      <c r="A695" s="83" t="s">
        <v>3630</v>
      </c>
      <c r="B695" s="83" t="s">
        <v>3602</v>
      </c>
      <c r="C695" s="83" t="s">
        <v>3630</v>
      </c>
      <c r="D695" s="83" t="s">
        <v>3631</v>
      </c>
      <c r="E695" s="84">
        <f>personnel_nonteach_sp3_vacant</f>
        <v>0</v>
      </c>
      <c r="F695" s="83" t="b">
        <v>1</v>
      </c>
      <c r="G695" s="83"/>
      <c r="H695" s="83"/>
    </row>
    <row r="696" spans="1:8">
      <c r="A696" s="83" t="s">
        <v>3632</v>
      </c>
      <c r="B696" s="83" t="s">
        <v>3602</v>
      </c>
      <c r="C696" s="83" t="s">
        <v>3632</v>
      </c>
      <c r="D696" s="83" t="s">
        <v>3633</v>
      </c>
      <c r="E696" s="84">
        <f>personnel_nonteach_sp3_detailed_depedoffice</f>
        <v>0</v>
      </c>
      <c r="F696" s="83" t="b">
        <v>1</v>
      </c>
      <c r="G696" s="83"/>
      <c r="H696" s="83"/>
    </row>
    <row r="697" spans="1:8">
      <c r="A697" s="83" t="s">
        <v>3634</v>
      </c>
      <c r="B697" s="83" t="s">
        <v>3602</v>
      </c>
      <c r="C697" s="83" t="s">
        <v>3634</v>
      </c>
      <c r="D697" s="83" t="s">
        <v>3635</v>
      </c>
      <c r="E697" s="84">
        <f>personnel_nonteach_sp3_detailed_hs</f>
        <v>0</v>
      </c>
      <c r="F697" s="83" t="b">
        <v>1</v>
      </c>
      <c r="G697" s="83"/>
      <c r="H697" s="83"/>
    </row>
    <row r="698" spans="1:8">
      <c r="A698" s="83" t="s">
        <v>3636</v>
      </c>
      <c r="B698" s="83" t="s">
        <v>3602</v>
      </c>
      <c r="C698" s="83" t="s">
        <v>3636</v>
      </c>
      <c r="D698" s="83" t="s">
        <v>3637</v>
      </c>
      <c r="E698" s="84">
        <f>personnel_nonteach_sp3_detailed_outdiv</f>
        <v>0</v>
      </c>
      <c r="F698" s="83" t="b">
        <v>1</v>
      </c>
      <c r="G698" s="83"/>
      <c r="H698" s="83"/>
    </row>
    <row r="699" spans="1:8">
      <c r="A699" s="83" t="s">
        <v>3638</v>
      </c>
      <c r="B699" s="83" t="s">
        <v>3602</v>
      </c>
      <c r="C699" s="83" t="s">
        <v>3638</v>
      </c>
      <c r="D699" s="83" t="s">
        <v>3639</v>
      </c>
      <c r="E699" s="84">
        <f>personnel_nonteach_sp3_detailed_othersch_m</f>
        <v>0</v>
      </c>
      <c r="F699" s="83" t="b">
        <v>1</v>
      </c>
      <c r="G699" s="83"/>
      <c r="H699" s="83"/>
    </row>
    <row r="700" spans="1:8">
      <c r="A700" s="83" t="s">
        <v>3640</v>
      </c>
      <c r="B700" s="83" t="s">
        <v>3602</v>
      </c>
      <c r="C700" s="83" t="s">
        <v>3640</v>
      </c>
      <c r="D700" s="83" t="s">
        <v>3641</v>
      </c>
      <c r="E700" s="84">
        <f>personnel_nonteach_sp3_detailed_othersch_f</f>
        <v>0</v>
      </c>
      <c r="F700" s="83" t="b">
        <v>1</v>
      </c>
      <c r="G700" s="83"/>
      <c r="H700" s="83"/>
    </row>
    <row r="701" spans="1:8">
      <c r="A701" s="83" t="s">
        <v>3642</v>
      </c>
      <c r="B701" s="83" t="s">
        <v>3602</v>
      </c>
      <c r="C701" s="83" t="s">
        <v>3642</v>
      </c>
      <c r="D701" s="83" t="s">
        <v>3643</v>
      </c>
      <c r="E701" s="84">
        <f>personnel_nonteach_sp2_psipop</f>
        <v>1</v>
      </c>
      <c r="F701" s="83" t="b">
        <v>1</v>
      </c>
      <c r="G701" s="83"/>
      <c r="H701" s="83"/>
    </row>
    <row r="702" spans="1:8">
      <c r="A702" s="83" t="s">
        <v>3644</v>
      </c>
      <c r="B702" s="83" t="s">
        <v>3602</v>
      </c>
      <c r="C702" s="83" t="s">
        <v>3644</v>
      </c>
      <c r="D702" s="83" t="s">
        <v>3645</v>
      </c>
      <c r="E702" s="84">
        <f>personnel_nonteach_sp2_actual_m</f>
        <v>1</v>
      </c>
      <c r="F702" s="83" t="b">
        <v>1</v>
      </c>
      <c r="G702" s="83"/>
      <c r="H702" s="83"/>
    </row>
    <row r="703" spans="1:8">
      <c r="A703" s="83" t="s">
        <v>3646</v>
      </c>
      <c r="B703" s="83" t="s">
        <v>3602</v>
      </c>
      <c r="C703" s="83" t="s">
        <v>3646</v>
      </c>
      <c r="D703" s="83" t="s">
        <v>3647</v>
      </c>
      <c r="E703" s="84">
        <f>personnel_nonteach_sp2_actual_f</f>
        <v>0</v>
      </c>
      <c r="F703" s="83" t="b">
        <v>1</v>
      </c>
      <c r="G703" s="83"/>
      <c r="H703" s="83"/>
    </row>
    <row r="704" spans="1:8">
      <c r="A704" s="83" t="s">
        <v>3648</v>
      </c>
      <c r="B704" s="83" t="s">
        <v>3602</v>
      </c>
      <c r="C704" s="83" t="s">
        <v>3648</v>
      </c>
      <c r="D704" s="83" t="s">
        <v>3649</v>
      </c>
      <c r="E704" s="84">
        <f>personnel_nonteach_sp2_onleave</f>
        <v>0</v>
      </c>
      <c r="F704" s="83" t="b">
        <v>1</v>
      </c>
      <c r="G704" s="83"/>
      <c r="H704" s="83"/>
    </row>
    <row r="705" spans="1:8">
      <c r="A705" s="83" t="s">
        <v>3650</v>
      </c>
      <c r="B705" s="83" t="s">
        <v>3602</v>
      </c>
      <c r="C705" s="83" t="s">
        <v>3650</v>
      </c>
      <c r="D705" s="83" t="s">
        <v>3651</v>
      </c>
      <c r="E705" s="84">
        <f>personnel_nonteach_sp2_vacant</f>
        <v>0</v>
      </c>
      <c r="F705" s="83" t="b">
        <v>1</v>
      </c>
      <c r="G705" s="83"/>
      <c r="H705" s="83"/>
    </row>
    <row r="706" spans="1:8">
      <c r="A706" s="83" t="s">
        <v>3652</v>
      </c>
      <c r="B706" s="83" t="s">
        <v>3602</v>
      </c>
      <c r="C706" s="83" t="s">
        <v>3652</v>
      </c>
      <c r="D706" s="83" t="s">
        <v>3653</v>
      </c>
      <c r="E706" s="84">
        <f>personnel_nonteach_sp2_detailed_depedoffice</f>
        <v>0</v>
      </c>
      <c r="F706" s="83" t="b">
        <v>1</v>
      </c>
      <c r="G706" s="83"/>
      <c r="H706" s="83"/>
    </row>
    <row r="707" spans="1:8">
      <c r="A707" s="83" t="s">
        <v>3654</v>
      </c>
      <c r="B707" s="83" t="s">
        <v>3602</v>
      </c>
      <c r="C707" s="83" t="s">
        <v>3654</v>
      </c>
      <c r="D707" s="83" t="s">
        <v>3655</v>
      </c>
      <c r="E707" s="84">
        <f>personnel_nonteach_sp2_detailed_hs</f>
        <v>0</v>
      </c>
      <c r="F707" s="83" t="b">
        <v>1</v>
      </c>
      <c r="G707" s="83"/>
      <c r="H707" s="83"/>
    </row>
    <row r="708" spans="1:8">
      <c r="A708" s="83" t="s">
        <v>3656</v>
      </c>
      <c r="B708" s="83" t="s">
        <v>3602</v>
      </c>
      <c r="C708" s="83" t="s">
        <v>3656</v>
      </c>
      <c r="D708" s="83" t="s">
        <v>3657</v>
      </c>
      <c r="E708" s="84">
        <f>personnel_nonteach_sp2_detailed_outdiv</f>
        <v>0</v>
      </c>
      <c r="F708" s="83" t="b">
        <v>1</v>
      </c>
      <c r="G708" s="83"/>
      <c r="H708" s="83"/>
    </row>
    <row r="709" spans="1:8">
      <c r="A709" s="83" t="s">
        <v>3658</v>
      </c>
      <c r="B709" s="83" t="s">
        <v>3602</v>
      </c>
      <c r="C709" s="83" t="s">
        <v>3658</v>
      </c>
      <c r="D709" s="83" t="s">
        <v>3659</v>
      </c>
      <c r="E709" s="84">
        <f>personnel_nonteach_sp2_detailed_othersch_m</f>
        <v>0</v>
      </c>
      <c r="F709" s="83" t="b">
        <v>1</v>
      </c>
      <c r="G709" s="83"/>
      <c r="H709" s="83"/>
    </row>
    <row r="710" spans="1:8">
      <c r="A710" s="83" t="s">
        <v>3660</v>
      </c>
      <c r="B710" s="83" t="s">
        <v>3602</v>
      </c>
      <c r="C710" s="83" t="s">
        <v>3660</v>
      </c>
      <c r="D710" s="83" t="s">
        <v>3661</v>
      </c>
      <c r="E710" s="84">
        <f>personnel_nonteach_sp2_detailed_othersch_f</f>
        <v>0</v>
      </c>
      <c r="F710" s="83" t="b">
        <v>1</v>
      </c>
      <c r="G710" s="83"/>
      <c r="H710" s="83"/>
    </row>
    <row r="711" spans="1:8">
      <c r="A711" s="83" t="s">
        <v>3662</v>
      </c>
      <c r="B711" s="83" t="s">
        <v>3602</v>
      </c>
      <c r="C711" s="83" t="s">
        <v>3662</v>
      </c>
      <c r="D711" s="83" t="s">
        <v>3663</v>
      </c>
      <c r="E711" s="84">
        <f>personnel_nonteach_sp1_psipop</f>
        <v>0</v>
      </c>
      <c r="F711" s="83" t="b">
        <v>1</v>
      </c>
      <c r="G711" s="83"/>
      <c r="H711" s="83"/>
    </row>
    <row r="712" spans="1:8">
      <c r="A712" s="83" t="s">
        <v>3664</v>
      </c>
      <c r="B712" s="83" t="s">
        <v>3602</v>
      </c>
      <c r="C712" s="83" t="s">
        <v>3664</v>
      </c>
      <c r="D712" s="83" t="s">
        <v>3665</v>
      </c>
      <c r="E712" s="84">
        <f>personnel_nonteach_sp1_actual_m</f>
        <v>0</v>
      </c>
      <c r="F712" s="83" t="b">
        <v>1</v>
      </c>
      <c r="G712" s="83"/>
      <c r="H712" s="83"/>
    </row>
    <row r="713" spans="1:8">
      <c r="A713" s="83" t="s">
        <v>3666</v>
      </c>
      <c r="B713" s="83" t="s">
        <v>3602</v>
      </c>
      <c r="C713" s="83" t="s">
        <v>3666</v>
      </c>
      <c r="D713" s="83" t="s">
        <v>3667</v>
      </c>
      <c r="E713" s="84">
        <f>personnel_nonteach_sp1_actual_f</f>
        <v>0</v>
      </c>
      <c r="F713" s="83" t="b">
        <v>1</v>
      </c>
      <c r="G713" s="83"/>
      <c r="H713" s="83"/>
    </row>
    <row r="714" spans="1:8">
      <c r="A714" s="83" t="s">
        <v>3668</v>
      </c>
      <c r="B714" s="83" t="s">
        <v>3602</v>
      </c>
      <c r="C714" s="83" t="s">
        <v>3668</v>
      </c>
      <c r="D714" s="83" t="s">
        <v>3669</v>
      </c>
      <c r="E714" s="84">
        <f>personnel_nonteach_sp1_onleave</f>
        <v>0</v>
      </c>
      <c r="F714" s="83" t="b">
        <v>1</v>
      </c>
      <c r="G714" s="83"/>
      <c r="H714" s="83"/>
    </row>
    <row r="715" spans="1:8">
      <c r="A715" s="83" t="s">
        <v>3670</v>
      </c>
      <c r="B715" s="83" t="s">
        <v>3602</v>
      </c>
      <c r="C715" s="83" t="s">
        <v>3670</v>
      </c>
      <c r="D715" s="83" t="s">
        <v>3671</v>
      </c>
      <c r="E715" s="84">
        <f>personnel_nonteach_sp1_vacant</f>
        <v>0</v>
      </c>
      <c r="F715" s="83" t="b">
        <v>1</v>
      </c>
      <c r="G715" s="83"/>
      <c r="H715" s="83"/>
    </row>
    <row r="716" spans="1:8">
      <c r="A716" s="83" t="s">
        <v>3672</v>
      </c>
      <c r="B716" s="83" t="s">
        <v>3602</v>
      </c>
      <c r="C716" s="83" t="s">
        <v>3672</v>
      </c>
      <c r="D716" s="83" t="s">
        <v>3673</v>
      </c>
      <c r="E716" s="84">
        <f>personnel_nonteach_sp1_detailed_depedoffice</f>
        <v>0</v>
      </c>
      <c r="F716" s="83" t="b">
        <v>1</v>
      </c>
      <c r="G716" s="83"/>
      <c r="H716" s="83"/>
    </row>
    <row r="717" spans="1:8">
      <c r="A717" s="83" t="s">
        <v>3674</v>
      </c>
      <c r="B717" s="83" t="s">
        <v>3602</v>
      </c>
      <c r="C717" s="83" t="s">
        <v>3674</v>
      </c>
      <c r="D717" s="83" t="s">
        <v>3675</v>
      </c>
      <c r="E717" s="84">
        <f>personnel_nonteach_sp1_detailed_hs</f>
        <v>0</v>
      </c>
      <c r="F717" s="83" t="b">
        <v>1</v>
      </c>
      <c r="G717" s="83"/>
      <c r="H717" s="83"/>
    </row>
    <row r="718" spans="1:8">
      <c r="A718" s="83" t="s">
        <v>3676</v>
      </c>
      <c r="B718" s="83" t="s">
        <v>3602</v>
      </c>
      <c r="C718" s="83" t="s">
        <v>3676</v>
      </c>
      <c r="D718" s="83" t="s">
        <v>3677</v>
      </c>
      <c r="E718" s="84">
        <f>personnel_nonteach_sp1_detailed_outdiv</f>
        <v>0</v>
      </c>
      <c r="F718" s="83" t="b">
        <v>1</v>
      </c>
      <c r="G718" s="83"/>
      <c r="H718" s="83"/>
    </row>
    <row r="719" spans="1:8">
      <c r="A719" s="83" t="s">
        <v>3678</v>
      </c>
      <c r="B719" s="83" t="s">
        <v>3602</v>
      </c>
      <c r="C719" s="83" t="s">
        <v>3678</v>
      </c>
      <c r="D719" s="83" t="s">
        <v>3679</v>
      </c>
      <c r="E719" s="84">
        <f>personnel_nonteach_sp1_detailed_othersch_m</f>
        <v>0</v>
      </c>
      <c r="F719" s="83" t="b">
        <v>1</v>
      </c>
      <c r="G719" s="83"/>
      <c r="H719" s="83"/>
    </row>
    <row r="720" spans="1:8">
      <c r="A720" s="83" t="s">
        <v>3680</v>
      </c>
      <c r="B720" s="83" t="s">
        <v>3602</v>
      </c>
      <c r="C720" s="83" t="s">
        <v>3680</v>
      </c>
      <c r="D720" s="83" t="s">
        <v>3681</v>
      </c>
      <c r="E720" s="84">
        <f>personnel_nonteach_sp1_detailed_othersch_f</f>
        <v>0</v>
      </c>
      <c r="F720" s="83" t="b">
        <v>1</v>
      </c>
      <c r="G720" s="83"/>
      <c r="H720" s="83"/>
    </row>
    <row r="721" spans="1:8">
      <c r="A721" s="83" t="s">
        <v>3682</v>
      </c>
      <c r="B721" s="83" t="s">
        <v>3602</v>
      </c>
      <c r="C721" s="83" t="s">
        <v>3682</v>
      </c>
      <c r="D721" s="83" t="s">
        <v>3683</v>
      </c>
      <c r="E721" s="84">
        <f>personnel_nonteach_ht6_psipop</f>
        <v>0</v>
      </c>
      <c r="F721" s="83" t="b">
        <v>1</v>
      </c>
      <c r="G721" s="83"/>
      <c r="H721" s="83"/>
    </row>
    <row r="722" spans="1:8">
      <c r="A722" s="83" t="s">
        <v>3684</v>
      </c>
      <c r="B722" s="83" t="s">
        <v>3602</v>
      </c>
      <c r="C722" s="83" t="s">
        <v>3684</v>
      </c>
      <c r="D722" s="83" t="s">
        <v>3685</v>
      </c>
      <c r="E722" s="84">
        <f>personnel_nonteach_ht6_actual_m</f>
        <v>0</v>
      </c>
      <c r="F722" s="83" t="b">
        <v>1</v>
      </c>
      <c r="G722" s="83"/>
      <c r="H722" s="83"/>
    </row>
    <row r="723" spans="1:8">
      <c r="A723" s="83" t="s">
        <v>3686</v>
      </c>
      <c r="B723" s="83" t="s">
        <v>3602</v>
      </c>
      <c r="C723" s="83" t="s">
        <v>3686</v>
      </c>
      <c r="D723" s="83" t="s">
        <v>3687</v>
      </c>
      <c r="E723" s="84">
        <f>personnel_nonteach_ht6_actual_f</f>
        <v>0</v>
      </c>
      <c r="F723" s="83" t="b">
        <v>1</v>
      </c>
      <c r="G723" s="83"/>
      <c r="H723" s="83"/>
    </row>
    <row r="724" spans="1:8">
      <c r="A724" s="83" t="s">
        <v>3688</v>
      </c>
      <c r="B724" s="83" t="s">
        <v>3602</v>
      </c>
      <c r="C724" s="83" t="s">
        <v>3688</v>
      </c>
      <c r="D724" s="83" t="s">
        <v>3689</v>
      </c>
      <c r="E724" s="84">
        <f>personnel_nonteach_ht6_onleave</f>
        <v>0</v>
      </c>
      <c r="F724" s="83" t="b">
        <v>1</v>
      </c>
      <c r="G724" s="83"/>
      <c r="H724" s="83"/>
    </row>
    <row r="725" spans="1:8">
      <c r="A725" s="83" t="s">
        <v>3690</v>
      </c>
      <c r="B725" s="83" t="s">
        <v>3602</v>
      </c>
      <c r="C725" s="83" t="s">
        <v>3690</v>
      </c>
      <c r="D725" s="83" t="s">
        <v>3691</v>
      </c>
      <c r="E725" s="84">
        <f>personnel_nonteach_ht6_vacant</f>
        <v>0</v>
      </c>
      <c r="F725" s="83" t="b">
        <v>1</v>
      </c>
      <c r="G725" s="83"/>
      <c r="H725" s="83"/>
    </row>
    <row r="726" spans="1:8">
      <c r="A726" s="83" t="s">
        <v>3692</v>
      </c>
      <c r="B726" s="83" t="s">
        <v>3602</v>
      </c>
      <c r="C726" s="83" t="s">
        <v>3692</v>
      </c>
      <c r="D726" s="83" t="s">
        <v>3693</v>
      </c>
      <c r="E726" s="84">
        <f>personnel_nonteach_ht6_detailed_depedoffice</f>
        <v>0</v>
      </c>
      <c r="F726" s="83" t="b">
        <v>1</v>
      </c>
      <c r="G726" s="83"/>
      <c r="H726" s="83"/>
    </row>
    <row r="727" spans="1:8">
      <c r="A727" s="83" t="s">
        <v>3694</v>
      </c>
      <c r="B727" s="83" t="s">
        <v>3602</v>
      </c>
      <c r="C727" s="83" t="s">
        <v>3694</v>
      </c>
      <c r="D727" s="83" t="s">
        <v>3695</v>
      </c>
      <c r="E727" s="84">
        <f>personnel_nonteach_ht6_detailed_hs</f>
        <v>0</v>
      </c>
      <c r="F727" s="83" t="b">
        <v>1</v>
      </c>
      <c r="G727" s="83"/>
      <c r="H727" s="83"/>
    </row>
    <row r="728" spans="1:8">
      <c r="A728" s="83" t="s">
        <v>3696</v>
      </c>
      <c r="B728" s="83" t="s">
        <v>3602</v>
      </c>
      <c r="C728" s="83" t="s">
        <v>3696</v>
      </c>
      <c r="D728" s="83" t="s">
        <v>3697</v>
      </c>
      <c r="E728" s="84">
        <f>personnel_nonteach_ht6_detailed_outdiv</f>
        <v>0</v>
      </c>
      <c r="F728" s="83" t="b">
        <v>1</v>
      </c>
      <c r="G728" s="83"/>
      <c r="H728" s="83"/>
    </row>
    <row r="729" spans="1:8">
      <c r="A729" s="83" t="s">
        <v>3698</v>
      </c>
      <c r="B729" s="83" t="s">
        <v>3602</v>
      </c>
      <c r="C729" s="83" t="s">
        <v>3698</v>
      </c>
      <c r="D729" s="83" t="s">
        <v>3699</v>
      </c>
      <c r="E729" s="84">
        <f>personnel_nonteach_ht6_detailed_othersch_m</f>
        <v>0</v>
      </c>
      <c r="F729" s="83" t="b">
        <v>1</v>
      </c>
      <c r="G729" s="83"/>
      <c r="H729" s="83"/>
    </row>
    <row r="730" spans="1:8">
      <c r="A730" s="83" t="s">
        <v>3700</v>
      </c>
      <c r="B730" s="83" t="s">
        <v>3602</v>
      </c>
      <c r="C730" s="83" t="s">
        <v>3700</v>
      </c>
      <c r="D730" s="83" t="s">
        <v>3701</v>
      </c>
      <c r="E730" s="84">
        <f>personnel_nonteach_ht6_detailed_othersch_f</f>
        <v>0</v>
      </c>
      <c r="F730" s="83" t="b">
        <v>1</v>
      </c>
      <c r="G730" s="83"/>
      <c r="H730" s="83"/>
    </row>
    <row r="731" spans="1:8">
      <c r="A731" s="83" t="s">
        <v>3702</v>
      </c>
      <c r="B731" s="83" t="s">
        <v>3602</v>
      </c>
      <c r="C731" s="83" t="s">
        <v>3702</v>
      </c>
      <c r="D731" s="83" t="s">
        <v>3703</v>
      </c>
      <c r="E731" s="84">
        <f>personnel_nonteach_ht5_psipop</f>
        <v>0</v>
      </c>
      <c r="F731" s="83" t="b">
        <v>1</v>
      </c>
      <c r="G731" s="83"/>
      <c r="H731" s="83"/>
    </row>
    <row r="732" spans="1:8">
      <c r="A732" s="83" t="s">
        <v>3704</v>
      </c>
      <c r="B732" s="83" t="s">
        <v>3602</v>
      </c>
      <c r="C732" s="83" t="s">
        <v>3704</v>
      </c>
      <c r="D732" s="83" t="s">
        <v>3705</v>
      </c>
      <c r="E732" s="84">
        <f>personnel_nonteach_ht5_actual_m</f>
        <v>0</v>
      </c>
      <c r="F732" s="83" t="b">
        <v>1</v>
      </c>
      <c r="G732" s="83"/>
      <c r="H732" s="83"/>
    </row>
    <row r="733" spans="1:8">
      <c r="A733" s="83" t="s">
        <v>3706</v>
      </c>
      <c r="B733" s="83" t="s">
        <v>3602</v>
      </c>
      <c r="C733" s="83" t="s">
        <v>3706</v>
      </c>
      <c r="D733" s="83" t="s">
        <v>3707</v>
      </c>
      <c r="E733" s="84">
        <f>personnel_nonteach_ht5_actual_f</f>
        <v>0</v>
      </c>
      <c r="F733" s="83" t="b">
        <v>1</v>
      </c>
      <c r="G733" s="83"/>
      <c r="H733" s="83"/>
    </row>
    <row r="734" spans="1:8">
      <c r="A734" s="83" t="s">
        <v>3708</v>
      </c>
      <c r="B734" s="83" t="s">
        <v>3602</v>
      </c>
      <c r="C734" s="83" t="s">
        <v>3708</v>
      </c>
      <c r="D734" s="83" t="s">
        <v>3709</v>
      </c>
      <c r="E734" s="84">
        <f>personnel_nonteach_ht5_onleave</f>
        <v>0</v>
      </c>
      <c r="F734" s="83" t="b">
        <v>1</v>
      </c>
      <c r="G734" s="83"/>
      <c r="H734" s="83"/>
    </row>
    <row r="735" spans="1:8">
      <c r="A735" s="83" t="s">
        <v>3710</v>
      </c>
      <c r="B735" s="83" t="s">
        <v>3602</v>
      </c>
      <c r="C735" s="83" t="s">
        <v>3710</v>
      </c>
      <c r="D735" s="83" t="s">
        <v>3711</v>
      </c>
      <c r="E735" s="84">
        <f>personnel_nonteach_ht5_vacant</f>
        <v>0</v>
      </c>
      <c r="F735" s="83" t="b">
        <v>1</v>
      </c>
      <c r="G735" s="83"/>
      <c r="H735" s="83"/>
    </row>
    <row r="736" spans="1:8">
      <c r="A736" s="83" t="s">
        <v>3712</v>
      </c>
      <c r="B736" s="83" t="s">
        <v>3602</v>
      </c>
      <c r="C736" s="83" t="s">
        <v>3712</v>
      </c>
      <c r="D736" s="83" t="s">
        <v>3713</v>
      </c>
      <c r="E736" s="84">
        <f>personnel_nonteach_ht5_detailed_depedoffice</f>
        <v>0</v>
      </c>
      <c r="F736" s="83" t="b">
        <v>1</v>
      </c>
      <c r="G736" s="83"/>
      <c r="H736" s="83"/>
    </row>
    <row r="737" spans="1:8">
      <c r="A737" s="83" t="s">
        <v>3714</v>
      </c>
      <c r="B737" s="83" t="s">
        <v>3602</v>
      </c>
      <c r="C737" s="83" t="s">
        <v>3714</v>
      </c>
      <c r="D737" s="83" t="s">
        <v>3715</v>
      </c>
      <c r="E737" s="84">
        <f>personnel_nonteach_ht5_detailed_hs</f>
        <v>0</v>
      </c>
      <c r="F737" s="83" t="b">
        <v>1</v>
      </c>
      <c r="G737" s="83"/>
      <c r="H737" s="83"/>
    </row>
    <row r="738" spans="1:8">
      <c r="A738" s="83" t="s">
        <v>3716</v>
      </c>
      <c r="B738" s="83" t="s">
        <v>3602</v>
      </c>
      <c r="C738" s="83" t="s">
        <v>3716</v>
      </c>
      <c r="D738" s="83" t="s">
        <v>3717</v>
      </c>
      <c r="E738" s="84">
        <f>personnel_nonteach_ht5_detailed_outdiv</f>
        <v>0</v>
      </c>
      <c r="F738" s="83" t="b">
        <v>1</v>
      </c>
      <c r="G738" s="83"/>
      <c r="H738" s="83"/>
    </row>
    <row r="739" spans="1:8">
      <c r="A739" s="83" t="s">
        <v>3718</v>
      </c>
      <c r="B739" s="83" t="s">
        <v>3602</v>
      </c>
      <c r="C739" s="83" t="s">
        <v>3718</v>
      </c>
      <c r="D739" s="83" t="s">
        <v>3719</v>
      </c>
      <c r="E739" s="84">
        <f>personnel_nonteach_ht5_detailed_othersch_m</f>
        <v>0</v>
      </c>
      <c r="F739" s="83" t="b">
        <v>1</v>
      </c>
      <c r="G739" s="83"/>
      <c r="H739" s="83"/>
    </row>
    <row r="740" spans="1:8">
      <c r="A740" s="83" t="s">
        <v>3720</v>
      </c>
      <c r="B740" s="83" t="s">
        <v>3602</v>
      </c>
      <c r="C740" s="83" t="s">
        <v>3720</v>
      </c>
      <c r="D740" s="83" t="s">
        <v>3721</v>
      </c>
      <c r="E740" s="84">
        <f>personnel_nonteach_ht5_detailed_othersch_f</f>
        <v>0</v>
      </c>
      <c r="F740" s="83" t="b">
        <v>1</v>
      </c>
      <c r="G740" s="83"/>
      <c r="H740" s="83"/>
    </row>
    <row r="741" spans="1:8">
      <c r="A741" s="83" t="s">
        <v>3722</v>
      </c>
      <c r="B741" s="83" t="s">
        <v>3602</v>
      </c>
      <c r="C741" s="83" t="s">
        <v>3722</v>
      </c>
      <c r="D741" s="83" t="s">
        <v>3723</v>
      </c>
      <c r="E741" s="84">
        <f>personnel_nonteach_ht4_psipop</f>
        <v>0</v>
      </c>
      <c r="F741" s="83" t="b">
        <v>1</v>
      </c>
      <c r="G741" s="83"/>
      <c r="H741" s="83"/>
    </row>
    <row r="742" spans="1:8">
      <c r="A742" s="83" t="s">
        <v>3724</v>
      </c>
      <c r="B742" s="83" t="s">
        <v>3602</v>
      </c>
      <c r="C742" s="83" t="s">
        <v>3724</v>
      </c>
      <c r="D742" s="83" t="s">
        <v>3725</v>
      </c>
      <c r="E742" s="84">
        <f>personnel_nonteach_ht4_actual_m</f>
        <v>0</v>
      </c>
      <c r="F742" s="83" t="b">
        <v>1</v>
      </c>
      <c r="G742" s="83"/>
      <c r="H742" s="83"/>
    </row>
    <row r="743" spans="1:8">
      <c r="A743" s="83" t="s">
        <v>3726</v>
      </c>
      <c r="B743" s="83" t="s">
        <v>3602</v>
      </c>
      <c r="C743" s="83" t="s">
        <v>3726</v>
      </c>
      <c r="D743" s="83" t="s">
        <v>3727</v>
      </c>
      <c r="E743" s="84">
        <f>personnel_nonteach_ht4_actual_f</f>
        <v>0</v>
      </c>
      <c r="F743" s="83" t="b">
        <v>1</v>
      </c>
      <c r="G743" s="83"/>
      <c r="H743" s="83"/>
    </row>
    <row r="744" spans="1:8">
      <c r="A744" s="83" t="s">
        <v>3728</v>
      </c>
      <c r="B744" s="83" t="s">
        <v>3602</v>
      </c>
      <c r="C744" s="83" t="s">
        <v>3728</v>
      </c>
      <c r="D744" s="83" t="s">
        <v>3729</v>
      </c>
      <c r="E744" s="84">
        <f>personnel_nonteach_ht4_onleave</f>
        <v>0</v>
      </c>
      <c r="F744" s="83" t="b">
        <v>1</v>
      </c>
      <c r="G744" s="83"/>
      <c r="H744" s="83"/>
    </row>
    <row r="745" spans="1:8">
      <c r="A745" s="83" t="s">
        <v>3730</v>
      </c>
      <c r="B745" s="83" t="s">
        <v>3602</v>
      </c>
      <c r="C745" s="83" t="s">
        <v>3730</v>
      </c>
      <c r="D745" s="83" t="s">
        <v>3731</v>
      </c>
      <c r="E745" s="84">
        <f>personnel_nonteach_ht4_vacant</f>
        <v>0</v>
      </c>
      <c r="F745" s="83" t="b">
        <v>1</v>
      </c>
      <c r="G745" s="83"/>
      <c r="H745" s="83"/>
    </row>
    <row r="746" spans="1:8">
      <c r="A746" s="83" t="s">
        <v>3732</v>
      </c>
      <c r="B746" s="83" t="s">
        <v>3602</v>
      </c>
      <c r="C746" s="83" t="s">
        <v>3732</v>
      </c>
      <c r="D746" s="83" t="s">
        <v>3733</v>
      </c>
      <c r="E746" s="84">
        <f>personnel_nonteach_ht4_detailed_depedoffice</f>
        <v>0</v>
      </c>
      <c r="F746" s="83" t="b">
        <v>1</v>
      </c>
      <c r="G746" s="83"/>
      <c r="H746" s="83"/>
    </row>
    <row r="747" spans="1:8">
      <c r="A747" s="83" t="s">
        <v>3734</v>
      </c>
      <c r="B747" s="83" t="s">
        <v>3602</v>
      </c>
      <c r="C747" s="83" t="s">
        <v>3734</v>
      </c>
      <c r="D747" s="83" t="s">
        <v>3735</v>
      </c>
      <c r="E747" s="84">
        <f>personnel_nonteach_ht4_detailed_hs</f>
        <v>0</v>
      </c>
      <c r="F747" s="83" t="b">
        <v>1</v>
      </c>
      <c r="G747" s="83"/>
      <c r="H747" s="83"/>
    </row>
    <row r="748" spans="1:8">
      <c r="A748" s="83" t="s">
        <v>3736</v>
      </c>
      <c r="B748" s="83" t="s">
        <v>3602</v>
      </c>
      <c r="C748" s="83" t="s">
        <v>3736</v>
      </c>
      <c r="D748" s="83" t="s">
        <v>3737</v>
      </c>
      <c r="E748" s="84">
        <f>personnel_nonteach_ht4_detailed_outdiv</f>
        <v>0</v>
      </c>
      <c r="F748" s="83" t="b">
        <v>1</v>
      </c>
      <c r="G748" s="83"/>
      <c r="H748" s="83"/>
    </row>
    <row r="749" spans="1:8">
      <c r="A749" s="83" t="s">
        <v>3738</v>
      </c>
      <c r="B749" s="83" t="s">
        <v>3602</v>
      </c>
      <c r="C749" s="83" t="s">
        <v>3738</v>
      </c>
      <c r="D749" s="83" t="s">
        <v>3739</v>
      </c>
      <c r="E749" s="84">
        <f>personnel_nonteach_ht4_detailed_othersch_m</f>
        <v>0</v>
      </c>
      <c r="F749" s="83" t="b">
        <v>1</v>
      </c>
      <c r="G749" s="83"/>
      <c r="H749" s="83"/>
    </row>
    <row r="750" spans="1:8">
      <c r="A750" s="83" t="s">
        <v>3740</v>
      </c>
      <c r="B750" s="83" t="s">
        <v>3602</v>
      </c>
      <c r="C750" s="83" t="s">
        <v>3740</v>
      </c>
      <c r="D750" s="83" t="s">
        <v>3741</v>
      </c>
      <c r="E750" s="84">
        <f>personnel_nonteach_ht4_detailed_othersch_f</f>
        <v>0</v>
      </c>
      <c r="F750" s="83" t="b">
        <v>1</v>
      </c>
      <c r="G750" s="83"/>
      <c r="H750" s="83"/>
    </row>
    <row r="751" spans="1:8">
      <c r="A751" s="83" t="s">
        <v>3742</v>
      </c>
      <c r="B751" s="83" t="s">
        <v>3602</v>
      </c>
      <c r="C751" s="83" t="s">
        <v>3742</v>
      </c>
      <c r="D751" s="83" t="s">
        <v>3743</v>
      </c>
      <c r="E751" s="84">
        <f>personnel_nonteach_ht3_psipop</f>
        <v>0</v>
      </c>
      <c r="F751" s="83" t="b">
        <v>1</v>
      </c>
      <c r="G751" s="83"/>
      <c r="H751" s="83"/>
    </row>
    <row r="752" spans="1:8">
      <c r="A752" s="83" t="s">
        <v>3744</v>
      </c>
      <c r="B752" s="83" t="s">
        <v>3602</v>
      </c>
      <c r="C752" s="83" t="s">
        <v>3744</v>
      </c>
      <c r="D752" s="83" t="s">
        <v>3745</v>
      </c>
      <c r="E752" s="84">
        <f>personnel_nonteach_ht3_actual_m</f>
        <v>0</v>
      </c>
      <c r="F752" s="83" t="b">
        <v>1</v>
      </c>
      <c r="G752" s="83"/>
      <c r="H752" s="83"/>
    </row>
    <row r="753" spans="1:8">
      <c r="A753" s="83" t="s">
        <v>3746</v>
      </c>
      <c r="B753" s="83" t="s">
        <v>3602</v>
      </c>
      <c r="C753" s="83" t="s">
        <v>3746</v>
      </c>
      <c r="D753" s="83" t="s">
        <v>3747</v>
      </c>
      <c r="E753" s="84">
        <f>personnel_nonteach_ht3_actual_f</f>
        <v>0</v>
      </c>
      <c r="F753" s="83" t="b">
        <v>1</v>
      </c>
      <c r="G753" s="83"/>
      <c r="H753" s="83"/>
    </row>
    <row r="754" spans="1:8">
      <c r="A754" s="83" t="s">
        <v>3748</v>
      </c>
      <c r="B754" s="83" t="s">
        <v>3602</v>
      </c>
      <c r="C754" s="83" t="s">
        <v>3748</v>
      </c>
      <c r="D754" s="83" t="s">
        <v>3749</v>
      </c>
      <c r="E754" s="84">
        <f>personnel_nonteach_ht3_onleave</f>
        <v>0</v>
      </c>
      <c r="F754" s="83" t="b">
        <v>1</v>
      </c>
      <c r="G754" s="83"/>
      <c r="H754" s="83"/>
    </row>
    <row r="755" spans="1:8">
      <c r="A755" s="83" t="s">
        <v>3750</v>
      </c>
      <c r="B755" s="83" t="s">
        <v>3602</v>
      </c>
      <c r="C755" s="83" t="s">
        <v>3750</v>
      </c>
      <c r="D755" s="83" t="s">
        <v>3751</v>
      </c>
      <c r="E755" s="84">
        <f>personnel_nonteach_ht3_vacant</f>
        <v>0</v>
      </c>
      <c r="F755" s="83" t="b">
        <v>1</v>
      </c>
      <c r="G755" s="83"/>
      <c r="H755" s="83"/>
    </row>
    <row r="756" spans="1:8">
      <c r="A756" s="83" t="s">
        <v>3752</v>
      </c>
      <c r="B756" s="83" t="s">
        <v>3602</v>
      </c>
      <c r="C756" s="83" t="s">
        <v>3752</v>
      </c>
      <c r="D756" s="83" t="s">
        <v>3753</v>
      </c>
      <c r="E756" s="84">
        <f>personnel_nonteach_ht3_detailed_depedoffice</f>
        <v>0</v>
      </c>
      <c r="F756" s="83" t="b">
        <v>1</v>
      </c>
      <c r="G756" s="83"/>
      <c r="H756" s="83"/>
    </row>
    <row r="757" spans="1:8">
      <c r="A757" s="83" t="s">
        <v>3754</v>
      </c>
      <c r="B757" s="83" t="s">
        <v>3602</v>
      </c>
      <c r="C757" s="83" t="s">
        <v>3754</v>
      </c>
      <c r="D757" s="83" t="s">
        <v>3755</v>
      </c>
      <c r="E757" s="84">
        <f>personnel_nonteach_ht3_detailed_hs</f>
        <v>0</v>
      </c>
      <c r="F757" s="83" t="b">
        <v>1</v>
      </c>
      <c r="G757" s="83"/>
      <c r="H757" s="83"/>
    </row>
    <row r="758" spans="1:8">
      <c r="A758" s="83" t="s">
        <v>3756</v>
      </c>
      <c r="B758" s="83" t="s">
        <v>3602</v>
      </c>
      <c r="C758" s="83" t="s">
        <v>3756</v>
      </c>
      <c r="D758" s="83" t="s">
        <v>3757</v>
      </c>
      <c r="E758" s="84">
        <f>personnel_nonteach_ht3_detailed_outdiv</f>
        <v>0</v>
      </c>
      <c r="F758" s="83" t="b">
        <v>1</v>
      </c>
      <c r="G758" s="83"/>
      <c r="H758" s="83"/>
    </row>
    <row r="759" spans="1:8">
      <c r="A759" s="83" t="s">
        <v>3758</v>
      </c>
      <c r="B759" s="83" t="s">
        <v>3602</v>
      </c>
      <c r="C759" s="83" t="s">
        <v>3758</v>
      </c>
      <c r="D759" s="83" t="s">
        <v>3759</v>
      </c>
      <c r="E759" s="84">
        <f>personnel_nonteach_ht3_detailed_othersch_m</f>
        <v>0</v>
      </c>
      <c r="F759" s="83" t="b">
        <v>1</v>
      </c>
      <c r="G759" s="83"/>
      <c r="H759" s="83"/>
    </row>
    <row r="760" spans="1:8">
      <c r="A760" s="83" t="s">
        <v>3760</v>
      </c>
      <c r="B760" s="83" t="s">
        <v>3602</v>
      </c>
      <c r="C760" s="83" t="s">
        <v>3760</v>
      </c>
      <c r="D760" s="83" t="s">
        <v>3761</v>
      </c>
      <c r="E760" s="84">
        <f>personnel_nonteach_ht3_detailed_othersch_f</f>
        <v>0</v>
      </c>
      <c r="F760" s="83" t="b">
        <v>1</v>
      </c>
      <c r="G760" s="83"/>
      <c r="H760" s="83"/>
    </row>
    <row r="761" spans="1:8">
      <c r="A761" s="83" t="s">
        <v>3762</v>
      </c>
      <c r="B761" s="83" t="s">
        <v>3602</v>
      </c>
      <c r="C761" s="83" t="s">
        <v>3762</v>
      </c>
      <c r="D761" s="83" t="s">
        <v>3763</v>
      </c>
      <c r="E761" s="84">
        <f>personnel_nonteach_ht2_psipop</f>
        <v>1</v>
      </c>
      <c r="F761" s="83" t="b">
        <v>1</v>
      </c>
      <c r="G761" s="83"/>
      <c r="H761" s="83"/>
    </row>
    <row r="762" spans="1:8">
      <c r="A762" s="83" t="s">
        <v>3764</v>
      </c>
      <c r="B762" s="83" t="s">
        <v>3602</v>
      </c>
      <c r="C762" s="83" t="s">
        <v>3764</v>
      </c>
      <c r="D762" s="83" t="s">
        <v>3765</v>
      </c>
      <c r="E762" s="84">
        <f>personnel_nonteach_ht2_actual_m</f>
        <v>1</v>
      </c>
      <c r="F762" s="83" t="b">
        <v>1</v>
      </c>
      <c r="G762" s="83"/>
      <c r="H762" s="83"/>
    </row>
    <row r="763" spans="1:8">
      <c r="A763" s="83" t="s">
        <v>3766</v>
      </c>
      <c r="B763" s="83" t="s">
        <v>3602</v>
      </c>
      <c r="C763" s="83" t="s">
        <v>3766</v>
      </c>
      <c r="D763" s="83" t="s">
        <v>3767</v>
      </c>
      <c r="E763" s="84">
        <f>personnel_nonteach_ht2_actual_f</f>
        <v>0</v>
      </c>
      <c r="F763" s="83" t="b">
        <v>1</v>
      </c>
      <c r="G763" s="83"/>
      <c r="H763" s="83"/>
    </row>
    <row r="764" spans="1:8">
      <c r="A764" s="83" t="s">
        <v>3768</v>
      </c>
      <c r="B764" s="83" t="s">
        <v>3602</v>
      </c>
      <c r="C764" s="83" t="s">
        <v>3768</v>
      </c>
      <c r="D764" s="83" t="s">
        <v>3769</v>
      </c>
      <c r="E764" s="84">
        <f>personnel_nonteach_ht2_onleave</f>
        <v>0</v>
      </c>
      <c r="F764" s="83" t="b">
        <v>1</v>
      </c>
      <c r="G764" s="83"/>
      <c r="H764" s="83"/>
    </row>
    <row r="765" spans="1:8">
      <c r="A765" s="83" t="s">
        <v>3770</v>
      </c>
      <c r="B765" s="83" t="s">
        <v>3602</v>
      </c>
      <c r="C765" s="83" t="s">
        <v>3770</v>
      </c>
      <c r="D765" s="83" t="s">
        <v>3771</v>
      </c>
      <c r="E765" s="84">
        <f>personnel_nonteach_ht2_vacant</f>
        <v>0</v>
      </c>
      <c r="F765" s="83" t="b">
        <v>1</v>
      </c>
      <c r="G765" s="83"/>
      <c r="H765" s="83"/>
    </row>
    <row r="766" spans="1:8">
      <c r="A766" s="83" t="s">
        <v>3772</v>
      </c>
      <c r="B766" s="83" t="s">
        <v>3602</v>
      </c>
      <c r="C766" s="83" t="s">
        <v>3772</v>
      </c>
      <c r="D766" s="83" t="s">
        <v>3773</v>
      </c>
      <c r="E766" s="84">
        <f>personnel_nonteach_ht2_detailed_depedoffice</f>
        <v>0</v>
      </c>
      <c r="F766" s="83" t="b">
        <v>1</v>
      </c>
      <c r="G766" s="83"/>
      <c r="H766" s="83"/>
    </row>
    <row r="767" spans="1:8">
      <c r="A767" s="83" t="s">
        <v>3774</v>
      </c>
      <c r="B767" s="83" t="s">
        <v>3602</v>
      </c>
      <c r="C767" s="83" t="s">
        <v>3774</v>
      </c>
      <c r="D767" s="83" t="s">
        <v>3775</v>
      </c>
      <c r="E767" s="84">
        <f>personnel_nonteach_ht2_detailed_hs</f>
        <v>0</v>
      </c>
      <c r="F767" s="83" t="b">
        <v>1</v>
      </c>
      <c r="G767" s="83"/>
      <c r="H767" s="83"/>
    </row>
    <row r="768" spans="1:8">
      <c r="A768" s="83" t="s">
        <v>3776</v>
      </c>
      <c r="B768" s="83" t="s">
        <v>3602</v>
      </c>
      <c r="C768" s="83" t="s">
        <v>3776</v>
      </c>
      <c r="D768" s="83" t="s">
        <v>3777</v>
      </c>
      <c r="E768" s="84">
        <f>personnel_nonteach_ht2_detailed_outdiv</f>
        <v>0</v>
      </c>
      <c r="F768" s="83" t="b">
        <v>1</v>
      </c>
      <c r="G768" s="83"/>
      <c r="H768" s="83"/>
    </row>
    <row r="769" spans="1:8">
      <c r="A769" s="83" t="s">
        <v>3778</v>
      </c>
      <c r="B769" s="83" t="s">
        <v>3602</v>
      </c>
      <c r="C769" s="83" t="s">
        <v>3778</v>
      </c>
      <c r="D769" s="83" t="s">
        <v>3779</v>
      </c>
      <c r="E769" s="84">
        <f>personnel_nonteach_ht2_detailed_othersch_m</f>
        <v>0</v>
      </c>
      <c r="F769" s="83" t="b">
        <v>1</v>
      </c>
      <c r="G769" s="83"/>
      <c r="H769" s="83"/>
    </row>
    <row r="770" spans="1:8">
      <c r="A770" s="83" t="s">
        <v>3780</v>
      </c>
      <c r="B770" s="83" t="s">
        <v>3602</v>
      </c>
      <c r="C770" s="83" t="s">
        <v>3780</v>
      </c>
      <c r="D770" s="83" t="s">
        <v>3781</v>
      </c>
      <c r="E770" s="84">
        <f>personnel_nonteach_ht2_detailed_othersch_f</f>
        <v>0</v>
      </c>
      <c r="F770" s="83" t="b">
        <v>1</v>
      </c>
      <c r="G770" s="83"/>
      <c r="H770" s="83"/>
    </row>
    <row r="771" spans="1:8">
      <c r="A771" s="83" t="s">
        <v>3782</v>
      </c>
      <c r="B771" s="83" t="s">
        <v>3602</v>
      </c>
      <c r="C771" s="83" t="s">
        <v>3782</v>
      </c>
      <c r="D771" s="83" t="s">
        <v>3783</v>
      </c>
      <c r="E771" s="84">
        <f>personnel_nonteach_ht1_psipop</f>
        <v>0</v>
      </c>
      <c r="F771" s="83" t="b">
        <v>1</v>
      </c>
      <c r="G771" s="83"/>
      <c r="H771" s="83"/>
    </row>
    <row r="772" spans="1:8">
      <c r="A772" s="83" t="s">
        <v>3784</v>
      </c>
      <c r="B772" s="83" t="s">
        <v>3602</v>
      </c>
      <c r="C772" s="83" t="s">
        <v>3784</v>
      </c>
      <c r="D772" s="83" t="s">
        <v>3785</v>
      </c>
      <c r="E772" s="84">
        <f>personnel_nonteach_ht1_actual_m</f>
        <v>0</v>
      </c>
      <c r="F772" s="83" t="b">
        <v>1</v>
      </c>
      <c r="G772" s="83"/>
      <c r="H772" s="83"/>
    </row>
    <row r="773" spans="1:8">
      <c r="A773" s="83" t="s">
        <v>3786</v>
      </c>
      <c r="B773" s="83" t="s">
        <v>3602</v>
      </c>
      <c r="C773" s="83" t="s">
        <v>3786</v>
      </c>
      <c r="D773" s="83" t="s">
        <v>3787</v>
      </c>
      <c r="E773" s="84">
        <f>personnel_nonteach_ht1_actual_f</f>
        <v>0</v>
      </c>
      <c r="F773" s="83" t="b">
        <v>1</v>
      </c>
      <c r="G773" s="83"/>
      <c r="H773" s="83"/>
    </row>
    <row r="774" spans="1:8">
      <c r="A774" s="83" t="s">
        <v>3788</v>
      </c>
      <c r="B774" s="83" t="s">
        <v>3602</v>
      </c>
      <c r="C774" s="83" t="s">
        <v>3788</v>
      </c>
      <c r="D774" s="83" t="s">
        <v>3789</v>
      </c>
      <c r="E774" s="84">
        <f>personnel_nonteach_ht1_onleave</f>
        <v>0</v>
      </c>
      <c r="F774" s="83" t="b">
        <v>1</v>
      </c>
      <c r="G774" s="83"/>
      <c r="H774" s="83"/>
    </row>
    <row r="775" spans="1:8">
      <c r="A775" s="83" t="s">
        <v>3790</v>
      </c>
      <c r="B775" s="83" t="s">
        <v>3602</v>
      </c>
      <c r="C775" s="83" t="s">
        <v>3790</v>
      </c>
      <c r="D775" s="83" t="s">
        <v>3791</v>
      </c>
      <c r="E775" s="84">
        <f>personnel_nonteach_ht1_vacant</f>
        <v>0</v>
      </c>
      <c r="F775" s="83" t="b">
        <v>1</v>
      </c>
      <c r="G775" s="83"/>
      <c r="H775" s="83"/>
    </row>
    <row r="776" spans="1:8">
      <c r="A776" s="83" t="s">
        <v>3792</v>
      </c>
      <c r="B776" s="83" t="s">
        <v>3602</v>
      </c>
      <c r="C776" s="83" t="s">
        <v>3792</v>
      </c>
      <c r="D776" s="83" t="s">
        <v>3793</v>
      </c>
      <c r="E776" s="84">
        <f>personnel_nonteach_ht1_detailed_depedoffice</f>
        <v>0</v>
      </c>
      <c r="F776" s="83" t="b">
        <v>1</v>
      </c>
      <c r="G776" s="83"/>
      <c r="H776" s="83"/>
    </row>
    <row r="777" spans="1:8">
      <c r="A777" s="83" t="s">
        <v>3794</v>
      </c>
      <c r="B777" s="83" t="s">
        <v>3602</v>
      </c>
      <c r="C777" s="83" t="s">
        <v>3794</v>
      </c>
      <c r="D777" s="83" t="s">
        <v>3795</v>
      </c>
      <c r="E777" s="84">
        <f>personnel_nonteach_ht1_detailed_hs</f>
        <v>0</v>
      </c>
      <c r="F777" s="83" t="b">
        <v>1</v>
      </c>
      <c r="G777" s="83"/>
      <c r="H777" s="83"/>
    </row>
    <row r="778" spans="1:8">
      <c r="A778" s="83" t="s">
        <v>3796</v>
      </c>
      <c r="B778" s="83" t="s">
        <v>3602</v>
      </c>
      <c r="C778" s="83" t="s">
        <v>3796</v>
      </c>
      <c r="D778" s="83" t="s">
        <v>3797</v>
      </c>
      <c r="E778" s="84">
        <f>personnel_nonteach_ht1_detailed_outdiv</f>
        <v>0</v>
      </c>
      <c r="F778" s="83" t="b">
        <v>1</v>
      </c>
      <c r="G778" s="83"/>
      <c r="H778" s="83"/>
    </row>
    <row r="779" spans="1:8">
      <c r="A779" s="83" t="s">
        <v>3798</v>
      </c>
      <c r="B779" s="83" t="s">
        <v>3602</v>
      </c>
      <c r="C779" s="83" t="s">
        <v>3798</v>
      </c>
      <c r="D779" s="83" t="s">
        <v>3799</v>
      </c>
      <c r="E779" s="84">
        <f>personnel_nonteach_ht1_detailed_othersch_m</f>
        <v>0</v>
      </c>
      <c r="F779" s="83" t="b">
        <v>1</v>
      </c>
      <c r="G779" s="83"/>
      <c r="H779" s="83"/>
    </row>
    <row r="780" spans="1:8">
      <c r="A780" s="83" t="s">
        <v>3800</v>
      </c>
      <c r="B780" s="83" t="s">
        <v>3602</v>
      </c>
      <c r="C780" s="83" t="s">
        <v>3800</v>
      </c>
      <c r="D780" s="83" t="s">
        <v>3801</v>
      </c>
      <c r="E780" s="84">
        <f>personnel_nonteach_ht1_detailed_othersch_f</f>
        <v>0</v>
      </c>
      <c r="F780" s="83" t="b">
        <v>1</v>
      </c>
      <c r="G780" s="83"/>
      <c r="H780" s="83"/>
    </row>
    <row r="781" spans="1:8">
      <c r="A781" s="83" t="s">
        <v>3802</v>
      </c>
      <c r="B781" s="83" t="s">
        <v>3602</v>
      </c>
      <c r="C781" s="83" t="s">
        <v>3802</v>
      </c>
      <c r="D781" s="83" t="s">
        <v>3803</v>
      </c>
      <c r="E781" s="84">
        <f>personnel_nonteach_guidancecoor_III_psipop</f>
        <v>0</v>
      </c>
      <c r="F781" s="83" t="b">
        <v>1</v>
      </c>
      <c r="G781" s="83"/>
      <c r="H781" s="83"/>
    </row>
    <row r="782" spans="1:8">
      <c r="A782" s="83" t="s">
        <v>3804</v>
      </c>
      <c r="B782" s="83" t="s">
        <v>3602</v>
      </c>
      <c r="C782" s="83" t="s">
        <v>3804</v>
      </c>
      <c r="D782" s="83" t="s">
        <v>3805</v>
      </c>
      <c r="E782" s="84">
        <f>personnel_nonteach_guidancecoor_III_actual_m</f>
        <v>0</v>
      </c>
      <c r="F782" s="83" t="b">
        <v>1</v>
      </c>
      <c r="G782" s="83"/>
      <c r="H782" s="83"/>
    </row>
    <row r="783" spans="1:8">
      <c r="A783" s="83" t="s">
        <v>3806</v>
      </c>
      <c r="B783" s="83" t="s">
        <v>3602</v>
      </c>
      <c r="C783" s="83" t="s">
        <v>3806</v>
      </c>
      <c r="D783" s="83" t="s">
        <v>3807</v>
      </c>
      <c r="E783" s="84">
        <f>personnel_nonteach_guidancecoor_III_actual_f</f>
        <v>0</v>
      </c>
      <c r="F783" s="83" t="b">
        <v>1</v>
      </c>
      <c r="G783" s="83"/>
      <c r="H783" s="83"/>
    </row>
    <row r="784" spans="1:8">
      <c r="A784" s="83" t="s">
        <v>3808</v>
      </c>
      <c r="B784" s="83" t="s">
        <v>3602</v>
      </c>
      <c r="C784" s="83" t="s">
        <v>3808</v>
      </c>
      <c r="D784" s="83" t="s">
        <v>3809</v>
      </c>
      <c r="E784" s="84">
        <f>personnel_nonteach_guidancecoor_III_onleave</f>
        <v>0</v>
      </c>
      <c r="F784" s="83" t="b">
        <v>1</v>
      </c>
      <c r="G784" s="83"/>
      <c r="H784" s="83"/>
    </row>
    <row r="785" spans="1:8">
      <c r="A785" s="83" t="s">
        <v>3810</v>
      </c>
      <c r="B785" s="83" t="s">
        <v>3602</v>
      </c>
      <c r="C785" s="83" t="s">
        <v>3810</v>
      </c>
      <c r="D785" s="83" t="s">
        <v>3811</v>
      </c>
      <c r="E785" s="84">
        <f>personnel_nonteach_guidancecoor_III_vacant</f>
        <v>0</v>
      </c>
      <c r="F785" s="83" t="b">
        <v>1</v>
      </c>
      <c r="G785" s="83"/>
      <c r="H785" s="83"/>
    </row>
    <row r="786" spans="1:8">
      <c r="A786" s="83" t="s">
        <v>3812</v>
      </c>
      <c r="B786" s="83" t="s">
        <v>3602</v>
      </c>
      <c r="C786" s="83" t="s">
        <v>3812</v>
      </c>
      <c r="D786" s="83" t="s">
        <v>3813</v>
      </c>
      <c r="E786" s="84">
        <f>personnel_nonteach_guidancecoor_III_detailed_depedoffice</f>
        <v>0</v>
      </c>
      <c r="F786" s="83" t="b">
        <v>1</v>
      </c>
      <c r="G786" s="83"/>
      <c r="H786" s="83"/>
    </row>
    <row r="787" spans="1:8">
      <c r="A787" s="83" t="s">
        <v>3814</v>
      </c>
      <c r="B787" s="83" t="s">
        <v>3602</v>
      </c>
      <c r="C787" s="83" t="s">
        <v>3814</v>
      </c>
      <c r="D787" s="83" t="s">
        <v>3815</v>
      </c>
      <c r="E787" s="84">
        <f>personnel_nonteach_guidancecoor_III_detailed_hs</f>
        <v>0</v>
      </c>
      <c r="F787" s="83" t="b">
        <v>1</v>
      </c>
      <c r="G787" s="83"/>
      <c r="H787" s="83"/>
    </row>
    <row r="788" spans="1:8">
      <c r="A788" s="83" t="s">
        <v>3816</v>
      </c>
      <c r="B788" s="83" t="s">
        <v>3602</v>
      </c>
      <c r="C788" s="83" t="s">
        <v>3816</v>
      </c>
      <c r="D788" s="83" t="s">
        <v>3817</v>
      </c>
      <c r="E788" s="84">
        <f>personnel_nonteach_guidancecoor_III_detailed_outdiv</f>
        <v>0</v>
      </c>
      <c r="F788" s="83" t="b">
        <v>1</v>
      </c>
      <c r="G788" s="83"/>
      <c r="H788" s="83"/>
    </row>
    <row r="789" spans="1:8">
      <c r="A789" s="83" t="s">
        <v>3818</v>
      </c>
      <c r="B789" s="83" t="s">
        <v>3602</v>
      </c>
      <c r="C789" s="83" t="s">
        <v>3818</v>
      </c>
      <c r="D789" s="83" t="s">
        <v>3819</v>
      </c>
      <c r="E789" s="84">
        <f>personnel_nonteach_guidancecoor_III_detailed_othersch_m</f>
        <v>0</v>
      </c>
      <c r="F789" s="83" t="b">
        <v>1</v>
      </c>
      <c r="G789" s="83"/>
      <c r="H789" s="83"/>
    </row>
    <row r="790" spans="1:8">
      <c r="A790" s="83" t="s">
        <v>3820</v>
      </c>
      <c r="B790" s="83" t="s">
        <v>3602</v>
      </c>
      <c r="C790" s="83" t="s">
        <v>3820</v>
      </c>
      <c r="D790" s="83" t="s">
        <v>3821</v>
      </c>
      <c r="E790" s="84">
        <f>personnel_nonteach_guidancecoor_III_detailed_othersch_f</f>
        <v>0</v>
      </c>
      <c r="F790" s="83" t="b">
        <v>1</v>
      </c>
      <c r="G790" s="83"/>
      <c r="H790" s="83"/>
    </row>
    <row r="791" spans="1:8">
      <c r="A791" s="83" t="s">
        <v>3822</v>
      </c>
      <c r="B791" s="83" t="s">
        <v>3602</v>
      </c>
      <c r="C791" s="83" t="s">
        <v>3822</v>
      </c>
      <c r="D791" s="83" t="s">
        <v>3823</v>
      </c>
      <c r="E791" s="84">
        <f>personnel_nonteach_guidancecoor_II_psipop</f>
        <v>1</v>
      </c>
      <c r="F791" s="83" t="b">
        <v>1</v>
      </c>
      <c r="G791" s="83"/>
      <c r="H791" s="83"/>
    </row>
    <row r="792" spans="1:8">
      <c r="A792" s="83" t="s">
        <v>3824</v>
      </c>
      <c r="B792" s="83" t="s">
        <v>3602</v>
      </c>
      <c r="C792" s="83" t="s">
        <v>3824</v>
      </c>
      <c r="D792" s="83" t="s">
        <v>3825</v>
      </c>
      <c r="E792" s="84">
        <f>personnel_nonteach_guidancecoor_II_actual_m</f>
        <v>0</v>
      </c>
      <c r="F792" s="83" t="b">
        <v>1</v>
      </c>
      <c r="G792" s="83"/>
      <c r="H792" s="83"/>
    </row>
    <row r="793" spans="1:8">
      <c r="A793" s="83" t="s">
        <v>3826</v>
      </c>
      <c r="B793" s="83" t="s">
        <v>3602</v>
      </c>
      <c r="C793" s="83" t="s">
        <v>3826</v>
      </c>
      <c r="D793" s="83" t="s">
        <v>3827</v>
      </c>
      <c r="E793" s="84">
        <f>personnel_nonteach_guidancecoor_II_actual_f</f>
        <v>0</v>
      </c>
      <c r="F793" s="83" t="b">
        <v>1</v>
      </c>
      <c r="G793" s="83"/>
      <c r="H793" s="83"/>
    </row>
    <row r="794" spans="1:8">
      <c r="A794" s="83" t="s">
        <v>3828</v>
      </c>
      <c r="B794" s="83" t="s">
        <v>3602</v>
      </c>
      <c r="C794" s="83" t="s">
        <v>3828</v>
      </c>
      <c r="D794" s="83" t="s">
        <v>3829</v>
      </c>
      <c r="E794" s="84">
        <f>personnel_nonteach_guidancecoor_II_onleave</f>
        <v>0</v>
      </c>
      <c r="F794" s="83" t="b">
        <v>1</v>
      </c>
      <c r="G794" s="83"/>
      <c r="H794" s="83"/>
    </row>
    <row r="795" spans="1:8">
      <c r="A795" s="83" t="s">
        <v>3830</v>
      </c>
      <c r="B795" s="83" t="s">
        <v>3602</v>
      </c>
      <c r="C795" s="83" t="s">
        <v>3830</v>
      </c>
      <c r="D795" s="83" t="s">
        <v>3831</v>
      </c>
      <c r="E795" s="84">
        <f>personnel_nonteach_guidancecoor_II_vacant</f>
        <v>0</v>
      </c>
      <c r="F795" s="83" t="b">
        <v>1</v>
      </c>
      <c r="G795" s="83"/>
      <c r="H795" s="83"/>
    </row>
    <row r="796" spans="1:8">
      <c r="A796" s="83" t="s">
        <v>3832</v>
      </c>
      <c r="B796" s="83" t="s">
        <v>3602</v>
      </c>
      <c r="C796" s="83" t="s">
        <v>3832</v>
      </c>
      <c r="D796" s="83" t="s">
        <v>3833</v>
      </c>
      <c r="E796" s="84">
        <f>personnel_nonteach_guidancecoor_II_detailed_depedoffice</f>
        <v>1</v>
      </c>
      <c r="F796" s="83" t="b">
        <v>1</v>
      </c>
      <c r="G796" s="83"/>
      <c r="H796" s="83"/>
    </row>
    <row r="797" spans="1:8">
      <c r="A797" s="83" t="s">
        <v>3834</v>
      </c>
      <c r="B797" s="83" t="s">
        <v>3602</v>
      </c>
      <c r="C797" s="83" t="s">
        <v>3834</v>
      </c>
      <c r="D797" s="83" t="s">
        <v>3835</v>
      </c>
      <c r="E797" s="84">
        <f>personnel_nonteach_guidancecoor_II_detailed_hs</f>
        <v>0</v>
      </c>
      <c r="F797" s="83" t="b">
        <v>1</v>
      </c>
      <c r="G797" s="83"/>
      <c r="H797" s="83"/>
    </row>
    <row r="798" spans="1:8">
      <c r="A798" s="83" t="s">
        <v>3836</v>
      </c>
      <c r="B798" s="83" t="s">
        <v>3602</v>
      </c>
      <c r="C798" s="83" t="s">
        <v>3836</v>
      </c>
      <c r="D798" s="83" t="s">
        <v>3837</v>
      </c>
      <c r="E798" s="84">
        <f>personnel_nonteach_guidancecoor_II_detailed_outdiv</f>
        <v>0</v>
      </c>
      <c r="F798" s="83" t="b">
        <v>1</v>
      </c>
      <c r="G798" s="83"/>
      <c r="H798" s="83"/>
    </row>
    <row r="799" spans="1:8">
      <c r="A799" s="83" t="s">
        <v>3838</v>
      </c>
      <c r="B799" s="83" t="s">
        <v>3602</v>
      </c>
      <c r="C799" s="83" t="s">
        <v>3838</v>
      </c>
      <c r="D799" s="83" t="s">
        <v>3839</v>
      </c>
      <c r="E799" s="84">
        <f>personnel_nonteach_guidancecoor_II_detailed_othersch_m</f>
        <v>0</v>
      </c>
      <c r="F799" s="83" t="b">
        <v>1</v>
      </c>
      <c r="G799" s="83"/>
      <c r="H799" s="83"/>
    </row>
    <row r="800" spans="1:8">
      <c r="A800" s="83" t="s">
        <v>3840</v>
      </c>
      <c r="B800" s="83" t="s">
        <v>3602</v>
      </c>
      <c r="C800" s="83" t="s">
        <v>3840</v>
      </c>
      <c r="D800" s="83" t="s">
        <v>3841</v>
      </c>
      <c r="E800" s="84">
        <f>personnel_nonteach_guidancecoor_II_detailed_othersch_f</f>
        <v>0</v>
      </c>
      <c r="F800" s="83" t="b">
        <v>1</v>
      </c>
      <c r="G800" s="83"/>
      <c r="H800" s="83"/>
    </row>
    <row r="801" spans="1:8">
      <c r="A801" s="83" t="s">
        <v>3842</v>
      </c>
      <c r="B801" s="83" t="s">
        <v>3602</v>
      </c>
      <c r="C801" s="83" t="s">
        <v>3842</v>
      </c>
      <c r="D801" s="83" t="s">
        <v>3843</v>
      </c>
      <c r="E801" s="84">
        <f>personnel_nonteach_guidancecoor_I_psipop</f>
        <v>0</v>
      </c>
      <c r="F801" s="83" t="b">
        <v>1</v>
      </c>
      <c r="G801" s="83"/>
      <c r="H801" s="83"/>
    </row>
    <row r="802" spans="1:8">
      <c r="A802" s="83" t="s">
        <v>3844</v>
      </c>
      <c r="B802" s="83" t="s">
        <v>3602</v>
      </c>
      <c r="C802" s="83" t="s">
        <v>3844</v>
      </c>
      <c r="D802" s="83" t="s">
        <v>3845</v>
      </c>
      <c r="E802" s="84">
        <f>personnel_nonteach_guidancecoor_I_actual_m</f>
        <v>0</v>
      </c>
      <c r="F802" s="83" t="b">
        <v>1</v>
      </c>
      <c r="G802" s="83"/>
      <c r="H802" s="83"/>
    </row>
    <row r="803" spans="1:8">
      <c r="A803" s="83" t="s">
        <v>3846</v>
      </c>
      <c r="B803" s="83" t="s">
        <v>3602</v>
      </c>
      <c r="C803" s="83" t="s">
        <v>3846</v>
      </c>
      <c r="D803" s="83" t="s">
        <v>3847</v>
      </c>
      <c r="E803" s="84">
        <f>personnel_nonteach_guidancecoor_I_actual_f</f>
        <v>0</v>
      </c>
      <c r="F803" s="83" t="b">
        <v>1</v>
      </c>
      <c r="G803" s="83"/>
      <c r="H803" s="83"/>
    </row>
    <row r="804" spans="1:8">
      <c r="A804" s="83" t="s">
        <v>3848</v>
      </c>
      <c r="B804" s="83" t="s">
        <v>3602</v>
      </c>
      <c r="C804" s="83" t="s">
        <v>3848</v>
      </c>
      <c r="D804" s="83" t="s">
        <v>3849</v>
      </c>
      <c r="E804" s="84">
        <f>personnel_nonteach_guidancecoor_I_onleave</f>
        <v>0</v>
      </c>
      <c r="F804" s="83" t="b">
        <v>1</v>
      </c>
      <c r="G804" s="83"/>
      <c r="H804" s="83"/>
    </row>
    <row r="805" spans="1:8">
      <c r="A805" s="83" t="s">
        <v>3850</v>
      </c>
      <c r="B805" s="83" t="s">
        <v>3602</v>
      </c>
      <c r="C805" s="83" t="s">
        <v>3850</v>
      </c>
      <c r="D805" s="83" t="s">
        <v>3851</v>
      </c>
      <c r="E805" s="84">
        <f>personnel_nonteach_guidancecoor_I_vacant</f>
        <v>0</v>
      </c>
      <c r="F805" s="83" t="b">
        <v>1</v>
      </c>
      <c r="G805" s="83"/>
      <c r="H805" s="83"/>
    </row>
    <row r="806" spans="1:8">
      <c r="A806" s="83" t="s">
        <v>3852</v>
      </c>
      <c r="B806" s="83" t="s">
        <v>3602</v>
      </c>
      <c r="C806" s="83" t="s">
        <v>3852</v>
      </c>
      <c r="D806" s="83" t="s">
        <v>3853</v>
      </c>
      <c r="E806" s="84">
        <f>personnel_nonteach_guidancecoor_I_detailed_depedoffice</f>
        <v>0</v>
      </c>
      <c r="F806" s="83" t="b">
        <v>1</v>
      </c>
      <c r="G806" s="83"/>
      <c r="H806" s="83"/>
    </row>
    <row r="807" spans="1:8">
      <c r="A807" s="83" t="s">
        <v>3854</v>
      </c>
      <c r="B807" s="83" t="s">
        <v>3602</v>
      </c>
      <c r="C807" s="83" t="s">
        <v>3854</v>
      </c>
      <c r="D807" s="83" t="s">
        <v>3855</v>
      </c>
      <c r="E807" s="84">
        <f>personnel_nonteach_guidancecoor_I_detailed_hs</f>
        <v>0</v>
      </c>
      <c r="F807" s="83" t="b">
        <v>1</v>
      </c>
      <c r="G807" s="83"/>
      <c r="H807" s="83"/>
    </row>
    <row r="808" spans="1:8">
      <c r="A808" s="83" t="s">
        <v>3856</v>
      </c>
      <c r="B808" s="83" t="s">
        <v>3602</v>
      </c>
      <c r="C808" s="83" t="s">
        <v>3856</v>
      </c>
      <c r="D808" s="83" t="s">
        <v>3857</v>
      </c>
      <c r="E808" s="84">
        <f>personnel_nonteach_guidancecoor_I_detailed_outdiv</f>
        <v>0</v>
      </c>
      <c r="F808" s="83" t="b">
        <v>1</v>
      </c>
      <c r="G808" s="83"/>
      <c r="H808" s="83"/>
    </row>
    <row r="809" spans="1:8">
      <c r="A809" s="83" t="s">
        <v>3858</v>
      </c>
      <c r="B809" s="83" t="s">
        <v>3602</v>
      </c>
      <c r="C809" s="83" t="s">
        <v>3858</v>
      </c>
      <c r="D809" s="83" t="s">
        <v>3859</v>
      </c>
      <c r="E809" s="84">
        <f>personnel_nonteach_guidancecoor_I_detailed_othersch_m</f>
        <v>0</v>
      </c>
      <c r="F809" s="83" t="b">
        <v>1</v>
      </c>
      <c r="G809" s="83"/>
      <c r="H809" s="83"/>
    </row>
    <row r="810" spans="1:8">
      <c r="A810" s="83" t="s">
        <v>3860</v>
      </c>
      <c r="B810" s="83" t="s">
        <v>3602</v>
      </c>
      <c r="C810" s="83" t="s">
        <v>3860</v>
      </c>
      <c r="D810" s="83" t="s">
        <v>3861</v>
      </c>
      <c r="E810" s="84">
        <f>personnel_nonteach_guidancecoor_I_detailed_othersch_f</f>
        <v>0</v>
      </c>
      <c r="F810" s="83" t="b">
        <v>1</v>
      </c>
      <c r="G810" s="83"/>
      <c r="H810" s="83"/>
    </row>
    <row r="811" spans="1:8">
      <c r="A811" s="83" t="s">
        <v>3862</v>
      </c>
      <c r="B811" s="83" t="s">
        <v>3602</v>
      </c>
      <c r="C811" s="83" t="s">
        <v>3862</v>
      </c>
      <c r="D811" s="83" t="s">
        <v>3863</v>
      </c>
      <c r="E811" s="84">
        <f>personnel_nonteach_guidancecounsel_III_psipop</f>
        <v>0</v>
      </c>
      <c r="F811" s="83" t="b">
        <v>1</v>
      </c>
      <c r="G811" s="83"/>
      <c r="H811" s="83"/>
    </row>
    <row r="812" spans="1:8">
      <c r="A812" s="83" t="s">
        <v>3864</v>
      </c>
      <c r="B812" s="83" t="s">
        <v>3602</v>
      </c>
      <c r="C812" s="83" t="s">
        <v>3864</v>
      </c>
      <c r="D812" s="83" t="s">
        <v>3865</v>
      </c>
      <c r="E812" s="84">
        <f>personnel_nonteach_guidancecounsel_III_actual_m</f>
        <v>0</v>
      </c>
      <c r="F812" s="83" t="b">
        <v>1</v>
      </c>
      <c r="G812" s="83"/>
      <c r="H812" s="83"/>
    </row>
    <row r="813" spans="1:8">
      <c r="A813" s="83" t="s">
        <v>3866</v>
      </c>
      <c r="B813" s="83" t="s">
        <v>3602</v>
      </c>
      <c r="C813" s="83" t="s">
        <v>3866</v>
      </c>
      <c r="D813" s="83" t="s">
        <v>3867</v>
      </c>
      <c r="E813" s="84">
        <f>personnel_nonteach_guidancecounsel_III_actual_f</f>
        <v>0</v>
      </c>
      <c r="F813" s="83" t="b">
        <v>1</v>
      </c>
      <c r="G813" s="83"/>
      <c r="H813" s="83"/>
    </row>
    <row r="814" spans="1:8">
      <c r="A814" s="83" t="s">
        <v>3868</v>
      </c>
      <c r="B814" s="83" t="s">
        <v>3602</v>
      </c>
      <c r="C814" s="83" t="s">
        <v>3868</v>
      </c>
      <c r="D814" s="83" t="s">
        <v>3869</v>
      </c>
      <c r="E814" s="84">
        <f>personnel_nonteach_guidancecounsel_III_onleave</f>
        <v>0</v>
      </c>
      <c r="F814" s="83" t="b">
        <v>1</v>
      </c>
      <c r="G814" s="83"/>
      <c r="H814" s="83"/>
    </row>
    <row r="815" spans="1:8">
      <c r="A815" s="83" t="s">
        <v>3870</v>
      </c>
      <c r="B815" s="83" t="s">
        <v>3602</v>
      </c>
      <c r="C815" s="83" t="s">
        <v>3870</v>
      </c>
      <c r="D815" s="83" t="s">
        <v>3871</v>
      </c>
      <c r="E815" s="84">
        <f>personnel_nonteach_guidancecounsel_III_vacant</f>
        <v>0</v>
      </c>
      <c r="F815" s="83" t="b">
        <v>1</v>
      </c>
      <c r="G815" s="83"/>
      <c r="H815" s="83"/>
    </row>
    <row r="816" spans="1:8">
      <c r="A816" s="83" t="s">
        <v>3872</v>
      </c>
      <c r="B816" s="83" t="s">
        <v>3602</v>
      </c>
      <c r="C816" s="83" t="s">
        <v>3872</v>
      </c>
      <c r="D816" s="83" t="s">
        <v>3873</v>
      </c>
      <c r="E816" s="84">
        <f>personnel_nonteach_guidancecounsel_III_detailed_depedoffice</f>
        <v>0</v>
      </c>
      <c r="F816" s="83" t="b">
        <v>1</v>
      </c>
      <c r="G816" s="83"/>
      <c r="H816" s="83"/>
    </row>
    <row r="817" spans="1:8">
      <c r="A817" s="83" t="s">
        <v>3874</v>
      </c>
      <c r="B817" s="83" t="s">
        <v>3602</v>
      </c>
      <c r="C817" s="83" t="s">
        <v>3874</v>
      </c>
      <c r="D817" s="83" t="s">
        <v>3875</v>
      </c>
      <c r="E817" s="84">
        <f>personnel_nonteach_guidancecounsel_III_detailed_hs</f>
        <v>0</v>
      </c>
      <c r="F817" s="83" t="b">
        <v>1</v>
      </c>
      <c r="G817" s="83"/>
      <c r="H817" s="83"/>
    </row>
    <row r="818" spans="1:8">
      <c r="A818" s="83" t="s">
        <v>3876</v>
      </c>
      <c r="B818" s="83" t="s">
        <v>3602</v>
      </c>
      <c r="C818" s="83" t="s">
        <v>3876</v>
      </c>
      <c r="D818" s="83" t="s">
        <v>3877</v>
      </c>
      <c r="E818" s="84">
        <f>personnel_nonteach_guidancecounsel_III_detailed_outdiv</f>
        <v>0</v>
      </c>
      <c r="F818" s="83" t="b">
        <v>1</v>
      </c>
      <c r="G818" s="83"/>
      <c r="H818" s="83"/>
    </row>
    <row r="819" spans="1:8">
      <c r="A819" s="83" t="s">
        <v>3878</v>
      </c>
      <c r="B819" s="83" t="s">
        <v>3602</v>
      </c>
      <c r="C819" s="83" t="s">
        <v>3878</v>
      </c>
      <c r="D819" s="83" t="s">
        <v>3879</v>
      </c>
      <c r="E819" s="84">
        <f>personnel_nonteach_guidancecounsel_III_detailed_othersch_m</f>
        <v>0</v>
      </c>
      <c r="F819" s="83" t="b">
        <v>1</v>
      </c>
      <c r="G819" s="83"/>
      <c r="H819" s="83"/>
    </row>
    <row r="820" spans="1:8">
      <c r="A820" s="83" t="s">
        <v>3880</v>
      </c>
      <c r="B820" s="83" t="s">
        <v>3602</v>
      </c>
      <c r="C820" s="83" t="s">
        <v>3880</v>
      </c>
      <c r="D820" s="83" t="s">
        <v>3881</v>
      </c>
      <c r="E820" s="84">
        <f>personnel_nonteach_guidancecounsel_III_detailed_othersch_f</f>
        <v>0</v>
      </c>
      <c r="F820" s="83" t="b">
        <v>1</v>
      </c>
      <c r="G820" s="83"/>
      <c r="H820" s="83"/>
    </row>
    <row r="821" spans="1:8">
      <c r="A821" s="83" t="s">
        <v>3882</v>
      </c>
      <c r="B821" s="83" t="s">
        <v>3602</v>
      </c>
      <c r="C821" s="83" t="s">
        <v>3882</v>
      </c>
      <c r="D821" s="83" t="s">
        <v>3883</v>
      </c>
      <c r="E821" s="84">
        <f>personnel_nonteach_guidancecounsel_II_psipop</f>
        <v>0</v>
      </c>
      <c r="F821" s="83" t="b">
        <v>1</v>
      </c>
      <c r="G821" s="83"/>
      <c r="H821" s="83"/>
    </row>
    <row r="822" spans="1:8">
      <c r="A822" s="83" t="s">
        <v>3884</v>
      </c>
      <c r="B822" s="83" t="s">
        <v>3602</v>
      </c>
      <c r="C822" s="83" t="s">
        <v>3884</v>
      </c>
      <c r="D822" s="83" t="s">
        <v>3885</v>
      </c>
      <c r="E822" s="84">
        <f>personnel_nonteach_guidancecounsel_II_actual_m</f>
        <v>0</v>
      </c>
      <c r="F822" s="83" t="b">
        <v>1</v>
      </c>
      <c r="G822" s="83"/>
      <c r="H822" s="83"/>
    </row>
    <row r="823" spans="1:8">
      <c r="A823" s="83" t="s">
        <v>3886</v>
      </c>
      <c r="B823" s="83" t="s">
        <v>3602</v>
      </c>
      <c r="C823" s="83" t="s">
        <v>3886</v>
      </c>
      <c r="D823" s="83" t="s">
        <v>3887</v>
      </c>
      <c r="E823" s="84">
        <f>personnel_nonteach_guidancecounsel_II_actual_f</f>
        <v>0</v>
      </c>
      <c r="F823" s="83" t="b">
        <v>1</v>
      </c>
      <c r="G823" s="83"/>
      <c r="H823" s="83"/>
    </row>
    <row r="824" spans="1:8">
      <c r="A824" s="83" t="s">
        <v>3888</v>
      </c>
      <c r="B824" s="83" t="s">
        <v>3602</v>
      </c>
      <c r="C824" s="83" t="s">
        <v>3888</v>
      </c>
      <c r="D824" s="83" t="s">
        <v>3889</v>
      </c>
      <c r="E824" s="84">
        <f>personnel_nonteach_guidancecounsel_II_onleave</f>
        <v>0</v>
      </c>
      <c r="F824" s="83" t="b">
        <v>1</v>
      </c>
      <c r="G824" s="83"/>
      <c r="H824" s="83"/>
    </row>
    <row r="825" spans="1:8">
      <c r="A825" s="83" t="s">
        <v>3890</v>
      </c>
      <c r="B825" s="83" t="s">
        <v>3602</v>
      </c>
      <c r="C825" s="83" t="s">
        <v>3890</v>
      </c>
      <c r="D825" s="83" t="s">
        <v>3891</v>
      </c>
      <c r="E825" s="84">
        <f>personnel_nonteach_guidancecounsel_II_vacant</f>
        <v>0</v>
      </c>
      <c r="F825" s="83" t="b">
        <v>1</v>
      </c>
      <c r="G825" s="83"/>
      <c r="H825" s="83"/>
    </row>
    <row r="826" spans="1:8">
      <c r="A826" s="83" t="s">
        <v>3892</v>
      </c>
      <c r="B826" s="83" t="s">
        <v>3602</v>
      </c>
      <c r="C826" s="83" t="s">
        <v>3892</v>
      </c>
      <c r="D826" s="83" t="s">
        <v>3893</v>
      </c>
      <c r="E826" s="84">
        <f>personnel_nonteach_guidancecounsel_II_detailed_depedoffice</f>
        <v>0</v>
      </c>
      <c r="F826" s="83" t="b">
        <v>1</v>
      </c>
      <c r="G826" s="83"/>
      <c r="H826" s="83"/>
    </row>
    <row r="827" spans="1:8">
      <c r="A827" s="83" t="s">
        <v>3894</v>
      </c>
      <c r="B827" s="83" t="s">
        <v>3602</v>
      </c>
      <c r="C827" s="83" t="s">
        <v>3894</v>
      </c>
      <c r="D827" s="83" t="s">
        <v>3895</v>
      </c>
      <c r="E827" s="84">
        <f>personnel_nonteach_guidancecounsel_II_detailed_hs</f>
        <v>0</v>
      </c>
      <c r="F827" s="83" t="b">
        <v>1</v>
      </c>
      <c r="G827" s="83"/>
      <c r="H827" s="83"/>
    </row>
    <row r="828" spans="1:8">
      <c r="A828" s="83" t="s">
        <v>3896</v>
      </c>
      <c r="B828" s="83" t="s">
        <v>3602</v>
      </c>
      <c r="C828" s="83" t="s">
        <v>3896</v>
      </c>
      <c r="D828" s="83" t="s">
        <v>3897</v>
      </c>
      <c r="E828" s="84">
        <f>personnel_nonteach_guidancecounsel_II_detailed_outdiv</f>
        <v>0</v>
      </c>
      <c r="F828" s="83" t="b">
        <v>1</v>
      </c>
      <c r="G828" s="83"/>
      <c r="H828" s="83"/>
    </row>
    <row r="829" spans="1:8">
      <c r="A829" s="83" t="s">
        <v>3898</v>
      </c>
      <c r="B829" s="83" t="s">
        <v>3602</v>
      </c>
      <c r="C829" s="83" t="s">
        <v>3898</v>
      </c>
      <c r="D829" s="83" t="s">
        <v>3899</v>
      </c>
      <c r="E829" s="84">
        <f>personnel_nonteach_guidancecounsel_II_detailed_othersch_m</f>
        <v>0</v>
      </c>
      <c r="F829" s="83" t="b">
        <v>1</v>
      </c>
      <c r="G829" s="83"/>
      <c r="H829" s="83"/>
    </row>
    <row r="830" spans="1:8">
      <c r="A830" s="83" t="s">
        <v>3900</v>
      </c>
      <c r="B830" s="83" t="s">
        <v>3602</v>
      </c>
      <c r="C830" s="83" t="s">
        <v>3900</v>
      </c>
      <c r="D830" s="83" t="s">
        <v>3901</v>
      </c>
      <c r="E830" s="84">
        <f>personnel_nonteach_guidancecounsel_II_detailed_othersch_f</f>
        <v>0</v>
      </c>
      <c r="F830" s="83" t="b">
        <v>1</v>
      </c>
      <c r="G830" s="83"/>
      <c r="H830" s="83"/>
    </row>
    <row r="831" spans="1:8">
      <c r="A831" s="83" t="s">
        <v>3902</v>
      </c>
      <c r="B831" s="83" t="s">
        <v>3602</v>
      </c>
      <c r="C831" s="83" t="s">
        <v>3902</v>
      </c>
      <c r="D831" s="83" t="s">
        <v>3903</v>
      </c>
      <c r="E831" s="84">
        <f>personnel_nonteach_guidancecounsel_I_psipop</f>
        <v>0</v>
      </c>
      <c r="F831" s="83" t="b">
        <v>1</v>
      </c>
      <c r="G831" s="83"/>
      <c r="H831" s="83"/>
    </row>
    <row r="832" spans="1:8">
      <c r="A832" s="83" t="s">
        <v>3904</v>
      </c>
      <c r="B832" s="83" t="s">
        <v>3602</v>
      </c>
      <c r="C832" s="83" t="s">
        <v>3904</v>
      </c>
      <c r="D832" s="83" t="s">
        <v>3905</v>
      </c>
      <c r="E832" s="84">
        <f>personnel_nonteach_guidancecounsel_I_actual_m</f>
        <v>0</v>
      </c>
      <c r="F832" s="83" t="b">
        <v>1</v>
      </c>
      <c r="G832" s="83"/>
      <c r="H832" s="83"/>
    </row>
    <row r="833" spans="1:8">
      <c r="A833" s="83" t="s">
        <v>3906</v>
      </c>
      <c r="B833" s="83" t="s">
        <v>3602</v>
      </c>
      <c r="C833" s="83" t="s">
        <v>3906</v>
      </c>
      <c r="D833" s="83" t="s">
        <v>3907</v>
      </c>
      <c r="E833" s="84">
        <f>personnel_nonteach_guidancecounsel_I_actual_f</f>
        <v>0</v>
      </c>
      <c r="F833" s="83" t="b">
        <v>1</v>
      </c>
      <c r="G833" s="83"/>
      <c r="H833" s="83"/>
    </row>
    <row r="834" spans="1:8">
      <c r="A834" s="83" t="s">
        <v>3908</v>
      </c>
      <c r="B834" s="83" t="s">
        <v>3602</v>
      </c>
      <c r="C834" s="83" t="s">
        <v>3908</v>
      </c>
      <c r="D834" s="83" t="s">
        <v>3909</v>
      </c>
      <c r="E834" s="84">
        <f>personnel_nonteach_guidancecounsel_I_onleave</f>
        <v>0</v>
      </c>
      <c r="F834" s="83" t="b">
        <v>1</v>
      </c>
      <c r="G834" s="83"/>
      <c r="H834" s="83"/>
    </row>
    <row r="835" spans="1:8">
      <c r="A835" s="83" t="s">
        <v>3910</v>
      </c>
      <c r="B835" s="83" t="s">
        <v>3602</v>
      </c>
      <c r="C835" s="83" t="s">
        <v>3910</v>
      </c>
      <c r="D835" s="83" t="s">
        <v>3911</v>
      </c>
      <c r="E835" s="84">
        <f>personnel_nonteach_guidancecounsel_I_vacant</f>
        <v>0</v>
      </c>
      <c r="F835" s="83" t="b">
        <v>1</v>
      </c>
      <c r="G835" s="83"/>
      <c r="H835" s="83"/>
    </row>
    <row r="836" spans="1:8">
      <c r="A836" s="83" t="s">
        <v>3912</v>
      </c>
      <c r="B836" s="83" t="s">
        <v>3602</v>
      </c>
      <c r="C836" s="83" t="s">
        <v>3912</v>
      </c>
      <c r="D836" s="83" t="s">
        <v>3913</v>
      </c>
      <c r="E836" s="84">
        <f>personnel_nonteach_guidancecounsel_I_detailed_depedoffice</f>
        <v>0</v>
      </c>
      <c r="F836" s="83" t="b">
        <v>1</v>
      </c>
      <c r="G836" s="83"/>
      <c r="H836" s="83"/>
    </row>
    <row r="837" spans="1:8">
      <c r="A837" s="83" t="s">
        <v>3914</v>
      </c>
      <c r="B837" s="83" t="s">
        <v>3602</v>
      </c>
      <c r="C837" s="83" t="s">
        <v>3914</v>
      </c>
      <c r="D837" s="83" t="s">
        <v>3915</v>
      </c>
      <c r="E837" s="84">
        <f>personnel_nonteach_guidancecounsel_I_detailed_hs</f>
        <v>0</v>
      </c>
      <c r="F837" s="83" t="b">
        <v>1</v>
      </c>
      <c r="G837" s="83"/>
      <c r="H837" s="83"/>
    </row>
    <row r="838" spans="1:8">
      <c r="A838" s="83" t="s">
        <v>3916</v>
      </c>
      <c r="B838" s="83" t="s">
        <v>3602</v>
      </c>
      <c r="C838" s="83" t="s">
        <v>3916</v>
      </c>
      <c r="D838" s="83" t="s">
        <v>3917</v>
      </c>
      <c r="E838" s="84">
        <f>personnel_nonteach_guidancecounsel_I_detailed_outdiv</f>
        <v>0</v>
      </c>
      <c r="F838" s="83" t="b">
        <v>1</v>
      </c>
      <c r="G838" s="83"/>
      <c r="H838" s="83"/>
    </row>
    <row r="839" spans="1:8">
      <c r="A839" s="83" t="s">
        <v>3918</v>
      </c>
      <c r="B839" s="83" t="s">
        <v>3602</v>
      </c>
      <c r="C839" s="83" t="s">
        <v>3918</v>
      </c>
      <c r="D839" s="83" t="s">
        <v>3919</v>
      </c>
      <c r="E839" s="84">
        <f>personnel_nonteach_guidancecounsel_I_detailed_othersch_m</f>
        <v>0</v>
      </c>
      <c r="F839" s="83" t="b">
        <v>1</v>
      </c>
      <c r="G839" s="83"/>
      <c r="H839" s="83"/>
    </row>
    <row r="840" spans="1:8">
      <c r="A840" s="83" t="s">
        <v>3920</v>
      </c>
      <c r="B840" s="83" t="s">
        <v>3602</v>
      </c>
      <c r="C840" s="83" t="s">
        <v>3920</v>
      </c>
      <c r="D840" s="83" t="s">
        <v>3921</v>
      </c>
      <c r="E840" s="84">
        <f>personnel_nonteach_guidancecounsel_I_detailed_othersch_F</f>
        <v>0</v>
      </c>
      <c r="F840" s="83" t="b">
        <v>1</v>
      </c>
      <c r="G840" s="83"/>
      <c r="H840" s="83"/>
    </row>
    <row r="841" spans="1:8">
      <c r="A841" s="83" t="s">
        <v>3922</v>
      </c>
      <c r="B841" s="83" t="s">
        <v>3602</v>
      </c>
      <c r="C841" s="83" t="s">
        <v>3922</v>
      </c>
      <c r="D841" s="83" t="s">
        <v>3923</v>
      </c>
      <c r="E841" s="84">
        <f>personnel_nonteach_seniorbk_psipop</f>
        <v>0</v>
      </c>
      <c r="F841" s="83" t="b">
        <v>1</v>
      </c>
      <c r="G841" s="83"/>
      <c r="H841" s="83"/>
    </row>
    <row r="842" spans="1:8">
      <c r="A842" s="83" t="s">
        <v>3924</v>
      </c>
      <c r="B842" s="83" t="s">
        <v>3602</v>
      </c>
      <c r="C842" s="83" t="s">
        <v>3924</v>
      </c>
      <c r="D842" s="83" t="s">
        <v>3925</v>
      </c>
      <c r="E842" s="84">
        <f>personnel_nonteach_seniorbk_actual_m</f>
        <v>0</v>
      </c>
      <c r="F842" s="83" t="b">
        <v>1</v>
      </c>
      <c r="G842" s="83"/>
      <c r="H842" s="83"/>
    </row>
    <row r="843" spans="1:8">
      <c r="A843" s="83" t="s">
        <v>3926</v>
      </c>
      <c r="B843" s="83" t="s">
        <v>3602</v>
      </c>
      <c r="C843" s="83" t="s">
        <v>3926</v>
      </c>
      <c r="D843" s="83" t="s">
        <v>3927</v>
      </c>
      <c r="E843" s="84">
        <f>personnel_nonteach_seniorbk_actual_f</f>
        <v>0</v>
      </c>
      <c r="F843" s="83" t="b">
        <v>1</v>
      </c>
      <c r="G843" s="83"/>
      <c r="H843" s="83"/>
    </row>
    <row r="844" spans="1:8">
      <c r="A844" s="83" t="s">
        <v>3928</v>
      </c>
      <c r="B844" s="83" t="s">
        <v>3602</v>
      </c>
      <c r="C844" s="83" t="s">
        <v>3928</v>
      </c>
      <c r="D844" s="83" t="s">
        <v>3929</v>
      </c>
      <c r="E844" s="84">
        <f>personnel_nonteach_seniorbk_onleave</f>
        <v>0</v>
      </c>
      <c r="F844" s="83" t="b">
        <v>1</v>
      </c>
      <c r="G844" s="83"/>
      <c r="H844" s="83"/>
    </row>
    <row r="845" spans="1:8">
      <c r="A845" s="83" t="s">
        <v>3930</v>
      </c>
      <c r="B845" s="83" t="s">
        <v>3602</v>
      </c>
      <c r="C845" s="83" t="s">
        <v>3930</v>
      </c>
      <c r="D845" s="83" t="s">
        <v>3931</v>
      </c>
      <c r="E845" s="84">
        <f>personnel_nonteach_seniorbk_vacant</f>
        <v>0</v>
      </c>
      <c r="F845" s="83" t="b">
        <v>1</v>
      </c>
      <c r="G845" s="83"/>
      <c r="H845" s="83"/>
    </row>
    <row r="846" spans="1:8">
      <c r="A846" s="83" t="s">
        <v>3932</v>
      </c>
      <c r="B846" s="83" t="s">
        <v>3602</v>
      </c>
      <c r="C846" s="83" t="s">
        <v>3932</v>
      </c>
      <c r="D846" s="83" t="s">
        <v>3933</v>
      </c>
      <c r="E846" s="84">
        <f>personnel_nonteach_seniorbk_detailed_depedoffice</f>
        <v>0</v>
      </c>
      <c r="F846" s="83" t="b">
        <v>1</v>
      </c>
      <c r="G846" s="83"/>
      <c r="H846" s="83"/>
    </row>
    <row r="847" spans="1:8">
      <c r="A847" s="83" t="s">
        <v>3934</v>
      </c>
      <c r="B847" s="83" t="s">
        <v>3602</v>
      </c>
      <c r="C847" s="83" t="s">
        <v>3934</v>
      </c>
      <c r="D847" s="83" t="s">
        <v>3935</v>
      </c>
      <c r="E847" s="84">
        <f>personnel_nonteach_seniorbk_detailed_hs</f>
        <v>0</v>
      </c>
      <c r="F847" s="83" t="b">
        <v>1</v>
      </c>
      <c r="G847" s="83"/>
      <c r="H847" s="83"/>
    </row>
    <row r="848" spans="1:8">
      <c r="A848" s="83" t="s">
        <v>3936</v>
      </c>
      <c r="B848" s="83" t="s">
        <v>3602</v>
      </c>
      <c r="C848" s="83" t="s">
        <v>3936</v>
      </c>
      <c r="D848" s="83" t="s">
        <v>3937</v>
      </c>
      <c r="E848" s="84">
        <f>personnel_nonteach_seniorbk_detailed_outdiv</f>
        <v>0</v>
      </c>
      <c r="F848" s="83" t="b">
        <v>1</v>
      </c>
      <c r="G848" s="83"/>
      <c r="H848" s="83"/>
    </row>
    <row r="849" spans="1:8">
      <c r="A849" s="83" t="s">
        <v>3938</v>
      </c>
      <c r="B849" s="83" t="s">
        <v>3602</v>
      </c>
      <c r="C849" s="83" t="s">
        <v>3938</v>
      </c>
      <c r="D849" s="83" t="s">
        <v>3939</v>
      </c>
      <c r="E849" s="84">
        <f>personnel_nonteach_seniorbk_detailed_othersch_m</f>
        <v>0</v>
      </c>
      <c r="F849" s="83" t="b">
        <v>1</v>
      </c>
      <c r="G849" s="83"/>
      <c r="H849" s="83"/>
    </row>
    <row r="850" spans="1:8">
      <c r="A850" s="83" t="s">
        <v>3940</v>
      </c>
      <c r="B850" s="83" t="s">
        <v>3602</v>
      </c>
      <c r="C850" s="83" t="s">
        <v>3940</v>
      </c>
      <c r="D850" s="83" t="s">
        <v>3941</v>
      </c>
      <c r="E850" s="84">
        <f>personnel_nonteach_seniorbk_detailed_othersch_f</f>
        <v>0</v>
      </c>
      <c r="F850" s="83" t="b">
        <v>1</v>
      </c>
      <c r="G850" s="83"/>
      <c r="H850" s="83"/>
    </row>
    <row r="851" spans="1:8">
      <c r="A851" s="83" t="s">
        <v>3942</v>
      </c>
      <c r="B851" s="83" t="s">
        <v>3602</v>
      </c>
      <c r="C851" s="83" t="s">
        <v>3942</v>
      </c>
      <c r="D851" s="83" t="s">
        <v>3943</v>
      </c>
      <c r="E851" s="84">
        <f>personnel_nonteach_disbofficer_psipop</f>
        <v>1</v>
      </c>
      <c r="F851" s="83" t="b">
        <v>1</v>
      </c>
      <c r="G851" s="83"/>
      <c r="H851" s="83"/>
    </row>
    <row r="852" spans="1:8">
      <c r="A852" s="83" t="s">
        <v>3944</v>
      </c>
      <c r="B852" s="83" t="s">
        <v>3602</v>
      </c>
      <c r="C852" s="83" t="s">
        <v>3944</v>
      </c>
      <c r="D852" s="83" t="s">
        <v>3945</v>
      </c>
      <c r="E852" s="84">
        <f>personnel_nonteach_disbofficer_actual_m</f>
        <v>0</v>
      </c>
      <c r="F852" s="83" t="b">
        <v>1</v>
      </c>
      <c r="G852" s="83"/>
      <c r="H852" s="83"/>
    </row>
    <row r="853" spans="1:8">
      <c r="A853" s="83" t="s">
        <v>3946</v>
      </c>
      <c r="B853" s="83" t="s">
        <v>3602</v>
      </c>
      <c r="C853" s="83" t="s">
        <v>3946</v>
      </c>
      <c r="D853" s="83" t="s">
        <v>3947</v>
      </c>
      <c r="E853" s="84">
        <f>personnel_nonteach_disbofficer_actual_f</f>
        <v>0</v>
      </c>
      <c r="F853" s="83" t="b">
        <v>1</v>
      </c>
      <c r="G853" s="83"/>
      <c r="H853" s="83"/>
    </row>
    <row r="854" spans="1:8">
      <c r="A854" s="83" t="s">
        <v>3948</v>
      </c>
      <c r="B854" s="83" t="s">
        <v>3602</v>
      </c>
      <c r="C854" s="83" t="s">
        <v>3948</v>
      </c>
      <c r="D854" s="83" t="s">
        <v>3949</v>
      </c>
      <c r="E854" s="84">
        <f>personnel_nonteach_disbofficer_onleave</f>
        <v>0</v>
      </c>
      <c r="F854" s="83" t="b">
        <v>1</v>
      </c>
      <c r="G854" s="83"/>
      <c r="H854" s="83"/>
    </row>
    <row r="855" spans="1:8">
      <c r="A855" s="83" t="s">
        <v>3950</v>
      </c>
      <c r="B855" s="83" t="s">
        <v>3602</v>
      </c>
      <c r="C855" s="83" t="s">
        <v>3950</v>
      </c>
      <c r="D855" s="83" t="s">
        <v>3951</v>
      </c>
      <c r="E855" s="84">
        <f>personnel_nonteach_disbofficer_vacant</f>
        <v>0</v>
      </c>
      <c r="F855" s="83" t="b">
        <v>1</v>
      </c>
      <c r="G855" s="83"/>
      <c r="H855" s="83"/>
    </row>
    <row r="856" spans="1:8">
      <c r="A856" s="83" t="s">
        <v>3952</v>
      </c>
      <c r="B856" s="83" t="s">
        <v>3602</v>
      </c>
      <c r="C856" s="83" t="s">
        <v>3952</v>
      </c>
      <c r="D856" s="83" t="s">
        <v>3953</v>
      </c>
      <c r="E856" s="84">
        <f>personnel_nonteach_disbofficer_detailed_depedoffice</f>
        <v>1</v>
      </c>
      <c r="F856" s="83" t="b">
        <v>1</v>
      </c>
      <c r="G856" s="83"/>
      <c r="H856" s="83"/>
    </row>
    <row r="857" spans="1:8">
      <c r="A857" s="83" t="s">
        <v>3954</v>
      </c>
      <c r="B857" s="83" t="s">
        <v>3602</v>
      </c>
      <c r="C857" s="83" t="s">
        <v>3954</v>
      </c>
      <c r="D857" s="83" t="s">
        <v>3955</v>
      </c>
      <c r="E857" s="84">
        <f>personnel_nonteach_disbofficer_detailed_hs</f>
        <v>0</v>
      </c>
      <c r="F857" s="83" t="b">
        <v>1</v>
      </c>
      <c r="G857" s="83"/>
      <c r="H857" s="83"/>
    </row>
    <row r="858" spans="1:8">
      <c r="A858" s="83" t="s">
        <v>3956</v>
      </c>
      <c r="B858" s="83" t="s">
        <v>3602</v>
      </c>
      <c r="C858" s="83" t="s">
        <v>3956</v>
      </c>
      <c r="D858" s="83" t="s">
        <v>3957</v>
      </c>
      <c r="E858" s="84">
        <f>personnel_nonteach_disbofficer_detailed_outdiv</f>
        <v>0</v>
      </c>
      <c r="F858" s="83" t="b">
        <v>1</v>
      </c>
      <c r="G858" s="83"/>
      <c r="H858" s="83"/>
    </row>
    <row r="859" spans="1:8">
      <c r="A859" s="83" t="s">
        <v>3958</v>
      </c>
      <c r="B859" s="83" t="s">
        <v>3602</v>
      </c>
      <c r="C859" s="83" t="s">
        <v>3958</v>
      </c>
      <c r="D859" s="83" t="s">
        <v>3959</v>
      </c>
      <c r="E859" s="84">
        <f>personnel_nonteach_disbofficer_detailed_othersch_m</f>
        <v>0</v>
      </c>
      <c r="F859" s="83" t="b">
        <v>1</v>
      </c>
      <c r="G859" s="83"/>
      <c r="H859" s="83"/>
    </row>
    <row r="860" spans="1:8">
      <c r="A860" s="83" t="s">
        <v>3960</v>
      </c>
      <c r="B860" s="83" t="s">
        <v>3602</v>
      </c>
      <c r="C860" s="83" t="s">
        <v>3960</v>
      </c>
      <c r="D860" s="83" t="s">
        <v>3961</v>
      </c>
      <c r="E860" s="84">
        <f>personnel_nonteach_disbofficer_detailed_othersch_f</f>
        <v>0</v>
      </c>
      <c r="F860" s="83" t="b">
        <v>1</v>
      </c>
      <c r="G860" s="83"/>
      <c r="H860" s="83"/>
    </row>
    <row r="861" spans="1:8">
      <c r="A861" s="83" t="s">
        <v>3962</v>
      </c>
      <c r="B861" s="83" t="s">
        <v>3602</v>
      </c>
      <c r="C861" s="83" t="s">
        <v>3962</v>
      </c>
      <c r="D861" s="83" t="s">
        <v>3963</v>
      </c>
      <c r="E861" s="84">
        <f>personnel_nonteach_securityguard_psipop</f>
        <v>1</v>
      </c>
      <c r="F861" s="83" t="b">
        <v>1</v>
      </c>
      <c r="G861" s="83"/>
      <c r="H861" s="83"/>
    </row>
    <row r="862" spans="1:8">
      <c r="A862" s="83" t="s">
        <v>3964</v>
      </c>
      <c r="B862" s="83" t="s">
        <v>3602</v>
      </c>
      <c r="C862" s="83" t="s">
        <v>3964</v>
      </c>
      <c r="D862" s="83" t="s">
        <v>3965</v>
      </c>
      <c r="E862" s="84">
        <f>personnel_nonteach_securityguard_actual_m</f>
        <v>0</v>
      </c>
      <c r="F862" s="83" t="b">
        <v>1</v>
      </c>
      <c r="G862" s="83"/>
      <c r="H862" s="83"/>
    </row>
    <row r="863" spans="1:8">
      <c r="A863" s="83" t="s">
        <v>3966</v>
      </c>
      <c r="B863" s="83" t="s">
        <v>3602</v>
      </c>
      <c r="C863" s="83" t="s">
        <v>3966</v>
      </c>
      <c r="D863" s="83" t="s">
        <v>3967</v>
      </c>
      <c r="E863" s="84">
        <f>personnel_nonteach_securityguard_actual_f</f>
        <v>0</v>
      </c>
      <c r="F863" s="83" t="b">
        <v>1</v>
      </c>
      <c r="G863" s="83"/>
      <c r="H863" s="83"/>
    </row>
    <row r="864" spans="1:8">
      <c r="A864" s="83" t="s">
        <v>3968</v>
      </c>
      <c r="B864" s="83" t="s">
        <v>3602</v>
      </c>
      <c r="C864" s="83" t="s">
        <v>3968</v>
      </c>
      <c r="D864" s="83" t="s">
        <v>3969</v>
      </c>
      <c r="E864" s="84">
        <f>personnel_nonteach_securityguard_onleave</f>
        <v>0</v>
      </c>
      <c r="F864" s="83" t="b">
        <v>1</v>
      </c>
      <c r="G864" s="83"/>
      <c r="H864" s="83"/>
    </row>
    <row r="865" spans="1:8">
      <c r="A865" s="83" t="s">
        <v>3970</v>
      </c>
      <c r="B865" s="83" t="s">
        <v>3602</v>
      </c>
      <c r="C865" s="83" t="s">
        <v>3970</v>
      </c>
      <c r="D865" s="83" t="s">
        <v>3971</v>
      </c>
      <c r="E865" s="84">
        <f>personnel_nonteach_securityguard_vacant</f>
        <v>0</v>
      </c>
      <c r="F865" s="83" t="b">
        <v>1</v>
      </c>
      <c r="G865" s="83"/>
      <c r="H865" s="83"/>
    </row>
    <row r="866" spans="1:8">
      <c r="A866" s="83" t="s">
        <v>3972</v>
      </c>
      <c r="B866" s="83" t="s">
        <v>3602</v>
      </c>
      <c r="C866" s="83" t="s">
        <v>3972</v>
      </c>
      <c r="D866" s="83" t="s">
        <v>3973</v>
      </c>
      <c r="E866" s="84">
        <f>personnel_nonteach_securityguard_detailed_depedoffice</f>
        <v>1</v>
      </c>
      <c r="F866" s="83" t="b">
        <v>1</v>
      </c>
      <c r="G866" s="83"/>
      <c r="H866" s="83"/>
    </row>
    <row r="867" spans="1:8">
      <c r="A867" s="83" t="s">
        <v>3974</v>
      </c>
      <c r="B867" s="83" t="s">
        <v>3602</v>
      </c>
      <c r="C867" s="83" t="s">
        <v>3974</v>
      </c>
      <c r="D867" s="83" t="s">
        <v>3975</v>
      </c>
      <c r="E867" s="84">
        <f>personnel_nonteach_securityguard_detailed_hs</f>
        <v>0</v>
      </c>
      <c r="F867" s="83" t="b">
        <v>1</v>
      </c>
      <c r="G867" s="83"/>
      <c r="H867" s="83"/>
    </row>
    <row r="868" spans="1:8">
      <c r="A868" s="83" t="s">
        <v>3976</v>
      </c>
      <c r="B868" s="83" t="s">
        <v>3602</v>
      </c>
      <c r="C868" s="83" t="s">
        <v>3976</v>
      </c>
      <c r="D868" s="83" t="s">
        <v>3977</v>
      </c>
      <c r="E868" s="84">
        <f>personnel_nonteach_securityguard_detailed_outdiv</f>
        <v>0</v>
      </c>
      <c r="F868" s="83" t="b">
        <v>1</v>
      </c>
      <c r="G868" s="83"/>
      <c r="H868" s="83"/>
    </row>
    <row r="869" spans="1:8">
      <c r="A869" s="83" t="s">
        <v>3978</v>
      </c>
      <c r="B869" s="83" t="s">
        <v>3602</v>
      </c>
      <c r="C869" s="83" t="s">
        <v>3978</v>
      </c>
      <c r="D869" s="83" t="s">
        <v>3979</v>
      </c>
      <c r="E869" s="84">
        <f>personnel_nonteach_securityguard_detailed_othersch_m</f>
        <v>0</v>
      </c>
      <c r="F869" s="83" t="b">
        <v>1</v>
      </c>
      <c r="G869" s="83"/>
      <c r="H869" s="83"/>
    </row>
    <row r="870" spans="1:8">
      <c r="A870" s="83" t="s">
        <v>3980</v>
      </c>
      <c r="B870" s="83" t="s">
        <v>3602</v>
      </c>
      <c r="C870" s="83" t="s">
        <v>3980</v>
      </c>
      <c r="D870" s="83" t="s">
        <v>3981</v>
      </c>
      <c r="E870" s="84">
        <f>personnel_nonteach_securityguard_detailed_othersch_f</f>
        <v>0</v>
      </c>
      <c r="F870" s="83" t="b">
        <v>1</v>
      </c>
      <c r="G870" s="83"/>
      <c r="H870" s="83"/>
    </row>
    <row r="871" spans="1:8">
      <c r="A871" s="83" t="s">
        <v>3982</v>
      </c>
      <c r="B871" s="83" t="s">
        <v>3602</v>
      </c>
      <c r="C871" s="83" t="s">
        <v>3982</v>
      </c>
      <c r="D871" s="83" t="s">
        <v>3983</v>
      </c>
      <c r="E871" s="84">
        <f>personnel_nonteach_utilityworkerI_psipop</f>
        <v>0</v>
      </c>
      <c r="F871" s="83" t="b">
        <v>1</v>
      </c>
      <c r="G871" s="83"/>
      <c r="H871" s="83"/>
    </row>
    <row r="872" spans="1:8">
      <c r="A872" s="83" t="s">
        <v>3984</v>
      </c>
      <c r="B872" s="83" t="s">
        <v>3602</v>
      </c>
      <c r="C872" s="83" t="s">
        <v>3984</v>
      </c>
      <c r="D872" s="83" t="s">
        <v>3985</v>
      </c>
      <c r="E872" s="84">
        <f>personnel_nonteach_utilityworkerI_actual_m</f>
        <v>0</v>
      </c>
      <c r="F872" s="83" t="b">
        <v>1</v>
      </c>
      <c r="G872" s="83"/>
      <c r="H872" s="83"/>
    </row>
    <row r="873" spans="1:8">
      <c r="A873" s="83" t="s">
        <v>3986</v>
      </c>
      <c r="B873" s="83" t="s">
        <v>3602</v>
      </c>
      <c r="C873" s="83" t="s">
        <v>3986</v>
      </c>
      <c r="D873" s="83" t="s">
        <v>3987</v>
      </c>
      <c r="E873" s="84">
        <f>personnel_nonteach_utilityworkerI_actual_f</f>
        <v>0</v>
      </c>
      <c r="F873" s="83" t="b">
        <v>1</v>
      </c>
      <c r="G873" s="83"/>
      <c r="H873" s="83"/>
    </row>
    <row r="874" spans="1:8">
      <c r="A874" s="83" t="s">
        <v>3988</v>
      </c>
      <c r="B874" s="83" t="s">
        <v>3602</v>
      </c>
      <c r="C874" s="83" t="s">
        <v>3988</v>
      </c>
      <c r="D874" s="83" t="s">
        <v>3989</v>
      </c>
      <c r="E874" s="84">
        <f>personnel_nonteach_utilityworkerI_onleave</f>
        <v>0</v>
      </c>
      <c r="F874" s="83" t="b">
        <v>1</v>
      </c>
      <c r="G874" s="83"/>
      <c r="H874" s="83"/>
    </row>
    <row r="875" spans="1:8">
      <c r="A875" s="83" t="s">
        <v>3990</v>
      </c>
      <c r="B875" s="83" t="s">
        <v>3602</v>
      </c>
      <c r="C875" s="83" t="s">
        <v>3990</v>
      </c>
      <c r="D875" s="83" t="s">
        <v>3991</v>
      </c>
      <c r="E875" s="84">
        <f>personnel_nonteach_utilityworkerI_vacant</f>
        <v>0</v>
      </c>
      <c r="F875" s="83" t="b">
        <v>1</v>
      </c>
      <c r="G875" s="83"/>
      <c r="H875" s="83"/>
    </row>
    <row r="876" spans="1:8">
      <c r="A876" s="83" t="s">
        <v>3992</v>
      </c>
      <c r="B876" s="83" t="s">
        <v>3602</v>
      </c>
      <c r="C876" s="83" t="s">
        <v>3992</v>
      </c>
      <c r="D876" s="83" t="s">
        <v>3993</v>
      </c>
      <c r="E876" s="84">
        <f>personnel_nonteach_utilityworkerI_detailed_depedoffice</f>
        <v>0</v>
      </c>
      <c r="F876" s="83" t="b">
        <v>1</v>
      </c>
      <c r="G876" s="83"/>
      <c r="H876" s="83"/>
    </row>
    <row r="877" spans="1:8">
      <c r="A877" s="83" t="s">
        <v>3994</v>
      </c>
      <c r="B877" s="83" t="s">
        <v>3602</v>
      </c>
      <c r="C877" s="83" t="s">
        <v>3994</v>
      </c>
      <c r="D877" s="83" t="s">
        <v>3995</v>
      </c>
      <c r="E877" s="84">
        <f>personnel_nonteach_utilityworkerI_detailed_hs</f>
        <v>0</v>
      </c>
      <c r="F877" s="83" t="b">
        <v>1</v>
      </c>
      <c r="G877" s="83"/>
      <c r="H877" s="83"/>
    </row>
    <row r="878" spans="1:8">
      <c r="A878" s="83" t="s">
        <v>3996</v>
      </c>
      <c r="B878" s="83" t="s">
        <v>3602</v>
      </c>
      <c r="C878" s="83" t="s">
        <v>3996</v>
      </c>
      <c r="D878" s="83" t="s">
        <v>3997</v>
      </c>
      <c r="E878" s="84">
        <f>personnel_nonteach_utilityworkerI_detailed_outdiv</f>
        <v>0</v>
      </c>
      <c r="F878" s="83" t="b">
        <v>1</v>
      </c>
      <c r="G878" s="83"/>
      <c r="H878" s="83"/>
    </row>
    <row r="879" spans="1:8">
      <c r="A879" s="83" t="s">
        <v>3998</v>
      </c>
      <c r="B879" s="83" t="s">
        <v>3602</v>
      </c>
      <c r="C879" s="83" t="s">
        <v>3998</v>
      </c>
      <c r="D879" s="83" t="s">
        <v>3999</v>
      </c>
      <c r="E879" s="84">
        <f>personnel_nonteach_utilityworkerI_detailed_othersch_m</f>
        <v>0</v>
      </c>
      <c r="F879" s="83" t="b">
        <v>1</v>
      </c>
      <c r="G879" s="83"/>
      <c r="H879" s="83"/>
    </row>
    <row r="880" spans="1:8" ht="16" thickBot="1">
      <c r="A880" s="85" t="s">
        <v>4000</v>
      </c>
      <c r="B880" s="85" t="s">
        <v>3602</v>
      </c>
      <c r="C880" s="85" t="s">
        <v>4000</v>
      </c>
      <c r="D880" s="85" t="s">
        <v>4001</v>
      </c>
      <c r="E880" s="86">
        <f>personnel_nonteach_utilityworkerI_detailed_othersch_f</f>
        <v>0</v>
      </c>
      <c r="F880" s="85" t="b">
        <v>1</v>
      </c>
      <c r="G880" s="85"/>
      <c r="H880" s="85"/>
    </row>
    <row r="881" spans="1:9">
      <c r="A881" s="83" t="s">
        <v>4012</v>
      </c>
      <c r="B881" s="83" t="s">
        <v>4002</v>
      </c>
      <c r="C881" s="83" t="s">
        <v>4012</v>
      </c>
      <c r="D881" s="83" t="s">
        <v>11536</v>
      </c>
      <c r="E881" s="84">
        <f>personnel_teach_mt4_psipop</f>
        <v>0</v>
      </c>
      <c r="F881" s="83" t="b">
        <v>1</v>
      </c>
      <c r="G881" s="83"/>
      <c r="H881" s="83"/>
      <c r="I881" s="83" t="s">
        <v>11533</v>
      </c>
    </row>
    <row r="882" spans="1:9">
      <c r="A882" s="83" t="s">
        <v>4003</v>
      </c>
      <c r="B882" s="83" t="s">
        <v>4002</v>
      </c>
      <c r="C882" s="83" t="s">
        <v>4003</v>
      </c>
      <c r="D882" s="83" t="s">
        <v>11537</v>
      </c>
      <c r="E882" s="84">
        <f>personnel_teach_mt4_actual_m</f>
        <v>0</v>
      </c>
      <c r="F882" s="83" t="b">
        <v>1</v>
      </c>
      <c r="G882" s="83"/>
      <c r="H882" s="83"/>
    </row>
    <row r="883" spans="1:9">
      <c r="A883" s="83" t="s">
        <v>4004</v>
      </c>
      <c r="B883" s="83" t="s">
        <v>4002</v>
      </c>
      <c r="C883" s="83" t="s">
        <v>4004</v>
      </c>
      <c r="D883" s="83" t="s">
        <v>11538</v>
      </c>
      <c r="E883" s="84">
        <f>personnel_teach_mt4_actual_f</f>
        <v>0</v>
      </c>
      <c r="F883" s="83" t="b">
        <v>1</v>
      </c>
      <c r="G883" s="83"/>
      <c r="H883" s="83"/>
    </row>
    <row r="884" spans="1:9">
      <c r="A884" s="83" t="s">
        <v>4005</v>
      </c>
      <c r="B884" s="83" t="s">
        <v>4002</v>
      </c>
      <c r="C884" s="83" t="s">
        <v>4005</v>
      </c>
      <c r="D884" s="83" t="s">
        <v>11539</v>
      </c>
      <c r="E884" s="84">
        <f>personnel_teach_mt4_onleave</f>
        <v>0</v>
      </c>
      <c r="F884" s="83" t="b">
        <v>1</v>
      </c>
      <c r="G884" s="83"/>
      <c r="H884" s="83"/>
    </row>
    <row r="885" spans="1:9">
      <c r="A885" s="83" t="s">
        <v>4006</v>
      </c>
      <c r="B885" s="83" t="s">
        <v>4002</v>
      </c>
      <c r="C885" s="83" t="s">
        <v>4006</v>
      </c>
      <c r="D885" s="83" t="s">
        <v>11540</v>
      </c>
      <c r="E885" s="84">
        <f>personnel_teach_mt4_vacant</f>
        <v>0</v>
      </c>
      <c r="F885" s="83" t="b">
        <v>1</v>
      </c>
      <c r="G885" s="83"/>
      <c r="H885" s="83"/>
    </row>
    <row r="886" spans="1:9">
      <c r="A886" s="83" t="s">
        <v>4007</v>
      </c>
      <c r="B886" s="83" t="s">
        <v>4002</v>
      </c>
      <c r="C886" s="83" t="s">
        <v>4007</v>
      </c>
      <c r="D886" s="83" t="s">
        <v>11541</v>
      </c>
      <c r="E886" s="84">
        <f>personnel_teach_mt4_detailed_office_withind</f>
        <v>0</v>
      </c>
      <c r="F886" s="83" t="b">
        <v>1</v>
      </c>
      <c r="G886" s="83"/>
      <c r="H886" s="83"/>
    </row>
    <row r="887" spans="1:9">
      <c r="A887" s="83" t="s">
        <v>4008</v>
      </c>
      <c r="B887" s="83" t="s">
        <v>4002</v>
      </c>
      <c r="C887" s="83" t="s">
        <v>4008</v>
      </c>
      <c r="D887" s="83" t="s">
        <v>11542</v>
      </c>
      <c r="E887" s="84">
        <f>personnel_teach_mt4_detailed_secsch_withind</f>
        <v>0</v>
      </c>
      <c r="F887" s="83" t="b">
        <v>1</v>
      </c>
      <c r="G887" s="83"/>
      <c r="H887" s="83"/>
    </row>
    <row r="888" spans="1:9">
      <c r="A888" s="83" t="s">
        <v>4009</v>
      </c>
      <c r="B888" s="83" t="s">
        <v>4002</v>
      </c>
      <c r="C888" s="83" t="s">
        <v>4009</v>
      </c>
      <c r="D888" s="83" t="s">
        <v>11543</v>
      </c>
      <c r="E888" s="84">
        <f>personnel_teach_mt4_detailed_outdiv</f>
        <v>0</v>
      </c>
      <c r="F888" s="83" t="b">
        <v>1</v>
      </c>
      <c r="G888" s="83"/>
      <c r="H888" s="83"/>
    </row>
    <row r="889" spans="1:9">
      <c r="A889" s="83" t="s">
        <v>4010</v>
      </c>
      <c r="B889" s="83" t="s">
        <v>4002</v>
      </c>
      <c r="C889" s="83" t="s">
        <v>4010</v>
      </c>
      <c r="D889" s="83" t="s">
        <v>11544</v>
      </c>
      <c r="E889" s="84">
        <f>personnel_teach_mt4_detailed_othersch_m</f>
        <v>0</v>
      </c>
      <c r="F889" s="83" t="b">
        <v>1</v>
      </c>
      <c r="G889" s="83"/>
      <c r="H889" s="83"/>
    </row>
    <row r="890" spans="1:9">
      <c r="A890" s="83" t="s">
        <v>4011</v>
      </c>
      <c r="B890" s="83" t="s">
        <v>4002</v>
      </c>
      <c r="C890" s="83" t="s">
        <v>4011</v>
      </c>
      <c r="D890" s="83" t="s">
        <v>11545</v>
      </c>
      <c r="E890" s="84">
        <f>personnel_teach_mt4_detailed_othersch_f</f>
        <v>0</v>
      </c>
      <c r="F890" s="83" t="b">
        <v>1</v>
      </c>
      <c r="G890" s="83"/>
      <c r="H890" s="83"/>
    </row>
    <row r="891" spans="1:9">
      <c r="A891" s="83" t="s">
        <v>4013</v>
      </c>
      <c r="B891" s="83" t="s">
        <v>4002</v>
      </c>
      <c r="C891" s="83" t="s">
        <v>4013</v>
      </c>
      <c r="D891" s="83" t="s">
        <v>11546</v>
      </c>
      <c r="E891" s="84">
        <f>personnel_teach_mt3_psipop</f>
        <v>0</v>
      </c>
      <c r="F891" s="83" t="b">
        <v>1</v>
      </c>
      <c r="G891" s="83"/>
      <c r="H891" s="83"/>
      <c r="I891" s="83" t="s">
        <v>11533</v>
      </c>
    </row>
    <row r="892" spans="1:9">
      <c r="A892" s="83" t="s">
        <v>4014</v>
      </c>
      <c r="B892" s="83" t="s">
        <v>4002</v>
      </c>
      <c r="C892" s="83" t="s">
        <v>4014</v>
      </c>
      <c r="D892" s="83" t="s">
        <v>11547</v>
      </c>
      <c r="E892" s="84">
        <f>personnel_teach_mt3_actual_m</f>
        <v>0</v>
      </c>
      <c r="F892" s="83" t="b">
        <v>1</v>
      </c>
      <c r="G892" s="83"/>
      <c r="H892" s="83"/>
    </row>
    <row r="893" spans="1:9">
      <c r="A893" s="83" t="s">
        <v>4015</v>
      </c>
      <c r="B893" s="83" t="s">
        <v>4002</v>
      </c>
      <c r="C893" s="83" t="s">
        <v>4015</v>
      </c>
      <c r="D893" s="83" t="s">
        <v>11548</v>
      </c>
      <c r="E893" s="84">
        <f>personnel_teach_mt3_actual_f</f>
        <v>0</v>
      </c>
      <c r="F893" s="83" t="b">
        <v>1</v>
      </c>
      <c r="G893" s="83"/>
      <c r="H893" s="83"/>
    </row>
    <row r="894" spans="1:9">
      <c r="A894" s="83" t="s">
        <v>4016</v>
      </c>
      <c r="B894" s="83" t="s">
        <v>4002</v>
      </c>
      <c r="C894" s="83" t="s">
        <v>4016</v>
      </c>
      <c r="D894" s="83" t="s">
        <v>11549</v>
      </c>
      <c r="E894" s="84">
        <f>personnel_teach_mt3_onleave</f>
        <v>0</v>
      </c>
      <c r="F894" s="83" t="b">
        <v>1</v>
      </c>
      <c r="G894" s="83"/>
      <c r="H894" s="83"/>
    </row>
    <row r="895" spans="1:9">
      <c r="A895" s="83" t="s">
        <v>4017</v>
      </c>
      <c r="B895" s="83" t="s">
        <v>4002</v>
      </c>
      <c r="C895" s="83" t="s">
        <v>4017</v>
      </c>
      <c r="D895" s="83" t="s">
        <v>11550</v>
      </c>
      <c r="E895" s="84">
        <f>personnel_teach_mt3_vacant</f>
        <v>0</v>
      </c>
      <c r="F895" s="83" t="b">
        <v>1</v>
      </c>
      <c r="G895" s="83"/>
      <c r="H895" s="83"/>
    </row>
    <row r="896" spans="1:9">
      <c r="A896" s="83" t="s">
        <v>4018</v>
      </c>
      <c r="B896" s="83" t="s">
        <v>4002</v>
      </c>
      <c r="C896" s="83" t="s">
        <v>4018</v>
      </c>
      <c r="D896" s="83" t="s">
        <v>11551</v>
      </c>
      <c r="E896" s="84">
        <f>personnel_teach_mt3_detailed_office_withind</f>
        <v>0</v>
      </c>
      <c r="F896" s="83" t="b">
        <v>1</v>
      </c>
      <c r="G896" s="83"/>
      <c r="H896" s="83"/>
    </row>
    <row r="897" spans="1:9">
      <c r="A897" s="83" t="s">
        <v>4019</v>
      </c>
      <c r="B897" s="83" t="s">
        <v>4002</v>
      </c>
      <c r="C897" s="83" t="s">
        <v>4019</v>
      </c>
      <c r="D897" s="83" t="s">
        <v>11552</v>
      </c>
      <c r="E897" s="84">
        <f>personnel_teach_mt3_detailed_secsch_withind</f>
        <v>0</v>
      </c>
      <c r="F897" s="83" t="b">
        <v>1</v>
      </c>
      <c r="G897" s="83"/>
      <c r="H897" s="83"/>
    </row>
    <row r="898" spans="1:9">
      <c r="A898" s="83" t="s">
        <v>4020</v>
      </c>
      <c r="B898" s="83" t="s">
        <v>4002</v>
      </c>
      <c r="C898" s="83" t="s">
        <v>4020</v>
      </c>
      <c r="D898" s="83" t="s">
        <v>11553</v>
      </c>
      <c r="E898" s="84" cm="1">
        <f t="array" ref="E898">personnel_teach_mt3_detailed_outdiv</f>
        <v>0</v>
      </c>
      <c r="F898" s="83" t="b">
        <v>1</v>
      </c>
      <c r="G898" s="83"/>
      <c r="H898" s="83"/>
    </row>
    <row r="899" spans="1:9">
      <c r="A899" s="83" t="s">
        <v>4021</v>
      </c>
      <c r="B899" s="83" t="s">
        <v>4002</v>
      </c>
      <c r="C899" s="83" t="s">
        <v>4021</v>
      </c>
      <c r="D899" s="83" t="s">
        <v>11554</v>
      </c>
      <c r="E899" s="84">
        <f>personnel_teach_mt3_detailed_othersch_m</f>
        <v>0</v>
      </c>
      <c r="F899" s="83" t="b">
        <v>1</v>
      </c>
      <c r="G899" s="83"/>
      <c r="H899" s="83"/>
    </row>
    <row r="900" spans="1:9">
      <c r="A900" s="83" t="s">
        <v>4022</v>
      </c>
      <c r="B900" s="83" t="s">
        <v>4002</v>
      </c>
      <c r="C900" s="83" t="s">
        <v>4022</v>
      </c>
      <c r="D900" s="83" t="s">
        <v>11555</v>
      </c>
      <c r="E900" s="84">
        <f>personnel_teach_mt3_detailed_othersch_f</f>
        <v>0</v>
      </c>
      <c r="F900" s="83" t="b">
        <v>1</v>
      </c>
      <c r="G900" s="83"/>
      <c r="H900" s="83"/>
    </row>
    <row r="901" spans="1:9">
      <c r="A901" s="83" t="s">
        <v>4023</v>
      </c>
      <c r="B901" s="83" t="s">
        <v>4002</v>
      </c>
      <c r="C901" s="83" t="s">
        <v>4023</v>
      </c>
      <c r="D901" s="83" t="s">
        <v>11556</v>
      </c>
      <c r="E901" s="84">
        <f>personnel_teach_mt2_psipop</f>
        <v>1</v>
      </c>
      <c r="F901" s="83" t="b">
        <v>1</v>
      </c>
      <c r="G901" s="83"/>
      <c r="H901" s="83"/>
      <c r="I901" s="83" t="s">
        <v>11533</v>
      </c>
    </row>
    <row r="902" spans="1:9">
      <c r="A902" s="83" t="s">
        <v>4024</v>
      </c>
      <c r="B902" s="83" t="s">
        <v>4002</v>
      </c>
      <c r="C902" s="83" t="s">
        <v>4024</v>
      </c>
      <c r="D902" s="83" t="s">
        <v>11557</v>
      </c>
      <c r="E902" s="84">
        <f>personnel_teach_mt2_actual_m</f>
        <v>0</v>
      </c>
      <c r="F902" s="83" t="b">
        <v>1</v>
      </c>
      <c r="G902" s="83"/>
      <c r="H902" s="83"/>
    </row>
    <row r="903" spans="1:9">
      <c r="A903" s="83" t="s">
        <v>4025</v>
      </c>
      <c r="B903" s="83" t="s">
        <v>4002</v>
      </c>
      <c r="C903" s="83" t="s">
        <v>4025</v>
      </c>
      <c r="D903" s="83" t="s">
        <v>11558</v>
      </c>
      <c r="E903" s="84">
        <f>personnel_teach_mt2_actual_f</f>
        <v>1</v>
      </c>
      <c r="F903" s="83" t="b">
        <v>1</v>
      </c>
      <c r="G903" s="83"/>
      <c r="H903" s="83"/>
    </row>
    <row r="904" spans="1:9">
      <c r="A904" s="83" t="s">
        <v>4026</v>
      </c>
      <c r="B904" s="83" t="s">
        <v>4002</v>
      </c>
      <c r="C904" s="83" t="s">
        <v>4026</v>
      </c>
      <c r="D904" s="83" t="s">
        <v>11559</v>
      </c>
      <c r="E904" s="84">
        <f>personnel_teach_mt2_onleave</f>
        <v>0</v>
      </c>
      <c r="F904" s="83" t="b">
        <v>1</v>
      </c>
      <c r="G904" s="83"/>
      <c r="H904" s="83"/>
    </row>
    <row r="905" spans="1:9">
      <c r="A905" s="83" t="s">
        <v>4027</v>
      </c>
      <c r="B905" s="83" t="s">
        <v>4002</v>
      </c>
      <c r="C905" s="83" t="s">
        <v>4027</v>
      </c>
      <c r="D905" s="83" t="s">
        <v>11560</v>
      </c>
      <c r="E905" s="84">
        <f>personnel_teach_mt2_vacant</f>
        <v>0</v>
      </c>
      <c r="F905" s="83" t="b">
        <v>1</v>
      </c>
      <c r="G905" s="83"/>
      <c r="H905" s="83"/>
    </row>
    <row r="906" spans="1:9">
      <c r="A906" s="83" t="s">
        <v>4028</v>
      </c>
      <c r="B906" s="83" t="s">
        <v>4002</v>
      </c>
      <c r="C906" s="83" t="s">
        <v>4028</v>
      </c>
      <c r="D906" s="83" t="s">
        <v>11561</v>
      </c>
      <c r="E906" s="84">
        <f>personnel_teach_mt2_detailed_office_withind</f>
        <v>0</v>
      </c>
      <c r="F906" s="83" t="b">
        <v>1</v>
      </c>
      <c r="G906" s="83"/>
      <c r="H906" s="83"/>
    </row>
    <row r="907" spans="1:9">
      <c r="A907" s="83" t="s">
        <v>4029</v>
      </c>
      <c r="B907" s="83" t="s">
        <v>4002</v>
      </c>
      <c r="C907" s="83" t="s">
        <v>4029</v>
      </c>
      <c r="D907" s="83" t="s">
        <v>11562</v>
      </c>
      <c r="E907" s="84">
        <f>personnel_teach_mt2_detailed_secsch_withind</f>
        <v>0</v>
      </c>
      <c r="F907" s="83" t="b">
        <v>1</v>
      </c>
      <c r="G907" s="83"/>
      <c r="H907" s="83"/>
    </row>
    <row r="908" spans="1:9">
      <c r="A908" s="83" t="s">
        <v>4030</v>
      </c>
      <c r="B908" s="83" t="s">
        <v>4002</v>
      </c>
      <c r="C908" s="83" t="s">
        <v>4030</v>
      </c>
      <c r="D908" s="83" t="s">
        <v>11563</v>
      </c>
      <c r="E908" s="84">
        <f>personnel_teach_mt2_detailed_outdiv</f>
        <v>0</v>
      </c>
      <c r="F908" s="83" t="b">
        <v>1</v>
      </c>
      <c r="G908" s="83"/>
      <c r="H908" s="83"/>
    </row>
    <row r="909" spans="1:9">
      <c r="A909" s="83" t="s">
        <v>4031</v>
      </c>
      <c r="B909" s="83" t="s">
        <v>4002</v>
      </c>
      <c r="C909" s="83" t="s">
        <v>4031</v>
      </c>
      <c r="D909" s="83" t="s">
        <v>11564</v>
      </c>
      <c r="E909" s="84">
        <f>personnel_teach_mt2_detailed_othersch_m</f>
        <v>0</v>
      </c>
      <c r="F909" s="83" t="b">
        <v>1</v>
      </c>
      <c r="G909" s="83"/>
      <c r="H909" s="83"/>
    </row>
    <row r="910" spans="1:9">
      <c r="A910" s="83" t="s">
        <v>4032</v>
      </c>
      <c r="B910" s="83" t="s">
        <v>4002</v>
      </c>
      <c r="C910" s="83" t="s">
        <v>4032</v>
      </c>
      <c r="D910" s="83" t="s">
        <v>11565</v>
      </c>
      <c r="E910" s="84">
        <f>personnel_teach_mt2_detailed_othersch_f</f>
        <v>0</v>
      </c>
      <c r="F910" s="83" t="b">
        <v>1</v>
      </c>
      <c r="G910" s="83"/>
      <c r="H910" s="83"/>
    </row>
    <row r="911" spans="1:9">
      <c r="A911" s="83" t="s">
        <v>4033</v>
      </c>
      <c r="B911" s="83" t="s">
        <v>4002</v>
      </c>
      <c r="C911" s="83" t="s">
        <v>4033</v>
      </c>
      <c r="D911" s="83" t="s">
        <v>11566</v>
      </c>
      <c r="E911" s="84">
        <f>personnel_teach_mt1_psipop</f>
        <v>4</v>
      </c>
      <c r="F911" s="83" t="b">
        <v>1</v>
      </c>
      <c r="G911" s="83"/>
      <c r="H911" s="83"/>
      <c r="I911" s="83" t="s">
        <v>11533</v>
      </c>
    </row>
    <row r="912" spans="1:9">
      <c r="A912" s="83" t="s">
        <v>4034</v>
      </c>
      <c r="B912" s="83" t="s">
        <v>4002</v>
      </c>
      <c r="C912" s="83" t="s">
        <v>4034</v>
      </c>
      <c r="D912" s="83" t="s">
        <v>11567</v>
      </c>
      <c r="E912" s="84">
        <f>personnel_teach_mt1_actual_m</f>
        <v>0</v>
      </c>
      <c r="F912" s="83" t="b">
        <v>1</v>
      </c>
      <c r="G912" s="83"/>
      <c r="H912" s="83"/>
    </row>
    <row r="913" spans="1:9">
      <c r="A913" s="83" t="s">
        <v>4035</v>
      </c>
      <c r="B913" s="83" t="s">
        <v>4002</v>
      </c>
      <c r="C913" s="83" t="s">
        <v>4035</v>
      </c>
      <c r="D913" s="83" t="s">
        <v>11568</v>
      </c>
      <c r="E913" s="84">
        <f>personnel_teach_mt1_actual_f</f>
        <v>4</v>
      </c>
      <c r="F913" s="83" t="b">
        <v>1</v>
      </c>
      <c r="G913" s="83"/>
      <c r="H913" s="83"/>
    </row>
    <row r="914" spans="1:9">
      <c r="A914" s="83" t="s">
        <v>4036</v>
      </c>
      <c r="B914" s="83" t="s">
        <v>4002</v>
      </c>
      <c r="C914" s="83" t="s">
        <v>4036</v>
      </c>
      <c r="D914" s="83" t="s">
        <v>11569</v>
      </c>
      <c r="E914" s="84">
        <f>personnel_teach_mt1_onleave</f>
        <v>0</v>
      </c>
      <c r="F914" s="83" t="b">
        <v>1</v>
      </c>
      <c r="G914" s="83"/>
      <c r="H914" s="83"/>
    </row>
    <row r="915" spans="1:9">
      <c r="A915" s="83" t="s">
        <v>4037</v>
      </c>
      <c r="B915" s="83" t="s">
        <v>4002</v>
      </c>
      <c r="C915" s="83" t="s">
        <v>4037</v>
      </c>
      <c r="D915" s="83" t="s">
        <v>11570</v>
      </c>
      <c r="E915" s="84">
        <f>personnel_teach_mt1_vacant</f>
        <v>0</v>
      </c>
      <c r="F915" s="83" t="b">
        <v>1</v>
      </c>
      <c r="G915" s="83"/>
      <c r="H915" s="83"/>
    </row>
    <row r="916" spans="1:9">
      <c r="A916" s="83" t="s">
        <v>4038</v>
      </c>
      <c r="B916" s="83" t="s">
        <v>4002</v>
      </c>
      <c r="C916" s="83" t="s">
        <v>4038</v>
      </c>
      <c r="D916" s="83" t="s">
        <v>11571</v>
      </c>
      <c r="E916" s="84">
        <f>personnel_teach_mt1_detailed_office_withind</f>
        <v>0</v>
      </c>
      <c r="F916" s="83" t="b">
        <v>1</v>
      </c>
      <c r="G916" s="83"/>
      <c r="H916" s="83"/>
    </row>
    <row r="917" spans="1:9">
      <c r="A917" s="83" t="s">
        <v>4039</v>
      </c>
      <c r="B917" s="83" t="s">
        <v>4002</v>
      </c>
      <c r="C917" s="83" t="s">
        <v>4039</v>
      </c>
      <c r="D917" s="83" t="s">
        <v>11572</v>
      </c>
      <c r="E917" s="84">
        <f>personnel_teach_mt1_detailed_secsch_withind</f>
        <v>0</v>
      </c>
      <c r="F917" s="83" t="b">
        <v>1</v>
      </c>
      <c r="G917" s="83"/>
      <c r="H917" s="83"/>
    </row>
    <row r="918" spans="1:9">
      <c r="A918" s="83" t="s">
        <v>4040</v>
      </c>
      <c r="B918" s="83" t="s">
        <v>4002</v>
      </c>
      <c r="C918" s="83" t="s">
        <v>4040</v>
      </c>
      <c r="D918" s="83" t="s">
        <v>11573</v>
      </c>
      <c r="E918" s="84">
        <f>personnel_teach_mt1_detailed_outdiv</f>
        <v>0</v>
      </c>
      <c r="F918" s="83" t="b">
        <v>1</v>
      </c>
      <c r="G918" s="83"/>
      <c r="H918" s="83"/>
    </row>
    <row r="919" spans="1:9">
      <c r="A919" s="83" t="s">
        <v>4041</v>
      </c>
      <c r="B919" s="83" t="s">
        <v>4002</v>
      </c>
      <c r="C919" s="83" t="s">
        <v>4041</v>
      </c>
      <c r="D919" s="83" t="s">
        <v>11574</v>
      </c>
      <c r="E919" s="84">
        <f>personnel_teach_mt1_detailed_othersch_m</f>
        <v>0</v>
      </c>
      <c r="F919" s="83" t="b">
        <v>1</v>
      </c>
      <c r="G919" s="83"/>
      <c r="H919" s="83"/>
    </row>
    <row r="920" spans="1:9">
      <c r="A920" s="83" t="s">
        <v>4042</v>
      </c>
      <c r="B920" s="83" t="s">
        <v>4002</v>
      </c>
      <c r="C920" s="83" t="s">
        <v>4042</v>
      </c>
      <c r="D920" s="83" t="s">
        <v>11575</v>
      </c>
      <c r="E920" s="84">
        <f>personnel_teach_mt1_detailed_othersch_f</f>
        <v>0</v>
      </c>
      <c r="F920" s="83" t="b">
        <v>1</v>
      </c>
      <c r="G920" s="83"/>
      <c r="H920" s="83"/>
    </row>
    <row r="921" spans="1:9">
      <c r="A921" s="83" t="s">
        <v>4043</v>
      </c>
      <c r="B921" s="83" t="s">
        <v>4002</v>
      </c>
      <c r="C921" s="83" t="s">
        <v>4043</v>
      </c>
      <c r="D921" s="83" t="s">
        <v>11576</v>
      </c>
      <c r="E921" s="84">
        <f>personnel_teach_t3_psipop</f>
        <v>11</v>
      </c>
      <c r="F921" s="83" t="b">
        <v>1</v>
      </c>
      <c r="G921" s="83"/>
      <c r="H921" s="83"/>
      <c r="I921" s="83" t="s">
        <v>11533</v>
      </c>
    </row>
    <row r="922" spans="1:9">
      <c r="A922" s="83" t="s">
        <v>4044</v>
      </c>
      <c r="B922" s="83" t="s">
        <v>4002</v>
      </c>
      <c r="C922" s="83" t="s">
        <v>4044</v>
      </c>
      <c r="D922" s="83" t="s">
        <v>11577</v>
      </c>
      <c r="E922" s="84">
        <f>personnel_teach_t3_actual_m</f>
        <v>1</v>
      </c>
      <c r="F922" s="83" t="b">
        <v>1</v>
      </c>
      <c r="G922" s="83"/>
      <c r="H922" s="83"/>
    </row>
    <row r="923" spans="1:9">
      <c r="A923" s="83" t="s">
        <v>4045</v>
      </c>
      <c r="B923" s="83" t="s">
        <v>4002</v>
      </c>
      <c r="C923" s="83" t="s">
        <v>4045</v>
      </c>
      <c r="D923" s="83" t="s">
        <v>11578</v>
      </c>
      <c r="E923" s="84">
        <f>personnel_teach_t3_actual_f</f>
        <v>10</v>
      </c>
      <c r="F923" s="83" t="b">
        <v>1</v>
      </c>
      <c r="G923" s="83"/>
      <c r="H923" s="83"/>
    </row>
    <row r="924" spans="1:9">
      <c r="A924" s="83" t="s">
        <v>4046</v>
      </c>
      <c r="B924" s="83" t="s">
        <v>4002</v>
      </c>
      <c r="C924" s="83" t="s">
        <v>4046</v>
      </c>
      <c r="D924" s="83" t="s">
        <v>11579</v>
      </c>
      <c r="E924" s="84">
        <f>personnel_teach_t3_onleave</f>
        <v>0</v>
      </c>
      <c r="F924" s="83" t="b">
        <v>1</v>
      </c>
      <c r="G924" s="83"/>
      <c r="H924" s="83"/>
    </row>
    <row r="925" spans="1:9">
      <c r="A925" s="83" t="s">
        <v>4047</v>
      </c>
      <c r="B925" s="83" t="s">
        <v>4002</v>
      </c>
      <c r="C925" s="83" t="s">
        <v>4047</v>
      </c>
      <c r="D925" s="83" t="s">
        <v>11580</v>
      </c>
      <c r="E925" s="84">
        <f>personnel_teach_t3_vacant</f>
        <v>0</v>
      </c>
      <c r="F925" s="83" t="b">
        <v>1</v>
      </c>
      <c r="G925" s="83"/>
      <c r="H925" s="83"/>
    </row>
    <row r="926" spans="1:9">
      <c r="A926" s="83" t="s">
        <v>4048</v>
      </c>
      <c r="B926" s="83" t="s">
        <v>4002</v>
      </c>
      <c r="C926" s="83" t="s">
        <v>4048</v>
      </c>
      <c r="D926" s="83" t="s">
        <v>11581</v>
      </c>
      <c r="E926" s="84">
        <f>personnel_teach_t3_detailed_office_withind</f>
        <v>0</v>
      </c>
      <c r="F926" s="83" t="b">
        <v>1</v>
      </c>
      <c r="G926" s="83"/>
      <c r="H926" s="83"/>
    </row>
    <row r="927" spans="1:9">
      <c r="A927" s="83" t="s">
        <v>4049</v>
      </c>
      <c r="B927" s="83" t="s">
        <v>4002</v>
      </c>
      <c r="C927" s="83" t="s">
        <v>4049</v>
      </c>
      <c r="D927" s="83" t="s">
        <v>11582</v>
      </c>
      <c r="E927" s="84">
        <f>personnel_teach_t3_detailed_secsch_withind</f>
        <v>0</v>
      </c>
      <c r="F927" s="83" t="b">
        <v>1</v>
      </c>
      <c r="G927" s="83"/>
      <c r="H927" s="83"/>
    </row>
    <row r="928" spans="1:9">
      <c r="A928" s="83" t="s">
        <v>4050</v>
      </c>
      <c r="B928" s="83" t="s">
        <v>4002</v>
      </c>
      <c r="C928" s="83" t="s">
        <v>4050</v>
      </c>
      <c r="D928" s="83" t="s">
        <v>11583</v>
      </c>
      <c r="E928" s="84">
        <f>personnel_teach_t3_detailed_outdiv</f>
        <v>0</v>
      </c>
      <c r="F928" s="83" t="b">
        <v>1</v>
      </c>
      <c r="G928" s="83"/>
      <c r="H928" s="83"/>
    </row>
    <row r="929" spans="1:9">
      <c r="A929" s="83" t="s">
        <v>4051</v>
      </c>
      <c r="B929" s="83" t="s">
        <v>4002</v>
      </c>
      <c r="C929" s="83" t="s">
        <v>4051</v>
      </c>
      <c r="D929" s="83" t="s">
        <v>11584</v>
      </c>
      <c r="E929" s="84">
        <f>personnel_teach_t3_detailed_othersch_m</f>
        <v>0</v>
      </c>
      <c r="F929" s="83" t="b">
        <v>1</v>
      </c>
      <c r="G929" s="83"/>
      <c r="H929" s="83"/>
    </row>
    <row r="930" spans="1:9">
      <c r="A930" s="83" t="s">
        <v>4052</v>
      </c>
      <c r="B930" s="83" t="s">
        <v>4002</v>
      </c>
      <c r="C930" s="83" t="s">
        <v>4052</v>
      </c>
      <c r="D930" s="83" t="s">
        <v>11585</v>
      </c>
      <c r="E930" s="84">
        <f>personnel_teach_t3_detailed_othersch_f</f>
        <v>0</v>
      </c>
      <c r="F930" s="83" t="b">
        <v>1</v>
      </c>
      <c r="G930" s="83"/>
      <c r="H930" s="83"/>
    </row>
    <row r="931" spans="1:9">
      <c r="A931" s="83" t="s">
        <v>4053</v>
      </c>
      <c r="B931" s="83" t="s">
        <v>4002</v>
      </c>
      <c r="C931" s="83" t="s">
        <v>4053</v>
      </c>
      <c r="D931" s="83" t="s">
        <v>11586</v>
      </c>
      <c r="E931" s="84">
        <f>personnel_teach_t2_psipop</f>
        <v>6</v>
      </c>
      <c r="F931" s="83" t="b">
        <v>1</v>
      </c>
      <c r="G931" s="83"/>
      <c r="H931" s="83"/>
      <c r="I931" s="83" t="s">
        <v>11533</v>
      </c>
    </row>
    <row r="932" spans="1:9">
      <c r="A932" s="83" t="s">
        <v>4054</v>
      </c>
      <c r="B932" s="83" t="s">
        <v>4002</v>
      </c>
      <c r="C932" s="83" t="s">
        <v>4054</v>
      </c>
      <c r="D932" s="83" t="s">
        <v>11587</v>
      </c>
      <c r="E932" s="84">
        <f>personnel_teach_t2_actual_m</f>
        <v>0</v>
      </c>
      <c r="F932" s="83" t="b">
        <v>1</v>
      </c>
      <c r="G932" s="83"/>
      <c r="H932" s="83"/>
    </row>
    <row r="933" spans="1:9">
      <c r="A933" s="83" t="s">
        <v>4055</v>
      </c>
      <c r="B933" s="83" t="s">
        <v>4002</v>
      </c>
      <c r="C933" s="83" t="s">
        <v>4055</v>
      </c>
      <c r="D933" s="83" t="s">
        <v>11588</v>
      </c>
      <c r="E933" s="84">
        <f>personnel_teach_t2_actual_f</f>
        <v>6</v>
      </c>
      <c r="F933" s="83" t="b">
        <v>1</v>
      </c>
      <c r="G933" s="83"/>
      <c r="H933" s="83"/>
    </row>
    <row r="934" spans="1:9">
      <c r="A934" s="83" t="s">
        <v>4056</v>
      </c>
      <c r="B934" s="83" t="s">
        <v>4002</v>
      </c>
      <c r="C934" s="83" t="s">
        <v>4056</v>
      </c>
      <c r="D934" s="83" t="s">
        <v>11589</v>
      </c>
      <c r="E934" s="84">
        <f>personnel_teach_t2_onleave</f>
        <v>0</v>
      </c>
      <c r="F934" s="83" t="b">
        <v>1</v>
      </c>
      <c r="G934" s="83"/>
      <c r="H934" s="83"/>
    </row>
    <row r="935" spans="1:9">
      <c r="A935" s="83" t="s">
        <v>4057</v>
      </c>
      <c r="B935" s="83" t="s">
        <v>4002</v>
      </c>
      <c r="C935" s="83" t="s">
        <v>4057</v>
      </c>
      <c r="D935" s="83" t="s">
        <v>11590</v>
      </c>
      <c r="E935" s="84">
        <f>personnel_teach_t2_vacant</f>
        <v>0</v>
      </c>
      <c r="F935" s="83" t="b">
        <v>1</v>
      </c>
      <c r="G935" s="83"/>
      <c r="H935" s="83"/>
    </row>
    <row r="936" spans="1:9">
      <c r="A936" s="83" t="s">
        <v>4058</v>
      </c>
      <c r="B936" s="83" t="s">
        <v>4002</v>
      </c>
      <c r="C936" s="83" t="s">
        <v>4058</v>
      </c>
      <c r="D936" s="83" t="s">
        <v>11591</v>
      </c>
      <c r="E936" s="84">
        <f>personnel_teach_t2_detailed_office_withind</f>
        <v>0</v>
      </c>
      <c r="F936" s="83" t="b">
        <v>1</v>
      </c>
      <c r="G936" s="83"/>
      <c r="H936" s="83"/>
    </row>
    <row r="937" spans="1:9">
      <c r="A937" s="83" t="s">
        <v>4059</v>
      </c>
      <c r="B937" s="83" t="s">
        <v>4002</v>
      </c>
      <c r="C937" s="83" t="s">
        <v>4059</v>
      </c>
      <c r="D937" s="83" t="s">
        <v>11592</v>
      </c>
      <c r="E937" s="84">
        <f>personnel_teach_t2_detailed_secsch_withind</f>
        <v>0</v>
      </c>
      <c r="F937" s="83" t="b">
        <v>1</v>
      </c>
      <c r="G937" s="83"/>
      <c r="H937" s="83"/>
    </row>
    <row r="938" spans="1:9">
      <c r="A938" s="83" t="s">
        <v>4060</v>
      </c>
      <c r="B938" s="83" t="s">
        <v>4002</v>
      </c>
      <c r="C938" s="83" t="s">
        <v>4060</v>
      </c>
      <c r="D938" s="83" t="s">
        <v>11593</v>
      </c>
      <c r="E938" s="84">
        <f>personnel_teach_t2_detailed_outdiv</f>
        <v>0</v>
      </c>
      <c r="F938" s="83" t="b">
        <v>1</v>
      </c>
      <c r="G938" s="83"/>
      <c r="H938" s="83"/>
    </row>
    <row r="939" spans="1:9">
      <c r="A939" s="83" t="s">
        <v>4061</v>
      </c>
      <c r="B939" s="83" t="s">
        <v>4002</v>
      </c>
      <c r="C939" s="83" t="s">
        <v>4061</v>
      </c>
      <c r="D939" s="83" t="s">
        <v>11594</v>
      </c>
      <c r="E939" s="84">
        <f>personnel_teach_t2_detailed_othersch_m</f>
        <v>0</v>
      </c>
      <c r="F939" s="83" t="b">
        <v>1</v>
      </c>
      <c r="G939" s="83"/>
      <c r="H939" s="83"/>
    </row>
    <row r="940" spans="1:9">
      <c r="A940" s="83" t="s">
        <v>4062</v>
      </c>
      <c r="B940" s="83" t="s">
        <v>4002</v>
      </c>
      <c r="C940" s="83" t="s">
        <v>4062</v>
      </c>
      <c r="D940" s="83" t="s">
        <v>11595</v>
      </c>
      <c r="E940" s="84">
        <f>personnel_teach_t2_detailed_othersch_f</f>
        <v>0</v>
      </c>
      <c r="F940" s="83" t="b">
        <v>1</v>
      </c>
      <c r="G940" s="83"/>
      <c r="H940" s="83"/>
    </row>
    <row r="941" spans="1:9">
      <c r="A941" s="83" t="s">
        <v>4063</v>
      </c>
      <c r="B941" s="83" t="s">
        <v>4002</v>
      </c>
      <c r="C941" s="83" t="s">
        <v>4063</v>
      </c>
      <c r="D941" s="83" t="s">
        <v>11596</v>
      </c>
      <c r="E941" s="84">
        <f>personnel_teach_t1_psipop</f>
        <v>14</v>
      </c>
      <c r="F941" s="83" t="b">
        <v>1</v>
      </c>
      <c r="G941" s="83"/>
      <c r="H941" s="83"/>
      <c r="I941" s="83" t="s">
        <v>11533</v>
      </c>
    </row>
    <row r="942" spans="1:9">
      <c r="A942" s="83" t="s">
        <v>4064</v>
      </c>
      <c r="B942" s="83" t="s">
        <v>4002</v>
      </c>
      <c r="C942" s="83" t="s">
        <v>4064</v>
      </c>
      <c r="D942" s="83" t="s">
        <v>11597</v>
      </c>
      <c r="E942" s="84">
        <f>personnel_teach_t1_actual_m</f>
        <v>1</v>
      </c>
      <c r="F942" s="83" t="b">
        <v>1</v>
      </c>
      <c r="G942" s="83"/>
      <c r="H942" s="83"/>
    </row>
    <row r="943" spans="1:9">
      <c r="A943" s="83" t="s">
        <v>4065</v>
      </c>
      <c r="B943" s="83" t="s">
        <v>4002</v>
      </c>
      <c r="C943" s="83" t="s">
        <v>4065</v>
      </c>
      <c r="D943" s="83" t="s">
        <v>11598</v>
      </c>
      <c r="E943" s="84">
        <f>personnel_teach_t1_actual_f</f>
        <v>13</v>
      </c>
      <c r="F943" s="83" t="b">
        <v>1</v>
      </c>
      <c r="G943" s="83"/>
      <c r="H943" s="83"/>
    </row>
    <row r="944" spans="1:9">
      <c r="A944" s="83" t="s">
        <v>4066</v>
      </c>
      <c r="B944" s="83" t="s">
        <v>4002</v>
      </c>
      <c r="C944" s="83" t="s">
        <v>4066</v>
      </c>
      <c r="D944" s="83" t="s">
        <v>11599</v>
      </c>
      <c r="E944" s="84">
        <f>personnel_teach_t1_onleave</f>
        <v>0</v>
      </c>
      <c r="F944" s="83" t="b">
        <v>1</v>
      </c>
      <c r="G944" s="83"/>
      <c r="H944" s="83"/>
    </row>
    <row r="945" spans="1:9">
      <c r="A945" s="83" t="s">
        <v>4067</v>
      </c>
      <c r="B945" s="83" t="s">
        <v>4002</v>
      </c>
      <c r="C945" s="83" t="s">
        <v>4067</v>
      </c>
      <c r="D945" s="83" t="s">
        <v>11600</v>
      </c>
      <c r="E945" s="84">
        <f>personnel_teach_t1_vacant</f>
        <v>0</v>
      </c>
      <c r="F945" s="83" t="b">
        <v>1</v>
      </c>
      <c r="G945" s="83"/>
      <c r="H945" s="83"/>
    </row>
    <row r="946" spans="1:9">
      <c r="A946" s="83" t="s">
        <v>4068</v>
      </c>
      <c r="B946" s="83" t="s">
        <v>4002</v>
      </c>
      <c r="C946" s="83" t="s">
        <v>4068</v>
      </c>
      <c r="D946" s="83" t="s">
        <v>11601</v>
      </c>
      <c r="E946" s="84">
        <f>personnel_teach_t1_detailed_office_withind</f>
        <v>0</v>
      </c>
      <c r="F946" s="83" t="b">
        <v>1</v>
      </c>
      <c r="G946" s="83"/>
      <c r="H946" s="83"/>
    </row>
    <row r="947" spans="1:9">
      <c r="A947" s="83" t="s">
        <v>4069</v>
      </c>
      <c r="B947" s="83" t="s">
        <v>4002</v>
      </c>
      <c r="C947" s="83" t="s">
        <v>4069</v>
      </c>
      <c r="D947" s="83" t="s">
        <v>11602</v>
      </c>
      <c r="E947" s="84">
        <f>personnel_teach_t1_detailed_secsch_withind</f>
        <v>0</v>
      </c>
      <c r="F947" s="83" t="b">
        <v>1</v>
      </c>
      <c r="G947" s="83"/>
      <c r="H947" s="83"/>
    </row>
    <row r="948" spans="1:9">
      <c r="A948" s="83" t="s">
        <v>4070</v>
      </c>
      <c r="B948" s="83" t="s">
        <v>4002</v>
      </c>
      <c r="C948" s="83" t="s">
        <v>4070</v>
      </c>
      <c r="D948" s="83" t="s">
        <v>11603</v>
      </c>
      <c r="E948" s="84">
        <f>personnel_teach_t1_detailed_outdiv</f>
        <v>0</v>
      </c>
      <c r="F948" s="83" t="b">
        <v>1</v>
      </c>
      <c r="G948" s="83"/>
      <c r="H948" s="83"/>
    </row>
    <row r="949" spans="1:9">
      <c r="A949" s="83" t="s">
        <v>4071</v>
      </c>
      <c r="B949" s="83" t="s">
        <v>4002</v>
      </c>
      <c r="C949" s="83" t="s">
        <v>4071</v>
      </c>
      <c r="D949" s="83" t="s">
        <v>11604</v>
      </c>
      <c r="E949" s="84">
        <f>personnel_teach_t1_detailed_othersch_m</f>
        <v>0</v>
      </c>
      <c r="F949" s="83" t="b">
        <v>1</v>
      </c>
      <c r="G949" s="83"/>
      <c r="H949" s="83"/>
    </row>
    <row r="950" spans="1:9">
      <c r="A950" s="83" t="s">
        <v>4072</v>
      </c>
      <c r="B950" s="83" t="s">
        <v>4002</v>
      </c>
      <c r="C950" s="83" t="s">
        <v>4072</v>
      </c>
      <c r="D950" s="83" t="s">
        <v>11605</v>
      </c>
      <c r="E950" s="84">
        <f>personnel_teach_t1_detailed_othersch_f</f>
        <v>0</v>
      </c>
      <c r="F950" s="83" t="b">
        <v>1</v>
      </c>
      <c r="G950" s="83"/>
      <c r="H950" s="83"/>
    </row>
    <row r="951" spans="1:9">
      <c r="A951" s="83" t="s">
        <v>4073</v>
      </c>
      <c r="B951" s="83" t="s">
        <v>4002</v>
      </c>
      <c r="C951" s="83" t="s">
        <v>4073</v>
      </c>
      <c r="D951" s="83" t="s">
        <v>11606</v>
      </c>
      <c r="E951" s="84">
        <f>personnel_teach_spedt5_psipop</f>
        <v>0</v>
      </c>
      <c r="F951" s="83" t="b">
        <v>1</v>
      </c>
      <c r="G951" s="83"/>
      <c r="H951" s="83"/>
      <c r="I951" s="83" t="s">
        <v>11533</v>
      </c>
    </row>
    <row r="952" spans="1:9">
      <c r="A952" s="83" t="s">
        <v>4074</v>
      </c>
      <c r="B952" s="83" t="s">
        <v>4002</v>
      </c>
      <c r="C952" s="83" t="s">
        <v>4074</v>
      </c>
      <c r="D952" s="83" t="s">
        <v>11607</v>
      </c>
      <c r="E952" s="84">
        <f>personnel_teach_spedt5_actual_m</f>
        <v>0</v>
      </c>
      <c r="F952" s="83" t="b">
        <v>1</v>
      </c>
      <c r="G952" s="83"/>
      <c r="H952" s="83"/>
    </row>
    <row r="953" spans="1:9">
      <c r="A953" s="83" t="s">
        <v>4075</v>
      </c>
      <c r="B953" s="83" t="s">
        <v>4002</v>
      </c>
      <c r="C953" s="83" t="s">
        <v>4075</v>
      </c>
      <c r="D953" s="83" t="s">
        <v>11608</v>
      </c>
      <c r="E953" s="84">
        <f>personnel_teach_spedt5_actual_f</f>
        <v>0</v>
      </c>
      <c r="F953" s="83" t="b">
        <v>1</v>
      </c>
      <c r="G953" s="83"/>
      <c r="H953" s="83"/>
    </row>
    <row r="954" spans="1:9">
      <c r="A954" s="83" t="s">
        <v>4076</v>
      </c>
      <c r="B954" s="83" t="s">
        <v>4002</v>
      </c>
      <c r="C954" s="83" t="s">
        <v>4076</v>
      </c>
      <c r="D954" s="83" t="s">
        <v>11609</v>
      </c>
      <c r="E954" s="84">
        <f>personnel_teach_spedt5_onleave</f>
        <v>0</v>
      </c>
      <c r="F954" s="83" t="b">
        <v>1</v>
      </c>
      <c r="G954" s="83"/>
      <c r="H954" s="83"/>
    </row>
    <row r="955" spans="1:9">
      <c r="A955" s="83" t="s">
        <v>4077</v>
      </c>
      <c r="B955" s="83" t="s">
        <v>4002</v>
      </c>
      <c r="C955" s="83" t="s">
        <v>4077</v>
      </c>
      <c r="D955" s="83" t="s">
        <v>11610</v>
      </c>
      <c r="E955" s="84">
        <f>personnel_teach_spedt5_vacant</f>
        <v>0</v>
      </c>
      <c r="F955" s="83" t="b">
        <v>1</v>
      </c>
      <c r="G955" s="83"/>
      <c r="H955" s="83"/>
    </row>
    <row r="956" spans="1:9">
      <c r="A956" s="83" t="s">
        <v>4078</v>
      </c>
      <c r="B956" s="83" t="s">
        <v>4002</v>
      </c>
      <c r="C956" s="83" t="s">
        <v>4078</v>
      </c>
      <c r="D956" s="83" t="s">
        <v>11611</v>
      </c>
      <c r="E956" s="84">
        <f>personnel_teach_spedt5_detailed_office_withind</f>
        <v>0</v>
      </c>
      <c r="F956" s="83" t="b">
        <v>1</v>
      </c>
      <c r="G956" s="83"/>
      <c r="H956" s="83"/>
    </row>
    <row r="957" spans="1:9">
      <c r="A957" s="83" t="s">
        <v>4079</v>
      </c>
      <c r="B957" s="83" t="s">
        <v>4002</v>
      </c>
      <c r="C957" s="83" t="s">
        <v>4079</v>
      </c>
      <c r="D957" s="83" t="s">
        <v>11612</v>
      </c>
      <c r="E957" s="84">
        <f>personnel_teach_spedt5_detailed_secsch_withind</f>
        <v>0</v>
      </c>
      <c r="F957" s="83" t="b">
        <v>1</v>
      </c>
      <c r="G957" s="83"/>
      <c r="H957" s="83"/>
    </row>
    <row r="958" spans="1:9">
      <c r="A958" s="83" t="s">
        <v>4080</v>
      </c>
      <c r="B958" s="83" t="s">
        <v>4002</v>
      </c>
      <c r="C958" s="83" t="s">
        <v>4080</v>
      </c>
      <c r="D958" s="83" t="s">
        <v>11613</v>
      </c>
      <c r="E958" s="84">
        <f>personnel_teach_spedt5_detailed_outdiv</f>
        <v>0</v>
      </c>
      <c r="F958" s="83" t="b">
        <v>1</v>
      </c>
      <c r="G958" s="83"/>
      <c r="H958" s="83"/>
    </row>
    <row r="959" spans="1:9">
      <c r="A959" s="83" t="s">
        <v>4081</v>
      </c>
      <c r="B959" s="83" t="s">
        <v>4002</v>
      </c>
      <c r="C959" s="83" t="s">
        <v>4081</v>
      </c>
      <c r="D959" s="83" t="s">
        <v>11614</v>
      </c>
      <c r="E959" s="84">
        <f>personnel_teach_spedt5_detailed_othersch_m</f>
        <v>0</v>
      </c>
      <c r="F959" s="83" t="b">
        <v>1</v>
      </c>
      <c r="G959" s="83"/>
      <c r="H959" s="83"/>
    </row>
    <row r="960" spans="1:9">
      <c r="A960" s="83" t="s">
        <v>4082</v>
      </c>
      <c r="B960" s="83" t="s">
        <v>4002</v>
      </c>
      <c r="C960" s="83" t="s">
        <v>4082</v>
      </c>
      <c r="D960" s="83" t="s">
        <v>11615</v>
      </c>
      <c r="E960" s="84">
        <f>personnel_teach_spedt5_detailed_othersch_f</f>
        <v>0</v>
      </c>
      <c r="F960" s="83" t="b">
        <v>1</v>
      </c>
      <c r="G960" s="83"/>
      <c r="H960" s="83"/>
    </row>
    <row r="961" spans="1:9">
      <c r="A961" s="83" t="s">
        <v>4083</v>
      </c>
      <c r="B961" s="83" t="s">
        <v>4002</v>
      </c>
      <c r="C961" s="83" t="s">
        <v>4083</v>
      </c>
      <c r="D961" s="83" t="s">
        <v>11616</v>
      </c>
      <c r="E961" s="84">
        <f>personnel_teach_spedt4_psipop</f>
        <v>0</v>
      </c>
      <c r="F961" s="83" t="b">
        <v>1</v>
      </c>
      <c r="G961" s="83"/>
      <c r="H961" s="83"/>
      <c r="I961" s="83" t="s">
        <v>11533</v>
      </c>
    </row>
    <row r="962" spans="1:9">
      <c r="A962" s="83" t="s">
        <v>4084</v>
      </c>
      <c r="B962" s="83" t="s">
        <v>4002</v>
      </c>
      <c r="C962" s="83" t="s">
        <v>4084</v>
      </c>
      <c r="D962" s="83" t="s">
        <v>11617</v>
      </c>
      <c r="E962" s="84">
        <f>personnel_teach_spedt4_actual_m</f>
        <v>0</v>
      </c>
      <c r="F962" s="83" t="b">
        <v>1</v>
      </c>
      <c r="G962" s="83"/>
      <c r="H962" s="83"/>
    </row>
    <row r="963" spans="1:9">
      <c r="A963" s="83" t="s">
        <v>4085</v>
      </c>
      <c r="B963" s="83" t="s">
        <v>4002</v>
      </c>
      <c r="C963" s="83" t="s">
        <v>4085</v>
      </c>
      <c r="D963" s="83" t="s">
        <v>11618</v>
      </c>
      <c r="E963" s="84">
        <f>personnel_teach_spedt4_actual_f</f>
        <v>0</v>
      </c>
      <c r="F963" s="83" t="b">
        <v>1</v>
      </c>
      <c r="G963" s="83"/>
      <c r="H963" s="83"/>
    </row>
    <row r="964" spans="1:9">
      <c r="A964" s="83" t="s">
        <v>4086</v>
      </c>
      <c r="B964" s="83" t="s">
        <v>4002</v>
      </c>
      <c r="C964" s="83" t="s">
        <v>4086</v>
      </c>
      <c r="D964" s="83" t="s">
        <v>11619</v>
      </c>
      <c r="E964" s="84">
        <f>personnel_teach_spedt4_onleave</f>
        <v>0</v>
      </c>
      <c r="F964" s="83" t="b">
        <v>1</v>
      </c>
      <c r="G964" s="83"/>
      <c r="H964" s="83"/>
    </row>
    <row r="965" spans="1:9">
      <c r="A965" s="83" t="s">
        <v>4087</v>
      </c>
      <c r="B965" s="83" t="s">
        <v>4002</v>
      </c>
      <c r="C965" s="83" t="s">
        <v>4087</v>
      </c>
      <c r="D965" s="83" t="s">
        <v>11620</v>
      </c>
      <c r="E965" s="84">
        <f>personnel_teach_spedt4_vacant</f>
        <v>0</v>
      </c>
      <c r="F965" s="83" t="b">
        <v>1</v>
      </c>
      <c r="G965" s="83"/>
      <c r="H965" s="83"/>
    </row>
    <row r="966" spans="1:9">
      <c r="A966" s="83" t="s">
        <v>4088</v>
      </c>
      <c r="B966" s="83" t="s">
        <v>4002</v>
      </c>
      <c r="C966" s="83" t="s">
        <v>4088</v>
      </c>
      <c r="D966" s="83" t="s">
        <v>11621</v>
      </c>
      <c r="E966" s="84">
        <f>personnel_teach_spedt4_detailed_office_withind</f>
        <v>0</v>
      </c>
      <c r="F966" s="83" t="b">
        <v>1</v>
      </c>
      <c r="G966" s="83"/>
      <c r="H966" s="83"/>
    </row>
    <row r="967" spans="1:9">
      <c r="A967" s="83" t="s">
        <v>4089</v>
      </c>
      <c r="B967" s="83" t="s">
        <v>4002</v>
      </c>
      <c r="C967" s="83" t="s">
        <v>4089</v>
      </c>
      <c r="D967" s="83" t="s">
        <v>11622</v>
      </c>
      <c r="E967" s="84">
        <f>personnel_teach_spedt4_detailed_secsch_withind</f>
        <v>0</v>
      </c>
      <c r="F967" s="83" t="b">
        <v>1</v>
      </c>
      <c r="G967" s="83"/>
      <c r="H967" s="83"/>
    </row>
    <row r="968" spans="1:9">
      <c r="A968" s="83" t="s">
        <v>4090</v>
      </c>
      <c r="B968" s="83" t="s">
        <v>4002</v>
      </c>
      <c r="C968" s="83" t="s">
        <v>4090</v>
      </c>
      <c r="D968" s="83" t="s">
        <v>11623</v>
      </c>
      <c r="E968" s="84">
        <f>personnel_teach_spedt4_detailed_outdiv</f>
        <v>0</v>
      </c>
      <c r="F968" s="83" t="b">
        <v>1</v>
      </c>
      <c r="G968" s="83"/>
      <c r="H968" s="83"/>
    </row>
    <row r="969" spans="1:9">
      <c r="A969" s="83" t="s">
        <v>4091</v>
      </c>
      <c r="B969" s="83" t="s">
        <v>4002</v>
      </c>
      <c r="C969" s="83" t="s">
        <v>4091</v>
      </c>
      <c r="D969" s="83" t="s">
        <v>11624</v>
      </c>
      <c r="E969" s="84">
        <f>personnel_teach_spedt4_detailed_othersch_m</f>
        <v>0</v>
      </c>
      <c r="F969" s="83" t="b">
        <v>1</v>
      </c>
      <c r="G969" s="83"/>
      <c r="H969" s="83"/>
    </row>
    <row r="970" spans="1:9">
      <c r="A970" s="83" t="s">
        <v>4092</v>
      </c>
      <c r="B970" s="83" t="s">
        <v>4002</v>
      </c>
      <c r="C970" s="83" t="s">
        <v>4092</v>
      </c>
      <c r="D970" s="83" t="s">
        <v>11625</v>
      </c>
      <c r="E970" s="84">
        <f>personnel_teach_spedt4_detailed_othersch_f</f>
        <v>0</v>
      </c>
      <c r="F970" s="83" t="b">
        <v>1</v>
      </c>
      <c r="G970" s="83"/>
      <c r="H970" s="83"/>
    </row>
    <row r="971" spans="1:9">
      <c r="A971" s="83" t="s">
        <v>4093</v>
      </c>
      <c r="B971" s="83" t="s">
        <v>4002</v>
      </c>
      <c r="C971" s="83" t="s">
        <v>4093</v>
      </c>
      <c r="D971" s="83" t="s">
        <v>11626</v>
      </c>
      <c r="E971" s="84">
        <f>personnel_teach_spedt3_psipop</f>
        <v>0</v>
      </c>
      <c r="F971" s="83" t="b">
        <v>1</v>
      </c>
      <c r="G971" s="83"/>
      <c r="H971" s="83"/>
      <c r="I971" s="83" t="s">
        <v>11533</v>
      </c>
    </row>
    <row r="972" spans="1:9">
      <c r="A972" s="83" t="s">
        <v>4094</v>
      </c>
      <c r="B972" s="83" t="s">
        <v>4002</v>
      </c>
      <c r="C972" s="83" t="s">
        <v>4094</v>
      </c>
      <c r="D972" s="83" t="s">
        <v>11627</v>
      </c>
      <c r="E972" s="84">
        <f>personnel_teach_spedt3_actual_m</f>
        <v>0</v>
      </c>
      <c r="F972" s="83" t="b">
        <v>1</v>
      </c>
      <c r="G972" s="83"/>
      <c r="H972" s="83"/>
    </row>
    <row r="973" spans="1:9">
      <c r="A973" s="83" t="s">
        <v>4095</v>
      </c>
      <c r="B973" s="83" t="s">
        <v>4002</v>
      </c>
      <c r="C973" s="83" t="s">
        <v>4095</v>
      </c>
      <c r="D973" s="83" t="s">
        <v>11628</v>
      </c>
      <c r="E973" s="84">
        <f>personnel_teach_spedt3_actual_f</f>
        <v>0</v>
      </c>
      <c r="F973" s="83" t="b">
        <v>1</v>
      </c>
      <c r="G973" s="83"/>
      <c r="H973" s="83"/>
    </row>
    <row r="974" spans="1:9">
      <c r="A974" s="83" t="s">
        <v>4096</v>
      </c>
      <c r="B974" s="83" t="s">
        <v>4002</v>
      </c>
      <c r="C974" s="83" t="s">
        <v>4096</v>
      </c>
      <c r="D974" s="83" t="s">
        <v>11629</v>
      </c>
      <c r="E974" s="84">
        <f>personnel_teach_spedt3_onleave</f>
        <v>0</v>
      </c>
      <c r="F974" s="83" t="b">
        <v>1</v>
      </c>
      <c r="G974" s="83"/>
      <c r="H974" s="83"/>
    </row>
    <row r="975" spans="1:9">
      <c r="A975" s="83" t="s">
        <v>4097</v>
      </c>
      <c r="B975" s="83" t="s">
        <v>4002</v>
      </c>
      <c r="C975" s="83" t="s">
        <v>4097</v>
      </c>
      <c r="D975" s="83" t="s">
        <v>11630</v>
      </c>
      <c r="E975" s="84">
        <f>personnel_teach_spedt3_vacant</f>
        <v>0</v>
      </c>
      <c r="F975" s="83" t="b">
        <v>1</v>
      </c>
      <c r="G975" s="83"/>
      <c r="H975" s="83"/>
    </row>
    <row r="976" spans="1:9">
      <c r="A976" s="83" t="s">
        <v>4098</v>
      </c>
      <c r="B976" s="83" t="s">
        <v>4002</v>
      </c>
      <c r="C976" s="83" t="s">
        <v>4098</v>
      </c>
      <c r="D976" s="83" t="s">
        <v>11631</v>
      </c>
      <c r="E976" s="84">
        <f>personnel_teach_spedt3_detailed_office_withind</f>
        <v>0</v>
      </c>
      <c r="F976" s="83" t="b">
        <v>1</v>
      </c>
      <c r="G976" s="83"/>
      <c r="H976" s="83"/>
    </row>
    <row r="977" spans="1:9">
      <c r="A977" s="83" t="s">
        <v>4099</v>
      </c>
      <c r="B977" s="83" t="s">
        <v>4002</v>
      </c>
      <c r="C977" s="83" t="s">
        <v>4099</v>
      </c>
      <c r="D977" s="83" t="s">
        <v>11632</v>
      </c>
      <c r="E977" s="84">
        <f>personnel_teach_spedt3_detailed_secsch_withind</f>
        <v>0</v>
      </c>
      <c r="F977" s="83" t="b">
        <v>1</v>
      </c>
      <c r="G977" s="83"/>
      <c r="H977" s="83"/>
    </row>
    <row r="978" spans="1:9">
      <c r="A978" s="83" t="s">
        <v>4100</v>
      </c>
      <c r="B978" s="83" t="s">
        <v>4002</v>
      </c>
      <c r="C978" s="83" t="s">
        <v>4100</v>
      </c>
      <c r="D978" s="83" t="s">
        <v>11633</v>
      </c>
      <c r="E978" s="84">
        <f>personnel_teach_spedt3_detailed_outdiv</f>
        <v>0</v>
      </c>
      <c r="F978" s="83" t="b">
        <v>1</v>
      </c>
      <c r="G978" s="83"/>
      <c r="H978" s="83"/>
    </row>
    <row r="979" spans="1:9">
      <c r="A979" s="83" t="s">
        <v>4101</v>
      </c>
      <c r="B979" s="83" t="s">
        <v>4002</v>
      </c>
      <c r="C979" s="83" t="s">
        <v>4101</v>
      </c>
      <c r="D979" s="83" t="s">
        <v>11634</v>
      </c>
      <c r="E979" s="84">
        <f>personnel_teach_spedt3_detailed_othersch_m</f>
        <v>0</v>
      </c>
      <c r="F979" s="83" t="b">
        <v>1</v>
      </c>
      <c r="G979" s="83"/>
      <c r="H979" s="83"/>
    </row>
    <row r="980" spans="1:9">
      <c r="A980" s="83" t="s">
        <v>4102</v>
      </c>
      <c r="B980" s="83" t="s">
        <v>4002</v>
      </c>
      <c r="C980" s="83" t="s">
        <v>4102</v>
      </c>
      <c r="D980" s="83" t="s">
        <v>11635</v>
      </c>
      <c r="E980" s="84">
        <f>personnel_teach_spedt3_detailed_othersch_f</f>
        <v>0</v>
      </c>
      <c r="F980" s="83" t="b">
        <v>1</v>
      </c>
      <c r="G980" s="83"/>
      <c r="H980" s="83"/>
    </row>
    <row r="981" spans="1:9">
      <c r="A981" s="83" t="s">
        <v>4103</v>
      </c>
      <c r="B981" s="83" t="s">
        <v>4002</v>
      </c>
      <c r="C981" s="83" t="s">
        <v>4103</v>
      </c>
      <c r="D981" s="83" t="s">
        <v>11636</v>
      </c>
      <c r="E981" s="84">
        <f>personnel_teach_spedt2_psipop</f>
        <v>0</v>
      </c>
      <c r="F981" s="83" t="b">
        <v>1</v>
      </c>
      <c r="G981" s="83"/>
      <c r="H981" s="83"/>
      <c r="I981" s="83" t="s">
        <v>11533</v>
      </c>
    </row>
    <row r="982" spans="1:9">
      <c r="A982" s="83" t="s">
        <v>4104</v>
      </c>
      <c r="B982" s="83" t="s">
        <v>4002</v>
      </c>
      <c r="C982" s="83" t="s">
        <v>4104</v>
      </c>
      <c r="D982" s="83" t="s">
        <v>11637</v>
      </c>
      <c r="E982" s="84">
        <f>personnel_teach_spedt2_actual_m</f>
        <v>0</v>
      </c>
      <c r="F982" s="83" t="b">
        <v>1</v>
      </c>
      <c r="G982" s="83"/>
      <c r="H982" s="83"/>
    </row>
    <row r="983" spans="1:9">
      <c r="A983" s="83" t="s">
        <v>4105</v>
      </c>
      <c r="B983" s="83" t="s">
        <v>4002</v>
      </c>
      <c r="C983" s="83" t="s">
        <v>4105</v>
      </c>
      <c r="D983" s="83" t="s">
        <v>11638</v>
      </c>
      <c r="E983" s="84">
        <f>personnel_teach_spedt2_actual_f</f>
        <v>0</v>
      </c>
      <c r="F983" s="83" t="b">
        <v>1</v>
      </c>
      <c r="G983" s="83"/>
      <c r="H983" s="83"/>
    </row>
    <row r="984" spans="1:9">
      <c r="A984" s="83" t="s">
        <v>4106</v>
      </c>
      <c r="B984" s="83" t="s">
        <v>4002</v>
      </c>
      <c r="C984" s="83" t="s">
        <v>4106</v>
      </c>
      <c r="D984" s="83" t="s">
        <v>11639</v>
      </c>
      <c r="E984" s="84">
        <f>personnel_teach_spedt2_onleave</f>
        <v>0</v>
      </c>
      <c r="F984" s="83" t="b">
        <v>1</v>
      </c>
      <c r="G984" s="83"/>
      <c r="H984" s="83"/>
    </row>
    <row r="985" spans="1:9">
      <c r="A985" s="83" t="s">
        <v>4107</v>
      </c>
      <c r="B985" s="83" t="s">
        <v>4002</v>
      </c>
      <c r="C985" s="83" t="s">
        <v>4107</v>
      </c>
      <c r="D985" s="83" t="s">
        <v>11640</v>
      </c>
      <c r="E985" s="84">
        <f>personnel_teach_spedt2_vacant</f>
        <v>0</v>
      </c>
      <c r="F985" s="83" t="b">
        <v>1</v>
      </c>
      <c r="G985" s="83"/>
      <c r="H985" s="83"/>
    </row>
    <row r="986" spans="1:9">
      <c r="A986" s="83" t="s">
        <v>4108</v>
      </c>
      <c r="B986" s="83" t="s">
        <v>4002</v>
      </c>
      <c r="C986" s="83" t="s">
        <v>4108</v>
      </c>
      <c r="D986" s="83" t="s">
        <v>11641</v>
      </c>
      <c r="E986" s="84">
        <f>personnel_teach_spedt2_detailed_office_withind</f>
        <v>0</v>
      </c>
      <c r="F986" s="83" t="b">
        <v>1</v>
      </c>
      <c r="G986" s="83"/>
      <c r="H986" s="83"/>
    </row>
    <row r="987" spans="1:9">
      <c r="A987" s="83" t="s">
        <v>4109</v>
      </c>
      <c r="B987" s="83" t="s">
        <v>4002</v>
      </c>
      <c r="C987" s="83" t="s">
        <v>4109</v>
      </c>
      <c r="D987" s="83" t="s">
        <v>11642</v>
      </c>
      <c r="E987" s="84">
        <f>personnel_teach_spedt2_detailed_secsch_withind</f>
        <v>0</v>
      </c>
      <c r="F987" s="83" t="b">
        <v>1</v>
      </c>
      <c r="G987" s="83"/>
      <c r="H987" s="83"/>
    </row>
    <row r="988" spans="1:9">
      <c r="A988" s="83" t="s">
        <v>4110</v>
      </c>
      <c r="B988" s="83" t="s">
        <v>4002</v>
      </c>
      <c r="C988" s="83" t="s">
        <v>4110</v>
      </c>
      <c r="D988" s="83" t="s">
        <v>11643</v>
      </c>
      <c r="E988" s="84">
        <f>personnel_teach_spedt2_detailed_outdiv</f>
        <v>0</v>
      </c>
      <c r="F988" s="83" t="b">
        <v>1</v>
      </c>
      <c r="G988" s="83"/>
      <c r="H988" s="83"/>
    </row>
    <row r="989" spans="1:9">
      <c r="A989" s="83" t="s">
        <v>4111</v>
      </c>
      <c r="B989" s="83" t="s">
        <v>4002</v>
      </c>
      <c r="C989" s="83" t="s">
        <v>4111</v>
      </c>
      <c r="D989" s="83" t="s">
        <v>11644</v>
      </c>
      <c r="E989" s="84">
        <f>personnel_teach_spedt2_detailed_othersch_m</f>
        <v>0</v>
      </c>
      <c r="F989" s="83" t="b">
        <v>1</v>
      </c>
      <c r="G989" s="83"/>
      <c r="H989" s="83"/>
    </row>
    <row r="990" spans="1:9">
      <c r="A990" s="83" t="s">
        <v>4112</v>
      </c>
      <c r="B990" s="83" t="s">
        <v>4002</v>
      </c>
      <c r="C990" s="83" t="s">
        <v>4112</v>
      </c>
      <c r="D990" s="83" t="s">
        <v>11645</v>
      </c>
      <c r="E990" s="84">
        <f>personnel_teach_spedt2_detailed_othersch_f</f>
        <v>0</v>
      </c>
      <c r="F990" s="83" t="b">
        <v>1</v>
      </c>
      <c r="G990" s="83"/>
      <c r="H990" s="83"/>
    </row>
    <row r="991" spans="1:9">
      <c r="A991" s="83" t="s">
        <v>4113</v>
      </c>
      <c r="B991" s="83" t="s">
        <v>4002</v>
      </c>
      <c r="C991" s="83" t="s">
        <v>4113</v>
      </c>
      <c r="D991" s="83" t="s">
        <v>11646</v>
      </c>
      <c r="E991" s="84">
        <f>personnel_teach_spedt1_psipop</f>
        <v>5</v>
      </c>
      <c r="F991" s="83" t="b">
        <v>1</v>
      </c>
      <c r="G991" s="83"/>
      <c r="H991" s="83"/>
      <c r="I991" s="83" t="s">
        <v>11533</v>
      </c>
    </row>
    <row r="992" spans="1:9">
      <c r="A992" s="83" t="s">
        <v>4114</v>
      </c>
      <c r="B992" s="83" t="s">
        <v>4002</v>
      </c>
      <c r="C992" s="83" t="s">
        <v>4114</v>
      </c>
      <c r="D992" s="83" t="s">
        <v>11647</v>
      </c>
      <c r="E992" s="84">
        <f>personnel_teach_spedt1_actual_m</f>
        <v>0</v>
      </c>
      <c r="F992" s="83" t="b">
        <v>1</v>
      </c>
      <c r="G992" s="83"/>
      <c r="H992" s="83"/>
    </row>
    <row r="993" spans="1:8">
      <c r="A993" s="83" t="s">
        <v>4115</v>
      </c>
      <c r="B993" s="83" t="s">
        <v>4002</v>
      </c>
      <c r="C993" s="83" t="s">
        <v>4115</v>
      </c>
      <c r="D993" s="83" t="s">
        <v>11648</v>
      </c>
      <c r="E993" s="84">
        <f>personnel_teach_spedt1_actual_f</f>
        <v>5</v>
      </c>
      <c r="F993" s="83" t="b">
        <v>1</v>
      </c>
      <c r="G993" s="83"/>
      <c r="H993" s="83"/>
    </row>
    <row r="994" spans="1:8">
      <c r="A994" s="83" t="s">
        <v>4116</v>
      </c>
      <c r="B994" s="83" t="s">
        <v>4002</v>
      </c>
      <c r="C994" s="83" t="s">
        <v>4116</v>
      </c>
      <c r="D994" s="83" t="s">
        <v>11649</v>
      </c>
      <c r="E994" s="84">
        <f>personnel_teach_spedt1_onleave</f>
        <v>0</v>
      </c>
      <c r="F994" s="83" t="b">
        <v>1</v>
      </c>
      <c r="G994" s="83"/>
      <c r="H994" s="83"/>
    </row>
    <row r="995" spans="1:8">
      <c r="A995" s="83" t="s">
        <v>4117</v>
      </c>
      <c r="B995" s="83" t="s">
        <v>4002</v>
      </c>
      <c r="C995" s="83" t="s">
        <v>4117</v>
      </c>
      <c r="D995" s="83" t="s">
        <v>11650</v>
      </c>
      <c r="E995" s="84">
        <f>personnel_teach_spedt1_vacant</f>
        <v>0</v>
      </c>
      <c r="F995" s="83" t="b">
        <v>1</v>
      </c>
      <c r="G995" s="83"/>
      <c r="H995" s="83"/>
    </row>
    <row r="996" spans="1:8">
      <c r="A996" s="83" t="s">
        <v>4118</v>
      </c>
      <c r="B996" s="83" t="s">
        <v>4002</v>
      </c>
      <c r="C996" s="83" t="s">
        <v>4118</v>
      </c>
      <c r="D996" s="83" t="s">
        <v>11651</v>
      </c>
      <c r="E996" s="84">
        <f>personnel_teach_spedt1_detailed_office_withind</f>
        <v>0</v>
      </c>
      <c r="F996" s="83" t="b">
        <v>1</v>
      </c>
      <c r="G996" s="83"/>
      <c r="H996" s="83"/>
    </row>
    <row r="997" spans="1:8">
      <c r="A997" s="83" t="s">
        <v>4119</v>
      </c>
      <c r="B997" s="83" t="s">
        <v>4002</v>
      </c>
      <c r="C997" s="83" t="s">
        <v>4119</v>
      </c>
      <c r="D997" s="83" t="s">
        <v>11652</v>
      </c>
      <c r="E997" s="84">
        <f>personnel_teach_spedt1_detailed_secsch_withind</f>
        <v>0</v>
      </c>
      <c r="F997" s="83" t="b">
        <v>1</v>
      </c>
      <c r="G997" s="83"/>
      <c r="H997" s="83"/>
    </row>
    <row r="998" spans="1:8">
      <c r="A998" s="83" t="s">
        <v>4120</v>
      </c>
      <c r="B998" s="83" t="s">
        <v>4002</v>
      </c>
      <c r="C998" s="83" t="s">
        <v>4120</v>
      </c>
      <c r="D998" s="83" t="s">
        <v>11653</v>
      </c>
      <c r="E998" s="84">
        <f>personnel_teach_spedt1_detailed_outdiv</f>
        <v>0</v>
      </c>
      <c r="F998" s="83" t="b">
        <v>1</v>
      </c>
      <c r="G998" s="83"/>
      <c r="H998" s="83"/>
    </row>
    <row r="999" spans="1:8">
      <c r="A999" s="83" t="s">
        <v>4121</v>
      </c>
      <c r="B999" s="83" t="s">
        <v>4002</v>
      </c>
      <c r="C999" s="83" t="s">
        <v>4121</v>
      </c>
      <c r="D999" s="83" t="s">
        <v>11654</v>
      </c>
      <c r="E999" s="84">
        <f>personnel_teach_spedt1_detailed_othersch_m</f>
        <v>0</v>
      </c>
      <c r="F999" s="83" t="b">
        <v>1</v>
      </c>
      <c r="G999" s="83"/>
      <c r="H999" s="83"/>
    </row>
    <row r="1000" spans="1:8" s="112" customFormat="1" ht="16" thickBot="1">
      <c r="A1000" s="85" t="s">
        <v>4122</v>
      </c>
      <c r="B1000" s="85" t="s">
        <v>4002</v>
      </c>
      <c r="C1000" s="85" t="s">
        <v>4122</v>
      </c>
      <c r="D1000" s="85" t="s">
        <v>11655</v>
      </c>
      <c r="E1000" s="86">
        <f>personnel_teach_spedt1_detailed_othersch_f</f>
        <v>0</v>
      </c>
      <c r="F1000" s="85" t="b">
        <v>1</v>
      </c>
      <c r="G1000" s="85"/>
      <c r="H1000" s="85"/>
    </row>
    <row r="1001" spans="1:8">
      <c r="A1001" s="83" t="s">
        <v>4123</v>
      </c>
      <c r="B1001" s="83" t="s">
        <v>4124</v>
      </c>
      <c r="C1001" s="83" t="s">
        <v>4123</v>
      </c>
      <c r="D1001" s="83" t="s">
        <v>11656</v>
      </c>
      <c r="E1001" s="84">
        <f>personnel_teach_handling_kinder_m</f>
        <v>0</v>
      </c>
      <c r="F1001" s="83" t="b">
        <v>1</v>
      </c>
      <c r="G1001" s="83"/>
      <c r="H1001" s="83"/>
    </row>
    <row r="1002" spans="1:8">
      <c r="A1002" s="83" t="s">
        <v>4125</v>
      </c>
      <c r="B1002" s="83" t="s">
        <v>4124</v>
      </c>
      <c r="C1002" s="83" t="s">
        <v>4125</v>
      </c>
      <c r="D1002" s="83" t="s">
        <v>11657</v>
      </c>
      <c r="E1002" s="84">
        <f>personnel_teach_handling_kinder_f</f>
        <v>3</v>
      </c>
      <c r="F1002" s="83" t="b">
        <v>1</v>
      </c>
      <c r="G1002" s="83"/>
      <c r="H1002" s="83"/>
    </row>
    <row r="1003" spans="1:8">
      <c r="A1003" s="83" t="s">
        <v>4126</v>
      </c>
      <c r="B1003" s="83" t="s">
        <v>4124</v>
      </c>
      <c r="C1003" s="83" t="s">
        <v>4126</v>
      </c>
      <c r="D1003" s="83" t="s">
        <v>11658</v>
      </c>
      <c r="E1003" s="84">
        <f>personnel_teach_handling_kinder_detailed_othersch_m</f>
        <v>0</v>
      </c>
      <c r="F1003" s="83" t="b">
        <v>1</v>
      </c>
      <c r="G1003" s="83"/>
      <c r="H1003" s="83"/>
    </row>
    <row r="1004" spans="1:8">
      <c r="A1004" s="83" t="s">
        <v>4127</v>
      </c>
      <c r="B1004" s="83" t="s">
        <v>4124</v>
      </c>
      <c r="C1004" s="83" t="s">
        <v>4127</v>
      </c>
      <c r="D1004" s="83" t="s">
        <v>11659</v>
      </c>
      <c r="E1004" s="84">
        <f>personnel_teach_handling_kinder_detailed_othersch_f</f>
        <v>0</v>
      </c>
      <c r="F1004" s="83" t="b">
        <v>1</v>
      </c>
      <c r="G1004" s="83"/>
      <c r="H1004" s="83"/>
    </row>
    <row r="1005" spans="1:8">
      <c r="A1005" s="83" t="s">
        <v>4128</v>
      </c>
      <c r="B1005" s="83" t="s">
        <v>4124</v>
      </c>
      <c r="C1005" s="83" t="s">
        <v>4128</v>
      </c>
      <c r="D1005" s="83" t="s">
        <v>11660</v>
      </c>
      <c r="E1005" s="84">
        <f>personnel_teach_handling_g1to6_m</f>
        <v>2</v>
      </c>
      <c r="F1005" s="83" t="b">
        <v>1</v>
      </c>
      <c r="G1005" s="83"/>
      <c r="H1005" s="83"/>
    </row>
    <row r="1006" spans="1:8">
      <c r="A1006" s="83" t="s">
        <v>4129</v>
      </c>
      <c r="B1006" s="83" t="s">
        <v>4124</v>
      </c>
      <c r="C1006" s="83" t="s">
        <v>4129</v>
      </c>
      <c r="D1006" s="83" t="s">
        <v>11661</v>
      </c>
      <c r="E1006" s="84">
        <f>personnel_teach_handling_g1to6_f</f>
        <v>29</v>
      </c>
      <c r="F1006" s="83" t="b">
        <v>1</v>
      </c>
      <c r="G1006" s="83"/>
      <c r="H1006" s="83"/>
    </row>
    <row r="1007" spans="1:8">
      <c r="A1007" s="83" t="s">
        <v>4130</v>
      </c>
      <c r="B1007" s="83" t="s">
        <v>4124</v>
      </c>
      <c r="C1007" s="83" t="s">
        <v>4130</v>
      </c>
      <c r="D1007" s="83" t="s">
        <v>11662</v>
      </c>
      <c r="E1007" s="84">
        <f>personnel_teach_handling_g1to6_detailed_othersch_m</f>
        <v>0</v>
      </c>
      <c r="F1007" s="83" t="b">
        <v>1</v>
      </c>
      <c r="G1007" s="83"/>
      <c r="H1007" s="83"/>
    </row>
    <row r="1008" spans="1:8">
      <c r="A1008" s="83" t="s">
        <v>4131</v>
      </c>
      <c r="B1008" s="83" t="s">
        <v>4124</v>
      </c>
      <c r="C1008" s="83" t="s">
        <v>4131</v>
      </c>
      <c r="D1008" s="83" t="s">
        <v>11663</v>
      </c>
      <c r="E1008" s="84">
        <f>personnel_teach_handling_g1to6_detailed_othersch_f</f>
        <v>0</v>
      </c>
      <c r="F1008" s="83" t="b">
        <v>1</v>
      </c>
      <c r="G1008" s="83"/>
      <c r="H1008" s="83"/>
    </row>
    <row r="1009" spans="1:8">
      <c r="A1009" s="83" t="s">
        <v>4132</v>
      </c>
      <c r="B1009" s="83" t="s">
        <v>4124</v>
      </c>
      <c r="C1009" s="83" t="s">
        <v>4132</v>
      </c>
      <c r="D1009" s="83" t="s">
        <v>11664</v>
      </c>
      <c r="E1009" s="84">
        <f>personnel_teach_handling_alivecl_m</f>
        <v>0</v>
      </c>
      <c r="F1009" s="83" t="b">
        <v>1</v>
      </c>
      <c r="G1009" s="83"/>
      <c r="H1009" s="83"/>
    </row>
    <row r="1010" spans="1:8">
      <c r="A1010" s="83" t="s">
        <v>4133</v>
      </c>
      <c r="B1010" s="83" t="s">
        <v>4124</v>
      </c>
      <c r="C1010" s="83" t="s">
        <v>4133</v>
      </c>
      <c r="D1010" s="83" t="s">
        <v>11665</v>
      </c>
      <c r="E1010" s="84">
        <f>personnel_teach_handling_alivecl_f</f>
        <v>0</v>
      </c>
      <c r="F1010" s="83" t="b">
        <v>1</v>
      </c>
      <c r="G1010" s="83"/>
      <c r="H1010" s="83"/>
    </row>
    <row r="1011" spans="1:8">
      <c r="A1011" s="83" t="s">
        <v>4134</v>
      </c>
      <c r="B1011" s="83" t="s">
        <v>4124</v>
      </c>
      <c r="C1011" s="83" t="s">
        <v>4134</v>
      </c>
      <c r="D1011" s="83" t="s">
        <v>11666</v>
      </c>
      <c r="E1011" s="84">
        <f>personnel_teach_handling_alivecl_detailed_othersch_m</f>
        <v>0</v>
      </c>
      <c r="F1011" s="83" t="b">
        <v>1</v>
      </c>
      <c r="G1011" s="83"/>
      <c r="H1011" s="83"/>
    </row>
    <row r="1012" spans="1:8">
      <c r="A1012" s="83" t="s">
        <v>4135</v>
      </c>
      <c r="B1012" s="83" t="s">
        <v>4124</v>
      </c>
      <c r="C1012" s="83" t="s">
        <v>4135</v>
      </c>
      <c r="D1012" s="83" t="s">
        <v>11667</v>
      </c>
      <c r="E1012" s="84">
        <f>personnel_teach_handling_alivecl_detailed_othersch_f</f>
        <v>0</v>
      </c>
      <c r="F1012" s="83" t="b">
        <v>1</v>
      </c>
      <c r="G1012" s="83"/>
      <c r="H1012" s="83"/>
    </row>
    <row r="1013" spans="1:8">
      <c r="A1013" s="83" t="s">
        <v>4136</v>
      </c>
      <c r="B1013" s="83" t="s">
        <v>4124</v>
      </c>
      <c r="C1013" s="83" t="s">
        <v>4136</v>
      </c>
      <c r="D1013" s="83" t="s">
        <v>11668</v>
      </c>
      <c r="E1013" s="84">
        <f>personnel_teach_handling_spedcl_m</f>
        <v>0</v>
      </c>
      <c r="F1013" s="83" t="b">
        <v>1</v>
      </c>
      <c r="G1013" s="83"/>
      <c r="H1013" s="83"/>
    </row>
    <row r="1014" spans="1:8">
      <c r="A1014" s="83" t="s">
        <v>4137</v>
      </c>
      <c r="B1014" s="83" t="s">
        <v>4124</v>
      </c>
      <c r="C1014" s="83" t="s">
        <v>4137</v>
      </c>
      <c r="D1014" s="83" t="s">
        <v>11669</v>
      </c>
      <c r="E1014" s="84">
        <f>personnel_teach_handling_spedcl_f</f>
        <v>4</v>
      </c>
      <c r="F1014" s="83" t="b">
        <v>1</v>
      </c>
      <c r="G1014" s="83"/>
      <c r="H1014" s="83"/>
    </row>
    <row r="1015" spans="1:8">
      <c r="A1015" s="83" t="s">
        <v>4138</v>
      </c>
      <c r="B1015" s="83" t="s">
        <v>4124</v>
      </c>
      <c r="C1015" s="83" t="s">
        <v>4138</v>
      </c>
      <c r="D1015" s="83" t="s">
        <v>11670</v>
      </c>
      <c r="E1015" s="84">
        <f>personnel_teach_handling_spedcl_detailed_othersch_m</f>
        <v>0</v>
      </c>
      <c r="F1015" s="83" t="b">
        <v>1</v>
      </c>
      <c r="G1015" s="83"/>
      <c r="H1015" s="83"/>
    </row>
    <row r="1016" spans="1:8">
      <c r="A1016" s="83" t="s">
        <v>4139</v>
      </c>
      <c r="B1016" s="83" t="s">
        <v>4124</v>
      </c>
      <c r="C1016" s="83" t="s">
        <v>4139</v>
      </c>
      <c r="D1016" s="83" t="s">
        <v>11671</v>
      </c>
      <c r="E1016" s="84">
        <f>personnel_teach_handling_spedcl_detailed_othersch_f</f>
        <v>0</v>
      </c>
      <c r="F1016" s="83" t="b">
        <v>1</v>
      </c>
      <c r="G1016" s="83"/>
      <c r="H1016" s="83"/>
    </row>
    <row r="1017" spans="1:8">
      <c r="A1017" s="83" t="s">
        <v>4140</v>
      </c>
      <c r="B1017" s="83" t="s">
        <v>4124</v>
      </c>
      <c r="C1017" s="83" t="s">
        <v>4140</v>
      </c>
      <c r="D1017" s="83" t="s">
        <v>11672</v>
      </c>
      <c r="E1017" s="84">
        <f>personnel_teach_handling_alscl_m</f>
        <v>0</v>
      </c>
      <c r="F1017" s="83" t="b">
        <v>1</v>
      </c>
      <c r="G1017" s="83"/>
      <c r="H1017" s="83"/>
    </row>
    <row r="1018" spans="1:8">
      <c r="A1018" s="83" t="s">
        <v>4141</v>
      </c>
      <c r="B1018" s="83" t="s">
        <v>4124</v>
      </c>
      <c r="C1018" s="83" t="s">
        <v>4141</v>
      </c>
      <c r="D1018" s="83" t="s">
        <v>11673</v>
      </c>
      <c r="E1018" s="84">
        <f>personnel_teach_handling_alscl_f</f>
        <v>3</v>
      </c>
      <c r="F1018" s="83" t="b">
        <v>1</v>
      </c>
      <c r="G1018" s="83"/>
      <c r="H1018" s="83"/>
    </row>
    <row r="1019" spans="1:8">
      <c r="A1019" s="83" t="s">
        <v>4142</v>
      </c>
      <c r="B1019" s="83" t="s">
        <v>4124</v>
      </c>
      <c r="C1019" s="83" t="s">
        <v>4142</v>
      </c>
      <c r="D1019" s="83" t="s">
        <v>11674</v>
      </c>
      <c r="E1019" s="84">
        <f>personnel_teach_handling_alscl_detailed_othersch_m</f>
        <v>0</v>
      </c>
      <c r="F1019" s="83" t="b">
        <v>1</v>
      </c>
      <c r="G1019" s="83"/>
      <c r="H1019" s="83"/>
    </row>
    <row r="1020" spans="1:8">
      <c r="A1020" s="83" t="s">
        <v>4143</v>
      </c>
      <c r="B1020" s="83" t="s">
        <v>4124</v>
      </c>
      <c r="C1020" s="83" t="s">
        <v>4143</v>
      </c>
      <c r="D1020" s="83" t="s">
        <v>11675</v>
      </c>
      <c r="E1020" s="84">
        <f>personnel_teach_handling_alscl_detailed_othersch_f</f>
        <v>0</v>
      </c>
      <c r="F1020" s="83" t="b">
        <v>1</v>
      </c>
      <c r="G1020" s="83"/>
      <c r="H1020" s="83"/>
    </row>
    <row r="1021" spans="1:8">
      <c r="A1021" s="83" t="s">
        <v>4144</v>
      </c>
      <c r="B1021" s="83" t="s">
        <v>4124</v>
      </c>
      <c r="C1021" s="83" t="s">
        <v>4144</v>
      </c>
      <c r="D1021" s="83" t="s">
        <v>11676</v>
      </c>
      <c r="E1021" s="84">
        <f>personnel_teach_handling_dalsc_m</f>
        <v>0</v>
      </c>
      <c r="F1021" s="83" t="b">
        <v>1</v>
      </c>
      <c r="G1021" s="83"/>
      <c r="H1021" s="83"/>
    </row>
    <row r="1022" spans="1:8">
      <c r="A1022" s="83" t="s">
        <v>4145</v>
      </c>
      <c r="B1022" s="83" t="s">
        <v>4124</v>
      </c>
      <c r="C1022" s="83" t="s">
        <v>4145</v>
      </c>
      <c r="D1022" s="83" t="s">
        <v>11677</v>
      </c>
      <c r="E1022" s="84">
        <f>personnel_teach_handling_dalsc_f</f>
        <v>0</v>
      </c>
      <c r="F1022" s="83" t="b">
        <v>1</v>
      </c>
      <c r="G1022" s="83"/>
      <c r="H1022" s="83"/>
    </row>
    <row r="1023" spans="1:8">
      <c r="A1023" s="83" t="s">
        <v>4146</v>
      </c>
      <c r="B1023" s="83" t="s">
        <v>4124</v>
      </c>
      <c r="C1023" s="83" t="s">
        <v>4146</v>
      </c>
      <c r="D1023" s="83" t="s">
        <v>11678</v>
      </c>
      <c r="E1023" s="84">
        <f>personnel_teach_handling_dalsc_detailed_othersch_m</f>
        <v>0</v>
      </c>
      <c r="F1023" s="83" t="b">
        <v>1</v>
      </c>
      <c r="G1023" s="83"/>
      <c r="H1023" s="83"/>
    </row>
    <row r="1024" spans="1:8">
      <c r="A1024" s="83" t="s">
        <v>4147</v>
      </c>
      <c r="B1024" s="83" t="s">
        <v>4124</v>
      </c>
      <c r="C1024" s="83" t="s">
        <v>4147</v>
      </c>
      <c r="D1024" s="83" t="s">
        <v>11679</v>
      </c>
      <c r="E1024" s="84">
        <f>personnel_teach_handling_dalsc_detailed_othersch_f</f>
        <v>0</v>
      </c>
      <c r="F1024" s="83" t="b">
        <v>1</v>
      </c>
      <c r="G1024" s="83"/>
      <c r="H1024" s="83"/>
    </row>
    <row r="1025" spans="1:8">
      <c r="A1025" s="83" t="s">
        <v>4148</v>
      </c>
      <c r="B1025" s="83" t="s">
        <v>4124</v>
      </c>
      <c r="C1025" s="83" t="s">
        <v>4148</v>
      </c>
      <c r="D1025" s="83" t="s">
        <v>11680</v>
      </c>
      <c r="E1025" s="84">
        <f>personnel_teach_handling_sch_als_m</f>
        <v>0</v>
      </c>
      <c r="F1025" s="83" t="b">
        <v>1</v>
      </c>
      <c r="G1025" s="83"/>
      <c r="H1025" s="83"/>
    </row>
    <row r="1026" spans="1:8">
      <c r="A1026" s="83" t="s">
        <v>4149</v>
      </c>
      <c r="B1026" s="83" t="s">
        <v>4124</v>
      </c>
      <c r="C1026" s="83" t="s">
        <v>4149</v>
      </c>
      <c r="D1026" s="83" t="s">
        <v>11681</v>
      </c>
      <c r="E1026" s="84">
        <f>personnel_teach_handling_sch_als_f</f>
        <v>0</v>
      </c>
      <c r="F1026" s="83" t="b">
        <v>1</v>
      </c>
      <c r="G1026" s="83"/>
      <c r="H1026" s="83"/>
    </row>
    <row r="1027" spans="1:8">
      <c r="A1027" s="83" t="s">
        <v>4150</v>
      </c>
      <c r="B1027" s="83" t="s">
        <v>4124</v>
      </c>
      <c r="C1027" s="83" t="s">
        <v>4150</v>
      </c>
      <c r="D1027" s="83" t="s">
        <v>11682</v>
      </c>
      <c r="E1027" s="84">
        <f>personnel_teach_handling_sch_als_detailed_othersch_m</f>
        <v>0</v>
      </c>
      <c r="F1027" s="83" t="b">
        <v>1</v>
      </c>
      <c r="G1027" s="83"/>
      <c r="H1027" s="83"/>
    </row>
    <row r="1028" spans="1:8">
      <c r="A1028" s="83" t="s">
        <v>4151</v>
      </c>
      <c r="B1028" s="83" t="s">
        <v>4124</v>
      </c>
      <c r="C1028" s="83" t="s">
        <v>4151</v>
      </c>
      <c r="D1028" s="83" t="s">
        <v>11683</v>
      </c>
      <c r="E1028" s="84">
        <f>personnel_teach_handling_sch_als_detailed_othersch_f</f>
        <v>0</v>
      </c>
      <c r="F1028" s="83" t="b">
        <v>1</v>
      </c>
      <c r="G1028" s="83"/>
      <c r="H1028" s="83"/>
    </row>
    <row r="1029" spans="1:8">
      <c r="A1029" s="83" t="s">
        <v>4152</v>
      </c>
      <c r="B1029" s="83" t="s">
        <v>4124</v>
      </c>
      <c r="C1029" s="83" t="s">
        <v>4152</v>
      </c>
      <c r="D1029" s="83" t="s">
        <v>11684</v>
      </c>
      <c r="E1029" s="84">
        <f>personnel_teach_handling_ancilliary_m</f>
        <v>0</v>
      </c>
      <c r="F1029" s="83" t="b">
        <v>1</v>
      </c>
      <c r="G1029" s="83"/>
      <c r="H1029" s="83"/>
    </row>
    <row r="1030" spans="1:8">
      <c r="A1030" s="83" t="s">
        <v>4153</v>
      </c>
      <c r="B1030" s="83" t="s">
        <v>4124</v>
      </c>
      <c r="C1030" s="83" t="s">
        <v>4153</v>
      </c>
      <c r="D1030" s="83" t="s">
        <v>11685</v>
      </c>
      <c r="E1030" s="84">
        <f>personnel_teach_handling_ancilliary_f</f>
        <v>0</v>
      </c>
      <c r="F1030" s="83" t="b">
        <v>1</v>
      </c>
      <c r="G1030" s="83"/>
      <c r="H1030" s="83"/>
    </row>
    <row r="1031" spans="1:8">
      <c r="A1031" s="83" t="s">
        <v>4154</v>
      </c>
      <c r="B1031" s="83" t="s">
        <v>4124</v>
      </c>
      <c r="C1031" s="83" t="s">
        <v>4154</v>
      </c>
      <c r="D1031" s="83" t="s">
        <v>11686</v>
      </c>
      <c r="E1031" s="84">
        <f>personnel_teach_handling_ancilliary_detailed_othersch_m</f>
        <v>0</v>
      </c>
      <c r="F1031" s="83" t="b">
        <v>1</v>
      </c>
      <c r="G1031" s="83"/>
      <c r="H1031" s="83"/>
    </row>
    <row r="1032" spans="1:8" ht="16" thickBot="1">
      <c r="A1032" s="85" t="s">
        <v>4155</v>
      </c>
      <c r="B1032" s="85" t="s">
        <v>4124</v>
      </c>
      <c r="C1032" s="85" t="s">
        <v>4155</v>
      </c>
      <c r="D1032" s="85" t="s">
        <v>11687</v>
      </c>
      <c r="E1032" s="86">
        <f>personnel_teach_handling_ancilliary_detailed_othersch_f</f>
        <v>0</v>
      </c>
      <c r="F1032" s="85" t="b">
        <v>1</v>
      </c>
      <c r="G1032" s="85"/>
      <c r="H1032" s="85"/>
    </row>
    <row r="1033" spans="1:8">
      <c r="A1033" s="83" t="s">
        <v>4156</v>
      </c>
      <c r="B1033" s="83" t="s">
        <v>4157</v>
      </c>
      <c r="C1033" s="83" t="s">
        <v>4156</v>
      </c>
      <c r="D1033" s="83" t="s">
        <v>4158</v>
      </c>
      <c r="E1033" s="84">
        <f>teach_assign_mt4_fullt_noancilliary</f>
        <v>0</v>
      </c>
      <c r="F1033" s="83" t="b">
        <v>1</v>
      </c>
      <c r="G1033" s="83"/>
      <c r="H1033" s="83"/>
    </row>
    <row r="1034" spans="1:8">
      <c r="A1034" s="83" t="s">
        <v>4159</v>
      </c>
      <c r="B1034" s="83" t="s">
        <v>4157</v>
      </c>
      <c r="C1034" s="83" t="s">
        <v>4159</v>
      </c>
      <c r="D1034" s="83" t="s">
        <v>4160</v>
      </c>
      <c r="E1034" s="84">
        <f>teach_assign_mt4_fullt_ancilliary_addload</f>
        <v>0</v>
      </c>
      <c r="F1034" s="83" t="b">
        <v>1</v>
      </c>
      <c r="G1034" s="83"/>
      <c r="H1034" s="83"/>
    </row>
    <row r="1035" spans="1:8">
      <c r="A1035" s="83" t="s">
        <v>4161</v>
      </c>
      <c r="B1035" s="83" t="s">
        <v>4157</v>
      </c>
      <c r="C1035" s="83" t="s">
        <v>4161</v>
      </c>
      <c r="D1035" s="83" t="s">
        <v>4162</v>
      </c>
      <c r="E1035" s="84">
        <f>teach_assign_mt4_part_ancilliary_200min</f>
        <v>0</v>
      </c>
      <c r="F1035" s="83" t="b">
        <v>1</v>
      </c>
      <c r="G1035" s="83"/>
      <c r="H1035" s="83"/>
    </row>
    <row r="1036" spans="1:8">
      <c r="A1036" s="83" t="s">
        <v>4163</v>
      </c>
      <c r="B1036" s="83" t="s">
        <v>4157</v>
      </c>
      <c r="C1036" s="83" t="s">
        <v>4163</v>
      </c>
      <c r="D1036" s="83" t="s">
        <v>4164</v>
      </c>
      <c r="E1036" s="84">
        <f>teach_assign_mt4_part_ancilliary_less200min</f>
        <v>0</v>
      </c>
      <c r="F1036" s="83" t="b">
        <v>1</v>
      </c>
      <c r="G1036" s="83"/>
      <c r="H1036" s="83"/>
    </row>
    <row r="1037" spans="1:8">
      <c r="A1037" s="83" t="s">
        <v>4165</v>
      </c>
      <c r="B1037" s="83" t="s">
        <v>4157</v>
      </c>
      <c r="C1037" s="83" t="s">
        <v>4165</v>
      </c>
      <c r="D1037" s="83" t="s">
        <v>4166</v>
      </c>
      <c r="E1037" s="84">
        <f>teach_assign_mt4_fullt_ancilliary</f>
        <v>0</v>
      </c>
      <c r="F1037" s="83" t="b">
        <v>1</v>
      </c>
      <c r="G1037" s="83"/>
      <c r="H1037" s="83"/>
    </row>
    <row r="1038" spans="1:8">
      <c r="A1038" s="83" t="s">
        <v>4167</v>
      </c>
      <c r="B1038" s="83" t="s">
        <v>4157</v>
      </c>
      <c r="C1038" s="83" t="s">
        <v>4167</v>
      </c>
      <c r="D1038" s="83" t="s">
        <v>4168</v>
      </c>
      <c r="E1038" s="84">
        <f>teach_assign_mt3_fullt_noancilliary</f>
        <v>0</v>
      </c>
      <c r="F1038" s="83" t="b">
        <v>1</v>
      </c>
      <c r="G1038" s="83"/>
      <c r="H1038" s="83"/>
    </row>
    <row r="1039" spans="1:8">
      <c r="A1039" s="83" t="s">
        <v>4169</v>
      </c>
      <c r="B1039" s="83" t="s">
        <v>4157</v>
      </c>
      <c r="C1039" s="83" t="s">
        <v>4169</v>
      </c>
      <c r="D1039" s="83" t="s">
        <v>4170</v>
      </c>
      <c r="E1039" s="84">
        <f>teach_assign_mt3_fullt_ancilliary_addload</f>
        <v>0</v>
      </c>
      <c r="F1039" s="83" t="b">
        <v>1</v>
      </c>
      <c r="G1039" s="83"/>
      <c r="H1039" s="83"/>
    </row>
    <row r="1040" spans="1:8">
      <c r="A1040" s="83" t="s">
        <v>4171</v>
      </c>
      <c r="B1040" s="83" t="s">
        <v>4157</v>
      </c>
      <c r="C1040" s="83" t="s">
        <v>4171</v>
      </c>
      <c r="D1040" s="83" t="s">
        <v>4172</v>
      </c>
      <c r="E1040" s="84">
        <f>teach_assign_mt3_part_ancilliary_200min</f>
        <v>0</v>
      </c>
      <c r="F1040" s="83" t="b">
        <v>1</v>
      </c>
      <c r="G1040" s="83"/>
      <c r="H1040" s="83"/>
    </row>
    <row r="1041" spans="1:8">
      <c r="A1041" s="83" t="s">
        <v>4173</v>
      </c>
      <c r="B1041" s="83" t="s">
        <v>4157</v>
      </c>
      <c r="C1041" s="83" t="s">
        <v>4173</v>
      </c>
      <c r="D1041" s="83" t="s">
        <v>4174</v>
      </c>
      <c r="E1041" s="84">
        <f>teach_assign_mt3_part_ancilliary_less200min</f>
        <v>0</v>
      </c>
      <c r="F1041" s="83" t="b">
        <v>1</v>
      </c>
      <c r="G1041" s="83"/>
      <c r="H1041" s="83"/>
    </row>
    <row r="1042" spans="1:8">
      <c r="A1042" s="83" t="s">
        <v>4175</v>
      </c>
      <c r="B1042" s="83" t="s">
        <v>4157</v>
      </c>
      <c r="C1042" s="83" t="s">
        <v>4175</v>
      </c>
      <c r="D1042" s="83" t="s">
        <v>4176</v>
      </c>
      <c r="E1042" s="84">
        <f>teach_assign_mt3_fullt_ancilliary</f>
        <v>0</v>
      </c>
      <c r="F1042" s="83" t="b">
        <v>1</v>
      </c>
      <c r="G1042" s="83"/>
      <c r="H1042" s="83"/>
    </row>
    <row r="1043" spans="1:8">
      <c r="A1043" s="83" t="s">
        <v>4177</v>
      </c>
      <c r="B1043" s="83" t="s">
        <v>4157</v>
      </c>
      <c r="C1043" s="83" t="s">
        <v>4177</v>
      </c>
      <c r="D1043" s="83" t="s">
        <v>4178</v>
      </c>
      <c r="E1043" s="84">
        <f>teach_assign_mt2_fullt_noancilliary</f>
        <v>0</v>
      </c>
      <c r="F1043" s="83" t="b">
        <v>1</v>
      </c>
      <c r="G1043" s="83"/>
      <c r="H1043" s="83"/>
    </row>
    <row r="1044" spans="1:8">
      <c r="A1044" s="83" t="s">
        <v>4179</v>
      </c>
      <c r="B1044" s="83" t="s">
        <v>4157</v>
      </c>
      <c r="C1044" s="83" t="s">
        <v>4179</v>
      </c>
      <c r="D1044" s="83" t="s">
        <v>4180</v>
      </c>
      <c r="E1044" s="84">
        <f>teach_assign_mt2_fullt_ancilliary_addload</f>
        <v>1</v>
      </c>
      <c r="F1044" s="83" t="b">
        <v>1</v>
      </c>
      <c r="G1044" s="83"/>
      <c r="H1044" s="83"/>
    </row>
    <row r="1045" spans="1:8">
      <c r="A1045" s="83" t="s">
        <v>4181</v>
      </c>
      <c r="B1045" s="83" t="s">
        <v>4157</v>
      </c>
      <c r="C1045" s="83" t="s">
        <v>4181</v>
      </c>
      <c r="D1045" s="83" t="s">
        <v>4182</v>
      </c>
      <c r="E1045" s="84">
        <f>teach_assign_mt2_part_ancilliary_200min</f>
        <v>0</v>
      </c>
      <c r="F1045" s="83" t="b">
        <v>1</v>
      </c>
      <c r="G1045" s="83"/>
      <c r="H1045" s="83"/>
    </row>
    <row r="1046" spans="1:8">
      <c r="A1046" s="83" t="s">
        <v>4183</v>
      </c>
      <c r="B1046" s="83" t="s">
        <v>4157</v>
      </c>
      <c r="C1046" s="83" t="s">
        <v>4183</v>
      </c>
      <c r="D1046" s="83" t="s">
        <v>4184</v>
      </c>
      <c r="E1046" s="84">
        <f>teach_assign_mt2_part_ancilliary_less200min</f>
        <v>0</v>
      </c>
      <c r="F1046" s="83" t="b">
        <v>1</v>
      </c>
      <c r="G1046" s="83"/>
      <c r="H1046" s="83"/>
    </row>
    <row r="1047" spans="1:8">
      <c r="A1047" s="83" t="s">
        <v>4185</v>
      </c>
      <c r="B1047" s="83" t="s">
        <v>4157</v>
      </c>
      <c r="C1047" s="83" t="s">
        <v>4185</v>
      </c>
      <c r="D1047" s="83" t="s">
        <v>4186</v>
      </c>
      <c r="E1047" s="84">
        <f>teach_assign_mt2_fullt_ancilliary</f>
        <v>0</v>
      </c>
      <c r="F1047" s="83" t="b">
        <v>1</v>
      </c>
      <c r="G1047" s="83"/>
      <c r="H1047" s="83"/>
    </row>
    <row r="1048" spans="1:8">
      <c r="A1048" s="83" t="s">
        <v>4187</v>
      </c>
      <c r="B1048" s="83" t="s">
        <v>4157</v>
      </c>
      <c r="C1048" s="83" t="s">
        <v>4187</v>
      </c>
      <c r="D1048" s="83" t="s">
        <v>4188</v>
      </c>
      <c r="E1048" s="84">
        <f>teach_assign_mt1_fullt_noancilliary</f>
        <v>0</v>
      </c>
      <c r="F1048" s="83" t="b">
        <v>1</v>
      </c>
      <c r="G1048" s="83"/>
      <c r="H1048" s="83"/>
    </row>
    <row r="1049" spans="1:8">
      <c r="A1049" s="83" t="s">
        <v>4189</v>
      </c>
      <c r="B1049" s="83" t="s">
        <v>4157</v>
      </c>
      <c r="C1049" s="83" t="s">
        <v>4189</v>
      </c>
      <c r="D1049" s="83" t="s">
        <v>4190</v>
      </c>
      <c r="E1049" s="84">
        <f>teach_assign_mt1_fullt_ancilliary_addload</f>
        <v>4</v>
      </c>
      <c r="F1049" s="83" t="b">
        <v>1</v>
      </c>
      <c r="G1049" s="83"/>
      <c r="H1049" s="83"/>
    </row>
    <row r="1050" spans="1:8">
      <c r="A1050" s="83" t="s">
        <v>4191</v>
      </c>
      <c r="B1050" s="83" t="s">
        <v>4157</v>
      </c>
      <c r="C1050" s="83" t="s">
        <v>4191</v>
      </c>
      <c r="D1050" s="83" t="s">
        <v>4192</v>
      </c>
      <c r="E1050" s="84">
        <f>teach_assign_mt1_part_ancilliary_200min</f>
        <v>0</v>
      </c>
      <c r="F1050" s="83" t="b">
        <v>1</v>
      </c>
      <c r="G1050" s="83"/>
      <c r="H1050" s="83"/>
    </row>
    <row r="1051" spans="1:8">
      <c r="A1051" s="83" t="s">
        <v>4193</v>
      </c>
      <c r="B1051" s="83" t="s">
        <v>4157</v>
      </c>
      <c r="C1051" s="83" t="s">
        <v>4193</v>
      </c>
      <c r="D1051" s="83" t="s">
        <v>4194</v>
      </c>
      <c r="E1051" s="84">
        <f>teach_assign_mt1_part_ancilliary_less200min</f>
        <v>0</v>
      </c>
      <c r="F1051" s="83" t="b">
        <v>1</v>
      </c>
      <c r="G1051" s="83"/>
      <c r="H1051" s="83"/>
    </row>
    <row r="1052" spans="1:8">
      <c r="A1052" s="83" t="s">
        <v>4195</v>
      </c>
      <c r="B1052" s="83" t="s">
        <v>4157</v>
      </c>
      <c r="C1052" s="83" t="s">
        <v>4195</v>
      </c>
      <c r="D1052" s="83" t="s">
        <v>4196</v>
      </c>
      <c r="E1052" s="84">
        <f>teach_assign_mt1_fullt_ancilliary</f>
        <v>0</v>
      </c>
      <c r="F1052" s="83" t="b">
        <v>1</v>
      </c>
      <c r="G1052" s="83"/>
      <c r="H1052" s="83"/>
    </row>
    <row r="1053" spans="1:8">
      <c r="A1053" s="83" t="s">
        <v>4197</v>
      </c>
      <c r="B1053" s="83" t="s">
        <v>4157</v>
      </c>
      <c r="C1053" s="83" t="s">
        <v>4197</v>
      </c>
      <c r="D1053" s="83" t="s">
        <v>4198</v>
      </c>
      <c r="E1053" s="84">
        <f>teach_assign_t3_fullt_noancilliary</f>
        <v>0</v>
      </c>
      <c r="F1053" s="83" t="b">
        <v>1</v>
      </c>
      <c r="G1053" s="83"/>
      <c r="H1053" s="83"/>
    </row>
    <row r="1054" spans="1:8">
      <c r="A1054" s="83" t="s">
        <v>4199</v>
      </c>
      <c r="B1054" s="83" t="s">
        <v>4157</v>
      </c>
      <c r="C1054" s="83" t="s">
        <v>4199</v>
      </c>
      <c r="D1054" s="83" t="s">
        <v>4200</v>
      </c>
      <c r="E1054" s="84">
        <f>teach_assign_t3_fullt_ancilliary_addload</f>
        <v>11</v>
      </c>
      <c r="F1054" s="83" t="b">
        <v>1</v>
      </c>
      <c r="G1054" s="83"/>
      <c r="H1054" s="83"/>
    </row>
    <row r="1055" spans="1:8">
      <c r="A1055" s="83" t="s">
        <v>4201</v>
      </c>
      <c r="B1055" s="83" t="s">
        <v>4157</v>
      </c>
      <c r="C1055" s="83" t="s">
        <v>4201</v>
      </c>
      <c r="D1055" s="83" t="s">
        <v>4202</v>
      </c>
      <c r="E1055" s="84">
        <f>teach_assign_t3_part_ancilliary_200min</f>
        <v>0</v>
      </c>
      <c r="F1055" s="83" t="b">
        <v>1</v>
      </c>
      <c r="G1055" s="83"/>
      <c r="H1055" s="83"/>
    </row>
    <row r="1056" spans="1:8">
      <c r="A1056" s="83" t="s">
        <v>4203</v>
      </c>
      <c r="B1056" s="83" t="s">
        <v>4157</v>
      </c>
      <c r="C1056" s="83" t="s">
        <v>4203</v>
      </c>
      <c r="D1056" s="83" t="s">
        <v>4204</v>
      </c>
      <c r="E1056" s="84">
        <f>teach_assign_t3_part_ancilliary_less200min</f>
        <v>0</v>
      </c>
      <c r="F1056" s="83" t="b">
        <v>1</v>
      </c>
      <c r="G1056" s="83"/>
      <c r="H1056" s="83"/>
    </row>
    <row r="1057" spans="1:8">
      <c r="A1057" s="83" t="s">
        <v>4205</v>
      </c>
      <c r="B1057" s="83" t="s">
        <v>4157</v>
      </c>
      <c r="C1057" s="83" t="s">
        <v>4205</v>
      </c>
      <c r="D1057" s="83" t="s">
        <v>4206</v>
      </c>
      <c r="E1057" s="84">
        <f>teach_assign_t3_fullt_ancilliary</f>
        <v>0</v>
      </c>
      <c r="F1057" s="83" t="b">
        <v>1</v>
      </c>
      <c r="G1057" s="83"/>
      <c r="H1057" s="83"/>
    </row>
    <row r="1058" spans="1:8">
      <c r="A1058" s="83" t="s">
        <v>4207</v>
      </c>
      <c r="B1058" s="83" t="s">
        <v>4157</v>
      </c>
      <c r="C1058" s="83" t="s">
        <v>4207</v>
      </c>
      <c r="D1058" s="83" t="s">
        <v>4208</v>
      </c>
      <c r="E1058" s="84">
        <f>teach_assign_t2_fullt_noancilliary</f>
        <v>0</v>
      </c>
      <c r="F1058" s="83" t="b">
        <v>1</v>
      </c>
      <c r="G1058" s="83"/>
      <c r="H1058" s="83"/>
    </row>
    <row r="1059" spans="1:8">
      <c r="A1059" s="83" t="s">
        <v>4209</v>
      </c>
      <c r="B1059" s="83" t="s">
        <v>4157</v>
      </c>
      <c r="C1059" s="83" t="s">
        <v>4209</v>
      </c>
      <c r="D1059" s="83" t="s">
        <v>4210</v>
      </c>
      <c r="E1059" s="84">
        <f>teach_assign_t2_fullt_ancilliary_addload</f>
        <v>6</v>
      </c>
      <c r="F1059" s="83" t="b">
        <v>1</v>
      </c>
      <c r="G1059" s="83"/>
      <c r="H1059" s="83"/>
    </row>
    <row r="1060" spans="1:8">
      <c r="A1060" s="83" t="s">
        <v>4211</v>
      </c>
      <c r="B1060" s="83" t="s">
        <v>4157</v>
      </c>
      <c r="C1060" s="83" t="s">
        <v>4211</v>
      </c>
      <c r="D1060" s="83" t="s">
        <v>4212</v>
      </c>
      <c r="E1060" s="84">
        <f>teach_assign_t2_part_ancilliary_200min</f>
        <v>0</v>
      </c>
      <c r="F1060" s="83" t="b">
        <v>1</v>
      </c>
      <c r="G1060" s="83"/>
      <c r="H1060" s="83"/>
    </row>
    <row r="1061" spans="1:8">
      <c r="A1061" s="83" t="s">
        <v>4213</v>
      </c>
      <c r="B1061" s="83" t="s">
        <v>4157</v>
      </c>
      <c r="C1061" s="83" t="s">
        <v>4213</v>
      </c>
      <c r="D1061" s="83" t="s">
        <v>4214</v>
      </c>
      <c r="E1061" s="84">
        <f>teach_assign_t2_part_ancilliary_less200min</f>
        <v>0</v>
      </c>
      <c r="F1061" s="83" t="b">
        <v>1</v>
      </c>
      <c r="G1061" s="83"/>
      <c r="H1061" s="83"/>
    </row>
    <row r="1062" spans="1:8">
      <c r="A1062" s="83" t="s">
        <v>4215</v>
      </c>
      <c r="B1062" s="83" t="s">
        <v>4157</v>
      </c>
      <c r="C1062" s="83" t="s">
        <v>4215</v>
      </c>
      <c r="D1062" s="83" t="s">
        <v>4216</v>
      </c>
      <c r="E1062" s="84">
        <f>teach_assign_t2_fullt_ancilliary</f>
        <v>0</v>
      </c>
      <c r="F1062" s="83" t="b">
        <v>1</v>
      </c>
      <c r="G1062" s="83"/>
      <c r="H1062" s="83"/>
    </row>
    <row r="1063" spans="1:8">
      <c r="A1063" s="83" t="s">
        <v>4217</v>
      </c>
      <c r="B1063" s="83" t="s">
        <v>4157</v>
      </c>
      <c r="C1063" s="83" t="s">
        <v>4217</v>
      </c>
      <c r="D1063" s="83" t="s">
        <v>4218</v>
      </c>
      <c r="E1063" s="84">
        <f>teach_assign_t1_fullt_noancilliary</f>
        <v>0</v>
      </c>
      <c r="F1063" s="83" t="b">
        <v>1</v>
      </c>
      <c r="G1063" s="83"/>
      <c r="H1063" s="83"/>
    </row>
    <row r="1064" spans="1:8">
      <c r="A1064" s="83" t="s">
        <v>4219</v>
      </c>
      <c r="B1064" s="83" t="s">
        <v>4157</v>
      </c>
      <c r="C1064" s="83" t="s">
        <v>4219</v>
      </c>
      <c r="D1064" s="83" t="s">
        <v>4220</v>
      </c>
      <c r="E1064" s="84">
        <f>teach_assign_t1_fullt_ancilliary_addload</f>
        <v>14</v>
      </c>
      <c r="F1064" s="83" t="b">
        <v>1</v>
      </c>
      <c r="G1064" s="83"/>
      <c r="H1064" s="83"/>
    </row>
    <row r="1065" spans="1:8">
      <c r="A1065" s="83" t="s">
        <v>4221</v>
      </c>
      <c r="B1065" s="83" t="s">
        <v>4157</v>
      </c>
      <c r="C1065" s="83" t="s">
        <v>4221</v>
      </c>
      <c r="D1065" s="83" t="s">
        <v>4222</v>
      </c>
      <c r="E1065" s="84">
        <f>teach_assign_t1_part_ancilliary_200min</f>
        <v>0</v>
      </c>
      <c r="F1065" s="83" t="b">
        <v>1</v>
      </c>
      <c r="G1065" s="83"/>
      <c r="H1065" s="83"/>
    </row>
    <row r="1066" spans="1:8">
      <c r="A1066" s="83" t="s">
        <v>4223</v>
      </c>
      <c r="B1066" s="83" t="s">
        <v>4157</v>
      </c>
      <c r="C1066" s="83" t="s">
        <v>4223</v>
      </c>
      <c r="D1066" s="83" t="s">
        <v>4224</v>
      </c>
      <c r="E1066" s="84">
        <f>teach_assign_t1_part_ancilliary_less200min</f>
        <v>0</v>
      </c>
      <c r="F1066" s="83" t="b">
        <v>1</v>
      </c>
      <c r="G1066" s="83"/>
      <c r="H1066" s="83"/>
    </row>
    <row r="1067" spans="1:8">
      <c r="A1067" s="83" t="s">
        <v>4225</v>
      </c>
      <c r="B1067" s="83" t="s">
        <v>4157</v>
      </c>
      <c r="C1067" s="83" t="s">
        <v>4225</v>
      </c>
      <c r="D1067" s="83" t="s">
        <v>4226</v>
      </c>
      <c r="E1067" s="84">
        <f>teach_assign_t1_fullt_ancilliary</f>
        <v>0</v>
      </c>
      <c r="F1067" s="83" t="b">
        <v>1</v>
      </c>
      <c r="G1067" s="83"/>
      <c r="H1067" s="83"/>
    </row>
    <row r="1068" spans="1:8">
      <c r="A1068" s="83" t="s">
        <v>4227</v>
      </c>
      <c r="B1068" s="83" t="s">
        <v>4157</v>
      </c>
      <c r="C1068" s="83" t="s">
        <v>4227</v>
      </c>
      <c r="D1068" s="83" t="s">
        <v>4228</v>
      </c>
      <c r="E1068" s="84">
        <f>teach_assign_spedt5_fullt_noancilliary</f>
        <v>0</v>
      </c>
      <c r="F1068" s="83" t="b">
        <v>1</v>
      </c>
      <c r="G1068" s="83"/>
      <c r="H1068" s="83"/>
    </row>
    <row r="1069" spans="1:8">
      <c r="A1069" s="83" t="s">
        <v>4229</v>
      </c>
      <c r="B1069" s="83" t="s">
        <v>4157</v>
      </c>
      <c r="C1069" s="83" t="s">
        <v>4229</v>
      </c>
      <c r="D1069" s="83" t="s">
        <v>4230</v>
      </c>
      <c r="E1069" s="84">
        <f>teach_assign_spedt5_fullt_ancilliary_addload</f>
        <v>0</v>
      </c>
      <c r="F1069" s="83" t="b">
        <v>1</v>
      </c>
      <c r="G1069" s="83"/>
      <c r="H1069" s="83"/>
    </row>
    <row r="1070" spans="1:8">
      <c r="A1070" s="83" t="s">
        <v>4231</v>
      </c>
      <c r="B1070" s="83" t="s">
        <v>4157</v>
      </c>
      <c r="C1070" s="83" t="s">
        <v>4231</v>
      </c>
      <c r="D1070" s="83" t="s">
        <v>4232</v>
      </c>
      <c r="E1070" s="84">
        <f>teach_assign_spedt5_part_ancilliary_200min</f>
        <v>0</v>
      </c>
      <c r="F1070" s="83" t="b">
        <v>1</v>
      </c>
      <c r="G1070" s="83"/>
      <c r="H1070" s="83"/>
    </row>
    <row r="1071" spans="1:8">
      <c r="A1071" s="83" t="s">
        <v>4233</v>
      </c>
      <c r="B1071" s="83" t="s">
        <v>4157</v>
      </c>
      <c r="C1071" s="83" t="s">
        <v>4233</v>
      </c>
      <c r="D1071" s="83" t="s">
        <v>4234</v>
      </c>
      <c r="E1071" s="84">
        <f>teach_assign_spedt5_part_ancilliary_less200min</f>
        <v>0</v>
      </c>
      <c r="F1071" s="83" t="b">
        <v>1</v>
      </c>
      <c r="G1071" s="83"/>
      <c r="H1071" s="83"/>
    </row>
    <row r="1072" spans="1:8">
      <c r="A1072" s="83" t="s">
        <v>4235</v>
      </c>
      <c r="B1072" s="83" t="s">
        <v>4157</v>
      </c>
      <c r="C1072" s="83" t="s">
        <v>4235</v>
      </c>
      <c r="D1072" s="83" t="s">
        <v>4236</v>
      </c>
      <c r="E1072" s="84">
        <f>teach_assign_spedt5_fullt_ancilliary</f>
        <v>0</v>
      </c>
      <c r="F1072" s="83" t="b">
        <v>1</v>
      </c>
      <c r="G1072" s="83"/>
      <c r="H1072" s="83"/>
    </row>
    <row r="1073" spans="1:8">
      <c r="A1073" s="83" t="s">
        <v>4237</v>
      </c>
      <c r="B1073" s="83" t="s">
        <v>4157</v>
      </c>
      <c r="C1073" s="83" t="s">
        <v>4237</v>
      </c>
      <c r="D1073" s="83" t="s">
        <v>4238</v>
      </c>
      <c r="E1073" s="84">
        <f>teach_assign_spedt4_fullt_noancilliary</f>
        <v>0</v>
      </c>
      <c r="F1073" s="83" t="b">
        <v>1</v>
      </c>
      <c r="G1073" s="83"/>
      <c r="H1073" s="83"/>
    </row>
    <row r="1074" spans="1:8">
      <c r="A1074" s="83" t="s">
        <v>4239</v>
      </c>
      <c r="B1074" s="83" t="s">
        <v>4157</v>
      </c>
      <c r="C1074" s="83" t="s">
        <v>4239</v>
      </c>
      <c r="D1074" s="83" t="s">
        <v>4240</v>
      </c>
      <c r="E1074" s="84">
        <f>teach_assign_spedt4_fullt_ancilliary_addload</f>
        <v>0</v>
      </c>
      <c r="F1074" s="83" t="b">
        <v>1</v>
      </c>
      <c r="G1074" s="83"/>
      <c r="H1074" s="83"/>
    </row>
    <row r="1075" spans="1:8">
      <c r="A1075" s="83" t="s">
        <v>4241</v>
      </c>
      <c r="B1075" s="83" t="s">
        <v>4157</v>
      </c>
      <c r="C1075" s="83" t="s">
        <v>4241</v>
      </c>
      <c r="D1075" s="83" t="s">
        <v>4242</v>
      </c>
      <c r="E1075" s="84">
        <f>teach_assign_spedt4_part_ancilliary_200min</f>
        <v>0</v>
      </c>
      <c r="F1075" s="83" t="b">
        <v>1</v>
      </c>
      <c r="G1075" s="83"/>
      <c r="H1075" s="83"/>
    </row>
    <row r="1076" spans="1:8">
      <c r="A1076" s="83" t="s">
        <v>4243</v>
      </c>
      <c r="B1076" s="83" t="s">
        <v>4157</v>
      </c>
      <c r="C1076" s="83" t="s">
        <v>4243</v>
      </c>
      <c r="D1076" s="83" t="s">
        <v>4244</v>
      </c>
      <c r="E1076" s="84">
        <f>teach_assign_spedt4_part_ancilliary_less200min</f>
        <v>0</v>
      </c>
      <c r="F1076" s="83" t="b">
        <v>1</v>
      </c>
      <c r="G1076" s="83"/>
      <c r="H1076" s="83"/>
    </row>
    <row r="1077" spans="1:8">
      <c r="A1077" s="83" t="s">
        <v>4245</v>
      </c>
      <c r="B1077" s="83" t="s">
        <v>4157</v>
      </c>
      <c r="C1077" s="83" t="s">
        <v>4245</v>
      </c>
      <c r="D1077" s="83" t="s">
        <v>4246</v>
      </c>
      <c r="E1077" s="84">
        <f>teach_assign_spedt4_fullt_ancilliary</f>
        <v>0</v>
      </c>
      <c r="F1077" s="83" t="b">
        <v>1</v>
      </c>
      <c r="G1077" s="83"/>
      <c r="H1077" s="83"/>
    </row>
    <row r="1078" spans="1:8">
      <c r="A1078" s="83" t="s">
        <v>4247</v>
      </c>
      <c r="B1078" s="83" t="s">
        <v>4157</v>
      </c>
      <c r="C1078" s="83" t="s">
        <v>4247</v>
      </c>
      <c r="D1078" s="83" t="s">
        <v>4248</v>
      </c>
      <c r="E1078" s="84">
        <f>teach_assign_spedt3_fullt_noancilliary</f>
        <v>0</v>
      </c>
      <c r="F1078" s="83" t="b">
        <v>1</v>
      </c>
      <c r="G1078" s="83"/>
      <c r="H1078" s="83"/>
    </row>
    <row r="1079" spans="1:8">
      <c r="A1079" s="83" t="s">
        <v>4249</v>
      </c>
      <c r="B1079" s="83" t="s">
        <v>4157</v>
      </c>
      <c r="C1079" s="83" t="s">
        <v>4249</v>
      </c>
      <c r="D1079" s="83" t="s">
        <v>4250</v>
      </c>
      <c r="E1079" s="84">
        <f>teach_assign_spedt3_fullt_ancilliary_addload</f>
        <v>0</v>
      </c>
      <c r="F1079" s="83" t="b">
        <v>1</v>
      </c>
      <c r="G1079" s="83"/>
      <c r="H1079" s="83"/>
    </row>
    <row r="1080" spans="1:8">
      <c r="A1080" s="83" t="s">
        <v>4251</v>
      </c>
      <c r="B1080" s="83" t="s">
        <v>4157</v>
      </c>
      <c r="C1080" s="83" t="s">
        <v>4251</v>
      </c>
      <c r="D1080" s="83" t="s">
        <v>4252</v>
      </c>
      <c r="E1080" s="84">
        <f>teach_assign_spedt3_part_ancilliary_200min</f>
        <v>0</v>
      </c>
      <c r="F1080" s="83" t="b">
        <v>1</v>
      </c>
      <c r="G1080" s="83"/>
      <c r="H1080" s="83"/>
    </row>
    <row r="1081" spans="1:8">
      <c r="A1081" s="83" t="s">
        <v>4253</v>
      </c>
      <c r="B1081" s="83" t="s">
        <v>4157</v>
      </c>
      <c r="C1081" s="83" t="s">
        <v>4253</v>
      </c>
      <c r="D1081" s="83" t="s">
        <v>4254</v>
      </c>
      <c r="E1081" s="84">
        <f>teach_assign_spedt3_part_ancilliary_less200min</f>
        <v>0</v>
      </c>
      <c r="F1081" s="83" t="b">
        <v>1</v>
      </c>
      <c r="G1081" s="83"/>
      <c r="H1081" s="83"/>
    </row>
    <row r="1082" spans="1:8">
      <c r="A1082" s="83" t="s">
        <v>4255</v>
      </c>
      <c r="B1082" s="83" t="s">
        <v>4157</v>
      </c>
      <c r="C1082" s="83" t="s">
        <v>4255</v>
      </c>
      <c r="D1082" s="83" t="s">
        <v>4256</v>
      </c>
      <c r="E1082" s="84">
        <f>teach_assign_spedt3_fullt_ancilliary</f>
        <v>0</v>
      </c>
      <c r="F1082" s="83" t="b">
        <v>1</v>
      </c>
      <c r="G1082" s="83"/>
      <c r="H1082" s="83"/>
    </row>
    <row r="1083" spans="1:8">
      <c r="A1083" s="83" t="s">
        <v>4257</v>
      </c>
      <c r="B1083" s="83" t="s">
        <v>4157</v>
      </c>
      <c r="C1083" s="83" t="s">
        <v>4257</v>
      </c>
      <c r="D1083" s="83" t="s">
        <v>4258</v>
      </c>
      <c r="E1083" s="84">
        <f>teach_assign_spedt2_fullt_noancilliary</f>
        <v>0</v>
      </c>
      <c r="F1083" s="83" t="b">
        <v>1</v>
      </c>
      <c r="G1083" s="83"/>
      <c r="H1083" s="83"/>
    </row>
    <row r="1084" spans="1:8">
      <c r="A1084" s="83" t="s">
        <v>4259</v>
      </c>
      <c r="B1084" s="83" t="s">
        <v>4157</v>
      </c>
      <c r="C1084" s="83" t="s">
        <v>4259</v>
      </c>
      <c r="D1084" s="83" t="s">
        <v>4260</v>
      </c>
      <c r="E1084" s="84">
        <f>teach_assign_spedt2_fullt_ancilliary_addload</f>
        <v>0</v>
      </c>
      <c r="F1084" s="83" t="b">
        <v>1</v>
      </c>
      <c r="G1084" s="83"/>
      <c r="H1084" s="83"/>
    </row>
    <row r="1085" spans="1:8">
      <c r="A1085" s="83" t="s">
        <v>4261</v>
      </c>
      <c r="B1085" s="83" t="s">
        <v>4157</v>
      </c>
      <c r="C1085" s="83" t="s">
        <v>4261</v>
      </c>
      <c r="D1085" s="83" t="s">
        <v>4262</v>
      </c>
      <c r="E1085" s="84">
        <f>teach_assign_spedt2_part_ancilliary_200min</f>
        <v>0</v>
      </c>
      <c r="F1085" s="83" t="b">
        <v>1</v>
      </c>
      <c r="G1085" s="83"/>
      <c r="H1085" s="83"/>
    </row>
    <row r="1086" spans="1:8">
      <c r="A1086" s="83" t="s">
        <v>4263</v>
      </c>
      <c r="B1086" s="83" t="s">
        <v>4157</v>
      </c>
      <c r="C1086" s="83" t="s">
        <v>4263</v>
      </c>
      <c r="D1086" s="83" t="s">
        <v>4264</v>
      </c>
      <c r="E1086" s="84">
        <f>teach_assign_spedt2_part_ancilliary_less200min</f>
        <v>0</v>
      </c>
      <c r="F1086" s="83" t="b">
        <v>1</v>
      </c>
      <c r="G1086" s="83"/>
      <c r="H1086" s="83"/>
    </row>
    <row r="1087" spans="1:8">
      <c r="A1087" s="83" t="s">
        <v>4265</v>
      </c>
      <c r="B1087" s="83" t="s">
        <v>4157</v>
      </c>
      <c r="C1087" s="83" t="s">
        <v>4265</v>
      </c>
      <c r="D1087" s="83" t="s">
        <v>4266</v>
      </c>
      <c r="E1087" s="84">
        <f>teach_assign_spedt2_fullt_ancilliary</f>
        <v>0</v>
      </c>
      <c r="F1087" s="83" t="b">
        <v>1</v>
      </c>
      <c r="G1087" s="83"/>
      <c r="H1087" s="83"/>
    </row>
    <row r="1088" spans="1:8">
      <c r="A1088" s="83" t="s">
        <v>4267</v>
      </c>
      <c r="B1088" s="83" t="s">
        <v>4157</v>
      </c>
      <c r="C1088" s="83" t="s">
        <v>4267</v>
      </c>
      <c r="D1088" s="83" t="s">
        <v>4268</v>
      </c>
      <c r="E1088" s="84">
        <f>teach_assign_spedt1_fullt_noancilliary</f>
        <v>0</v>
      </c>
      <c r="F1088" s="83" t="b">
        <v>1</v>
      </c>
      <c r="G1088" s="83"/>
      <c r="H1088" s="83"/>
    </row>
    <row r="1089" spans="1:8">
      <c r="A1089" s="83" t="s">
        <v>4269</v>
      </c>
      <c r="B1089" s="83" t="s">
        <v>4157</v>
      </c>
      <c r="C1089" s="83" t="s">
        <v>4269</v>
      </c>
      <c r="D1089" s="83" t="s">
        <v>4270</v>
      </c>
      <c r="E1089" s="84">
        <f>teach_assign_spedt1_fullt_ancilliary_addload</f>
        <v>5</v>
      </c>
      <c r="F1089" s="83" t="b">
        <v>1</v>
      </c>
      <c r="G1089" s="83"/>
      <c r="H1089" s="83"/>
    </row>
    <row r="1090" spans="1:8">
      <c r="A1090" s="83" t="s">
        <v>4271</v>
      </c>
      <c r="B1090" s="83" t="s">
        <v>4157</v>
      </c>
      <c r="C1090" s="83" t="s">
        <v>4271</v>
      </c>
      <c r="D1090" s="83" t="s">
        <v>4272</v>
      </c>
      <c r="E1090" s="84">
        <f>teach_assign_spedt1_part_ancilliary_200min</f>
        <v>0</v>
      </c>
      <c r="F1090" s="83" t="b">
        <v>1</v>
      </c>
      <c r="G1090" s="83"/>
      <c r="H1090" s="83"/>
    </row>
    <row r="1091" spans="1:8">
      <c r="A1091" s="83" t="s">
        <v>4273</v>
      </c>
      <c r="B1091" s="83" t="s">
        <v>4157</v>
      </c>
      <c r="C1091" s="83" t="s">
        <v>4273</v>
      </c>
      <c r="D1091" s="83" t="s">
        <v>4274</v>
      </c>
      <c r="E1091" s="84">
        <f>teach_assign_spedt1_part_ancilliary_less200min</f>
        <v>0</v>
      </c>
      <c r="F1091" s="83" t="b">
        <v>1</v>
      </c>
      <c r="G1091" s="83"/>
      <c r="H1091" s="83"/>
    </row>
    <row r="1092" spans="1:8" ht="16" thickBot="1">
      <c r="A1092" s="85" t="s">
        <v>4275</v>
      </c>
      <c r="B1092" s="85" t="s">
        <v>4157</v>
      </c>
      <c r="C1092" s="85" t="s">
        <v>4275</v>
      </c>
      <c r="D1092" s="85" t="s">
        <v>4276</v>
      </c>
      <c r="E1092" s="86">
        <f>teach_assign_spedt1_fullt_ancilliary</f>
        <v>0</v>
      </c>
      <c r="F1092" s="85" t="b">
        <v>1</v>
      </c>
      <c r="G1092" s="85"/>
      <c r="H1092" s="85"/>
    </row>
    <row r="1093" spans="1:8">
      <c r="A1093" s="83" t="s">
        <v>4277</v>
      </c>
      <c r="B1093" s="83" t="s">
        <v>4278</v>
      </c>
      <c r="C1093" s="83" t="s">
        <v>4277</v>
      </c>
      <c r="D1093" s="83" t="s">
        <v>4304</v>
      </c>
      <c r="E1093" s="84">
        <f>teach_received_trainings_mtIV_m</f>
        <v>0</v>
      </c>
      <c r="F1093" s="83" t="b">
        <v>1</v>
      </c>
      <c r="G1093" s="83"/>
      <c r="H1093" s="83"/>
    </row>
    <row r="1094" spans="1:8">
      <c r="A1094" s="83" t="s">
        <v>4279</v>
      </c>
      <c r="B1094" s="83" t="s">
        <v>4278</v>
      </c>
      <c r="C1094" s="83" t="s">
        <v>4279</v>
      </c>
      <c r="D1094" s="83" t="s">
        <v>4305</v>
      </c>
      <c r="E1094" s="84">
        <f>teach_received_trainings_mtIV_f</f>
        <v>0</v>
      </c>
      <c r="F1094" s="83" t="b">
        <v>1</v>
      </c>
      <c r="G1094" s="83"/>
      <c r="H1094" s="83"/>
    </row>
    <row r="1095" spans="1:8">
      <c r="A1095" s="83" t="s">
        <v>4280</v>
      </c>
      <c r="B1095" s="83" t="s">
        <v>4278</v>
      </c>
      <c r="C1095" s="83" t="s">
        <v>4280</v>
      </c>
      <c r="D1095" s="83" t="s">
        <v>4302</v>
      </c>
      <c r="E1095" s="84">
        <f>teach_received_trainings_mtIII_m</f>
        <v>0</v>
      </c>
      <c r="F1095" s="83" t="b">
        <v>1</v>
      </c>
      <c r="G1095" s="83"/>
      <c r="H1095" s="83"/>
    </row>
    <row r="1096" spans="1:8">
      <c r="A1096" s="83" t="s">
        <v>4281</v>
      </c>
      <c r="B1096" s="83" t="s">
        <v>4278</v>
      </c>
      <c r="C1096" s="83" t="s">
        <v>4281</v>
      </c>
      <c r="D1096" s="83" t="s">
        <v>4303</v>
      </c>
      <c r="E1096" s="84">
        <f>teach_received_trainings_mtIII_f</f>
        <v>0</v>
      </c>
      <c r="F1096" s="83" t="b">
        <v>1</v>
      </c>
      <c r="G1096" s="83"/>
      <c r="H1096" s="83"/>
    </row>
    <row r="1097" spans="1:8">
      <c r="A1097" s="83" t="s">
        <v>4282</v>
      </c>
      <c r="B1097" s="83" t="s">
        <v>4278</v>
      </c>
      <c r="C1097" s="83" t="s">
        <v>4282</v>
      </c>
      <c r="D1097" s="83" t="s">
        <v>4306</v>
      </c>
      <c r="E1097" s="84">
        <f>teach_received_trainings_mtII_m</f>
        <v>0</v>
      </c>
      <c r="F1097" s="83" t="b">
        <v>1</v>
      </c>
      <c r="G1097" s="83"/>
      <c r="H1097" s="83"/>
    </row>
    <row r="1098" spans="1:8">
      <c r="A1098" s="83" t="s">
        <v>4283</v>
      </c>
      <c r="B1098" s="83" t="s">
        <v>4278</v>
      </c>
      <c r="C1098" s="83" t="s">
        <v>4283</v>
      </c>
      <c r="D1098" s="83" t="s">
        <v>4307</v>
      </c>
      <c r="E1098" s="84">
        <f>teach_received_trainings_mtII_f</f>
        <v>1</v>
      </c>
      <c r="F1098" s="83" t="b">
        <v>1</v>
      </c>
      <c r="G1098" s="83"/>
      <c r="H1098" s="83"/>
    </row>
    <row r="1099" spans="1:8">
      <c r="A1099" s="83" t="s">
        <v>4284</v>
      </c>
      <c r="B1099" s="83" t="s">
        <v>4278</v>
      </c>
      <c r="C1099" s="83" t="s">
        <v>4284</v>
      </c>
      <c r="D1099" s="83" t="s">
        <v>4308</v>
      </c>
      <c r="E1099" s="84">
        <f>teach_received_trainings_mtI_m</f>
        <v>0</v>
      </c>
      <c r="F1099" s="83" t="b">
        <v>1</v>
      </c>
      <c r="G1099" s="83"/>
      <c r="H1099" s="83"/>
    </row>
    <row r="1100" spans="1:8">
      <c r="A1100" s="83" t="s">
        <v>4285</v>
      </c>
      <c r="B1100" s="83" t="s">
        <v>4278</v>
      </c>
      <c r="C1100" s="83" t="s">
        <v>4285</v>
      </c>
      <c r="D1100" s="83" t="s">
        <v>4309</v>
      </c>
      <c r="E1100" s="84">
        <f>teach_received_trainings_mtI_f</f>
        <v>4</v>
      </c>
      <c r="F1100" s="83" t="b">
        <v>1</v>
      </c>
      <c r="G1100" s="83"/>
      <c r="H1100" s="83"/>
    </row>
    <row r="1101" spans="1:8">
      <c r="A1101" s="83" t="s">
        <v>4286</v>
      </c>
      <c r="B1101" s="83" t="s">
        <v>4278</v>
      </c>
      <c r="C1101" s="83" t="s">
        <v>4286</v>
      </c>
      <c r="D1101" s="83" t="s">
        <v>4310</v>
      </c>
      <c r="E1101" s="84">
        <f>teach_received_trainings_tIII_m</f>
        <v>1</v>
      </c>
      <c r="F1101" s="83" t="b">
        <v>1</v>
      </c>
      <c r="G1101" s="83"/>
      <c r="H1101" s="83"/>
    </row>
    <row r="1102" spans="1:8">
      <c r="A1102" s="83" t="s">
        <v>4287</v>
      </c>
      <c r="B1102" s="83" t="s">
        <v>4278</v>
      </c>
      <c r="C1102" s="83" t="s">
        <v>4287</v>
      </c>
      <c r="D1102" s="83" t="s">
        <v>4311</v>
      </c>
      <c r="E1102" s="84">
        <f>teach_received_trainings_tIII_f</f>
        <v>10</v>
      </c>
      <c r="F1102" s="83" t="b">
        <v>1</v>
      </c>
      <c r="G1102" s="83"/>
      <c r="H1102" s="83"/>
    </row>
    <row r="1103" spans="1:8">
      <c r="A1103" s="83" t="s">
        <v>4288</v>
      </c>
      <c r="B1103" s="83" t="s">
        <v>4278</v>
      </c>
      <c r="C1103" s="83" t="s">
        <v>4288</v>
      </c>
      <c r="D1103" s="83" t="s">
        <v>4312</v>
      </c>
      <c r="E1103" s="84">
        <f>teach_received_trainings_tII_m</f>
        <v>0</v>
      </c>
      <c r="F1103" s="83" t="b">
        <v>1</v>
      </c>
      <c r="G1103" s="83"/>
      <c r="H1103" s="83"/>
    </row>
    <row r="1104" spans="1:8">
      <c r="A1104" s="83" t="s">
        <v>4289</v>
      </c>
      <c r="B1104" s="83" t="s">
        <v>4278</v>
      </c>
      <c r="C1104" s="83" t="s">
        <v>4289</v>
      </c>
      <c r="D1104" s="83" t="s">
        <v>4313</v>
      </c>
      <c r="E1104" s="84">
        <f>teach_received_trainings_tII_f</f>
        <v>6</v>
      </c>
      <c r="F1104" s="83" t="b">
        <v>1</v>
      </c>
      <c r="G1104" s="83"/>
      <c r="H1104" s="83"/>
    </row>
    <row r="1105" spans="1:8">
      <c r="A1105" s="83" t="s">
        <v>4290</v>
      </c>
      <c r="B1105" s="83" t="s">
        <v>4278</v>
      </c>
      <c r="C1105" s="83" t="s">
        <v>4290</v>
      </c>
      <c r="D1105" s="83" t="s">
        <v>4314</v>
      </c>
      <c r="E1105" s="84">
        <f>teach_received_trainings_tI_m</f>
        <v>1</v>
      </c>
      <c r="F1105" s="83" t="b">
        <v>1</v>
      </c>
      <c r="G1105" s="83"/>
      <c r="H1105" s="83"/>
    </row>
    <row r="1106" spans="1:8">
      <c r="A1106" s="83" t="s">
        <v>4291</v>
      </c>
      <c r="B1106" s="83" t="s">
        <v>4278</v>
      </c>
      <c r="C1106" s="83" t="s">
        <v>4291</v>
      </c>
      <c r="D1106" s="83" t="s">
        <v>4315</v>
      </c>
      <c r="E1106" s="84">
        <f>teach_received_trainings_tI_f</f>
        <v>13</v>
      </c>
      <c r="F1106" s="83" t="b">
        <v>1</v>
      </c>
      <c r="G1106" s="83"/>
      <c r="H1106" s="83"/>
    </row>
    <row r="1107" spans="1:8">
      <c r="A1107" s="83" t="s">
        <v>4292</v>
      </c>
      <c r="B1107" s="83" t="s">
        <v>4278</v>
      </c>
      <c r="C1107" s="83" t="s">
        <v>4292</v>
      </c>
      <c r="D1107" s="83" t="s">
        <v>4316</v>
      </c>
      <c r="E1107" s="84">
        <f>teach_received_trainings_spedV_m</f>
        <v>0</v>
      </c>
      <c r="F1107" s="83" t="b">
        <v>1</v>
      </c>
      <c r="G1107" s="83"/>
      <c r="H1107" s="83"/>
    </row>
    <row r="1108" spans="1:8">
      <c r="A1108" s="83" t="s">
        <v>4293</v>
      </c>
      <c r="B1108" s="83" t="s">
        <v>4278</v>
      </c>
      <c r="C1108" s="83" t="s">
        <v>4293</v>
      </c>
      <c r="D1108" s="83" t="s">
        <v>4317</v>
      </c>
      <c r="E1108" s="84">
        <f>teach_received_trainings_spedV_f</f>
        <v>0</v>
      </c>
      <c r="F1108" s="83" t="b">
        <v>1</v>
      </c>
      <c r="G1108" s="83"/>
      <c r="H1108" s="83"/>
    </row>
    <row r="1109" spans="1:8">
      <c r="A1109" s="83" t="s">
        <v>4294</v>
      </c>
      <c r="B1109" s="83" t="s">
        <v>4278</v>
      </c>
      <c r="C1109" s="83" t="s">
        <v>4294</v>
      </c>
      <c r="D1109" s="83" t="s">
        <v>4318</v>
      </c>
      <c r="E1109" s="84">
        <f>teach_received_trainings_spedIV_m</f>
        <v>0</v>
      </c>
      <c r="F1109" s="83" t="b">
        <v>1</v>
      </c>
      <c r="G1109" s="83"/>
      <c r="H1109" s="83"/>
    </row>
    <row r="1110" spans="1:8">
      <c r="A1110" s="83" t="s">
        <v>4295</v>
      </c>
      <c r="B1110" s="83" t="s">
        <v>4278</v>
      </c>
      <c r="C1110" s="83" t="s">
        <v>4295</v>
      </c>
      <c r="D1110" s="83" t="s">
        <v>4319</v>
      </c>
      <c r="E1110" s="84">
        <f>teach_received_trainings_spedIV_f</f>
        <v>0</v>
      </c>
      <c r="F1110" s="83" t="b">
        <v>1</v>
      </c>
      <c r="G1110" s="83"/>
      <c r="H1110" s="83"/>
    </row>
    <row r="1111" spans="1:8">
      <c r="A1111" s="83" t="s">
        <v>4296</v>
      </c>
      <c r="B1111" s="83" t="s">
        <v>4278</v>
      </c>
      <c r="C1111" s="83" t="s">
        <v>4296</v>
      </c>
      <c r="D1111" s="83" t="s">
        <v>4320</v>
      </c>
      <c r="E1111" s="84">
        <f>teach_received_trainings_spedIII_m</f>
        <v>0</v>
      </c>
      <c r="F1111" s="83" t="b">
        <v>1</v>
      </c>
      <c r="G1111" s="83"/>
      <c r="H1111" s="83"/>
    </row>
    <row r="1112" spans="1:8">
      <c r="A1112" s="83" t="s">
        <v>4297</v>
      </c>
      <c r="B1112" s="83" t="s">
        <v>4278</v>
      </c>
      <c r="C1112" s="83" t="s">
        <v>4297</v>
      </c>
      <c r="D1112" s="83" t="s">
        <v>4321</v>
      </c>
      <c r="E1112" s="84">
        <f>teach_received_trainings_spedIII_f</f>
        <v>0</v>
      </c>
      <c r="F1112" s="83" t="b">
        <v>1</v>
      </c>
      <c r="G1112" s="83"/>
      <c r="H1112" s="83"/>
    </row>
    <row r="1113" spans="1:8">
      <c r="A1113" s="83" t="s">
        <v>4298</v>
      </c>
      <c r="B1113" s="83" t="s">
        <v>4278</v>
      </c>
      <c r="C1113" s="83" t="s">
        <v>4298</v>
      </c>
      <c r="D1113" s="83" t="s">
        <v>4322</v>
      </c>
      <c r="E1113" s="84">
        <f>teach_received_trainings_spedII_m</f>
        <v>0</v>
      </c>
      <c r="F1113" s="83" t="b">
        <v>1</v>
      </c>
      <c r="G1113" s="83"/>
      <c r="H1113" s="83"/>
    </row>
    <row r="1114" spans="1:8">
      <c r="A1114" s="83" t="s">
        <v>4299</v>
      </c>
      <c r="B1114" s="83" t="s">
        <v>4278</v>
      </c>
      <c r="C1114" s="83" t="s">
        <v>4299</v>
      </c>
      <c r="D1114" s="83" t="s">
        <v>4323</v>
      </c>
      <c r="E1114" s="84">
        <f>teach_received_trainings_spedII_f</f>
        <v>0</v>
      </c>
      <c r="F1114" s="83" t="b">
        <v>1</v>
      </c>
      <c r="G1114" s="83"/>
      <c r="H1114" s="83"/>
    </row>
    <row r="1115" spans="1:8">
      <c r="A1115" s="83" t="s">
        <v>4300</v>
      </c>
      <c r="B1115" s="83" t="s">
        <v>4278</v>
      </c>
      <c r="C1115" s="83" t="s">
        <v>4300</v>
      </c>
      <c r="D1115" s="83" t="s">
        <v>4324</v>
      </c>
      <c r="E1115" s="84">
        <f>teach_received_trainings_spedI_m</f>
        <v>0</v>
      </c>
      <c r="F1115" s="83" t="b">
        <v>1</v>
      </c>
      <c r="G1115" s="83"/>
      <c r="H1115" s="83"/>
    </row>
    <row r="1116" spans="1:8" ht="16" thickBot="1">
      <c r="A1116" s="85" t="s">
        <v>4301</v>
      </c>
      <c r="B1116" s="85" t="s">
        <v>4278</v>
      </c>
      <c r="C1116" s="85" t="s">
        <v>4301</v>
      </c>
      <c r="D1116" s="85" t="s">
        <v>4325</v>
      </c>
      <c r="E1116" s="86">
        <f>teach_received_trainings_spedI_f</f>
        <v>5</v>
      </c>
      <c r="F1116" s="85" t="b">
        <v>1</v>
      </c>
      <c r="G1116" s="85"/>
      <c r="H1116" s="85"/>
    </row>
    <row r="1117" spans="1:8">
      <c r="A1117" s="83" t="s">
        <v>4326</v>
      </c>
      <c r="B1117" s="83" t="s">
        <v>4327</v>
      </c>
      <c r="C1117" s="83" t="s">
        <v>4326</v>
      </c>
      <c r="D1117" s="83" t="s">
        <v>4328</v>
      </c>
      <c r="E1117" s="84">
        <f>teach_received_trainings_ictintegration_kinder_m</f>
        <v>0</v>
      </c>
      <c r="F1117" s="83" t="b">
        <v>1</v>
      </c>
      <c r="G1117" s="83"/>
      <c r="H1117" s="83"/>
    </row>
    <row r="1118" spans="1:8">
      <c r="A1118" s="83" t="s">
        <v>4329</v>
      </c>
      <c r="B1118" s="83" t="s">
        <v>4327</v>
      </c>
      <c r="C1118" s="83" t="s">
        <v>4329</v>
      </c>
      <c r="D1118" s="83" t="s">
        <v>4330</v>
      </c>
      <c r="E1118" s="84">
        <f>teach_received_trainings_ictintegration_kinder_f</f>
        <v>3</v>
      </c>
      <c r="F1118" s="83" t="b">
        <v>1</v>
      </c>
      <c r="G1118" s="83"/>
      <c r="H1118" s="83"/>
    </row>
    <row r="1119" spans="1:8">
      <c r="A1119" s="83" t="s">
        <v>4331</v>
      </c>
      <c r="B1119" s="83" t="s">
        <v>4327</v>
      </c>
      <c r="C1119" s="83" t="s">
        <v>4331</v>
      </c>
      <c r="D1119" s="83" t="s">
        <v>4332</v>
      </c>
      <c r="E1119" s="84">
        <f>teach_received_trainings_ictintegration_gr1to6_m</f>
        <v>2</v>
      </c>
      <c r="F1119" s="83" t="b">
        <v>1</v>
      </c>
      <c r="G1119" s="83"/>
      <c r="H1119" s="83"/>
    </row>
    <row r="1120" spans="1:8">
      <c r="A1120" s="83" t="s">
        <v>4333</v>
      </c>
      <c r="B1120" s="83" t="s">
        <v>4327</v>
      </c>
      <c r="C1120" s="83" t="s">
        <v>4333</v>
      </c>
      <c r="D1120" s="83" t="s">
        <v>4334</v>
      </c>
      <c r="E1120" s="84">
        <f>teach_received_trainings_ictintegration_gr1to6_f</f>
        <v>29</v>
      </c>
      <c r="F1120" s="83" t="b">
        <v>1</v>
      </c>
      <c r="G1120" s="83"/>
      <c r="H1120" s="83"/>
    </row>
    <row r="1121" spans="1:8">
      <c r="A1121" s="83" t="s">
        <v>4335</v>
      </c>
      <c r="B1121" s="83" t="s">
        <v>4327</v>
      </c>
      <c r="C1121" s="83" t="s">
        <v>4335</v>
      </c>
      <c r="D1121" s="83" t="s">
        <v>4336</v>
      </c>
      <c r="E1121" s="84">
        <f>teach_received_trainings_ictliteracy_kinder_m</f>
        <v>0</v>
      </c>
      <c r="F1121" s="83" t="b">
        <v>1</v>
      </c>
      <c r="G1121" s="83"/>
      <c r="H1121" s="83"/>
    </row>
    <row r="1122" spans="1:8">
      <c r="A1122" s="83" t="s">
        <v>4337</v>
      </c>
      <c r="B1122" s="83" t="s">
        <v>4327</v>
      </c>
      <c r="C1122" s="83" t="s">
        <v>4337</v>
      </c>
      <c r="D1122" s="83" t="s">
        <v>4338</v>
      </c>
      <c r="E1122" s="84">
        <f>teach_received_trainings_ictliteracy_kinder_f</f>
        <v>3</v>
      </c>
      <c r="F1122" s="83" t="b">
        <v>1</v>
      </c>
      <c r="G1122" s="83"/>
      <c r="H1122" s="83"/>
    </row>
    <row r="1123" spans="1:8">
      <c r="A1123" s="83" t="s">
        <v>4339</v>
      </c>
      <c r="B1123" s="83" t="s">
        <v>4327</v>
      </c>
      <c r="C1123" s="83" t="s">
        <v>4339</v>
      </c>
      <c r="D1123" s="83" t="s">
        <v>4340</v>
      </c>
      <c r="E1123" s="84">
        <f>teach_received_trainings_ictliteracy_gr1to6_m</f>
        <v>2</v>
      </c>
      <c r="F1123" s="83" t="b">
        <v>1</v>
      </c>
      <c r="G1123" s="83"/>
      <c r="H1123" s="83"/>
    </row>
    <row r="1124" spans="1:8">
      <c r="A1124" s="83" t="s">
        <v>4341</v>
      </c>
      <c r="B1124" s="83" t="s">
        <v>4327</v>
      </c>
      <c r="C1124" s="83" t="s">
        <v>4341</v>
      </c>
      <c r="D1124" s="83" t="s">
        <v>4342</v>
      </c>
      <c r="E1124" s="84">
        <f>teach_received_trainings_ictliteracy_gr1to6_f</f>
        <v>29</v>
      </c>
      <c r="F1124" s="83" t="b">
        <v>1</v>
      </c>
      <c r="G1124" s="83"/>
      <c r="H1124" s="83"/>
    </row>
    <row r="1125" spans="1:8">
      <c r="A1125" s="83" t="s">
        <v>4343</v>
      </c>
      <c r="B1125" s="83" t="s">
        <v>4327</v>
      </c>
      <c r="C1125" s="83" t="s">
        <v>4343</v>
      </c>
      <c r="D1125" s="83" t="s">
        <v>4344</v>
      </c>
      <c r="E1125" s="84">
        <f>teach_received_trainings_software_kinder_m</f>
        <v>0</v>
      </c>
      <c r="F1125" s="83" t="b">
        <v>1</v>
      </c>
      <c r="G1125" s="83"/>
      <c r="H1125" s="83"/>
    </row>
    <row r="1126" spans="1:8">
      <c r="A1126" s="83" t="s">
        <v>4345</v>
      </c>
      <c r="B1126" s="83" t="s">
        <v>4327</v>
      </c>
      <c r="C1126" s="83" t="s">
        <v>4345</v>
      </c>
      <c r="D1126" s="83" t="s">
        <v>4346</v>
      </c>
      <c r="E1126" s="84">
        <f>teach_received_trainings_software_kinder_f</f>
        <v>3</v>
      </c>
      <c r="F1126" s="83" t="b">
        <v>1</v>
      </c>
      <c r="G1126" s="83"/>
      <c r="H1126" s="83"/>
    </row>
    <row r="1127" spans="1:8">
      <c r="A1127" s="83" t="s">
        <v>4347</v>
      </c>
      <c r="B1127" s="83" t="s">
        <v>4327</v>
      </c>
      <c r="C1127" s="83" t="s">
        <v>4347</v>
      </c>
      <c r="D1127" s="83" t="s">
        <v>4348</v>
      </c>
      <c r="E1127" s="84">
        <f>teach_received_trainings_software_grade1to6_m</f>
        <v>2</v>
      </c>
      <c r="F1127" s="83" t="b">
        <v>1</v>
      </c>
      <c r="G1127" s="83"/>
      <c r="H1127" s="83"/>
    </row>
    <row r="1128" spans="1:8">
      <c r="A1128" s="83" t="s">
        <v>4349</v>
      </c>
      <c r="B1128" s="83" t="s">
        <v>4327</v>
      </c>
      <c r="C1128" s="83" t="s">
        <v>4349</v>
      </c>
      <c r="D1128" s="83" t="s">
        <v>4350</v>
      </c>
      <c r="E1128" s="84">
        <f>teach_received_trainings_software_grade1to6_f</f>
        <v>29</v>
      </c>
      <c r="F1128" s="83" t="b">
        <v>1</v>
      </c>
      <c r="G1128" s="83"/>
      <c r="H1128" s="83"/>
    </row>
    <row r="1129" spans="1:8">
      <c r="A1129" s="83" t="s">
        <v>4351</v>
      </c>
      <c r="B1129" s="83" t="s">
        <v>4327</v>
      </c>
      <c r="C1129" s="83" t="s">
        <v>4351</v>
      </c>
      <c r="D1129" s="83" t="s">
        <v>4352</v>
      </c>
      <c r="E1129" s="84">
        <f>teach_received_trainings_hardware_kinder_m</f>
        <v>0</v>
      </c>
      <c r="F1129" s="83" t="b">
        <v>1</v>
      </c>
      <c r="G1129" s="83"/>
      <c r="H1129" s="83"/>
    </row>
    <row r="1130" spans="1:8">
      <c r="A1130" s="83" t="s">
        <v>4353</v>
      </c>
      <c r="B1130" s="83" t="s">
        <v>4327</v>
      </c>
      <c r="C1130" s="83" t="s">
        <v>4353</v>
      </c>
      <c r="D1130" s="83" t="s">
        <v>4354</v>
      </c>
      <c r="E1130" s="84">
        <f>teach_received_trainings_hardware_kinder_f</f>
        <v>3</v>
      </c>
      <c r="F1130" s="83" t="b">
        <v>1</v>
      </c>
      <c r="G1130" s="83"/>
      <c r="H1130" s="83"/>
    </row>
    <row r="1131" spans="1:8">
      <c r="A1131" s="83" t="s">
        <v>4355</v>
      </c>
      <c r="B1131" s="83" t="s">
        <v>4327</v>
      </c>
      <c r="C1131" s="83" t="s">
        <v>4355</v>
      </c>
      <c r="D1131" s="83" t="s">
        <v>4356</v>
      </c>
      <c r="E1131" s="84">
        <f>teach_received_trainings_hardware_grade1to6_m</f>
        <v>2</v>
      </c>
      <c r="F1131" s="83" t="b">
        <v>1</v>
      </c>
      <c r="G1131" s="83"/>
      <c r="H1131" s="83"/>
    </row>
    <row r="1132" spans="1:8">
      <c r="A1132" s="83" t="s">
        <v>4357</v>
      </c>
      <c r="B1132" s="83" t="s">
        <v>4327</v>
      </c>
      <c r="C1132" s="83" t="s">
        <v>4357</v>
      </c>
      <c r="D1132" s="83" t="s">
        <v>4358</v>
      </c>
      <c r="E1132" s="84">
        <f>teach_received_trainings_hardware_grade1to6_f</f>
        <v>29</v>
      </c>
      <c r="F1132" s="83" t="b">
        <v>1</v>
      </c>
      <c r="G1132" s="83"/>
      <c r="H1132" s="83"/>
    </row>
    <row r="1133" spans="1:8">
      <c r="A1133" s="83" t="s">
        <v>4359</v>
      </c>
      <c r="B1133" s="83" t="s">
        <v>4327</v>
      </c>
      <c r="C1133" s="83" t="s">
        <v>4359</v>
      </c>
      <c r="D1133" s="83" t="s">
        <v>4360</v>
      </c>
      <c r="E1133" s="84">
        <f>teach_received_trainings_others_kinder_m</f>
        <v>0</v>
      </c>
      <c r="F1133" s="83" t="b">
        <v>1</v>
      </c>
      <c r="G1133" s="83"/>
      <c r="H1133" s="83"/>
    </row>
    <row r="1134" spans="1:8">
      <c r="A1134" s="83" t="s">
        <v>4361</v>
      </c>
      <c r="B1134" s="83" t="s">
        <v>4327</v>
      </c>
      <c r="C1134" s="83" t="s">
        <v>4361</v>
      </c>
      <c r="D1134" s="83" t="s">
        <v>4362</v>
      </c>
      <c r="E1134" s="84">
        <f>teach_received_trainings_others_kinder_f</f>
        <v>3</v>
      </c>
      <c r="F1134" s="83" t="b">
        <v>1</v>
      </c>
      <c r="G1134" s="83"/>
      <c r="H1134" s="83"/>
    </row>
    <row r="1135" spans="1:8">
      <c r="A1135" s="83" t="s">
        <v>4363</v>
      </c>
      <c r="B1135" s="83" t="s">
        <v>4327</v>
      </c>
      <c r="C1135" s="83" t="s">
        <v>4363</v>
      </c>
      <c r="D1135" s="83" t="s">
        <v>4364</v>
      </c>
      <c r="E1135" s="84">
        <f>teach_received_trainings_others_grade1to6_m</f>
        <v>2</v>
      </c>
      <c r="F1135" s="83" t="b">
        <v>1</v>
      </c>
      <c r="G1135" s="83"/>
      <c r="H1135" s="83"/>
    </row>
    <row r="1136" spans="1:8" ht="16" thickBot="1">
      <c r="A1136" s="85" t="s">
        <v>4365</v>
      </c>
      <c r="B1136" s="85" t="s">
        <v>4327</v>
      </c>
      <c r="C1136" s="85" t="s">
        <v>4365</v>
      </c>
      <c r="D1136" s="85" t="s">
        <v>4366</v>
      </c>
      <c r="E1136" s="86">
        <f>teach_received_trainings_others_grade1to6_f</f>
        <v>29</v>
      </c>
      <c r="F1136" s="85" t="b">
        <v>1</v>
      </c>
      <c r="G1136" s="85"/>
      <c r="H1136" s="85"/>
    </row>
    <row r="1137" spans="1:8">
      <c r="A1137" s="83" t="s">
        <v>4367</v>
      </c>
      <c r="B1137" s="83" t="s">
        <v>4368</v>
      </c>
      <c r="C1137" s="83" t="s">
        <v>4367</v>
      </c>
      <c r="D1137" s="83" t="s">
        <v>4400</v>
      </c>
      <c r="E1137" s="84">
        <f>teach_received_trainings_pedagogy_constructivist_k_m</f>
        <v>0</v>
      </c>
      <c r="F1137" s="83" t="b">
        <v>1</v>
      </c>
      <c r="G1137" s="83"/>
      <c r="H1137" s="83"/>
    </row>
    <row r="1138" spans="1:8">
      <c r="A1138" s="83" t="s">
        <v>4369</v>
      </c>
      <c r="B1138" s="83" t="s">
        <v>4368</v>
      </c>
      <c r="C1138" s="83" t="s">
        <v>4369</v>
      </c>
      <c r="D1138" s="83" t="s">
        <v>4401</v>
      </c>
      <c r="E1138" s="84">
        <f>teach_received_trainings_pedagogy_constructivist_k_f</f>
        <v>3</v>
      </c>
      <c r="F1138" s="83" t="b">
        <v>1</v>
      </c>
      <c r="G1138" s="83"/>
      <c r="H1138" s="83"/>
    </row>
    <row r="1139" spans="1:8">
      <c r="A1139" s="83" t="s">
        <v>4370</v>
      </c>
      <c r="B1139" s="83" t="s">
        <v>4368</v>
      </c>
      <c r="C1139" s="83" t="s">
        <v>4370</v>
      </c>
      <c r="D1139" s="83" t="s">
        <v>4402</v>
      </c>
      <c r="E1139" s="84">
        <f>teach_received_trainings_pedagogy_constructivist_gr1to6_m</f>
        <v>2</v>
      </c>
      <c r="F1139" s="83" t="b">
        <v>1</v>
      </c>
      <c r="G1139" s="83"/>
      <c r="H1139" s="83"/>
    </row>
    <row r="1140" spans="1:8">
      <c r="A1140" s="83" t="s">
        <v>4371</v>
      </c>
      <c r="B1140" s="83" t="s">
        <v>4368</v>
      </c>
      <c r="C1140" s="83" t="s">
        <v>4371</v>
      </c>
      <c r="D1140" s="83" t="s">
        <v>4403</v>
      </c>
      <c r="E1140" s="84">
        <f>teach_received_trainings_pedagogy_constructivist_gr1to6_f</f>
        <v>29</v>
      </c>
      <c r="F1140" s="83" t="b">
        <v>1</v>
      </c>
      <c r="G1140" s="83"/>
      <c r="H1140" s="83"/>
    </row>
    <row r="1141" spans="1:8">
      <c r="A1141" s="83" t="s">
        <v>4372</v>
      </c>
      <c r="B1141" s="83" t="s">
        <v>4368</v>
      </c>
      <c r="C1141" s="83" t="s">
        <v>4372</v>
      </c>
      <c r="D1141" s="83" t="s">
        <v>4396</v>
      </c>
      <c r="E1141" s="84">
        <f>teach_received_trainings_pedagogy_inquirybased_k_m</f>
        <v>0</v>
      </c>
      <c r="F1141" s="83" t="b">
        <v>1</v>
      </c>
      <c r="G1141" s="83"/>
      <c r="H1141" s="83"/>
    </row>
    <row r="1142" spans="1:8">
      <c r="A1142" s="83" t="s">
        <v>4373</v>
      </c>
      <c r="B1142" s="83" t="s">
        <v>4368</v>
      </c>
      <c r="C1142" s="83" t="s">
        <v>4373</v>
      </c>
      <c r="D1142" s="83" t="s">
        <v>4397</v>
      </c>
      <c r="E1142" s="84">
        <f>teach_received_trainings_pedagogy_inquirybased_k_f</f>
        <v>3</v>
      </c>
      <c r="F1142" s="83" t="b">
        <v>1</v>
      </c>
      <c r="G1142" s="83"/>
      <c r="H1142" s="83"/>
    </row>
    <row r="1143" spans="1:8">
      <c r="A1143" s="83" t="s">
        <v>4374</v>
      </c>
      <c r="B1143" s="83" t="s">
        <v>4368</v>
      </c>
      <c r="C1143" s="83" t="s">
        <v>4374</v>
      </c>
      <c r="D1143" s="83" t="s">
        <v>4398</v>
      </c>
      <c r="E1143" s="84">
        <f>teach_received_trainings_pedagogy_inquirybased_gr1to6_m</f>
        <v>2</v>
      </c>
      <c r="F1143" s="83" t="b">
        <v>1</v>
      </c>
      <c r="G1143" s="83"/>
      <c r="H1143" s="83"/>
    </row>
    <row r="1144" spans="1:8">
      <c r="A1144" s="83" t="s">
        <v>4375</v>
      </c>
      <c r="B1144" s="83" t="s">
        <v>4368</v>
      </c>
      <c r="C1144" s="83" t="s">
        <v>4375</v>
      </c>
      <c r="D1144" s="83" t="s">
        <v>4399</v>
      </c>
      <c r="E1144" s="84">
        <f>teach_received_trainings_pedagogy_inquirybased_gr1to6_f</f>
        <v>29</v>
      </c>
      <c r="F1144" s="83" t="b">
        <v>1</v>
      </c>
      <c r="G1144" s="83"/>
      <c r="H1144" s="83"/>
    </row>
    <row r="1145" spans="1:8">
      <c r="A1145" s="83" t="s">
        <v>4376</v>
      </c>
      <c r="B1145" s="83" t="s">
        <v>4368</v>
      </c>
      <c r="C1145" s="83" t="s">
        <v>4376</v>
      </c>
      <c r="D1145" s="83" t="s">
        <v>4404</v>
      </c>
      <c r="E1145" s="84">
        <f>teach_received_trainings_pedagogy_reflective_k_m</f>
        <v>0</v>
      </c>
      <c r="F1145" s="83" t="b">
        <v>1</v>
      </c>
      <c r="G1145" s="83"/>
      <c r="H1145" s="83"/>
    </row>
    <row r="1146" spans="1:8">
      <c r="A1146" s="83" t="s">
        <v>4377</v>
      </c>
      <c r="B1146" s="83" t="s">
        <v>4368</v>
      </c>
      <c r="C1146" s="83" t="s">
        <v>4377</v>
      </c>
      <c r="D1146" s="83" t="s">
        <v>4405</v>
      </c>
      <c r="E1146" s="84">
        <f>teach_received_trainings_pedagogy_reflective_k_f</f>
        <v>3</v>
      </c>
      <c r="F1146" s="83" t="b">
        <v>1</v>
      </c>
      <c r="G1146" s="83"/>
      <c r="H1146" s="83"/>
    </row>
    <row r="1147" spans="1:8">
      <c r="A1147" s="83" t="s">
        <v>4378</v>
      </c>
      <c r="B1147" s="83" t="s">
        <v>4368</v>
      </c>
      <c r="C1147" s="83" t="s">
        <v>4378</v>
      </c>
      <c r="D1147" s="83" t="s">
        <v>4406</v>
      </c>
      <c r="E1147" s="84">
        <f>teach_received_trainings_pedagogy_reflective_gr1to6_m</f>
        <v>2</v>
      </c>
      <c r="F1147" s="83" t="b">
        <v>1</v>
      </c>
      <c r="G1147" s="83"/>
      <c r="H1147" s="83"/>
    </row>
    <row r="1148" spans="1:8">
      <c r="A1148" s="83" t="s">
        <v>4379</v>
      </c>
      <c r="B1148" s="83" t="s">
        <v>4368</v>
      </c>
      <c r="C1148" s="83" t="s">
        <v>4379</v>
      </c>
      <c r="D1148" s="83" t="s">
        <v>4407</v>
      </c>
      <c r="E1148" s="84">
        <f>teach_received_trainings_pedagogy_reflective_gr1to6_f</f>
        <v>29</v>
      </c>
      <c r="F1148" s="83" t="b">
        <v>1</v>
      </c>
      <c r="G1148" s="83"/>
      <c r="H1148" s="83"/>
    </row>
    <row r="1149" spans="1:8">
      <c r="A1149" s="83" t="s">
        <v>4380</v>
      </c>
      <c r="B1149" s="83" t="s">
        <v>4368</v>
      </c>
      <c r="C1149" s="83" t="s">
        <v>4380</v>
      </c>
      <c r="D1149" s="83" t="s">
        <v>4408</v>
      </c>
      <c r="E1149" s="84">
        <f>teach_received_trainings_pedagogy_collaborative_k_m</f>
        <v>0</v>
      </c>
      <c r="F1149" s="83" t="b">
        <v>1</v>
      </c>
      <c r="G1149" s="83"/>
      <c r="H1149" s="83"/>
    </row>
    <row r="1150" spans="1:8">
      <c r="A1150" s="83" t="s">
        <v>4381</v>
      </c>
      <c r="B1150" s="83" t="s">
        <v>4368</v>
      </c>
      <c r="C1150" s="83" t="s">
        <v>4381</v>
      </c>
      <c r="D1150" s="83" t="s">
        <v>4409</v>
      </c>
      <c r="E1150" s="84">
        <f>teach_received_trainings_pedagogy_collaborative_k_f</f>
        <v>3</v>
      </c>
      <c r="F1150" s="83" t="b">
        <v>1</v>
      </c>
      <c r="G1150" s="83"/>
      <c r="H1150" s="83"/>
    </row>
    <row r="1151" spans="1:8">
      <c r="A1151" s="83" t="s">
        <v>4382</v>
      </c>
      <c r="B1151" s="83" t="s">
        <v>4368</v>
      </c>
      <c r="C1151" s="83" t="s">
        <v>4382</v>
      </c>
      <c r="D1151" s="83" t="s">
        <v>4410</v>
      </c>
      <c r="E1151" s="84">
        <f>teach_received_trainings_pedagogy_collaborative_gr1to6_m</f>
        <v>2</v>
      </c>
      <c r="F1151" s="83" t="b">
        <v>1</v>
      </c>
      <c r="G1151" s="83"/>
      <c r="H1151" s="83"/>
    </row>
    <row r="1152" spans="1:8">
      <c r="A1152" s="83" t="s">
        <v>4383</v>
      </c>
      <c r="B1152" s="83" t="s">
        <v>4368</v>
      </c>
      <c r="C1152" s="83" t="s">
        <v>4383</v>
      </c>
      <c r="D1152" s="83" t="s">
        <v>4411</v>
      </c>
      <c r="E1152" s="84">
        <f>teach_received_trainings_pedagogy_collaborative_gr1to6_f</f>
        <v>29</v>
      </c>
      <c r="F1152" s="83" t="b">
        <v>1</v>
      </c>
      <c r="G1152" s="83"/>
      <c r="H1152" s="83"/>
    </row>
    <row r="1153" spans="1:8">
      <c r="A1153" s="83" t="s">
        <v>4384</v>
      </c>
      <c r="B1153" s="83" t="s">
        <v>4368</v>
      </c>
      <c r="C1153" s="83" t="s">
        <v>4384</v>
      </c>
      <c r="D1153" s="83" t="s">
        <v>4412</v>
      </c>
      <c r="E1153" s="84">
        <f>teach_received_trainings_pedagogy_integrative_k_m</f>
        <v>0</v>
      </c>
      <c r="F1153" s="83" t="b">
        <v>1</v>
      </c>
      <c r="G1153" s="83"/>
      <c r="H1153" s="83"/>
    </row>
    <row r="1154" spans="1:8">
      <c r="A1154" s="83" t="s">
        <v>4385</v>
      </c>
      <c r="B1154" s="83" t="s">
        <v>4368</v>
      </c>
      <c r="C1154" s="83" t="s">
        <v>4385</v>
      </c>
      <c r="D1154" s="83" t="s">
        <v>4413</v>
      </c>
      <c r="E1154" s="84">
        <f>teach_received_trainings_pedagogy_integrative_k_f</f>
        <v>3</v>
      </c>
      <c r="F1154" s="83" t="b">
        <v>1</v>
      </c>
      <c r="G1154" s="83"/>
      <c r="H1154" s="83"/>
    </row>
    <row r="1155" spans="1:8">
      <c r="A1155" s="83" t="s">
        <v>4386</v>
      </c>
      <c r="B1155" s="83" t="s">
        <v>4368</v>
      </c>
      <c r="C1155" s="83" t="s">
        <v>4386</v>
      </c>
      <c r="D1155" s="83" t="s">
        <v>4414</v>
      </c>
      <c r="E1155" s="84">
        <f>teach_received_trainings_pedagogy_integrative_gr1to6_m</f>
        <v>2</v>
      </c>
      <c r="F1155" s="83" t="b">
        <v>1</v>
      </c>
      <c r="G1155" s="83"/>
      <c r="H1155" s="83"/>
    </row>
    <row r="1156" spans="1:8">
      <c r="A1156" s="83" t="s">
        <v>4387</v>
      </c>
      <c r="B1156" s="83" t="s">
        <v>4368</v>
      </c>
      <c r="C1156" s="83" t="s">
        <v>4387</v>
      </c>
      <c r="D1156" s="83" t="s">
        <v>4415</v>
      </c>
      <c r="E1156" s="84">
        <f>teach_received_trainings_pedagogy_integrative_gr1to6_f</f>
        <v>29</v>
      </c>
      <c r="F1156" s="83" t="b">
        <v>1</v>
      </c>
      <c r="G1156" s="83"/>
      <c r="H1156" s="83"/>
    </row>
    <row r="1157" spans="1:8">
      <c r="A1157" s="83" t="s">
        <v>4388</v>
      </c>
      <c r="B1157" s="83" t="s">
        <v>4368</v>
      </c>
      <c r="C1157" s="83" t="s">
        <v>4388</v>
      </c>
      <c r="D1157" s="83" t="s">
        <v>4416</v>
      </c>
      <c r="E1157" s="84">
        <f>teach_received_trainings_pedagogy_inclusiveeduc_k_m</f>
        <v>0</v>
      </c>
      <c r="F1157" s="83" t="b">
        <v>1</v>
      </c>
      <c r="G1157" s="83"/>
      <c r="H1157" s="83"/>
    </row>
    <row r="1158" spans="1:8">
      <c r="A1158" s="83" t="s">
        <v>4389</v>
      </c>
      <c r="B1158" s="83" t="s">
        <v>4368</v>
      </c>
      <c r="C1158" s="83" t="s">
        <v>4389</v>
      </c>
      <c r="D1158" s="83" t="s">
        <v>4417</v>
      </c>
      <c r="E1158" s="84">
        <f>teach_received_trainings_pedagogy_inclusiveeduc_k_f</f>
        <v>3</v>
      </c>
      <c r="F1158" s="83" t="b">
        <v>1</v>
      </c>
      <c r="G1158" s="83"/>
      <c r="H1158" s="83"/>
    </row>
    <row r="1159" spans="1:8">
      <c r="A1159" s="83" t="s">
        <v>4390</v>
      </c>
      <c r="B1159" s="83" t="s">
        <v>4368</v>
      </c>
      <c r="C1159" s="83" t="s">
        <v>4390</v>
      </c>
      <c r="D1159" s="83" t="s">
        <v>4418</v>
      </c>
      <c r="E1159" s="84">
        <f>teach_received_trainings_pedagogy_inclusiveeduc_gr1to6_m</f>
        <v>2</v>
      </c>
      <c r="F1159" s="83" t="b">
        <v>1</v>
      </c>
      <c r="G1159" s="83"/>
      <c r="H1159" s="83"/>
    </row>
    <row r="1160" spans="1:8">
      <c r="A1160" s="83" t="s">
        <v>4391</v>
      </c>
      <c r="B1160" s="83" t="s">
        <v>4368</v>
      </c>
      <c r="C1160" s="83" t="s">
        <v>4391</v>
      </c>
      <c r="D1160" s="83" t="s">
        <v>4419</v>
      </c>
      <c r="E1160" s="84">
        <f>teach_received_trainings_pedagogy_inclusiveeduc_gr1to6_f</f>
        <v>29</v>
      </c>
      <c r="F1160" s="83" t="b">
        <v>1</v>
      </c>
      <c r="G1160" s="83"/>
      <c r="H1160" s="83"/>
    </row>
    <row r="1161" spans="1:8">
      <c r="A1161" s="83" t="s">
        <v>4392</v>
      </c>
      <c r="B1161" s="83" t="s">
        <v>4368</v>
      </c>
      <c r="C1161" s="83" t="s">
        <v>4392</v>
      </c>
      <c r="D1161" s="83" t="s">
        <v>4420</v>
      </c>
      <c r="E1161" s="84">
        <f>teach_received_trainings_pedagogy_others_k_m</f>
        <v>0</v>
      </c>
      <c r="F1161" s="83" t="b">
        <v>1</v>
      </c>
      <c r="G1161" s="83"/>
      <c r="H1161" s="83"/>
    </row>
    <row r="1162" spans="1:8">
      <c r="A1162" s="83" t="s">
        <v>4393</v>
      </c>
      <c r="B1162" s="83" t="s">
        <v>4368</v>
      </c>
      <c r="C1162" s="83" t="s">
        <v>4393</v>
      </c>
      <c r="D1162" s="83" t="s">
        <v>4421</v>
      </c>
      <c r="E1162" s="84">
        <f>teach_received_trainings_pedagogy_others_k_f</f>
        <v>3</v>
      </c>
      <c r="F1162" s="83" t="b">
        <v>1</v>
      </c>
      <c r="G1162" s="83"/>
      <c r="H1162" s="83"/>
    </row>
    <row r="1163" spans="1:8">
      <c r="A1163" s="83" t="s">
        <v>4394</v>
      </c>
      <c r="B1163" s="83" t="s">
        <v>4368</v>
      </c>
      <c r="C1163" s="83" t="s">
        <v>4394</v>
      </c>
      <c r="D1163" s="83" t="s">
        <v>4422</v>
      </c>
      <c r="E1163" s="84">
        <f>teach_received_trainings_pedagogy_others_gr1to6_m</f>
        <v>2</v>
      </c>
      <c r="F1163" s="83" t="b">
        <v>1</v>
      </c>
      <c r="G1163" s="83"/>
      <c r="H1163" s="83"/>
    </row>
    <row r="1164" spans="1:8" ht="16" thickBot="1">
      <c r="A1164" s="85" t="s">
        <v>4395</v>
      </c>
      <c r="B1164" s="85" t="s">
        <v>4368</v>
      </c>
      <c r="C1164" s="85" t="s">
        <v>4395</v>
      </c>
      <c r="D1164" s="85" t="s">
        <v>4423</v>
      </c>
      <c r="E1164" s="86">
        <f>teach_received_trainings_pedagogy_others_gr1to6_f</f>
        <v>29</v>
      </c>
      <c r="F1164" s="85" t="b">
        <v>1</v>
      </c>
      <c r="G1164" s="85"/>
      <c r="H1164" s="85"/>
    </row>
    <row r="1165" spans="1:8">
      <c r="A1165" s="83" t="s">
        <v>4424</v>
      </c>
      <c r="B1165" s="83" t="s">
        <v>4425</v>
      </c>
      <c r="C1165" s="83" t="s">
        <v>4424</v>
      </c>
      <c r="D1165" s="83" t="s">
        <v>4426</v>
      </c>
      <c r="E1165" s="84">
        <f>numteach_kinder_m</f>
        <v>0</v>
      </c>
      <c r="F1165" s="83" t="b">
        <v>1</v>
      </c>
      <c r="G1165" s="83"/>
      <c r="H1165" s="83"/>
    </row>
    <row r="1166" spans="1:8">
      <c r="A1166" s="83" t="s">
        <v>4427</v>
      </c>
      <c r="B1166" s="83" t="s">
        <v>4425</v>
      </c>
      <c r="C1166" s="83" t="s">
        <v>4427</v>
      </c>
      <c r="D1166" s="83" t="s">
        <v>4428</v>
      </c>
      <c r="E1166" s="84">
        <f>numteach_kinder_F</f>
        <v>3</v>
      </c>
      <c r="F1166" s="83" t="b">
        <v>1</v>
      </c>
      <c r="G1166" s="83"/>
      <c r="H1166" s="83"/>
    </row>
    <row r="1167" spans="1:8">
      <c r="A1167" s="83" t="s">
        <v>4429</v>
      </c>
      <c r="B1167" s="83" t="s">
        <v>4425</v>
      </c>
      <c r="C1167" s="83" t="s">
        <v>4429</v>
      </c>
      <c r="D1167" s="83" t="s">
        <v>4430</v>
      </c>
      <c r="E1167" s="84">
        <f>numteach_morethance_kinder_m</f>
        <v>0</v>
      </c>
      <c r="F1167" s="83" t="b">
        <v>1</v>
      </c>
      <c r="G1167" s="83"/>
      <c r="H1167" s="83"/>
    </row>
    <row r="1168" spans="1:8">
      <c r="A1168" s="83" t="s">
        <v>4431</v>
      </c>
      <c r="B1168" s="83" t="s">
        <v>4425</v>
      </c>
      <c r="C1168" s="83" t="s">
        <v>4431</v>
      </c>
      <c r="D1168" s="83" t="s">
        <v>4432</v>
      </c>
      <c r="E1168" s="84">
        <f>numteach_morethance_kinder_F</f>
        <v>0</v>
      </c>
      <c r="F1168" s="83" t="b">
        <v>1</v>
      </c>
      <c r="G1168" s="83"/>
      <c r="H1168" s="83"/>
    </row>
    <row r="1169" spans="1:8">
      <c r="A1169" s="83" t="s">
        <v>4433</v>
      </c>
      <c r="B1169" s="83" t="s">
        <v>4425</v>
      </c>
      <c r="C1169" s="83" t="s">
        <v>4433</v>
      </c>
      <c r="D1169" s="83" t="s">
        <v>4434</v>
      </c>
      <c r="E1169" s="84">
        <f>numteach_g1_m</f>
        <v>0</v>
      </c>
      <c r="F1169" s="83" t="b">
        <v>1</v>
      </c>
      <c r="G1169" s="83"/>
      <c r="H1169" s="83"/>
    </row>
    <row r="1170" spans="1:8">
      <c r="A1170" s="83" t="s">
        <v>4435</v>
      </c>
      <c r="B1170" s="83" t="s">
        <v>4425</v>
      </c>
      <c r="C1170" s="83" t="s">
        <v>4435</v>
      </c>
      <c r="D1170" s="83" t="s">
        <v>4436</v>
      </c>
      <c r="E1170" s="84">
        <f>numteach_g1_F</f>
        <v>5</v>
      </c>
      <c r="F1170" s="83" t="b">
        <v>1</v>
      </c>
      <c r="G1170" s="83"/>
      <c r="H1170" s="83"/>
    </row>
    <row r="1171" spans="1:8">
      <c r="A1171" s="83" t="s">
        <v>4437</v>
      </c>
      <c r="B1171" s="83" t="s">
        <v>4425</v>
      </c>
      <c r="C1171" s="83" t="s">
        <v>4437</v>
      </c>
      <c r="D1171" s="83" t="s">
        <v>4438</v>
      </c>
      <c r="E1171" s="84">
        <f>numteach_morethance_g1_m</f>
        <v>0</v>
      </c>
      <c r="F1171" s="83" t="b">
        <v>1</v>
      </c>
      <c r="G1171" s="83"/>
      <c r="H1171" s="83"/>
    </row>
    <row r="1172" spans="1:8">
      <c r="A1172" s="83" t="s">
        <v>4439</v>
      </c>
      <c r="B1172" s="83" t="s">
        <v>4425</v>
      </c>
      <c r="C1172" s="83" t="s">
        <v>4439</v>
      </c>
      <c r="D1172" s="83" t="s">
        <v>4440</v>
      </c>
      <c r="E1172" s="84">
        <f>numteach_morethance_g1_f</f>
        <v>0</v>
      </c>
      <c r="F1172" s="83" t="b">
        <v>1</v>
      </c>
      <c r="G1172" s="83"/>
      <c r="H1172" s="83"/>
    </row>
    <row r="1173" spans="1:8">
      <c r="A1173" s="83" t="s">
        <v>4441</v>
      </c>
      <c r="B1173" s="83" t="s">
        <v>4425</v>
      </c>
      <c r="C1173" s="83" t="s">
        <v>4441</v>
      </c>
      <c r="D1173" s="83" t="s">
        <v>4442</v>
      </c>
      <c r="E1173" s="84">
        <f>numteach_g2_m</f>
        <v>0</v>
      </c>
      <c r="F1173" s="83" t="b">
        <v>1</v>
      </c>
      <c r="G1173" s="83"/>
      <c r="H1173" s="83"/>
    </row>
    <row r="1174" spans="1:8">
      <c r="A1174" s="83" t="s">
        <v>4443</v>
      </c>
      <c r="B1174" s="83" t="s">
        <v>4425</v>
      </c>
      <c r="C1174" s="83" t="s">
        <v>4443</v>
      </c>
      <c r="D1174" s="83" t="s">
        <v>4444</v>
      </c>
      <c r="E1174" s="84">
        <f>numteach_g2_f</f>
        <v>5</v>
      </c>
      <c r="F1174" s="83" t="b">
        <v>1</v>
      </c>
      <c r="G1174" s="83"/>
      <c r="H1174" s="83"/>
    </row>
    <row r="1175" spans="1:8">
      <c r="A1175" s="83" t="s">
        <v>4445</v>
      </c>
      <c r="B1175" s="83" t="s">
        <v>4425</v>
      </c>
      <c r="C1175" s="83" t="s">
        <v>4445</v>
      </c>
      <c r="D1175" s="83" t="s">
        <v>4446</v>
      </c>
      <c r="E1175" s="84">
        <f>numteach_morethance_g2_m</f>
        <v>0</v>
      </c>
      <c r="F1175" s="83" t="b">
        <v>1</v>
      </c>
      <c r="G1175" s="83"/>
      <c r="H1175" s="83"/>
    </row>
    <row r="1176" spans="1:8">
      <c r="A1176" s="83" t="s">
        <v>4447</v>
      </c>
      <c r="B1176" s="83" t="s">
        <v>4425</v>
      </c>
      <c r="C1176" s="83" t="s">
        <v>4447</v>
      </c>
      <c r="D1176" s="83" t="s">
        <v>4448</v>
      </c>
      <c r="E1176" s="84">
        <f>numteach_morethance_g2_f</f>
        <v>0</v>
      </c>
      <c r="F1176" s="83" t="b">
        <v>1</v>
      </c>
      <c r="G1176" s="83"/>
      <c r="H1176" s="83"/>
    </row>
    <row r="1177" spans="1:8">
      <c r="A1177" s="83" t="s">
        <v>4449</v>
      </c>
      <c r="B1177" s="83" t="s">
        <v>4425</v>
      </c>
      <c r="C1177" s="83" t="s">
        <v>4449</v>
      </c>
      <c r="D1177" s="83" t="s">
        <v>4450</v>
      </c>
      <c r="E1177" s="84">
        <f>numteach_g3_m</f>
        <v>1</v>
      </c>
      <c r="F1177" s="83" t="b">
        <v>1</v>
      </c>
      <c r="G1177" s="83"/>
      <c r="H1177" s="83"/>
    </row>
    <row r="1178" spans="1:8">
      <c r="A1178" s="83" t="s">
        <v>4451</v>
      </c>
      <c r="B1178" s="83" t="s">
        <v>4425</v>
      </c>
      <c r="C1178" s="83" t="s">
        <v>4451</v>
      </c>
      <c r="D1178" s="83" t="s">
        <v>4452</v>
      </c>
      <c r="E1178" s="84">
        <f>numteach_g3_f</f>
        <v>4</v>
      </c>
      <c r="F1178" s="83" t="b">
        <v>1</v>
      </c>
      <c r="G1178" s="83"/>
      <c r="H1178" s="83"/>
    </row>
    <row r="1179" spans="1:8">
      <c r="A1179" s="83" t="s">
        <v>4453</v>
      </c>
      <c r="B1179" s="83" t="s">
        <v>4425</v>
      </c>
      <c r="C1179" s="83" t="s">
        <v>4453</v>
      </c>
      <c r="D1179" s="83" t="s">
        <v>4454</v>
      </c>
      <c r="E1179" s="84">
        <f>numteach_morethance_g3_m</f>
        <v>0</v>
      </c>
      <c r="F1179" s="83" t="b">
        <v>1</v>
      </c>
      <c r="G1179" s="83"/>
      <c r="H1179" s="83"/>
    </row>
    <row r="1180" spans="1:8">
      <c r="A1180" s="83" t="s">
        <v>4455</v>
      </c>
      <c r="B1180" s="83" t="s">
        <v>4425</v>
      </c>
      <c r="C1180" s="83" t="s">
        <v>4455</v>
      </c>
      <c r="D1180" s="83" t="s">
        <v>4456</v>
      </c>
      <c r="E1180" s="84">
        <f>numteach_morethance_g3_f</f>
        <v>0</v>
      </c>
      <c r="F1180" s="83" t="b">
        <v>1</v>
      </c>
      <c r="G1180" s="83"/>
      <c r="H1180" s="83"/>
    </row>
    <row r="1181" spans="1:8">
      <c r="A1181" s="83" t="s">
        <v>4457</v>
      </c>
      <c r="B1181" s="83" t="s">
        <v>4425</v>
      </c>
      <c r="C1181" s="83" t="s">
        <v>4457</v>
      </c>
      <c r="D1181" s="83" t="s">
        <v>4458</v>
      </c>
      <c r="E1181" s="84">
        <f>numteach_g4_m</f>
        <v>0</v>
      </c>
      <c r="F1181" s="83" t="b">
        <v>1</v>
      </c>
      <c r="G1181" s="83"/>
      <c r="H1181" s="83"/>
    </row>
    <row r="1182" spans="1:8">
      <c r="A1182" s="83" t="s">
        <v>4459</v>
      </c>
      <c r="B1182" s="83" t="s">
        <v>4425</v>
      </c>
      <c r="C1182" s="83" t="s">
        <v>4459</v>
      </c>
      <c r="D1182" s="83" t="s">
        <v>4460</v>
      </c>
      <c r="E1182" s="84">
        <f>numteach_g4_f</f>
        <v>5</v>
      </c>
      <c r="F1182" s="83" t="b">
        <v>1</v>
      </c>
      <c r="G1182" s="83"/>
      <c r="H1182" s="83"/>
    </row>
    <row r="1183" spans="1:8">
      <c r="A1183" s="83" t="s">
        <v>4461</v>
      </c>
      <c r="B1183" s="83" t="s">
        <v>4425</v>
      </c>
      <c r="C1183" s="83" t="s">
        <v>4461</v>
      </c>
      <c r="D1183" s="83" t="s">
        <v>4462</v>
      </c>
      <c r="E1183" s="84">
        <f>numteach_morethance_g4_m</f>
        <v>0</v>
      </c>
      <c r="F1183" s="83" t="b">
        <v>1</v>
      </c>
      <c r="G1183" s="83"/>
      <c r="H1183" s="83"/>
    </row>
    <row r="1184" spans="1:8">
      <c r="A1184" s="83" t="s">
        <v>4463</v>
      </c>
      <c r="B1184" s="83" t="s">
        <v>4425</v>
      </c>
      <c r="C1184" s="83" t="s">
        <v>4463</v>
      </c>
      <c r="D1184" s="83" t="s">
        <v>4464</v>
      </c>
      <c r="E1184" s="84">
        <f>numteach_morethance_g4_f</f>
        <v>0</v>
      </c>
      <c r="F1184" s="83" t="b">
        <v>1</v>
      </c>
      <c r="G1184" s="83"/>
      <c r="H1184" s="83"/>
    </row>
    <row r="1185" spans="1:8">
      <c r="A1185" s="83" t="s">
        <v>4465</v>
      </c>
      <c r="B1185" s="83" t="s">
        <v>4425</v>
      </c>
      <c r="C1185" s="83" t="s">
        <v>4465</v>
      </c>
      <c r="D1185" s="83" t="s">
        <v>4466</v>
      </c>
      <c r="E1185" s="84">
        <f>numteach_g5_m</f>
        <v>0</v>
      </c>
      <c r="F1185" s="83" t="b">
        <v>1</v>
      </c>
      <c r="G1185" s="83"/>
      <c r="H1185" s="83"/>
    </row>
    <row r="1186" spans="1:8">
      <c r="A1186" s="83" t="s">
        <v>4467</v>
      </c>
      <c r="B1186" s="83" t="s">
        <v>4425</v>
      </c>
      <c r="C1186" s="83" t="s">
        <v>4467</v>
      </c>
      <c r="D1186" s="83" t="s">
        <v>4468</v>
      </c>
      <c r="E1186" s="84">
        <f>numteach_g5_f</f>
        <v>5</v>
      </c>
      <c r="F1186" s="83" t="b">
        <v>1</v>
      </c>
      <c r="G1186" s="83"/>
      <c r="H1186" s="83"/>
    </row>
    <row r="1187" spans="1:8">
      <c r="A1187" s="83" t="s">
        <v>4469</v>
      </c>
      <c r="B1187" s="83" t="s">
        <v>4425</v>
      </c>
      <c r="C1187" s="83" t="s">
        <v>4469</v>
      </c>
      <c r="D1187" s="83" t="s">
        <v>4470</v>
      </c>
      <c r="E1187" s="84">
        <f>numteach_morethance_g5_m</f>
        <v>0</v>
      </c>
      <c r="F1187" s="83" t="b">
        <v>1</v>
      </c>
      <c r="G1187" s="83"/>
      <c r="H1187" s="83"/>
    </row>
    <row r="1188" spans="1:8">
      <c r="A1188" s="83" t="s">
        <v>4471</v>
      </c>
      <c r="B1188" s="83" t="s">
        <v>4425</v>
      </c>
      <c r="C1188" s="83" t="s">
        <v>4471</v>
      </c>
      <c r="D1188" s="83" t="s">
        <v>4472</v>
      </c>
      <c r="E1188" s="84">
        <f>numteach_morethance_g5_f</f>
        <v>0</v>
      </c>
      <c r="F1188" s="83" t="b">
        <v>1</v>
      </c>
      <c r="G1188" s="83"/>
      <c r="H1188" s="83"/>
    </row>
    <row r="1189" spans="1:8">
      <c r="A1189" s="83" t="s">
        <v>4473</v>
      </c>
      <c r="B1189" s="83" t="s">
        <v>4425</v>
      </c>
      <c r="C1189" s="83" t="s">
        <v>4473</v>
      </c>
      <c r="D1189" s="83" t="s">
        <v>4474</v>
      </c>
      <c r="E1189" s="84">
        <f>numteach_g6_m</f>
        <v>1</v>
      </c>
      <c r="F1189" s="83" t="b">
        <v>1</v>
      </c>
      <c r="G1189" s="83"/>
      <c r="H1189" s="83"/>
    </row>
    <row r="1190" spans="1:8">
      <c r="A1190" s="83" t="s">
        <v>4475</v>
      </c>
      <c r="B1190" s="83" t="s">
        <v>4425</v>
      </c>
      <c r="C1190" s="83" t="s">
        <v>4475</v>
      </c>
      <c r="D1190" s="83" t="s">
        <v>4476</v>
      </c>
      <c r="E1190" s="84">
        <f>numteach_g6_f</f>
        <v>5</v>
      </c>
      <c r="F1190" s="83" t="b">
        <v>1</v>
      </c>
      <c r="G1190" s="83"/>
      <c r="H1190" s="83"/>
    </row>
    <row r="1191" spans="1:8">
      <c r="A1191" s="83" t="s">
        <v>4477</v>
      </c>
      <c r="B1191" s="83" t="s">
        <v>4425</v>
      </c>
      <c r="C1191" s="83" t="s">
        <v>4477</v>
      </c>
      <c r="D1191" s="83" t="s">
        <v>4478</v>
      </c>
      <c r="E1191" s="84">
        <f>numteach_morethance_g6_m</f>
        <v>0</v>
      </c>
      <c r="F1191" s="83" t="b">
        <v>1</v>
      </c>
      <c r="G1191" s="83"/>
      <c r="H1191" s="83"/>
    </row>
    <row r="1192" spans="1:8">
      <c r="A1192" s="83" t="s">
        <v>4479</v>
      </c>
      <c r="B1192" s="83" t="s">
        <v>4425</v>
      </c>
      <c r="C1192" s="83" t="s">
        <v>4479</v>
      </c>
      <c r="D1192" s="83" t="s">
        <v>4480</v>
      </c>
      <c r="E1192" s="84">
        <f>numteach_morethance_g6_f</f>
        <v>0</v>
      </c>
      <c r="F1192" s="83" t="b">
        <v>1</v>
      </c>
      <c r="G1192" s="83"/>
      <c r="H1192" s="83"/>
    </row>
    <row r="1193" spans="1:8">
      <c r="A1193" s="83" t="s">
        <v>4481</v>
      </c>
      <c r="B1193" s="83" t="s">
        <v>4425</v>
      </c>
      <c r="C1193" s="83" t="s">
        <v>4481</v>
      </c>
      <c r="D1193" s="83" t="s">
        <v>4482</v>
      </c>
      <c r="E1193" s="84">
        <f>numteach_sped_m</f>
        <v>0</v>
      </c>
      <c r="F1193" s="83" t="b">
        <v>1</v>
      </c>
      <c r="G1193" s="83"/>
      <c r="H1193" s="83"/>
    </row>
    <row r="1194" spans="1:8">
      <c r="A1194" s="83" t="s">
        <v>4483</v>
      </c>
      <c r="B1194" s="83" t="s">
        <v>4425</v>
      </c>
      <c r="C1194" s="83" t="s">
        <v>4483</v>
      </c>
      <c r="D1194" s="83" t="s">
        <v>4484</v>
      </c>
      <c r="E1194" s="84">
        <f>numteach_sped_f</f>
        <v>4</v>
      </c>
      <c r="F1194" s="83" t="b">
        <v>1</v>
      </c>
      <c r="G1194" s="83"/>
      <c r="H1194" s="83"/>
    </row>
    <row r="1195" spans="1:8">
      <c r="A1195" s="83" t="s">
        <v>4485</v>
      </c>
      <c r="B1195" s="83" t="s">
        <v>4425</v>
      </c>
      <c r="C1195" s="83" t="s">
        <v>4485</v>
      </c>
      <c r="D1195" s="83" t="s">
        <v>4486</v>
      </c>
      <c r="E1195" s="84">
        <f>numteach_morethance_sped_m</f>
        <v>0</v>
      </c>
      <c r="F1195" s="83" t="b">
        <v>1</v>
      </c>
      <c r="G1195" s="83"/>
      <c r="H1195" s="83"/>
    </row>
    <row r="1196" spans="1:8" ht="16" thickBot="1">
      <c r="A1196" s="85" t="s">
        <v>4487</v>
      </c>
      <c r="B1196" s="85" t="s">
        <v>4425</v>
      </c>
      <c r="C1196" s="85" t="s">
        <v>4487</v>
      </c>
      <c r="D1196" s="85" t="s">
        <v>4488</v>
      </c>
      <c r="E1196" s="86">
        <f>numteach_morethance_sped_f</f>
        <v>0</v>
      </c>
      <c r="F1196" s="85" t="b">
        <v>1</v>
      </c>
      <c r="G1196" s="85"/>
      <c r="H1196" s="85"/>
    </row>
    <row r="1197" spans="1:8">
      <c r="A1197" s="83" t="s">
        <v>4489</v>
      </c>
      <c r="B1197" s="83" t="s">
        <v>4490</v>
      </c>
      <c r="C1197" s="83" t="s">
        <v>4489</v>
      </c>
      <c r="D1197" s="83" t="s">
        <v>4538</v>
      </c>
      <c r="E1197" s="84">
        <f>numteach_assign_eng_g4_m</f>
        <v>0</v>
      </c>
      <c r="F1197" s="83" t="b">
        <v>1</v>
      </c>
      <c r="G1197" s="83"/>
      <c r="H1197" s="83"/>
    </row>
    <row r="1198" spans="1:8">
      <c r="A1198" s="83" t="s">
        <v>4491</v>
      </c>
      <c r="B1198" s="83" t="s">
        <v>4490</v>
      </c>
      <c r="C1198" s="83" t="s">
        <v>4491</v>
      </c>
      <c r="D1198" s="83" t="s">
        <v>4546</v>
      </c>
      <c r="E1198" s="84">
        <f>numteach_assign_eng_g4_f</f>
        <v>1</v>
      </c>
      <c r="F1198" s="83" t="b">
        <v>1</v>
      </c>
      <c r="G1198" s="83"/>
      <c r="H1198" s="83"/>
    </row>
    <row r="1199" spans="1:8">
      <c r="A1199" s="83" t="s">
        <v>4492</v>
      </c>
      <c r="B1199" s="83" t="s">
        <v>4490</v>
      </c>
      <c r="C1199" s="83" t="s">
        <v>4492</v>
      </c>
      <c r="D1199" s="83" t="s">
        <v>4554</v>
      </c>
      <c r="E1199" s="84">
        <f>numteach_assign_eng_g5_m</f>
        <v>0</v>
      </c>
      <c r="F1199" s="83" t="b">
        <v>1</v>
      </c>
      <c r="G1199" s="83"/>
      <c r="H1199" s="83"/>
    </row>
    <row r="1200" spans="1:8">
      <c r="A1200" s="83" t="s">
        <v>4493</v>
      </c>
      <c r="B1200" s="83" t="s">
        <v>4490</v>
      </c>
      <c r="C1200" s="83" t="s">
        <v>4493</v>
      </c>
      <c r="D1200" s="83" t="s">
        <v>4562</v>
      </c>
      <c r="E1200" s="84">
        <f>numteach_assign_eng_g5_f</f>
        <v>1</v>
      </c>
      <c r="F1200" s="83" t="b">
        <v>1</v>
      </c>
      <c r="G1200" s="83"/>
      <c r="H1200" s="83"/>
    </row>
    <row r="1201" spans="1:8">
      <c r="A1201" s="83" t="s">
        <v>4494</v>
      </c>
      <c r="B1201" s="83" t="s">
        <v>4490</v>
      </c>
      <c r="C1201" s="83" t="s">
        <v>4494</v>
      </c>
      <c r="D1201" s="83" t="s">
        <v>4570</v>
      </c>
      <c r="E1201" s="84">
        <f>numteach_assign_eng_g6_m</f>
        <v>0</v>
      </c>
      <c r="F1201" s="83" t="b">
        <v>1</v>
      </c>
      <c r="G1201" s="83"/>
      <c r="H1201" s="83"/>
    </row>
    <row r="1202" spans="1:8">
      <c r="A1202" s="83" t="s">
        <v>4495</v>
      </c>
      <c r="B1202" s="83" t="s">
        <v>4490</v>
      </c>
      <c r="C1202" s="83" t="s">
        <v>4495</v>
      </c>
      <c r="D1202" s="83" t="s">
        <v>4578</v>
      </c>
      <c r="E1202" s="84">
        <f>numteach_assign_eng_g6_f</f>
        <v>1</v>
      </c>
      <c r="F1202" s="83" t="b">
        <v>1</v>
      </c>
      <c r="G1202" s="83"/>
      <c r="H1202" s="83"/>
    </row>
    <row r="1203" spans="1:8">
      <c r="A1203" s="83" t="s">
        <v>4496</v>
      </c>
      <c r="B1203" s="83" t="s">
        <v>4490</v>
      </c>
      <c r="C1203" s="83" t="s">
        <v>4496</v>
      </c>
      <c r="D1203" s="83" t="s">
        <v>4539</v>
      </c>
      <c r="E1203" s="84">
        <f>numteach_assign_math_g4_m</f>
        <v>0</v>
      </c>
      <c r="F1203" s="83" t="b">
        <v>1</v>
      </c>
      <c r="G1203" s="83"/>
      <c r="H1203" s="83"/>
    </row>
    <row r="1204" spans="1:8">
      <c r="A1204" s="83" t="s">
        <v>4497</v>
      </c>
      <c r="B1204" s="83" t="s">
        <v>4490</v>
      </c>
      <c r="C1204" s="83" t="s">
        <v>4497</v>
      </c>
      <c r="D1204" s="83" t="s">
        <v>4547</v>
      </c>
      <c r="E1204" s="84">
        <f>numteach_assign_math_g4_f</f>
        <v>1</v>
      </c>
      <c r="F1204" s="83" t="b">
        <v>1</v>
      </c>
      <c r="G1204" s="83"/>
      <c r="H1204" s="83"/>
    </row>
    <row r="1205" spans="1:8">
      <c r="A1205" s="83" t="s">
        <v>4498</v>
      </c>
      <c r="B1205" s="83" t="s">
        <v>4490</v>
      </c>
      <c r="C1205" s="83" t="s">
        <v>4498</v>
      </c>
      <c r="D1205" s="83" t="s">
        <v>4555</v>
      </c>
      <c r="E1205" s="84">
        <f>numteach_assign_math_g5_m</f>
        <v>0</v>
      </c>
      <c r="F1205" s="83" t="b">
        <v>1</v>
      </c>
      <c r="G1205" s="83"/>
      <c r="H1205" s="83"/>
    </row>
    <row r="1206" spans="1:8">
      <c r="A1206" s="83" t="s">
        <v>4499</v>
      </c>
      <c r="B1206" s="83" t="s">
        <v>4490</v>
      </c>
      <c r="C1206" s="83" t="s">
        <v>4499</v>
      </c>
      <c r="D1206" s="83" t="s">
        <v>4563</v>
      </c>
      <c r="E1206" s="84">
        <f>numteach_assign_math_g5_f</f>
        <v>1</v>
      </c>
      <c r="F1206" s="83" t="b">
        <v>1</v>
      </c>
      <c r="G1206" s="83"/>
      <c r="H1206" s="83"/>
    </row>
    <row r="1207" spans="1:8">
      <c r="A1207" s="83" t="s">
        <v>4500</v>
      </c>
      <c r="B1207" s="83" t="s">
        <v>4490</v>
      </c>
      <c r="C1207" s="83" t="s">
        <v>4500</v>
      </c>
      <c r="D1207" s="83" t="s">
        <v>4571</v>
      </c>
      <c r="E1207" s="84">
        <f>numteach_assign_math_g6_m</f>
        <v>0</v>
      </c>
      <c r="F1207" s="83" t="b">
        <v>1</v>
      </c>
      <c r="G1207" s="83"/>
      <c r="H1207" s="83"/>
    </row>
    <row r="1208" spans="1:8">
      <c r="A1208" s="83" t="s">
        <v>4501</v>
      </c>
      <c r="B1208" s="83" t="s">
        <v>4490</v>
      </c>
      <c r="C1208" s="83" t="s">
        <v>4501</v>
      </c>
      <c r="D1208" s="83" t="s">
        <v>4579</v>
      </c>
      <c r="E1208" s="84">
        <f>numteach_assign_math_g6_f</f>
        <v>1</v>
      </c>
      <c r="F1208" s="83" t="b">
        <v>1</v>
      </c>
      <c r="G1208" s="83"/>
      <c r="H1208" s="83"/>
    </row>
    <row r="1209" spans="1:8">
      <c r="A1209" s="83" t="s">
        <v>4502</v>
      </c>
      <c r="B1209" s="83" t="s">
        <v>4490</v>
      </c>
      <c r="C1209" s="83" t="s">
        <v>4502</v>
      </c>
      <c r="D1209" s="83" t="s">
        <v>4540</v>
      </c>
      <c r="E1209" s="84">
        <f>numteach_assign_fil_g4_m</f>
        <v>0</v>
      </c>
      <c r="F1209" s="83" t="b">
        <v>1</v>
      </c>
      <c r="G1209" s="83"/>
      <c r="H1209" s="83"/>
    </row>
    <row r="1210" spans="1:8">
      <c r="A1210" s="83" t="s">
        <v>4503</v>
      </c>
      <c r="B1210" s="83" t="s">
        <v>4490</v>
      </c>
      <c r="C1210" s="83" t="s">
        <v>4503</v>
      </c>
      <c r="D1210" s="83" t="s">
        <v>4548</v>
      </c>
      <c r="E1210" s="84">
        <f>numteach_assign_fil_g4_f</f>
        <v>1</v>
      </c>
      <c r="F1210" s="83" t="b">
        <v>1</v>
      </c>
      <c r="G1210" s="83"/>
      <c r="H1210" s="83"/>
    </row>
    <row r="1211" spans="1:8">
      <c r="A1211" s="83" t="s">
        <v>4504</v>
      </c>
      <c r="B1211" s="83" t="s">
        <v>4490</v>
      </c>
      <c r="C1211" s="83" t="s">
        <v>4504</v>
      </c>
      <c r="D1211" s="83" t="s">
        <v>4556</v>
      </c>
      <c r="E1211" s="84">
        <f>numteach_assign_fil_g5_m</f>
        <v>0</v>
      </c>
      <c r="F1211" s="83" t="b">
        <v>1</v>
      </c>
      <c r="G1211" s="83"/>
      <c r="H1211" s="83"/>
    </row>
    <row r="1212" spans="1:8">
      <c r="A1212" s="83" t="s">
        <v>4505</v>
      </c>
      <c r="B1212" s="83" t="s">
        <v>4490</v>
      </c>
      <c r="C1212" s="83" t="s">
        <v>4505</v>
      </c>
      <c r="D1212" s="83" t="s">
        <v>4564</v>
      </c>
      <c r="E1212" s="84">
        <f>numteach_assign_fil_g5_f</f>
        <v>1</v>
      </c>
      <c r="F1212" s="83" t="b">
        <v>1</v>
      </c>
      <c r="G1212" s="83"/>
      <c r="H1212" s="83"/>
    </row>
    <row r="1213" spans="1:8">
      <c r="A1213" s="83" t="s">
        <v>4506</v>
      </c>
      <c r="B1213" s="83" t="s">
        <v>4490</v>
      </c>
      <c r="C1213" s="83" t="s">
        <v>4506</v>
      </c>
      <c r="D1213" s="83" t="s">
        <v>4572</v>
      </c>
      <c r="E1213" s="84">
        <f>numteach_assign_fil_g6_m</f>
        <v>0</v>
      </c>
      <c r="F1213" s="83" t="b">
        <v>1</v>
      </c>
      <c r="G1213" s="83"/>
      <c r="H1213" s="83"/>
    </row>
    <row r="1214" spans="1:8">
      <c r="A1214" s="83" t="s">
        <v>4507</v>
      </c>
      <c r="B1214" s="83" t="s">
        <v>4490</v>
      </c>
      <c r="C1214" s="83" t="s">
        <v>4507</v>
      </c>
      <c r="D1214" s="83" t="s">
        <v>4580</v>
      </c>
      <c r="E1214" s="84">
        <f>numteach_assign_fil_g6_f</f>
        <v>1</v>
      </c>
      <c r="F1214" s="83" t="b">
        <v>1</v>
      </c>
      <c r="G1214" s="83"/>
      <c r="H1214" s="83"/>
    </row>
    <row r="1215" spans="1:8">
      <c r="A1215" s="83" t="s">
        <v>4508</v>
      </c>
      <c r="B1215" s="83" t="s">
        <v>4490</v>
      </c>
      <c r="C1215" s="83" t="s">
        <v>4508</v>
      </c>
      <c r="D1215" s="83" t="s">
        <v>4541</v>
      </c>
      <c r="E1215" s="84">
        <f>numteach_assign_sci_g4_m</f>
        <v>0</v>
      </c>
      <c r="F1215" s="83" t="b">
        <v>1</v>
      </c>
      <c r="G1215" s="83"/>
      <c r="H1215" s="83"/>
    </row>
    <row r="1216" spans="1:8">
      <c r="A1216" s="83" t="s">
        <v>4509</v>
      </c>
      <c r="B1216" s="83" t="s">
        <v>4490</v>
      </c>
      <c r="C1216" s="83" t="s">
        <v>4509</v>
      </c>
      <c r="D1216" s="83" t="s">
        <v>4549</v>
      </c>
      <c r="E1216" s="84">
        <f>numteach_assign_sci_g4_f</f>
        <v>1</v>
      </c>
      <c r="F1216" s="83" t="b">
        <v>1</v>
      </c>
      <c r="G1216" s="83"/>
      <c r="H1216" s="83"/>
    </row>
    <row r="1217" spans="1:8">
      <c r="A1217" s="83" t="s">
        <v>4510</v>
      </c>
      <c r="B1217" s="83" t="s">
        <v>4490</v>
      </c>
      <c r="C1217" s="83" t="s">
        <v>4510</v>
      </c>
      <c r="D1217" s="83" t="s">
        <v>4557</v>
      </c>
      <c r="E1217" s="84">
        <f>numteach_assign_sci_g5_m</f>
        <v>0</v>
      </c>
      <c r="F1217" s="83" t="b">
        <v>1</v>
      </c>
      <c r="G1217" s="83"/>
      <c r="H1217" s="83"/>
    </row>
    <row r="1218" spans="1:8">
      <c r="A1218" s="83" t="s">
        <v>4511</v>
      </c>
      <c r="B1218" s="83" t="s">
        <v>4490</v>
      </c>
      <c r="C1218" s="83" t="s">
        <v>4511</v>
      </c>
      <c r="D1218" s="83" t="s">
        <v>4565</v>
      </c>
      <c r="E1218" s="84">
        <f>numteach_assign_sci_g5_f</f>
        <v>1</v>
      </c>
      <c r="F1218" s="83" t="b">
        <v>1</v>
      </c>
      <c r="G1218" s="83"/>
      <c r="H1218" s="83"/>
    </row>
    <row r="1219" spans="1:8">
      <c r="A1219" s="83" t="s">
        <v>4512</v>
      </c>
      <c r="B1219" s="83" t="s">
        <v>4490</v>
      </c>
      <c r="C1219" s="83" t="s">
        <v>4512</v>
      </c>
      <c r="D1219" s="83" t="s">
        <v>4573</v>
      </c>
      <c r="E1219" s="84">
        <f>numteach_assign_sci_g6_m</f>
        <v>0</v>
      </c>
      <c r="F1219" s="83" t="b">
        <v>1</v>
      </c>
      <c r="G1219" s="83"/>
      <c r="H1219" s="83"/>
    </row>
    <row r="1220" spans="1:8">
      <c r="A1220" s="83" t="s">
        <v>4513</v>
      </c>
      <c r="B1220" s="83" t="s">
        <v>4490</v>
      </c>
      <c r="C1220" s="83" t="s">
        <v>4513</v>
      </c>
      <c r="D1220" s="83" t="s">
        <v>4581</v>
      </c>
      <c r="E1220" s="84">
        <f>numteach_assign_sci_g6_f</f>
        <v>1</v>
      </c>
      <c r="F1220" s="83" t="b">
        <v>1</v>
      </c>
      <c r="G1220" s="83"/>
      <c r="H1220" s="83"/>
    </row>
    <row r="1221" spans="1:8">
      <c r="A1221" s="83" t="s">
        <v>4514</v>
      </c>
      <c r="B1221" s="83" t="s">
        <v>4490</v>
      </c>
      <c r="C1221" s="83" t="s">
        <v>4514</v>
      </c>
      <c r="D1221" s="83" t="s">
        <v>4542</v>
      </c>
      <c r="E1221" s="84">
        <f>numteach_assign_ap_g4_m</f>
        <v>0</v>
      </c>
      <c r="F1221" s="83" t="b">
        <v>1</v>
      </c>
      <c r="G1221" s="83"/>
      <c r="H1221" s="83"/>
    </row>
    <row r="1222" spans="1:8">
      <c r="A1222" s="83" t="s">
        <v>4515</v>
      </c>
      <c r="B1222" s="83" t="s">
        <v>4490</v>
      </c>
      <c r="C1222" s="83" t="s">
        <v>4515</v>
      </c>
      <c r="D1222" s="83" t="s">
        <v>4550</v>
      </c>
      <c r="E1222" s="84">
        <f>numteach_assign_ap_g4_f</f>
        <v>1</v>
      </c>
      <c r="F1222" s="83" t="b">
        <v>1</v>
      </c>
      <c r="G1222" s="83"/>
      <c r="H1222" s="83"/>
    </row>
    <row r="1223" spans="1:8">
      <c r="A1223" s="83" t="s">
        <v>4516</v>
      </c>
      <c r="B1223" s="83" t="s">
        <v>4490</v>
      </c>
      <c r="C1223" s="83" t="s">
        <v>4516</v>
      </c>
      <c r="D1223" s="83" t="s">
        <v>4558</v>
      </c>
      <c r="E1223" s="84">
        <f>numteach_assign_ap_g5_m</f>
        <v>0</v>
      </c>
      <c r="F1223" s="83" t="b">
        <v>1</v>
      </c>
      <c r="G1223" s="83"/>
      <c r="H1223" s="83"/>
    </row>
    <row r="1224" spans="1:8">
      <c r="A1224" s="83" t="s">
        <v>4517</v>
      </c>
      <c r="B1224" s="83" t="s">
        <v>4490</v>
      </c>
      <c r="C1224" s="83" t="s">
        <v>4517</v>
      </c>
      <c r="D1224" s="83" t="s">
        <v>4566</v>
      </c>
      <c r="E1224" s="84">
        <f>numteach_assign_ap_g5_f</f>
        <v>1</v>
      </c>
      <c r="F1224" s="83" t="b">
        <v>1</v>
      </c>
      <c r="G1224" s="83"/>
      <c r="H1224" s="83"/>
    </row>
    <row r="1225" spans="1:8">
      <c r="A1225" s="83" t="s">
        <v>4518</v>
      </c>
      <c r="B1225" s="83" t="s">
        <v>4490</v>
      </c>
      <c r="C1225" s="83" t="s">
        <v>4518</v>
      </c>
      <c r="D1225" s="83" t="s">
        <v>4574</v>
      </c>
      <c r="E1225" s="84">
        <f>numteach_assign_ap_g6_m</f>
        <v>1</v>
      </c>
      <c r="F1225" s="83" t="b">
        <v>1</v>
      </c>
      <c r="G1225" s="83"/>
      <c r="H1225" s="83"/>
    </row>
    <row r="1226" spans="1:8">
      <c r="A1226" s="83" t="s">
        <v>4519</v>
      </c>
      <c r="B1226" s="83" t="s">
        <v>4490</v>
      </c>
      <c r="C1226" s="83" t="s">
        <v>4519</v>
      </c>
      <c r="D1226" s="83" t="s">
        <v>4582</v>
      </c>
      <c r="E1226" s="84">
        <f>numteach_assign_ap_g6_f</f>
        <v>0</v>
      </c>
      <c r="F1226" s="83" t="b">
        <v>1</v>
      </c>
      <c r="G1226" s="83"/>
      <c r="H1226" s="83"/>
    </row>
    <row r="1227" spans="1:8">
      <c r="A1227" s="83" t="s">
        <v>4520</v>
      </c>
      <c r="B1227" s="83" t="s">
        <v>4490</v>
      </c>
      <c r="C1227" s="83" t="s">
        <v>4520</v>
      </c>
      <c r="D1227" s="83" t="s">
        <v>4543</v>
      </c>
      <c r="E1227" s="84">
        <f>numteach_assign_epp_tle_g4_m</f>
        <v>0</v>
      </c>
      <c r="F1227" s="83" t="b">
        <v>1</v>
      </c>
      <c r="G1227" s="83"/>
      <c r="H1227" s="83"/>
    </row>
    <row r="1228" spans="1:8">
      <c r="A1228" s="83" t="s">
        <v>4521</v>
      </c>
      <c r="B1228" s="83" t="s">
        <v>4490</v>
      </c>
      <c r="C1228" s="83" t="s">
        <v>4521</v>
      </c>
      <c r="D1228" s="83" t="s">
        <v>4551</v>
      </c>
      <c r="E1228" s="84">
        <f>numteach_assign_epp_tle_g4_f</f>
        <v>1</v>
      </c>
      <c r="F1228" s="83" t="b">
        <v>1</v>
      </c>
      <c r="G1228" s="83"/>
      <c r="H1228" s="83"/>
    </row>
    <row r="1229" spans="1:8">
      <c r="A1229" s="83" t="s">
        <v>4522</v>
      </c>
      <c r="B1229" s="83" t="s">
        <v>4490</v>
      </c>
      <c r="C1229" s="83" t="s">
        <v>4522</v>
      </c>
      <c r="D1229" s="83" t="s">
        <v>4559</v>
      </c>
      <c r="E1229" s="84">
        <f>numteach_assign_epp_tle_g5_m</f>
        <v>0</v>
      </c>
      <c r="F1229" s="83" t="b">
        <v>1</v>
      </c>
      <c r="G1229" s="83"/>
      <c r="H1229" s="83"/>
    </row>
    <row r="1230" spans="1:8">
      <c r="A1230" s="83" t="s">
        <v>4523</v>
      </c>
      <c r="B1230" s="83" t="s">
        <v>4490</v>
      </c>
      <c r="C1230" s="83" t="s">
        <v>4523</v>
      </c>
      <c r="D1230" s="83" t="s">
        <v>4567</v>
      </c>
      <c r="E1230" s="84">
        <f>numteach_assign_epp_tle_g5_f</f>
        <v>1</v>
      </c>
      <c r="F1230" s="83" t="b">
        <v>1</v>
      </c>
      <c r="G1230" s="83"/>
      <c r="H1230" s="83"/>
    </row>
    <row r="1231" spans="1:8">
      <c r="A1231" s="83" t="s">
        <v>4524</v>
      </c>
      <c r="B1231" s="83" t="s">
        <v>4490</v>
      </c>
      <c r="C1231" s="83" t="s">
        <v>4524</v>
      </c>
      <c r="D1231" s="83" t="s">
        <v>4575</v>
      </c>
      <c r="E1231" s="84">
        <f>numteach_assign_epp_tle_g6_m</f>
        <v>0</v>
      </c>
      <c r="F1231" s="83" t="b">
        <v>1</v>
      </c>
      <c r="G1231" s="83"/>
      <c r="H1231" s="83"/>
    </row>
    <row r="1232" spans="1:8">
      <c r="A1232" s="83" t="s">
        <v>4525</v>
      </c>
      <c r="B1232" s="83" t="s">
        <v>4490</v>
      </c>
      <c r="C1232" s="83" t="s">
        <v>4525</v>
      </c>
      <c r="D1232" s="83" t="s">
        <v>4583</v>
      </c>
      <c r="E1232" s="84">
        <f>numteach_assign_epp_tle_g6_f</f>
        <v>1</v>
      </c>
      <c r="F1232" s="83" t="b">
        <v>1</v>
      </c>
      <c r="G1232" s="83"/>
      <c r="H1232" s="83"/>
    </row>
    <row r="1233" spans="1:8">
      <c r="A1233" s="83" t="s">
        <v>4526</v>
      </c>
      <c r="B1233" s="83" t="s">
        <v>4490</v>
      </c>
      <c r="C1233" s="83" t="s">
        <v>4526</v>
      </c>
      <c r="D1233" s="83" t="s">
        <v>4544</v>
      </c>
      <c r="E1233" s="84">
        <f>numteach_assign_mapeh_g4_m</f>
        <v>0</v>
      </c>
      <c r="F1233" s="83" t="b">
        <v>1</v>
      </c>
      <c r="G1233" s="83"/>
      <c r="H1233" s="83"/>
    </row>
    <row r="1234" spans="1:8">
      <c r="A1234" s="83" t="s">
        <v>4527</v>
      </c>
      <c r="B1234" s="83" t="s">
        <v>4490</v>
      </c>
      <c r="C1234" s="83" t="s">
        <v>4527</v>
      </c>
      <c r="D1234" s="83" t="s">
        <v>4552</v>
      </c>
      <c r="E1234" s="84">
        <f>numteach_assign_mapeh_g4_f</f>
        <v>1</v>
      </c>
      <c r="F1234" s="83" t="b">
        <v>1</v>
      </c>
      <c r="G1234" s="83"/>
      <c r="H1234" s="83"/>
    </row>
    <row r="1235" spans="1:8">
      <c r="A1235" s="83" t="s">
        <v>4528</v>
      </c>
      <c r="B1235" s="83" t="s">
        <v>4490</v>
      </c>
      <c r="C1235" s="83" t="s">
        <v>4528</v>
      </c>
      <c r="D1235" s="83" t="s">
        <v>4560</v>
      </c>
      <c r="E1235" s="84">
        <f>numteach_assign_mapeh_g5_m</f>
        <v>0</v>
      </c>
      <c r="F1235" s="83" t="b">
        <v>1</v>
      </c>
      <c r="G1235" s="83"/>
      <c r="H1235" s="83"/>
    </row>
    <row r="1236" spans="1:8">
      <c r="A1236" s="83" t="s">
        <v>4529</v>
      </c>
      <c r="B1236" s="83" t="s">
        <v>4490</v>
      </c>
      <c r="C1236" s="83" t="s">
        <v>4529</v>
      </c>
      <c r="D1236" s="83" t="s">
        <v>4568</v>
      </c>
      <c r="E1236" s="84">
        <f>numteach_assign_mapeh_g5_f</f>
        <v>1</v>
      </c>
      <c r="F1236" s="83" t="b">
        <v>1</v>
      </c>
      <c r="G1236" s="83"/>
      <c r="H1236" s="83"/>
    </row>
    <row r="1237" spans="1:8">
      <c r="A1237" s="83" t="s">
        <v>4530</v>
      </c>
      <c r="B1237" s="83" t="s">
        <v>4490</v>
      </c>
      <c r="C1237" s="83" t="s">
        <v>4530</v>
      </c>
      <c r="D1237" s="83" t="s">
        <v>4576</v>
      </c>
      <c r="E1237" s="84">
        <f>numteach_assign_mapeh_g6_m</f>
        <v>0</v>
      </c>
      <c r="F1237" s="83" t="b">
        <v>1</v>
      </c>
      <c r="G1237" s="83"/>
      <c r="H1237" s="83"/>
    </row>
    <row r="1238" spans="1:8">
      <c r="A1238" s="83" t="s">
        <v>4531</v>
      </c>
      <c r="B1238" s="83" t="s">
        <v>4490</v>
      </c>
      <c r="C1238" s="83" t="s">
        <v>4531</v>
      </c>
      <c r="D1238" s="83" t="s">
        <v>4584</v>
      </c>
      <c r="E1238" s="84">
        <f>numteach_assign_mapeh_g6_f</f>
        <v>1</v>
      </c>
      <c r="F1238" s="83" t="b">
        <v>1</v>
      </c>
      <c r="G1238" s="83"/>
      <c r="H1238" s="83"/>
    </row>
    <row r="1239" spans="1:8">
      <c r="A1239" s="83" t="s">
        <v>4532</v>
      </c>
      <c r="B1239" s="83" t="s">
        <v>4490</v>
      </c>
      <c r="C1239" s="83" t="s">
        <v>4532</v>
      </c>
      <c r="D1239" s="83" t="s">
        <v>4545</v>
      </c>
      <c r="E1239" s="84">
        <f>numteach_assign_esp_g4_m</f>
        <v>0</v>
      </c>
      <c r="F1239" s="83" t="b">
        <v>1</v>
      </c>
      <c r="G1239" s="83"/>
      <c r="H1239" s="83"/>
    </row>
    <row r="1240" spans="1:8">
      <c r="A1240" s="83" t="s">
        <v>4533</v>
      </c>
      <c r="B1240" s="83" t="s">
        <v>4490</v>
      </c>
      <c r="C1240" s="83" t="s">
        <v>4533</v>
      </c>
      <c r="D1240" s="83" t="s">
        <v>4553</v>
      </c>
      <c r="E1240" s="84">
        <f>numteach_assign_esp_g4_f</f>
        <v>1</v>
      </c>
      <c r="F1240" s="83" t="b">
        <v>1</v>
      </c>
      <c r="G1240" s="83"/>
      <c r="H1240" s="83"/>
    </row>
    <row r="1241" spans="1:8">
      <c r="A1241" s="83" t="s">
        <v>4534</v>
      </c>
      <c r="B1241" s="83" t="s">
        <v>4490</v>
      </c>
      <c r="C1241" s="83" t="s">
        <v>4534</v>
      </c>
      <c r="D1241" s="83" t="s">
        <v>4561</v>
      </c>
      <c r="E1241" s="84">
        <f>numteach_assign_esp_g5_m</f>
        <v>0</v>
      </c>
      <c r="F1241" s="83" t="b">
        <v>1</v>
      </c>
      <c r="G1241" s="83"/>
      <c r="H1241" s="83"/>
    </row>
    <row r="1242" spans="1:8">
      <c r="A1242" s="83" t="s">
        <v>4535</v>
      </c>
      <c r="B1242" s="83" t="s">
        <v>4490</v>
      </c>
      <c r="C1242" s="83" t="s">
        <v>4535</v>
      </c>
      <c r="D1242" s="83" t="s">
        <v>4569</v>
      </c>
      <c r="E1242" s="84">
        <f>numteach_assign_esp_g5_f</f>
        <v>1</v>
      </c>
      <c r="F1242" s="83" t="b">
        <v>1</v>
      </c>
      <c r="G1242" s="83"/>
      <c r="H1242" s="83"/>
    </row>
    <row r="1243" spans="1:8">
      <c r="A1243" s="83" t="s">
        <v>4536</v>
      </c>
      <c r="B1243" s="83" t="s">
        <v>4490</v>
      </c>
      <c r="C1243" s="83" t="s">
        <v>4536</v>
      </c>
      <c r="D1243" s="83" t="s">
        <v>4577</v>
      </c>
      <c r="E1243" s="84">
        <f>numteach_assign_esp_g6_m</f>
        <v>0</v>
      </c>
      <c r="F1243" s="83" t="b">
        <v>1</v>
      </c>
      <c r="G1243" s="83"/>
      <c r="H1243" s="83"/>
    </row>
    <row r="1244" spans="1:8" ht="16" thickBot="1">
      <c r="A1244" s="85" t="s">
        <v>4537</v>
      </c>
      <c r="B1244" s="85" t="s">
        <v>4490</v>
      </c>
      <c r="C1244" s="85" t="s">
        <v>4537</v>
      </c>
      <c r="D1244" s="85" t="s">
        <v>4585</v>
      </c>
      <c r="E1244" s="86">
        <f>numteach_assign_esp_g6_f</f>
        <v>1</v>
      </c>
      <c r="F1244" s="85" t="b">
        <v>1</v>
      </c>
      <c r="G1244" s="85"/>
      <c r="H1244" s="85"/>
    </row>
    <row r="1245" spans="1:8">
      <c r="A1245" s="113" t="s">
        <v>4586</v>
      </c>
      <c r="B1245" s="83" t="s">
        <v>4587</v>
      </c>
      <c r="C1245" s="113" t="s">
        <v>4586</v>
      </c>
      <c r="D1245" s="83" t="s">
        <v>4588</v>
      </c>
      <c r="E1245" s="84">
        <f>numteach_highest_educ_attainment_bachelor_m</f>
        <v>0</v>
      </c>
      <c r="F1245" s="83" t="b">
        <v>1</v>
      </c>
      <c r="G1245" s="83"/>
      <c r="H1245" s="83"/>
    </row>
    <row r="1246" spans="1:8">
      <c r="A1246" s="113" t="s">
        <v>4589</v>
      </c>
      <c r="B1246" s="83" t="s">
        <v>4587</v>
      </c>
      <c r="C1246" s="113" t="s">
        <v>4589</v>
      </c>
      <c r="D1246" s="83" t="s">
        <v>4590</v>
      </c>
      <c r="E1246" s="84">
        <f>numteach_highest_educ_attainment_bachelor_f</f>
        <v>0</v>
      </c>
      <c r="F1246" s="83" t="b">
        <v>1</v>
      </c>
      <c r="G1246" s="83"/>
      <c r="H1246" s="83"/>
    </row>
    <row r="1247" spans="1:8">
      <c r="A1247" s="113" t="s">
        <v>4591</v>
      </c>
      <c r="B1247" s="83" t="s">
        <v>4587</v>
      </c>
      <c r="C1247" s="113" t="s">
        <v>4591</v>
      </c>
      <c r="D1247" s="83" t="s">
        <v>4592</v>
      </c>
      <c r="E1247" s="84">
        <f>numteach_highest_educ_attainment_master_units_m</f>
        <v>4</v>
      </c>
      <c r="F1247" s="83" t="b">
        <v>1</v>
      </c>
      <c r="G1247" s="83"/>
      <c r="H1247" s="83"/>
    </row>
    <row r="1248" spans="1:8">
      <c r="A1248" s="113" t="s">
        <v>4593</v>
      </c>
      <c r="B1248" s="83" t="s">
        <v>4587</v>
      </c>
      <c r="C1248" s="113" t="s">
        <v>4593</v>
      </c>
      <c r="D1248" s="83" t="s">
        <v>4594</v>
      </c>
      <c r="E1248" s="84">
        <f>numteach_highest_educ_attainment_master_units_f</f>
        <v>38</v>
      </c>
      <c r="F1248" s="83" t="b">
        <v>1</v>
      </c>
      <c r="G1248" s="83"/>
      <c r="H1248" s="83"/>
    </row>
    <row r="1249" spans="1:8">
      <c r="A1249" s="113" t="s">
        <v>4595</v>
      </c>
      <c r="B1249" s="83" t="s">
        <v>4587</v>
      </c>
      <c r="C1249" s="113" t="s">
        <v>4595</v>
      </c>
      <c r="D1249" s="83" t="s">
        <v>4596</v>
      </c>
      <c r="E1249" s="84">
        <f>numteach_highest_educ_attainment_master_m</f>
        <v>0</v>
      </c>
      <c r="F1249" s="83" t="b">
        <v>1</v>
      </c>
      <c r="G1249" s="83"/>
      <c r="H1249" s="83"/>
    </row>
    <row r="1250" spans="1:8">
      <c r="A1250" s="113" t="s">
        <v>4597</v>
      </c>
      <c r="B1250" s="83" t="s">
        <v>4587</v>
      </c>
      <c r="C1250" s="113" t="s">
        <v>4597</v>
      </c>
      <c r="D1250" s="83" t="s">
        <v>4598</v>
      </c>
      <c r="E1250" s="84">
        <f>numteach_highest_educ_attainment_master_f</f>
        <v>2</v>
      </c>
      <c r="F1250" s="83" t="b">
        <v>1</v>
      </c>
      <c r="G1250" s="83"/>
      <c r="H1250" s="83"/>
    </row>
    <row r="1251" spans="1:8">
      <c r="A1251" s="113" t="s">
        <v>4599</v>
      </c>
      <c r="B1251" s="83" t="s">
        <v>4587</v>
      </c>
      <c r="C1251" s="113" t="s">
        <v>4599</v>
      </c>
      <c r="D1251" s="83" t="s">
        <v>4600</v>
      </c>
      <c r="E1251" s="84">
        <f>numteach_highest_educ_attainment_doctor_units_m</f>
        <v>0</v>
      </c>
      <c r="F1251" s="83" t="b">
        <v>1</v>
      </c>
      <c r="G1251" s="83"/>
      <c r="H1251" s="83"/>
    </row>
    <row r="1252" spans="1:8">
      <c r="A1252" s="113" t="s">
        <v>4601</v>
      </c>
      <c r="B1252" s="83" t="s">
        <v>4587</v>
      </c>
      <c r="C1252" s="113" t="s">
        <v>4601</v>
      </c>
      <c r="D1252" s="83" t="s">
        <v>4602</v>
      </c>
      <c r="E1252" s="84">
        <f>numteach_highest_educ_attainment_doctor_units_f</f>
        <v>0</v>
      </c>
      <c r="F1252" s="83" t="b">
        <v>1</v>
      </c>
      <c r="G1252" s="83"/>
      <c r="H1252" s="83"/>
    </row>
    <row r="1253" spans="1:8">
      <c r="A1253" s="113" t="s">
        <v>4603</v>
      </c>
      <c r="B1253" s="83" t="s">
        <v>4587</v>
      </c>
      <c r="C1253" s="113" t="s">
        <v>4603</v>
      </c>
      <c r="D1253" s="83" t="s">
        <v>4604</v>
      </c>
      <c r="E1253" s="84">
        <f>numteach_highest_educ_attainment_doctor_m</f>
        <v>0</v>
      </c>
      <c r="F1253" s="83" t="b">
        <v>1</v>
      </c>
      <c r="G1253" s="83"/>
      <c r="H1253" s="83"/>
    </row>
    <row r="1254" spans="1:8" ht="16" thickBot="1">
      <c r="A1254" s="114" t="s">
        <v>4605</v>
      </c>
      <c r="B1254" s="85" t="s">
        <v>4587</v>
      </c>
      <c r="C1254" s="114" t="s">
        <v>4605</v>
      </c>
      <c r="D1254" s="85" t="s">
        <v>4606</v>
      </c>
      <c r="E1254" s="86">
        <f>numteach_highest_educ_attainment_doctor_f</f>
        <v>0</v>
      </c>
      <c r="F1254" s="85" t="b">
        <v>1</v>
      </c>
      <c r="G1254" s="85"/>
      <c r="H1254" s="85"/>
    </row>
    <row r="1255" spans="1:8">
      <c r="A1255" s="83" t="s">
        <v>4607</v>
      </c>
      <c r="B1255" s="83" t="s">
        <v>4608</v>
      </c>
      <c r="C1255" s="83" t="s">
        <v>4607</v>
      </c>
      <c r="D1255" s="83" t="s">
        <v>4609</v>
      </c>
      <c r="E1255" s="84" t="b">
        <f>lac_session_yes</f>
        <v>1</v>
      </c>
      <c r="F1255" s="83" t="b">
        <f>OR(E1255=TRUE, E1255=FALSE)</f>
        <v>1</v>
      </c>
      <c r="G1255" s="83" t="s">
        <v>2287</v>
      </c>
      <c r="H1255" s="83"/>
    </row>
    <row r="1256" spans="1:8">
      <c r="A1256" s="83" t="s">
        <v>4610</v>
      </c>
      <c r="B1256" s="83" t="s">
        <v>4608</v>
      </c>
      <c r="C1256" s="83" t="s">
        <v>4610</v>
      </c>
      <c r="D1256" s="83" t="s">
        <v>4611</v>
      </c>
      <c r="E1256" s="84">
        <f>lac_session_prev_sy</f>
        <v>12</v>
      </c>
      <c r="F1256" s="83" t="b">
        <v>1</v>
      </c>
      <c r="G1256" s="83"/>
      <c r="H1256" s="83"/>
    </row>
    <row r="1257" spans="1:8">
      <c r="A1257" s="83" t="s">
        <v>4612</v>
      </c>
      <c r="B1257" s="83" t="s">
        <v>4608</v>
      </c>
      <c r="C1257" s="83" t="s">
        <v>4612</v>
      </c>
      <c r="D1257" s="83" t="s">
        <v>4613</v>
      </c>
      <c r="E1257" s="84">
        <f>lac_session_current_sy</f>
        <v>24</v>
      </c>
      <c r="F1257" s="83" t="b">
        <v>1</v>
      </c>
      <c r="G1257" s="83"/>
      <c r="H1257" s="83"/>
    </row>
    <row r="1258" spans="1:8">
      <c r="A1258" s="83" t="s">
        <v>4614</v>
      </c>
      <c r="B1258" s="83" t="s">
        <v>4608</v>
      </c>
      <c r="C1258" s="83" t="s">
        <v>4614</v>
      </c>
      <c r="D1258" s="83" t="s">
        <v>4615</v>
      </c>
      <c r="E1258" s="84" t="str">
        <f>cid_personnel_name</f>
        <v>RONE RAY M. PORTACION</v>
      </c>
      <c r="F1258" s="83" t="b">
        <v>1</v>
      </c>
      <c r="G1258" s="83"/>
      <c r="H1258" s="83"/>
    </row>
    <row r="1259" spans="1:8" ht="16" thickBot="1">
      <c r="A1259" s="85" t="s">
        <v>4616</v>
      </c>
      <c r="B1259" s="85" t="s">
        <v>4608</v>
      </c>
      <c r="C1259" s="85" t="s">
        <v>4616</v>
      </c>
      <c r="D1259" s="85" t="s">
        <v>4617</v>
      </c>
      <c r="E1259" s="86" t="str">
        <f>cid_personnel_pos</f>
        <v>Education Program Supervisor</v>
      </c>
      <c r="F1259" s="85" t="b">
        <v>1</v>
      </c>
      <c r="G1259" s="85"/>
      <c r="H1259" s="85"/>
    </row>
    <row r="1260" spans="1:8">
      <c r="A1260" s="83" t="s">
        <v>4618</v>
      </c>
      <c r="B1260" s="83" t="s">
        <v>4619</v>
      </c>
      <c r="C1260" s="83" t="s">
        <v>4618</v>
      </c>
      <c r="D1260" s="83" t="s">
        <v>4620</v>
      </c>
      <c r="E1260" s="84" t="b">
        <f>action_research_yes</f>
        <v>1</v>
      </c>
      <c r="F1260" s="83" t="b">
        <f>OR(E1260=TRUE, E1260=FALSE)</f>
        <v>1</v>
      </c>
      <c r="G1260" s="83" t="s">
        <v>2287</v>
      </c>
      <c r="H1260" s="83"/>
    </row>
    <row r="1261" spans="1:8">
      <c r="A1261" s="83" t="s">
        <v>4621</v>
      </c>
      <c r="B1261" s="83" t="s">
        <v>4619</v>
      </c>
      <c r="C1261" s="83" t="s">
        <v>4621</v>
      </c>
      <c r="D1261" s="83" t="s">
        <v>4622</v>
      </c>
      <c r="E1261" s="84">
        <f>action_research_prev_sy</f>
        <v>0</v>
      </c>
      <c r="F1261" s="83" t="b">
        <v>1</v>
      </c>
      <c r="G1261" s="83"/>
      <c r="H1261" s="83"/>
    </row>
    <row r="1262" spans="1:8">
      <c r="A1262" s="83" t="s">
        <v>4623</v>
      </c>
      <c r="B1262" s="83" t="s">
        <v>4619</v>
      </c>
      <c r="C1262" s="83" t="s">
        <v>4623</v>
      </c>
      <c r="D1262" s="83" t="s">
        <v>4624</v>
      </c>
      <c r="E1262" s="84">
        <f>action_research_ongoing</f>
        <v>0</v>
      </c>
      <c r="F1262" s="83" t="b">
        <v>1</v>
      </c>
      <c r="G1262" s="83"/>
      <c r="H1262" s="83"/>
    </row>
    <row r="1263" spans="1:8">
      <c r="A1263" s="83" t="s">
        <v>4625</v>
      </c>
      <c r="B1263" s="83" t="s">
        <v>4619</v>
      </c>
      <c r="C1263" s="83" t="s">
        <v>4625</v>
      </c>
      <c r="D1263" s="83" t="s">
        <v>4626</v>
      </c>
      <c r="E1263" s="84">
        <f>action_research_tobe_conducted</f>
        <v>2</v>
      </c>
      <c r="F1263" s="83" t="b">
        <v>1</v>
      </c>
      <c r="G1263" s="83"/>
      <c r="H1263" s="83"/>
    </row>
    <row r="1264" spans="1:8" ht="16" thickBot="1">
      <c r="A1264" s="85" t="s">
        <v>4627</v>
      </c>
      <c r="B1264" s="85" t="s">
        <v>4619</v>
      </c>
      <c r="C1264" s="85" t="s">
        <v>4627</v>
      </c>
      <c r="D1264" s="85" t="s">
        <v>4628</v>
      </c>
      <c r="E1264" s="86" t="str">
        <f>seps_name_sgod</f>
        <v>CATHERINE G. MALON</v>
      </c>
      <c r="F1264" s="85" t="b">
        <v>1</v>
      </c>
      <c r="G1264" s="85"/>
      <c r="H1264" s="85"/>
    </row>
    <row r="1265" spans="1:8">
      <c r="A1265" s="83" t="s">
        <v>4629</v>
      </c>
      <c r="B1265" s="83" t="s">
        <v>4630</v>
      </c>
      <c r="C1265" s="83" t="s">
        <v>4629</v>
      </c>
      <c r="D1265" s="83" t="s">
        <v>4631</v>
      </c>
      <c r="E1265" s="84" t="b">
        <f>sch_sgp_spgcouncil_yes</f>
        <v>1</v>
      </c>
      <c r="F1265" s="83" t="b">
        <f>OR(E1265=TRUE, E1265=FALSE)</f>
        <v>1</v>
      </c>
      <c r="G1265" s="83" t="s">
        <v>2287</v>
      </c>
      <c r="H1265" s="83"/>
    </row>
    <row r="1266" spans="1:8">
      <c r="A1266" s="83" t="s">
        <v>4632</v>
      </c>
      <c r="B1266" s="83" t="s">
        <v>4630</v>
      </c>
      <c r="C1266" s="83" t="s">
        <v>4632</v>
      </c>
      <c r="D1266" s="83" t="s">
        <v>4633</v>
      </c>
      <c r="E1266" s="84" t="b">
        <f>sch_sgp_spgadviser_yes</f>
        <v>1</v>
      </c>
      <c r="F1266" s="83" t="b">
        <f t="shared" ref="F1266" si="3">OR(E1266=TRUE, E1266=FALSE)</f>
        <v>1</v>
      </c>
      <c r="G1266" s="83" t="s">
        <v>2287</v>
      </c>
      <c r="H1266" s="83"/>
    </row>
    <row r="1267" spans="1:8">
      <c r="A1267" s="83" t="s">
        <v>4634</v>
      </c>
      <c r="B1267" s="83" t="s">
        <v>4630</v>
      </c>
      <c r="C1267" s="83" t="s">
        <v>4634</v>
      </c>
      <c r="D1267" s="83" t="s">
        <v>4635</v>
      </c>
      <c r="E1267" s="84">
        <f>sch_sgp_spgadviser_yes_num_advisers</f>
        <v>1</v>
      </c>
      <c r="F1267" s="83" t="b">
        <v>1</v>
      </c>
      <c r="G1267" s="83"/>
      <c r="H1267" s="83"/>
    </row>
    <row r="1268" spans="1:8">
      <c r="A1268" s="83" t="s">
        <v>4636</v>
      </c>
      <c r="B1268" s="83" t="s">
        <v>4630</v>
      </c>
      <c r="C1268" s="83" t="s">
        <v>4636</v>
      </c>
      <c r="D1268" s="83" t="s">
        <v>4637</v>
      </c>
      <c r="E1268" s="84" t="b">
        <f>sch_spgadviser_subjhandle_sci</f>
        <v>0</v>
      </c>
      <c r="F1268" s="83" t="b">
        <f t="shared" ref="F1268:F1272" si="4">OR(E1268=TRUE, E1268=FALSE)</f>
        <v>1</v>
      </c>
      <c r="G1268" s="83" t="s">
        <v>2287</v>
      </c>
      <c r="H1268" s="83"/>
    </row>
    <row r="1269" spans="1:8">
      <c r="A1269" s="83" t="s">
        <v>4638</v>
      </c>
      <c r="B1269" s="83" t="s">
        <v>4630</v>
      </c>
      <c r="C1269" s="83" t="s">
        <v>4638</v>
      </c>
      <c r="D1269" s="83" t="s">
        <v>4639</v>
      </c>
      <c r="E1269" s="84" t="b">
        <f>sch_spgadviser_subjhandle_fil</f>
        <v>0</v>
      </c>
      <c r="F1269" s="83" t="b">
        <f t="shared" si="4"/>
        <v>1</v>
      </c>
      <c r="G1269" s="83" t="s">
        <v>2287</v>
      </c>
      <c r="H1269" s="83"/>
    </row>
    <row r="1270" spans="1:8">
      <c r="A1270" s="83" t="s">
        <v>4640</v>
      </c>
      <c r="B1270" s="83" t="s">
        <v>4630</v>
      </c>
      <c r="C1270" s="83" t="s">
        <v>4640</v>
      </c>
      <c r="D1270" s="83" t="s">
        <v>4641</v>
      </c>
      <c r="E1270" s="84" t="b">
        <f>sch_spgadviser_subjhandle_math</f>
        <v>0</v>
      </c>
      <c r="F1270" s="83" t="b">
        <f t="shared" si="4"/>
        <v>1</v>
      </c>
      <c r="G1270" s="83" t="s">
        <v>2287</v>
      </c>
      <c r="H1270" s="83"/>
    </row>
    <row r="1271" spans="1:8">
      <c r="A1271" s="83" t="s">
        <v>4642</v>
      </c>
      <c r="B1271" s="83" t="s">
        <v>4630</v>
      </c>
      <c r="C1271" s="83" t="s">
        <v>4642</v>
      </c>
      <c r="D1271" s="83" t="s">
        <v>4643</v>
      </c>
      <c r="E1271" s="84" t="b">
        <f>sch_spgadviser_subjhandle_ap</f>
        <v>0</v>
      </c>
      <c r="F1271" s="83" t="b">
        <f t="shared" si="4"/>
        <v>1</v>
      </c>
      <c r="G1271" s="83" t="s">
        <v>2287</v>
      </c>
      <c r="H1271" s="83"/>
    </row>
    <row r="1272" spans="1:8">
      <c r="A1272" s="83" t="s">
        <v>4644</v>
      </c>
      <c r="B1272" s="83" t="s">
        <v>4630</v>
      </c>
      <c r="C1272" s="83" t="s">
        <v>4644</v>
      </c>
      <c r="D1272" s="83" t="s">
        <v>4645</v>
      </c>
      <c r="E1272" s="84" t="b">
        <f>sch_spgadviser_subjhandle_others</f>
        <v>1</v>
      </c>
      <c r="F1272" s="83" t="b">
        <f t="shared" si="4"/>
        <v>1</v>
      </c>
      <c r="G1272" s="83" t="s">
        <v>2287</v>
      </c>
      <c r="H1272" s="83"/>
    </row>
    <row r="1273" spans="1:8">
      <c r="A1273" s="83" t="s">
        <v>4646</v>
      </c>
      <c r="B1273" s="83" t="s">
        <v>4630</v>
      </c>
      <c r="C1273" s="83" t="s">
        <v>4646</v>
      </c>
      <c r="D1273" s="83" t="s">
        <v>4647</v>
      </c>
      <c r="E1273" s="84" t="str">
        <f>sch_spgadviser_subjhandle_otherspec</f>
        <v>ENGLISH</v>
      </c>
      <c r="F1273" s="83" t="b">
        <v>1</v>
      </c>
      <c r="G1273" s="83"/>
      <c r="H1273" s="83"/>
    </row>
    <row r="1274" spans="1:8">
      <c r="A1274" s="83" t="s">
        <v>4648</v>
      </c>
      <c r="B1274" s="83" t="s">
        <v>4630</v>
      </c>
      <c r="C1274" s="83" t="s">
        <v>4648</v>
      </c>
      <c r="D1274" s="83" t="s">
        <v>4649</v>
      </c>
      <c r="E1274" s="84" t="b">
        <f>sch_spgadviser_hacadegree_bachd</f>
        <v>0</v>
      </c>
      <c r="F1274" s="83" t="b">
        <f t="shared" ref="F1274:F1284" si="5">OR(E1274=TRUE, E1274=FALSE)</f>
        <v>1</v>
      </c>
      <c r="G1274" s="83" t="s">
        <v>2287</v>
      </c>
      <c r="H1274" s="83"/>
    </row>
    <row r="1275" spans="1:8">
      <c r="A1275" s="83" t="s">
        <v>4650</v>
      </c>
      <c r="B1275" s="83" t="s">
        <v>4630</v>
      </c>
      <c r="C1275" s="83" t="s">
        <v>4650</v>
      </c>
      <c r="D1275" s="83" t="s">
        <v>4651</v>
      </c>
      <c r="E1275" s="84" t="b">
        <f>sch_spgadviser_hacadegree_masterdu</f>
        <v>0</v>
      </c>
      <c r="F1275" s="83" t="b">
        <f t="shared" si="5"/>
        <v>1</v>
      </c>
      <c r="G1275" s="83" t="s">
        <v>2287</v>
      </c>
      <c r="H1275" s="83"/>
    </row>
    <row r="1276" spans="1:8">
      <c r="A1276" s="83" t="s">
        <v>4652</v>
      </c>
      <c r="B1276" s="83" t="s">
        <v>4630</v>
      </c>
      <c r="C1276" s="83" t="s">
        <v>4652</v>
      </c>
      <c r="D1276" s="83" t="s">
        <v>4653</v>
      </c>
      <c r="E1276" s="84" t="b">
        <f>sch_spgadviser_hacadegree_masterd</f>
        <v>1</v>
      </c>
      <c r="F1276" s="83" t="b">
        <f t="shared" si="5"/>
        <v>1</v>
      </c>
      <c r="G1276" s="83" t="s">
        <v>2287</v>
      </c>
      <c r="H1276" s="83"/>
    </row>
    <row r="1277" spans="1:8">
      <c r="A1277" s="83" t="s">
        <v>4654</v>
      </c>
      <c r="B1277" s="83" t="s">
        <v>4630</v>
      </c>
      <c r="C1277" s="83" t="s">
        <v>4654</v>
      </c>
      <c r="D1277" s="83" t="s">
        <v>4655</v>
      </c>
      <c r="E1277" s="84" t="b">
        <f>sch_spgadviser_hacadegree_docdu</f>
        <v>0</v>
      </c>
      <c r="F1277" s="83" t="b">
        <f t="shared" si="5"/>
        <v>1</v>
      </c>
      <c r="G1277" s="83" t="s">
        <v>2287</v>
      </c>
      <c r="H1277" s="83"/>
    </row>
    <row r="1278" spans="1:8">
      <c r="A1278" s="83" t="s">
        <v>4656</v>
      </c>
      <c r="B1278" s="83" t="s">
        <v>4630</v>
      </c>
      <c r="C1278" s="83" t="s">
        <v>4656</v>
      </c>
      <c r="D1278" s="83" t="s">
        <v>4657</v>
      </c>
      <c r="E1278" s="84" t="b">
        <f>sch_spgadviser_hacadegree_docd</f>
        <v>0</v>
      </c>
      <c r="F1278" s="83" t="b">
        <f t="shared" si="5"/>
        <v>1</v>
      </c>
      <c r="G1278" s="83" t="s">
        <v>2287</v>
      </c>
      <c r="H1278" s="83"/>
    </row>
    <row r="1279" spans="1:8">
      <c r="A1279" s="83" t="s">
        <v>4658</v>
      </c>
      <c r="B1279" s="83" t="s">
        <v>4630</v>
      </c>
      <c r="C1279" s="83" t="s">
        <v>4658</v>
      </c>
      <c r="D1279" s="83" t="s">
        <v>4659</v>
      </c>
      <c r="E1279" s="84" t="b">
        <f>sch_spgadviser_deload_yes</f>
        <v>1</v>
      </c>
      <c r="F1279" s="83" t="b">
        <f t="shared" si="5"/>
        <v>1</v>
      </c>
      <c r="G1279" s="83" t="s">
        <v>2287</v>
      </c>
      <c r="H1279" s="83"/>
    </row>
    <row r="1280" spans="1:8">
      <c r="A1280" s="83" t="s">
        <v>4660</v>
      </c>
      <c r="B1280" s="83" t="s">
        <v>4630</v>
      </c>
      <c r="C1280" s="83" t="s">
        <v>4660</v>
      </c>
      <c r="D1280" s="83" t="s">
        <v>4661</v>
      </c>
      <c r="E1280" s="84" t="b">
        <f>sch_spgactes_schfees_collect_yes</f>
        <v>0</v>
      </c>
      <c r="F1280" s="83" t="b">
        <f t="shared" si="5"/>
        <v>1</v>
      </c>
      <c r="G1280" s="83" t="s">
        <v>2287</v>
      </c>
      <c r="H1280" s="83"/>
    </row>
    <row r="1281" spans="1:8">
      <c r="A1281" s="83" t="s">
        <v>4662</v>
      </c>
      <c r="B1281" s="83" t="s">
        <v>4630</v>
      </c>
      <c r="C1281" s="83" t="s">
        <v>4662</v>
      </c>
      <c r="D1281" s="83" t="s">
        <v>4663</v>
      </c>
      <c r="E1281" s="84" t="b">
        <f>sch_spgbudget_sipappinc_yes</f>
        <v>1</v>
      </c>
      <c r="F1281" s="83" t="b">
        <f t="shared" si="5"/>
        <v>1</v>
      </c>
      <c r="G1281" s="83" t="s">
        <v>2287</v>
      </c>
      <c r="H1281" s="83"/>
    </row>
    <row r="1282" spans="1:8">
      <c r="A1282" s="83" t="s">
        <v>4664</v>
      </c>
      <c r="B1282" s="83" t="s">
        <v>4630</v>
      </c>
      <c r="C1282" s="83" t="s">
        <v>4664</v>
      </c>
      <c r="D1282" s="83" t="s">
        <v>4665</v>
      </c>
      <c r="E1282" s="84" t="b">
        <f>sch_spgroom_yes</f>
        <v>0</v>
      </c>
      <c r="F1282" s="83" t="b">
        <f t="shared" si="5"/>
        <v>1</v>
      </c>
      <c r="G1282" s="83" t="s">
        <v>2287</v>
      </c>
      <c r="H1282" s="83"/>
    </row>
    <row r="1283" spans="1:8">
      <c r="A1283" s="83" t="s">
        <v>4666</v>
      </c>
      <c r="B1283" s="83" t="s">
        <v>4630</v>
      </c>
      <c r="C1283" s="83" t="s">
        <v>4666</v>
      </c>
      <c r="D1283" s="83" t="s">
        <v>4667</v>
      </c>
      <c r="E1283" s="84" t="b">
        <f>sch_spg_jdivsearch_yes</f>
        <v>1</v>
      </c>
      <c r="F1283" s="83" t="b">
        <f t="shared" si="5"/>
        <v>1</v>
      </c>
      <c r="G1283" s="83" t="s">
        <v>2287</v>
      </c>
      <c r="H1283" s="83"/>
    </row>
    <row r="1284" spans="1:8">
      <c r="A1284" s="83" t="s">
        <v>4668</v>
      </c>
      <c r="B1284" s="83" t="s">
        <v>4630</v>
      </c>
      <c r="C1284" s="83" t="s">
        <v>4668</v>
      </c>
      <c r="D1284" s="83" t="s">
        <v>4669</v>
      </c>
      <c r="E1284" s="84" t="b">
        <f>sch_spgwon_nationalaward_yes</f>
        <v>0</v>
      </c>
      <c r="F1284" s="83" t="b">
        <f t="shared" si="5"/>
        <v>1</v>
      </c>
      <c r="G1284" s="83" t="s">
        <v>2287</v>
      </c>
      <c r="H1284" s="83"/>
    </row>
    <row r="1285" spans="1:8">
      <c r="A1285" s="83" t="s">
        <v>4670</v>
      </c>
      <c r="B1285" s="83" t="s">
        <v>4630</v>
      </c>
      <c r="C1285" s="83" t="s">
        <v>4670</v>
      </c>
      <c r="D1285" s="83" t="s">
        <v>4671</v>
      </c>
      <c r="E1285" s="84">
        <f>sch_yfcpdo_numvisit</f>
        <v>0</v>
      </c>
      <c r="F1285" s="83" t="b">
        <v>1</v>
      </c>
      <c r="G1285" s="83"/>
      <c r="H1285" s="83"/>
    </row>
    <row r="1286" spans="1:8">
      <c r="A1286" s="83" t="s">
        <v>4672</v>
      </c>
      <c r="B1286" s="83" t="s">
        <v>4630</v>
      </c>
      <c r="C1286" s="83" t="s">
        <v>4672</v>
      </c>
      <c r="D1286" s="83" t="s">
        <v>4673</v>
      </c>
      <c r="E1286" s="84" t="b">
        <f>sch_spga_cto_sat</f>
        <v>0</v>
      </c>
      <c r="F1286" s="83" t="b">
        <f t="shared" ref="F1286:F1297" si="6">OR(E1286=TRUE, E1286=FALSE)</f>
        <v>1</v>
      </c>
      <c r="G1286" s="83" t="s">
        <v>2287</v>
      </c>
      <c r="H1286" s="83"/>
    </row>
    <row r="1287" spans="1:8">
      <c r="A1287" s="83" t="s">
        <v>4674</v>
      </c>
      <c r="B1287" s="83" t="s">
        <v>4630</v>
      </c>
      <c r="C1287" s="83" t="s">
        <v>4674</v>
      </c>
      <c r="D1287" s="83" t="s">
        <v>4675</v>
      </c>
      <c r="E1287" s="84" t="b">
        <f>sch_spg_learner_brigada_eskwela_yes</f>
        <v>0</v>
      </c>
      <c r="F1287" s="83" t="b">
        <f t="shared" si="6"/>
        <v>1</v>
      </c>
      <c r="G1287" s="83" t="s">
        <v>2287</v>
      </c>
      <c r="H1287" s="83"/>
    </row>
    <row r="1288" spans="1:8">
      <c r="A1288" s="83" t="s">
        <v>4676</v>
      </c>
      <c r="B1288" s="83" t="s">
        <v>4630</v>
      </c>
      <c r="C1288" s="83" t="s">
        <v>4676</v>
      </c>
      <c r="D1288" s="83" t="s">
        <v>4677</v>
      </c>
      <c r="E1288" s="84" t="b">
        <f>sch_spg_lead_ngp_yes</f>
        <v>0</v>
      </c>
      <c r="F1288" s="83" t="b">
        <f t="shared" si="6"/>
        <v>1</v>
      </c>
      <c r="G1288" s="83" t="s">
        <v>2287</v>
      </c>
      <c r="H1288" s="83"/>
    </row>
    <row r="1289" spans="1:8">
      <c r="A1289" s="83" t="s">
        <v>4678</v>
      </c>
      <c r="B1289" s="83" t="s">
        <v>4630</v>
      </c>
      <c r="C1289" s="83" t="s">
        <v>4678</v>
      </c>
      <c r="D1289" s="83" t="s">
        <v>4679</v>
      </c>
      <c r="E1289" s="84" t="b">
        <f>sch_spg_awareness_campaign_yes</f>
        <v>0</v>
      </c>
      <c r="F1289" s="83" t="b">
        <f t="shared" si="6"/>
        <v>1</v>
      </c>
      <c r="G1289" s="83" t="s">
        <v>2287</v>
      </c>
      <c r="H1289" s="83"/>
    </row>
    <row r="1290" spans="1:8">
      <c r="A1290" s="83" t="s">
        <v>4680</v>
      </c>
      <c r="B1290" s="83" t="s">
        <v>4630</v>
      </c>
      <c r="C1290" s="83" t="s">
        <v>4680</v>
      </c>
      <c r="D1290" s="83" t="s">
        <v>4681</v>
      </c>
      <c r="E1290" s="84" t="b">
        <f>sch_spg_book_supplies_donation_yes</f>
        <v>0</v>
      </c>
      <c r="F1290" s="83" t="b">
        <f t="shared" si="6"/>
        <v>1</v>
      </c>
      <c r="G1290" s="83" t="s">
        <v>2287</v>
      </c>
      <c r="H1290" s="83"/>
    </row>
    <row r="1291" spans="1:8">
      <c r="A1291" s="83" t="s">
        <v>4682</v>
      </c>
      <c r="B1291" s="83" t="s">
        <v>4630</v>
      </c>
      <c r="C1291" s="83" t="s">
        <v>4682</v>
      </c>
      <c r="D1291" s="83" t="s">
        <v>4683</v>
      </c>
      <c r="E1291" s="84" t="b">
        <f>sch_spg_prevent_learner_dropout_yes</f>
        <v>0</v>
      </c>
      <c r="F1291" s="83" t="b">
        <f t="shared" si="6"/>
        <v>1</v>
      </c>
      <c r="G1291" s="83" t="s">
        <v>2287</v>
      </c>
      <c r="H1291" s="83"/>
    </row>
    <row r="1292" spans="1:8">
      <c r="A1292" s="83" t="s">
        <v>4684</v>
      </c>
      <c r="B1292" s="83" t="s">
        <v>4630</v>
      </c>
      <c r="C1292" s="83" t="s">
        <v>4684</v>
      </c>
      <c r="D1292" s="83" t="s">
        <v>4685</v>
      </c>
      <c r="E1292" s="84" t="b">
        <f>sch_spg_esc_rts_yes</f>
        <v>0</v>
      </c>
      <c r="F1292" s="83" t="b">
        <f t="shared" si="6"/>
        <v>1</v>
      </c>
      <c r="G1292" s="83" t="s">
        <v>2287</v>
      </c>
      <c r="H1292" s="83"/>
    </row>
    <row r="1293" spans="1:8">
      <c r="A1293" s="83" t="s">
        <v>4686</v>
      </c>
      <c r="B1293" s="83" t="s">
        <v>4630</v>
      </c>
      <c r="C1293" s="83" t="s">
        <v>4686</v>
      </c>
      <c r="D1293" s="83" t="s">
        <v>4687</v>
      </c>
      <c r="E1293" s="84" t="b">
        <f>sch_spg_adaec_yes</f>
        <v>0</v>
      </c>
      <c r="F1293" s="83" t="b">
        <f t="shared" si="6"/>
        <v>1</v>
      </c>
      <c r="G1293" s="83" t="s">
        <v>2287</v>
      </c>
      <c r="H1293" s="83"/>
    </row>
    <row r="1294" spans="1:8">
      <c r="A1294" s="83" t="s">
        <v>4688</v>
      </c>
      <c r="B1294" s="83" t="s">
        <v>4630</v>
      </c>
      <c r="C1294" s="83" t="s">
        <v>4688</v>
      </c>
      <c r="D1294" s="83" t="s">
        <v>4689</v>
      </c>
      <c r="E1294" s="84" t="b">
        <f>sch_spg_smoke_tobacoo_free_yes</f>
        <v>0</v>
      </c>
      <c r="F1294" s="83" t="b">
        <f t="shared" si="6"/>
        <v>1</v>
      </c>
      <c r="G1294" s="83" t="s">
        <v>2287</v>
      </c>
      <c r="H1294" s="83"/>
    </row>
    <row r="1295" spans="1:8">
      <c r="A1295" s="83" t="s">
        <v>4690</v>
      </c>
      <c r="B1295" s="83" t="s">
        <v>4630</v>
      </c>
      <c r="C1295" s="83" t="s">
        <v>4690</v>
      </c>
      <c r="D1295" s="83" t="s">
        <v>4691</v>
      </c>
      <c r="E1295" s="84" t="b">
        <f>sch_spg_tmcsep_wtdoct_yes</f>
        <v>1</v>
      </c>
      <c r="F1295" s="83" t="b">
        <f t="shared" si="6"/>
        <v>1</v>
      </c>
      <c r="G1295" s="83" t="s">
        <v>2287</v>
      </c>
      <c r="H1295" s="83"/>
    </row>
    <row r="1296" spans="1:8">
      <c r="A1296" s="83" t="s">
        <v>4692</v>
      </c>
      <c r="B1296" s="83" t="s">
        <v>4630</v>
      </c>
      <c r="C1296" s="83" t="s">
        <v>4692</v>
      </c>
      <c r="D1296" s="83" t="s">
        <v>4693</v>
      </c>
      <c r="E1296" s="84" t="b">
        <f>sch_spg_curricular_org_activities_yes</f>
        <v>0</v>
      </c>
      <c r="F1296" s="83" t="b">
        <f t="shared" si="6"/>
        <v>1</v>
      </c>
      <c r="G1296" s="83" t="s">
        <v>2287</v>
      </c>
      <c r="H1296" s="83"/>
    </row>
    <row r="1297" spans="1:8">
      <c r="A1297" s="83" t="s">
        <v>4694</v>
      </c>
      <c r="B1297" s="83" t="s">
        <v>4630</v>
      </c>
      <c r="C1297" s="83" t="s">
        <v>4694</v>
      </c>
      <c r="D1297" s="83" t="s">
        <v>4695</v>
      </c>
      <c r="E1297" s="84" t="b">
        <f>sch_cgp_guidancecounsel_yes</f>
        <v>0</v>
      </c>
      <c r="F1297" s="83" t="b">
        <f t="shared" si="6"/>
        <v>1</v>
      </c>
      <c r="G1297" s="83" t="s">
        <v>2287</v>
      </c>
      <c r="H1297" s="83"/>
    </row>
    <row r="1298" spans="1:8">
      <c r="A1298" s="83" t="s">
        <v>4696</v>
      </c>
      <c r="B1298" s="83" t="s">
        <v>4630</v>
      </c>
      <c r="C1298" s="83" t="s">
        <v>4696</v>
      </c>
      <c r="D1298" s="83" t="s">
        <v>4697</v>
      </c>
      <c r="E1298" s="84">
        <f>sch_cgp_guidancecounsel_numyrs_ass</f>
        <v>0</v>
      </c>
      <c r="F1298" s="83" t="b">
        <v>1</v>
      </c>
      <c r="G1298" s="83"/>
      <c r="H1298" s="83"/>
    </row>
    <row r="1299" spans="1:8">
      <c r="A1299" s="83" t="s">
        <v>4698</v>
      </c>
      <c r="B1299" s="83" t="s">
        <v>4630</v>
      </c>
      <c r="C1299" s="83" t="s">
        <v>4698</v>
      </c>
      <c r="D1299" s="83" t="s">
        <v>4699</v>
      </c>
      <c r="E1299" s="84" t="b">
        <f>sch_cgp_guidadv_yes</f>
        <v>1</v>
      </c>
      <c r="F1299" s="83" t="b">
        <f>OR(E1299=TRUE, E1299=FALSE)</f>
        <v>1</v>
      </c>
      <c r="G1299" s="83" t="s">
        <v>2287</v>
      </c>
      <c r="H1299" s="83"/>
    </row>
    <row r="1300" spans="1:8">
      <c r="A1300" s="83" t="s">
        <v>4700</v>
      </c>
      <c r="B1300" s="83" t="s">
        <v>4630</v>
      </c>
      <c r="C1300" s="83" t="s">
        <v>4700</v>
      </c>
      <c r="D1300" s="83" t="s">
        <v>4701</v>
      </c>
      <c r="E1300" s="84">
        <f>sch_cgp_guidadv_numyrs</f>
        <v>3</v>
      </c>
      <c r="F1300" s="83" t="b">
        <v>1</v>
      </c>
      <c r="G1300" s="83"/>
      <c r="H1300" s="83"/>
    </row>
    <row r="1301" spans="1:8">
      <c r="A1301" s="83" t="s">
        <v>4702</v>
      </c>
      <c r="B1301" s="83" t="s">
        <v>4630</v>
      </c>
      <c r="C1301" s="83" t="s">
        <v>4702</v>
      </c>
      <c r="D1301" s="83" t="s">
        <v>4703</v>
      </c>
      <c r="E1301" s="84" t="b">
        <f>sch_cgp_cond_careerguidact_yes</f>
        <v>0</v>
      </c>
      <c r="F1301" s="83" t="b">
        <f>OR(E1301=TRUE, E1301=FALSE)</f>
        <v>1</v>
      </c>
      <c r="G1301" s="83" t="s">
        <v>2287</v>
      </c>
      <c r="H1301" s="83"/>
    </row>
    <row r="1302" spans="1:8">
      <c r="A1302" s="83" t="s">
        <v>4704</v>
      </c>
      <c r="B1302" s="83" t="s">
        <v>4630</v>
      </c>
      <c r="C1302" s="83" t="s">
        <v>4704</v>
      </c>
      <c r="D1302" s="83" t="s">
        <v>4705</v>
      </c>
      <c r="E1302" s="84" t="b">
        <f>sch_cgp_fcareerguidact_yes</f>
        <v>0</v>
      </c>
      <c r="F1302" s="83" t="b">
        <f t="shared" ref="F1302:F1303" si="7">OR(E1302=TRUE, E1302=FALSE)</f>
        <v>1</v>
      </c>
      <c r="G1302" s="83" t="s">
        <v>2287</v>
      </c>
      <c r="H1302" s="83"/>
    </row>
    <row r="1303" spans="1:8">
      <c r="A1303" s="83" t="s">
        <v>4706</v>
      </c>
      <c r="B1303" s="83" t="s">
        <v>4630</v>
      </c>
      <c r="C1303" s="83" t="s">
        <v>4706</v>
      </c>
      <c r="D1303" s="83" t="s">
        <v>4707</v>
      </c>
      <c r="E1303" s="84" t="b">
        <f>sch_cgp_guidoffc_yes</f>
        <v>0</v>
      </c>
      <c r="F1303" s="83" t="b">
        <f t="shared" si="7"/>
        <v>1</v>
      </c>
      <c r="G1303" s="83" t="s">
        <v>2287</v>
      </c>
      <c r="H1303" s="83"/>
    </row>
    <row r="1304" spans="1:8">
      <c r="A1304" s="83" t="s">
        <v>4708</v>
      </c>
      <c r="B1304" s="83" t="s">
        <v>4630</v>
      </c>
      <c r="C1304" s="83" t="s">
        <v>4708</v>
      </c>
      <c r="D1304" s="83" t="s">
        <v>4709</v>
      </c>
      <c r="E1304" s="84" t="str">
        <f>div_yfc_name</f>
        <v>MARIANNE APRIL A. BUTA</v>
      </c>
      <c r="F1304" s="83" t="b">
        <v>1</v>
      </c>
      <c r="G1304" s="83"/>
      <c r="H1304" s="83"/>
    </row>
    <row r="1305" spans="1:8" ht="16" thickBot="1">
      <c r="A1305" s="85" t="s">
        <v>4710</v>
      </c>
      <c r="B1305" s="85" t="s">
        <v>4630</v>
      </c>
      <c r="C1305" s="85" t="s">
        <v>4710</v>
      </c>
      <c r="D1305" s="85" t="s">
        <v>4711</v>
      </c>
      <c r="E1305" s="86" t="str">
        <f>div_yfc_pos</f>
        <v>Project Development Officer I</v>
      </c>
      <c r="F1305" s="85" t="b">
        <v>1</v>
      </c>
      <c r="G1305" s="85"/>
      <c r="H1305" s="85"/>
    </row>
    <row r="1306" spans="1:8">
      <c r="A1306" s="83" t="s">
        <v>4712</v>
      </c>
      <c r="B1306" s="83" t="s">
        <v>4713</v>
      </c>
      <c r="C1306" s="83" t="s">
        <v>4712</v>
      </c>
      <c r="D1306" s="83" t="s">
        <v>4770</v>
      </c>
      <c r="E1306" s="84">
        <f>sch_num_funct_computers_acad_desktop_depeddcp</f>
        <v>0</v>
      </c>
      <c r="F1306" s="83" t="b">
        <v>1</v>
      </c>
      <c r="G1306" s="83"/>
      <c r="H1306" s="83"/>
    </row>
    <row r="1307" spans="1:8">
      <c r="A1307" s="83" t="s">
        <v>4714</v>
      </c>
      <c r="B1307" s="83" t="s">
        <v>4713</v>
      </c>
      <c r="C1307" s="83" t="s">
        <v>4714</v>
      </c>
      <c r="D1307" s="83" t="s">
        <v>4771</v>
      </c>
      <c r="E1307" s="84">
        <f>sch_num_funct_computers_acad_desktop_depednondcp</f>
        <v>0</v>
      </c>
      <c r="F1307" s="83" t="b">
        <v>1</v>
      </c>
      <c r="G1307" s="83"/>
      <c r="H1307" s="83"/>
    </row>
    <row r="1308" spans="1:8">
      <c r="A1308" s="83" t="s">
        <v>4715</v>
      </c>
      <c r="B1308" s="83" t="s">
        <v>4713</v>
      </c>
      <c r="C1308" s="83" t="s">
        <v>4715</v>
      </c>
      <c r="D1308" s="83" t="s">
        <v>4772</v>
      </c>
      <c r="E1308" s="84">
        <f>sch_num_funct_computers_acad_desktop_lgusef</f>
        <v>0</v>
      </c>
      <c r="F1308" s="83" t="b">
        <v>1</v>
      </c>
      <c r="G1308" s="83"/>
      <c r="H1308" s="83"/>
    </row>
    <row r="1309" spans="1:8">
      <c r="A1309" s="83" t="s">
        <v>4716</v>
      </c>
      <c r="B1309" s="83" t="s">
        <v>4713</v>
      </c>
      <c r="C1309" s="83" t="s">
        <v>4716</v>
      </c>
      <c r="D1309" s="83" t="s">
        <v>4773</v>
      </c>
      <c r="E1309" s="84">
        <f>sch_num_funct_computers_acad_desktop_pta</f>
        <v>0</v>
      </c>
      <c r="F1309" s="83" t="b">
        <v>1</v>
      </c>
      <c r="G1309" s="83"/>
      <c r="H1309" s="83"/>
    </row>
    <row r="1310" spans="1:8">
      <c r="A1310" s="83" t="s">
        <v>4717</v>
      </c>
      <c r="B1310" s="83" t="s">
        <v>4713</v>
      </c>
      <c r="C1310" s="83" t="s">
        <v>4717</v>
      </c>
      <c r="D1310" s="83" t="s">
        <v>4774</v>
      </c>
      <c r="E1310" s="84">
        <f>sch_num_funct_computers_acad_desktop_privatedon</f>
        <v>0</v>
      </c>
      <c r="F1310" s="83" t="b">
        <v>1</v>
      </c>
      <c r="G1310" s="83"/>
      <c r="H1310" s="83"/>
    </row>
    <row r="1311" spans="1:8">
      <c r="A1311" s="83" t="s">
        <v>4718</v>
      </c>
      <c r="B1311" s="83" t="s">
        <v>4713</v>
      </c>
      <c r="C1311" s="83" t="s">
        <v>4718</v>
      </c>
      <c r="D1311" s="83" t="s">
        <v>4775</v>
      </c>
      <c r="E1311" s="84">
        <f>sch_num_funct_computers_acad_desktop_othergov</f>
        <v>0</v>
      </c>
      <c r="F1311" s="83" t="b">
        <v>1</v>
      </c>
      <c r="G1311" s="83"/>
      <c r="H1311" s="83"/>
    </row>
    <row r="1312" spans="1:8">
      <c r="A1312" s="83" t="s">
        <v>4719</v>
      </c>
      <c r="B1312" s="83" t="s">
        <v>4713</v>
      </c>
      <c r="C1312" s="83" t="s">
        <v>4719</v>
      </c>
      <c r="D1312" s="83" t="s">
        <v>4776</v>
      </c>
      <c r="E1312" s="84">
        <f>sch_num_funct_computers_acad_desktop_others</f>
        <v>0</v>
      </c>
      <c r="F1312" s="83" t="b">
        <v>1</v>
      </c>
      <c r="G1312" s="83"/>
      <c r="H1312" s="83"/>
    </row>
    <row r="1313" spans="1:9">
      <c r="A1313" s="83" t="s">
        <v>4720</v>
      </c>
      <c r="B1313" s="83" t="s">
        <v>4713</v>
      </c>
      <c r="C1313" s="83" t="s">
        <v>4720</v>
      </c>
      <c r="D1313" s="83" t="s">
        <v>4777</v>
      </c>
      <c r="E1313" s="84">
        <f>sch_num_funct_computers_acad_notnetbook_depeddcp</f>
        <v>0</v>
      </c>
      <c r="F1313" s="83" t="b">
        <v>1</v>
      </c>
      <c r="G1313" s="83"/>
      <c r="H1313" s="83"/>
    </row>
    <row r="1314" spans="1:9">
      <c r="A1314" s="83" t="s">
        <v>4721</v>
      </c>
      <c r="B1314" s="83" t="s">
        <v>4713</v>
      </c>
      <c r="C1314" s="83" t="s">
        <v>4721</v>
      </c>
      <c r="D1314" s="83" t="s">
        <v>4778</v>
      </c>
      <c r="E1314" s="84">
        <f>sch_num_funct_computers_acad_notnetbook_depednondcp</f>
        <v>0</v>
      </c>
      <c r="F1314" s="83" t="b">
        <v>1</v>
      </c>
      <c r="G1314" s="83"/>
      <c r="H1314" s="83"/>
    </row>
    <row r="1315" spans="1:9">
      <c r="A1315" s="83" t="s">
        <v>4722</v>
      </c>
      <c r="B1315" s="83" t="s">
        <v>4713</v>
      </c>
      <c r="C1315" s="83" t="s">
        <v>4722</v>
      </c>
      <c r="D1315" s="83" t="s">
        <v>4779</v>
      </c>
      <c r="E1315" s="84">
        <f>sch_num_funct_computers_acad_notnetbook_lgusef</f>
        <v>0</v>
      </c>
      <c r="F1315" s="83" t="b">
        <v>1</v>
      </c>
      <c r="G1315" s="83"/>
      <c r="H1315" s="83"/>
    </row>
    <row r="1316" spans="1:9">
      <c r="A1316" s="83" t="s">
        <v>4723</v>
      </c>
      <c r="B1316" s="83" t="s">
        <v>4713</v>
      </c>
      <c r="C1316" s="83" t="s">
        <v>4723</v>
      </c>
      <c r="D1316" s="83" t="s">
        <v>4780</v>
      </c>
      <c r="E1316" s="84">
        <f>sch_num_funct_computers_acad_notnetbook_pta</f>
        <v>0</v>
      </c>
      <c r="F1316" s="83" t="b">
        <v>1</v>
      </c>
      <c r="G1316" s="83"/>
      <c r="H1316" s="83"/>
    </row>
    <row r="1317" spans="1:9">
      <c r="A1317" s="83" t="s">
        <v>4724</v>
      </c>
      <c r="B1317" s="83" t="s">
        <v>4713</v>
      </c>
      <c r="C1317" s="83" t="s">
        <v>4724</v>
      </c>
      <c r="D1317" s="83" t="s">
        <v>4781</v>
      </c>
      <c r="E1317" s="84">
        <f>sch_num_funct_computers_acad_notnetbook_privatedon</f>
        <v>0</v>
      </c>
      <c r="F1317" s="83" t="b">
        <v>1</v>
      </c>
      <c r="G1317" s="83"/>
      <c r="H1317" s="83"/>
    </row>
    <row r="1318" spans="1:9">
      <c r="A1318" s="83" t="s">
        <v>4725</v>
      </c>
      <c r="B1318" s="83" t="s">
        <v>4713</v>
      </c>
      <c r="C1318" s="83" t="s">
        <v>4725</v>
      </c>
      <c r="D1318" s="83" t="s">
        <v>4782</v>
      </c>
      <c r="E1318" s="84">
        <f>sch_num_funct_computers_acad_notnetbook_othergov</f>
        <v>0</v>
      </c>
      <c r="F1318" s="83" t="b">
        <v>1</v>
      </c>
      <c r="G1318" s="83"/>
      <c r="H1318" s="83"/>
    </row>
    <row r="1319" spans="1:9">
      <c r="A1319" s="83" t="s">
        <v>4726</v>
      </c>
      <c r="B1319" s="83" t="s">
        <v>4713</v>
      </c>
      <c r="C1319" s="83" t="s">
        <v>4726</v>
      </c>
      <c r="D1319" s="83" t="s">
        <v>4783</v>
      </c>
      <c r="E1319" s="84">
        <f>sch_num_funct_computers_acad_notnetbook_others</f>
        <v>0</v>
      </c>
      <c r="F1319" s="83" t="b">
        <v>1</v>
      </c>
      <c r="G1319" s="83"/>
      <c r="H1319" s="83"/>
    </row>
    <row r="1320" spans="1:9">
      <c r="A1320" s="83" t="s">
        <v>4727</v>
      </c>
      <c r="B1320" s="83" t="s">
        <v>4713</v>
      </c>
      <c r="C1320" s="83" t="s">
        <v>4727</v>
      </c>
      <c r="D1320" s="83" t="s">
        <v>4784</v>
      </c>
      <c r="E1320" s="84">
        <f>sch_num_funct_computers_acad_tablet_depeddcp</f>
        <v>0</v>
      </c>
      <c r="F1320" s="83" t="b">
        <v>1</v>
      </c>
      <c r="G1320" s="83"/>
      <c r="H1320" s="83"/>
    </row>
    <row r="1321" spans="1:9">
      <c r="A1321" s="83" t="s">
        <v>4728</v>
      </c>
      <c r="B1321" s="83" t="s">
        <v>4713</v>
      </c>
      <c r="C1321" s="83" t="s">
        <v>4728</v>
      </c>
      <c r="D1321" s="83" t="s">
        <v>4785</v>
      </c>
      <c r="E1321" s="84">
        <f>sch_num_funct_computers_acad_tablet_depednondcp</f>
        <v>0</v>
      </c>
      <c r="F1321" s="83" t="b">
        <v>1</v>
      </c>
      <c r="G1321" s="83"/>
      <c r="H1321" s="83"/>
    </row>
    <row r="1322" spans="1:9">
      <c r="A1322" s="83" t="s">
        <v>4729</v>
      </c>
      <c r="B1322" s="83" t="s">
        <v>4713</v>
      </c>
      <c r="C1322" s="83" t="s">
        <v>4729</v>
      </c>
      <c r="D1322" s="83" t="s">
        <v>4786</v>
      </c>
      <c r="E1322" s="84">
        <f>sch_num_funct_computers_acad_tablet_lgusef</f>
        <v>0</v>
      </c>
      <c r="F1322" s="83" t="b">
        <v>1</v>
      </c>
      <c r="G1322" s="83"/>
      <c r="H1322" s="83"/>
    </row>
    <row r="1323" spans="1:9">
      <c r="A1323" s="83" t="s">
        <v>4730</v>
      </c>
      <c r="B1323" s="83" t="s">
        <v>4713</v>
      </c>
      <c r="C1323" s="83" t="s">
        <v>4730</v>
      </c>
      <c r="D1323" s="83" t="s">
        <v>4787</v>
      </c>
      <c r="E1323" s="84">
        <f>sch_num_funct_computers_acad_tablet_pta</f>
        <v>0</v>
      </c>
      <c r="F1323" s="83" t="b">
        <v>1</v>
      </c>
      <c r="G1323" s="83"/>
      <c r="H1323" s="83"/>
    </row>
    <row r="1324" spans="1:9">
      <c r="A1324" s="83" t="s">
        <v>4731</v>
      </c>
      <c r="B1324" s="83" t="s">
        <v>4713</v>
      </c>
      <c r="C1324" s="83" t="s">
        <v>4731</v>
      </c>
      <c r="D1324" s="83" t="s">
        <v>4788</v>
      </c>
      <c r="E1324" s="84">
        <f>sch_num_funct_computers_acad_tablet_privatedon</f>
        <v>0</v>
      </c>
      <c r="F1324" s="83" t="b">
        <v>1</v>
      </c>
      <c r="G1324" s="83"/>
      <c r="H1324" s="83"/>
    </row>
    <row r="1325" spans="1:9">
      <c r="A1325" s="83" t="s">
        <v>4732</v>
      </c>
      <c r="B1325" s="83" t="s">
        <v>4713</v>
      </c>
      <c r="C1325" s="83" t="s">
        <v>4732</v>
      </c>
      <c r="D1325" s="83" t="s">
        <v>4789</v>
      </c>
      <c r="E1325" s="84">
        <f>sch_num_funct_computers_acad_tablet_othergov</f>
        <v>0</v>
      </c>
      <c r="F1325" s="83" t="b">
        <v>1</v>
      </c>
      <c r="G1325" s="83"/>
      <c r="H1325" s="83"/>
    </row>
    <row r="1326" spans="1:9">
      <c r="A1326" s="83" t="s">
        <v>4733</v>
      </c>
      <c r="B1326" s="83" t="s">
        <v>4713</v>
      </c>
      <c r="C1326" s="83" t="s">
        <v>4733</v>
      </c>
      <c r="D1326" s="83" t="s">
        <v>4790</v>
      </c>
      <c r="E1326" s="84">
        <f>sch_num_funct_computers_acad_tablet_others</f>
        <v>0</v>
      </c>
      <c r="F1326" s="83" t="b">
        <v>1</v>
      </c>
      <c r="G1326" s="83"/>
      <c r="H1326" s="83"/>
    </row>
    <row r="1327" spans="1:9">
      <c r="A1327" s="83" t="s">
        <v>4841</v>
      </c>
      <c r="B1327" s="83" t="s">
        <v>4713</v>
      </c>
      <c r="C1327" s="83" t="s">
        <v>4841</v>
      </c>
      <c r="D1327" s="83" t="s">
        <v>4791</v>
      </c>
      <c r="E1327" s="84">
        <f>sch_num_funct_computers_acad_tabletpc_depeddcp</f>
        <v>0</v>
      </c>
      <c r="F1327" s="83" t="b">
        <v>1</v>
      </c>
      <c r="G1327" s="83"/>
      <c r="H1327" s="83"/>
      <c r="I1327" s="110" t="s">
        <v>11532</v>
      </c>
    </row>
    <row r="1328" spans="1:9">
      <c r="A1328" s="83" t="s">
        <v>4842</v>
      </c>
      <c r="B1328" s="83" t="s">
        <v>4713</v>
      </c>
      <c r="C1328" s="83" t="s">
        <v>4842</v>
      </c>
      <c r="D1328" s="83" t="s">
        <v>4792</v>
      </c>
      <c r="E1328" s="84">
        <f>sch_num_funct_computers_acad_tabletpc_depednondcp</f>
        <v>0</v>
      </c>
      <c r="F1328" s="83" t="b">
        <v>1</v>
      </c>
      <c r="G1328" s="83"/>
      <c r="H1328" s="83"/>
      <c r="I1328" s="110" t="s">
        <v>11532</v>
      </c>
    </row>
    <row r="1329" spans="1:9">
      <c r="A1329" s="83" t="s">
        <v>4843</v>
      </c>
      <c r="B1329" s="83" t="s">
        <v>4713</v>
      </c>
      <c r="C1329" s="83" t="s">
        <v>4843</v>
      </c>
      <c r="D1329" s="83" t="s">
        <v>4793</v>
      </c>
      <c r="E1329" s="84">
        <f>sch_num_funct_computers_acad_tabletpc_lgusef</f>
        <v>0</v>
      </c>
      <c r="F1329" s="83" t="b">
        <v>1</v>
      </c>
      <c r="G1329" s="83"/>
      <c r="H1329" s="83"/>
      <c r="I1329" s="110" t="s">
        <v>11532</v>
      </c>
    </row>
    <row r="1330" spans="1:9">
      <c r="A1330" s="83" t="s">
        <v>4844</v>
      </c>
      <c r="B1330" s="83" t="s">
        <v>4713</v>
      </c>
      <c r="C1330" s="83" t="s">
        <v>4844</v>
      </c>
      <c r="D1330" s="83" t="s">
        <v>4794</v>
      </c>
      <c r="E1330" s="84">
        <f>sch_num_funct_computers_acad_tabletpc_pta</f>
        <v>0</v>
      </c>
      <c r="F1330" s="83" t="b">
        <v>1</v>
      </c>
      <c r="G1330" s="83"/>
      <c r="H1330" s="83"/>
      <c r="I1330" s="110" t="s">
        <v>11532</v>
      </c>
    </row>
    <row r="1331" spans="1:9">
      <c r="A1331" s="83" t="s">
        <v>4845</v>
      </c>
      <c r="B1331" s="83" t="s">
        <v>4713</v>
      </c>
      <c r="C1331" s="83" t="s">
        <v>4845</v>
      </c>
      <c r="D1331" s="83" t="s">
        <v>4795</v>
      </c>
      <c r="E1331" s="84">
        <f>sch_num_funct_computers_acad_tabletpc_privatedon</f>
        <v>0</v>
      </c>
      <c r="F1331" s="83" t="b">
        <v>1</v>
      </c>
      <c r="G1331" s="83"/>
      <c r="H1331" s="83"/>
      <c r="I1331" s="110" t="s">
        <v>11532</v>
      </c>
    </row>
    <row r="1332" spans="1:9">
      <c r="A1332" s="83" t="s">
        <v>4846</v>
      </c>
      <c r="B1332" s="83" t="s">
        <v>4713</v>
      </c>
      <c r="C1332" s="83" t="s">
        <v>4846</v>
      </c>
      <c r="D1332" s="83" t="s">
        <v>4796</v>
      </c>
      <c r="E1332" s="84">
        <f>sch_num_funct_computers_acad_tabletpc_othergov</f>
        <v>0</v>
      </c>
      <c r="F1332" s="83" t="b">
        <v>1</v>
      </c>
      <c r="G1332" s="83"/>
      <c r="H1332" s="83"/>
      <c r="I1332" s="110" t="s">
        <v>11532</v>
      </c>
    </row>
    <row r="1333" spans="1:9">
      <c r="A1333" s="83" t="s">
        <v>4847</v>
      </c>
      <c r="B1333" s="83" t="s">
        <v>4713</v>
      </c>
      <c r="C1333" s="83" t="s">
        <v>4847</v>
      </c>
      <c r="D1333" s="83" t="s">
        <v>4797</v>
      </c>
      <c r="E1333" s="84">
        <f>sch_num_funct_computers_acad_tabletpc_others</f>
        <v>0</v>
      </c>
      <c r="F1333" s="83" t="b">
        <v>1</v>
      </c>
      <c r="G1333" s="83"/>
      <c r="H1333" s="83"/>
      <c r="I1333" s="110" t="s">
        <v>11532</v>
      </c>
    </row>
    <row r="1334" spans="1:9">
      <c r="A1334" s="83" t="s">
        <v>4734</v>
      </c>
      <c r="B1334" s="83" t="s">
        <v>4713</v>
      </c>
      <c r="C1334" s="83" t="s">
        <v>4734</v>
      </c>
      <c r="D1334" s="83" t="s">
        <v>4798</v>
      </c>
      <c r="E1334" s="84">
        <f>sch_num_funct_computers_acad_dvt_depeddcp</f>
        <v>0</v>
      </c>
      <c r="F1334" s="83" t="b">
        <v>1</v>
      </c>
      <c r="G1334" s="83"/>
      <c r="H1334" s="83"/>
    </row>
    <row r="1335" spans="1:9">
      <c r="A1335" s="83" t="s">
        <v>4735</v>
      </c>
      <c r="B1335" s="83" t="s">
        <v>4713</v>
      </c>
      <c r="C1335" s="83" t="s">
        <v>4735</v>
      </c>
      <c r="D1335" s="83" t="s">
        <v>4799</v>
      </c>
      <c r="E1335" s="84">
        <f>sch_num_funct_computers_acad_dvt_depednondcp</f>
        <v>0</v>
      </c>
      <c r="F1335" s="83" t="b">
        <v>1</v>
      </c>
      <c r="G1335" s="83"/>
      <c r="H1335" s="83"/>
    </row>
    <row r="1336" spans="1:9">
      <c r="A1336" s="83" t="s">
        <v>4736</v>
      </c>
      <c r="B1336" s="83" t="s">
        <v>4713</v>
      </c>
      <c r="C1336" s="83" t="s">
        <v>4736</v>
      </c>
      <c r="D1336" s="83" t="s">
        <v>4800</v>
      </c>
      <c r="E1336" s="84">
        <f>sch_num_funct_computers_acad_dvt_lgusef</f>
        <v>0</v>
      </c>
      <c r="F1336" s="83" t="b">
        <v>1</v>
      </c>
      <c r="G1336" s="83"/>
      <c r="H1336" s="83"/>
    </row>
    <row r="1337" spans="1:9">
      <c r="A1337" s="83" t="s">
        <v>4737</v>
      </c>
      <c r="B1337" s="83" t="s">
        <v>4713</v>
      </c>
      <c r="C1337" s="83" t="s">
        <v>4737</v>
      </c>
      <c r="D1337" s="83" t="s">
        <v>4801</v>
      </c>
      <c r="E1337" s="84">
        <f>sch_num_funct_computers_acad_dvt_pta</f>
        <v>0</v>
      </c>
      <c r="F1337" s="83" t="b">
        <v>1</v>
      </c>
      <c r="G1337" s="83"/>
      <c r="H1337" s="83"/>
    </row>
    <row r="1338" spans="1:9">
      <c r="A1338" s="83" t="s">
        <v>4738</v>
      </c>
      <c r="B1338" s="83" t="s">
        <v>4713</v>
      </c>
      <c r="C1338" s="83" t="s">
        <v>4738</v>
      </c>
      <c r="D1338" s="83" t="s">
        <v>4802</v>
      </c>
      <c r="E1338" s="84">
        <f>sch_num_funct_computers_acad_dvt_privatedon</f>
        <v>0</v>
      </c>
      <c r="F1338" s="83" t="b">
        <v>1</v>
      </c>
      <c r="G1338" s="83"/>
      <c r="H1338" s="83"/>
    </row>
    <row r="1339" spans="1:9">
      <c r="A1339" s="83" t="s">
        <v>4739</v>
      </c>
      <c r="B1339" s="83" t="s">
        <v>4713</v>
      </c>
      <c r="C1339" s="83" t="s">
        <v>4739</v>
      </c>
      <c r="D1339" s="83" t="s">
        <v>4803</v>
      </c>
      <c r="E1339" s="84">
        <f>sch_num_funct_computers_acad_dvt_othergov</f>
        <v>0</v>
      </c>
      <c r="F1339" s="83" t="b">
        <v>1</v>
      </c>
      <c r="G1339" s="83"/>
      <c r="H1339" s="83"/>
    </row>
    <row r="1340" spans="1:9">
      <c r="A1340" s="83" t="s">
        <v>4740</v>
      </c>
      <c r="B1340" s="83" t="s">
        <v>4713</v>
      </c>
      <c r="C1340" s="83" t="s">
        <v>4740</v>
      </c>
      <c r="D1340" s="83" t="s">
        <v>4804</v>
      </c>
      <c r="E1340" s="84">
        <f>sch_num_funct_computers_acad_dvt_others</f>
        <v>0</v>
      </c>
      <c r="F1340" s="83" t="b">
        <v>1</v>
      </c>
      <c r="G1340" s="83"/>
      <c r="H1340" s="83"/>
    </row>
    <row r="1341" spans="1:9">
      <c r="A1341" s="83" t="s">
        <v>4741</v>
      </c>
      <c r="B1341" s="83" t="s">
        <v>4713</v>
      </c>
      <c r="C1341" s="83" t="s">
        <v>4741</v>
      </c>
      <c r="D1341" s="83" t="s">
        <v>4805</v>
      </c>
      <c r="E1341" s="84">
        <f>sch_num_funct_computers_admin_desktop_depeddcp</f>
        <v>0</v>
      </c>
      <c r="F1341" s="83" t="b">
        <v>1</v>
      </c>
      <c r="G1341" s="83"/>
      <c r="H1341" s="83"/>
    </row>
    <row r="1342" spans="1:9">
      <c r="A1342" s="83" t="s">
        <v>4742</v>
      </c>
      <c r="B1342" s="83" t="s">
        <v>4713</v>
      </c>
      <c r="C1342" s="83" t="s">
        <v>4742</v>
      </c>
      <c r="D1342" s="83" t="s">
        <v>4806</v>
      </c>
      <c r="E1342" s="84">
        <f>sch_num_funct_computers_admin_desktop_depednondcp</f>
        <v>0</v>
      </c>
      <c r="F1342" s="83" t="b">
        <v>1</v>
      </c>
      <c r="G1342" s="83"/>
      <c r="H1342" s="83"/>
    </row>
    <row r="1343" spans="1:9">
      <c r="A1343" s="83" t="s">
        <v>4743</v>
      </c>
      <c r="B1343" s="83" t="s">
        <v>4713</v>
      </c>
      <c r="C1343" s="83" t="s">
        <v>4743</v>
      </c>
      <c r="D1343" s="83" t="s">
        <v>4807</v>
      </c>
      <c r="E1343" s="84">
        <f>sch_num_funct_computers_admin_desktop_lgusef</f>
        <v>0</v>
      </c>
      <c r="F1343" s="83" t="b">
        <v>1</v>
      </c>
      <c r="G1343" s="83"/>
      <c r="H1343" s="83"/>
    </row>
    <row r="1344" spans="1:9">
      <c r="A1344" s="83" t="s">
        <v>4744</v>
      </c>
      <c r="B1344" s="83" t="s">
        <v>4713</v>
      </c>
      <c r="C1344" s="83" t="s">
        <v>4744</v>
      </c>
      <c r="D1344" s="83" t="s">
        <v>4808</v>
      </c>
      <c r="E1344" s="84">
        <f>sch_num_funct_computers_admin_desktop_pta</f>
        <v>0</v>
      </c>
      <c r="F1344" s="83" t="b">
        <v>1</v>
      </c>
      <c r="G1344" s="83"/>
      <c r="H1344" s="83"/>
    </row>
    <row r="1345" spans="1:8">
      <c r="A1345" s="83" t="s">
        <v>4745</v>
      </c>
      <c r="B1345" s="83" t="s">
        <v>4713</v>
      </c>
      <c r="C1345" s="83" t="s">
        <v>4745</v>
      </c>
      <c r="D1345" s="83" t="s">
        <v>4809</v>
      </c>
      <c r="E1345" s="84">
        <f>sch_num_funct_computers_admin_desktop_privatedon</f>
        <v>0</v>
      </c>
      <c r="F1345" s="83" t="b">
        <v>1</v>
      </c>
      <c r="G1345" s="83"/>
      <c r="H1345" s="83"/>
    </row>
    <row r="1346" spans="1:8">
      <c r="A1346" s="83" t="s">
        <v>4746</v>
      </c>
      <c r="B1346" s="83" t="s">
        <v>4713</v>
      </c>
      <c r="C1346" s="83" t="s">
        <v>4746</v>
      </c>
      <c r="D1346" s="83" t="s">
        <v>4810</v>
      </c>
      <c r="E1346" s="84">
        <f>sch_num_funct_computers_admin_desktop_othergov</f>
        <v>0</v>
      </c>
      <c r="F1346" s="83" t="b">
        <v>1</v>
      </c>
      <c r="G1346" s="83"/>
      <c r="H1346" s="83"/>
    </row>
    <row r="1347" spans="1:8">
      <c r="A1347" s="83" t="s">
        <v>4747</v>
      </c>
      <c r="B1347" s="83" t="s">
        <v>4713</v>
      </c>
      <c r="C1347" s="83" t="s">
        <v>4747</v>
      </c>
      <c r="D1347" s="83" t="s">
        <v>4811</v>
      </c>
      <c r="E1347" s="84">
        <f>sch_num_funct_computers_admin_desktop_others</f>
        <v>0</v>
      </c>
      <c r="F1347" s="83" t="b">
        <v>1</v>
      </c>
      <c r="G1347" s="83"/>
      <c r="H1347" s="83"/>
    </row>
    <row r="1348" spans="1:8">
      <c r="A1348" s="83" t="s">
        <v>4748</v>
      </c>
      <c r="B1348" s="83" t="s">
        <v>4713</v>
      </c>
      <c r="C1348" s="83" t="s">
        <v>4748</v>
      </c>
      <c r="D1348" s="83" t="s">
        <v>4812</v>
      </c>
      <c r="E1348" s="84">
        <f>sch_num_funct_computers_admin_notnetbook_depeddcp</f>
        <v>0</v>
      </c>
      <c r="F1348" s="83" t="b">
        <v>1</v>
      </c>
      <c r="G1348" s="83"/>
      <c r="H1348" s="83"/>
    </row>
    <row r="1349" spans="1:8">
      <c r="A1349" s="83" t="s">
        <v>4749</v>
      </c>
      <c r="B1349" s="83" t="s">
        <v>4713</v>
      </c>
      <c r="C1349" s="83" t="s">
        <v>4749</v>
      </c>
      <c r="D1349" s="83" t="s">
        <v>4813</v>
      </c>
      <c r="E1349" s="84">
        <f>sch_num_funct_computers_admin_notnetbook_depednondcp</f>
        <v>0</v>
      </c>
      <c r="F1349" s="83" t="b">
        <v>1</v>
      </c>
      <c r="G1349" s="83"/>
      <c r="H1349" s="83"/>
    </row>
    <row r="1350" spans="1:8">
      <c r="A1350" s="83" t="s">
        <v>4750</v>
      </c>
      <c r="B1350" s="83" t="s">
        <v>4713</v>
      </c>
      <c r="C1350" s="83" t="s">
        <v>4750</v>
      </c>
      <c r="D1350" s="83" t="s">
        <v>4814</v>
      </c>
      <c r="E1350" s="84">
        <f>sch_num_funct_computers_admin_notnetbook_lgusef</f>
        <v>0</v>
      </c>
      <c r="F1350" s="83" t="b">
        <v>1</v>
      </c>
      <c r="G1350" s="83"/>
      <c r="H1350" s="83"/>
    </row>
    <row r="1351" spans="1:8">
      <c r="A1351" s="83" t="s">
        <v>4751</v>
      </c>
      <c r="B1351" s="83" t="s">
        <v>4713</v>
      </c>
      <c r="C1351" s="83" t="s">
        <v>4751</v>
      </c>
      <c r="D1351" s="83" t="s">
        <v>4815</v>
      </c>
      <c r="E1351" s="84">
        <f>sch_num_funct_computers_admin_notnetbook_pta</f>
        <v>0</v>
      </c>
      <c r="F1351" s="83" t="b">
        <v>1</v>
      </c>
      <c r="G1351" s="83"/>
      <c r="H1351" s="83"/>
    </row>
    <row r="1352" spans="1:8">
      <c r="A1352" s="83" t="s">
        <v>4752</v>
      </c>
      <c r="B1352" s="83" t="s">
        <v>4713</v>
      </c>
      <c r="C1352" s="83" t="s">
        <v>4752</v>
      </c>
      <c r="D1352" s="83" t="s">
        <v>4816</v>
      </c>
      <c r="E1352" s="84">
        <f>sch_num_funct_computers_admin_notnetbook_privatedon</f>
        <v>0</v>
      </c>
      <c r="F1352" s="83" t="b">
        <v>1</v>
      </c>
      <c r="G1352" s="83"/>
      <c r="H1352" s="83"/>
    </row>
    <row r="1353" spans="1:8">
      <c r="A1353" s="83" t="s">
        <v>4753</v>
      </c>
      <c r="B1353" s="83" t="s">
        <v>4713</v>
      </c>
      <c r="C1353" s="83" t="s">
        <v>4753</v>
      </c>
      <c r="D1353" s="83" t="s">
        <v>4817</v>
      </c>
      <c r="E1353" s="84">
        <f>sch_num_funct_computers_admin_notnetbook_othergov</f>
        <v>0</v>
      </c>
      <c r="F1353" s="83" t="b">
        <v>1</v>
      </c>
      <c r="G1353" s="83"/>
      <c r="H1353" s="83"/>
    </row>
    <row r="1354" spans="1:8">
      <c r="A1354" s="83" t="s">
        <v>4754</v>
      </c>
      <c r="B1354" s="83" t="s">
        <v>4713</v>
      </c>
      <c r="C1354" s="83" t="s">
        <v>4754</v>
      </c>
      <c r="D1354" s="83" t="s">
        <v>4818</v>
      </c>
      <c r="E1354" s="84">
        <f>sch_num_funct_computers_admin_notnetbook_others</f>
        <v>0</v>
      </c>
      <c r="F1354" s="83" t="b">
        <v>1</v>
      </c>
      <c r="G1354" s="83"/>
      <c r="H1354" s="83"/>
    </row>
    <row r="1355" spans="1:8">
      <c r="A1355" s="83" t="s">
        <v>4755</v>
      </c>
      <c r="B1355" s="83" t="s">
        <v>4713</v>
      </c>
      <c r="C1355" s="83" t="s">
        <v>4755</v>
      </c>
      <c r="D1355" s="83" t="s">
        <v>4819</v>
      </c>
      <c r="E1355" s="84">
        <f>sch_num_funct_computers_admin_tablet_depeddcp</f>
        <v>0</v>
      </c>
      <c r="F1355" s="83" t="b">
        <v>1</v>
      </c>
      <c r="G1355" s="83"/>
      <c r="H1355" s="83"/>
    </row>
    <row r="1356" spans="1:8">
      <c r="A1356" s="83" t="s">
        <v>4756</v>
      </c>
      <c r="B1356" s="83" t="s">
        <v>4713</v>
      </c>
      <c r="C1356" s="83" t="s">
        <v>4756</v>
      </c>
      <c r="D1356" s="83" t="s">
        <v>4820</v>
      </c>
      <c r="E1356" s="84">
        <f>sch_num_funct_computers_admin_tablet_depednondcp</f>
        <v>0</v>
      </c>
      <c r="F1356" s="83" t="b">
        <v>1</v>
      </c>
      <c r="G1356" s="83"/>
      <c r="H1356" s="83"/>
    </row>
    <row r="1357" spans="1:8">
      <c r="A1357" s="83" t="s">
        <v>4757</v>
      </c>
      <c r="B1357" s="83" t="s">
        <v>4713</v>
      </c>
      <c r="C1357" s="83" t="s">
        <v>4757</v>
      </c>
      <c r="D1357" s="83" t="s">
        <v>4821</v>
      </c>
      <c r="E1357" s="84">
        <f>sch_num_funct_computers_admin_tablet_lgusef</f>
        <v>0</v>
      </c>
      <c r="F1357" s="83" t="b">
        <v>1</v>
      </c>
      <c r="G1357" s="83"/>
      <c r="H1357" s="83"/>
    </row>
    <row r="1358" spans="1:8">
      <c r="A1358" s="83" t="s">
        <v>4758</v>
      </c>
      <c r="B1358" s="83" t="s">
        <v>4713</v>
      </c>
      <c r="C1358" s="83" t="s">
        <v>4758</v>
      </c>
      <c r="D1358" s="83" t="s">
        <v>4822</v>
      </c>
      <c r="E1358" s="84">
        <f>sch_num_funct_computers_admin_tablet_pta</f>
        <v>0</v>
      </c>
      <c r="F1358" s="83" t="b">
        <v>1</v>
      </c>
      <c r="G1358" s="83"/>
      <c r="H1358" s="83"/>
    </row>
    <row r="1359" spans="1:8">
      <c r="A1359" s="83" t="s">
        <v>4759</v>
      </c>
      <c r="B1359" s="83" t="s">
        <v>4713</v>
      </c>
      <c r="C1359" s="83" t="s">
        <v>4759</v>
      </c>
      <c r="D1359" s="83" t="s">
        <v>4823</v>
      </c>
      <c r="E1359" s="84">
        <f>sch_num_funct_computers_admin_tablet_privatedon</f>
        <v>0</v>
      </c>
      <c r="F1359" s="83" t="b">
        <v>1</v>
      </c>
      <c r="G1359" s="83"/>
      <c r="H1359" s="83"/>
    </row>
    <row r="1360" spans="1:8">
      <c r="A1360" s="83" t="s">
        <v>4760</v>
      </c>
      <c r="B1360" s="83" t="s">
        <v>4713</v>
      </c>
      <c r="C1360" s="83" t="s">
        <v>4760</v>
      </c>
      <c r="D1360" s="83" t="s">
        <v>4824</v>
      </c>
      <c r="E1360" s="84">
        <f>sch_num_funct_computers_admin_tablet_othergov</f>
        <v>0</v>
      </c>
      <c r="F1360" s="83" t="b">
        <v>1</v>
      </c>
      <c r="G1360" s="83"/>
      <c r="H1360" s="83"/>
    </row>
    <row r="1361" spans="1:9">
      <c r="A1361" s="83" t="s">
        <v>4761</v>
      </c>
      <c r="B1361" s="83" t="s">
        <v>4713</v>
      </c>
      <c r="C1361" s="83" t="s">
        <v>4761</v>
      </c>
      <c r="D1361" s="83" t="s">
        <v>4825</v>
      </c>
      <c r="E1361" s="84">
        <f>sch_num_funct_computers_admin_tablet_others</f>
        <v>0</v>
      </c>
      <c r="F1361" s="83" t="b">
        <v>1</v>
      </c>
      <c r="G1361" s="83"/>
      <c r="H1361" s="83"/>
    </row>
    <row r="1362" spans="1:9">
      <c r="A1362" s="83" t="s">
        <v>4848</v>
      </c>
      <c r="B1362" s="83" t="s">
        <v>4713</v>
      </c>
      <c r="C1362" s="83" t="s">
        <v>4848</v>
      </c>
      <c r="D1362" s="83" t="s">
        <v>4826</v>
      </c>
      <c r="E1362" s="84">
        <f>sch_num_funct_computers_admin_tabletpc_depeddcp</f>
        <v>0</v>
      </c>
      <c r="F1362" s="83" t="b">
        <v>1</v>
      </c>
      <c r="G1362" s="83"/>
      <c r="H1362" s="83"/>
      <c r="I1362" s="110" t="s">
        <v>11532</v>
      </c>
    </row>
    <row r="1363" spans="1:9">
      <c r="A1363" s="83" t="s">
        <v>4849</v>
      </c>
      <c r="B1363" s="83" t="s">
        <v>4713</v>
      </c>
      <c r="C1363" s="83" t="s">
        <v>4849</v>
      </c>
      <c r="D1363" s="83" t="s">
        <v>4827</v>
      </c>
      <c r="E1363" s="84">
        <f>sch_num_funct_computers_admin_tabletpc_depednondcp</f>
        <v>0</v>
      </c>
      <c r="F1363" s="83" t="b">
        <v>1</v>
      </c>
      <c r="G1363" s="83"/>
      <c r="H1363" s="83"/>
      <c r="I1363" s="110" t="s">
        <v>11532</v>
      </c>
    </row>
    <row r="1364" spans="1:9">
      <c r="A1364" s="83" t="s">
        <v>4850</v>
      </c>
      <c r="B1364" s="83" t="s">
        <v>4713</v>
      </c>
      <c r="C1364" s="83" t="s">
        <v>4850</v>
      </c>
      <c r="D1364" s="83" t="s">
        <v>4828</v>
      </c>
      <c r="E1364" s="84">
        <f>sch_num_funct_computers_admin_tabletpc_lgusef</f>
        <v>0</v>
      </c>
      <c r="F1364" s="83" t="b">
        <v>1</v>
      </c>
      <c r="G1364" s="83"/>
      <c r="H1364" s="83"/>
      <c r="I1364" s="110" t="s">
        <v>11532</v>
      </c>
    </row>
    <row r="1365" spans="1:9">
      <c r="A1365" s="83" t="s">
        <v>4851</v>
      </c>
      <c r="B1365" s="83" t="s">
        <v>4713</v>
      </c>
      <c r="C1365" s="83" t="s">
        <v>4851</v>
      </c>
      <c r="D1365" s="83" t="s">
        <v>4829</v>
      </c>
      <c r="E1365" s="84">
        <f>sch_num_funct_computers_admin_tabletpc_pta</f>
        <v>0</v>
      </c>
      <c r="F1365" s="83" t="b">
        <v>1</v>
      </c>
      <c r="G1365" s="83"/>
      <c r="H1365" s="83"/>
      <c r="I1365" s="110" t="s">
        <v>11532</v>
      </c>
    </row>
    <row r="1366" spans="1:9">
      <c r="A1366" s="83" t="s">
        <v>4852</v>
      </c>
      <c r="B1366" s="83" t="s">
        <v>4713</v>
      </c>
      <c r="C1366" s="83" t="s">
        <v>4852</v>
      </c>
      <c r="D1366" s="83" t="s">
        <v>4830</v>
      </c>
      <c r="E1366" s="84">
        <f>sch_num_funct_computers_admin_tabletpc_privatedon</f>
        <v>0</v>
      </c>
      <c r="F1366" s="83" t="b">
        <v>1</v>
      </c>
      <c r="G1366" s="83"/>
      <c r="H1366" s="83"/>
      <c r="I1366" s="110" t="s">
        <v>11532</v>
      </c>
    </row>
    <row r="1367" spans="1:9">
      <c r="A1367" s="83" t="s">
        <v>4853</v>
      </c>
      <c r="B1367" s="83" t="s">
        <v>4713</v>
      </c>
      <c r="C1367" s="83" t="s">
        <v>4853</v>
      </c>
      <c r="D1367" s="83" t="s">
        <v>4831</v>
      </c>
      <c r="E1367" s="84">
        <f>sch_num_funct_computers_admin_tabletpc_othergov</f>
        <v>0</v>
      </c>
      <c r="F1367" s="83" t="b">
        <v>1</v>
      </c>
      <c r="G1367" s="83"/>
      <c r="H1367" s="83"/>
      <c r="I1367" s="110" t="s">
        <v>11532</v>
      </c>
    </row>
    <row r="1368" spans="1:9">
      <c r="A1368" s="83" t="s">
        <v>4854</v>
      </c>
      <c r="B1368" s="83" t="s">
        <v>4713</v>
      </c>
      <c r="C1368" s="83" t="s">
        <v>4854</v>
      </c>
      <c r="D1368" s="83" t="s">
        <v>4832</v>
      </c>
      <c r="E1368" s="84">
        <f>sch_num_funct_computers_admin_tabletpc_others</f>
        <v>0</v>
      </c>
      <c r="F1368" s="83" t="b">
        <v>1</v>
      </c>
      <c r="G1368" s="83"/>
      <c r="H1368" s="83"/>
      <c r="I1368" s="110" t="s">
        <v>11532</v>
      </c>
    </row>
    <row r="1369" spans="1:9">
      <c r="A1369" s="83" t="s">
        <v>4762</v>
      </c>
      <c r="B1369" s="83" t="s">
        <v>4713</v>
      </c>
      <c r="C1369" s="83" t="s">
        <v>4762</v>
      </c>
      <c r="D1369" s="83" t="s">
        <v>4833</v>
      </c>
      <c r="E1369" s="84">
        <f>sch_num_funct_computers_admin_dvt_depeddcp</f>
        <v>0</v>
      </c>
      <c r="F1369" s="83" t="b">
        <v>1</v>
      </c>
      <c r="G1369" s="83"/>
      <c r="H1369" s="83"/>
    </row>
    <row r="1370" spans="1:9">
      <c r="A1370" s="83" t="s">
        <v>4763</v>
      </c>
      <c r="B1370" s="83" t="s">
        <v>4713</v>
      </c>
      <c r="C1370" s="83" t="s">
        <v>4763</v>
      </c>
      <c r="D1370" s="83" t="s">
        <v>4834</v>
      </c>
      <c r="E1370" s="84">
        <f>sch_num_funct_computers_admin_dvt_depednondcp</f>
        <v>0</v>
      </c>
      <c r="F1370" s="83" t="b">
        <v>1</v>
      </c>
      <c r="G1370" s="83"/>
      <c r="H1370" s="83"/>
    </row>
    <row r="1371" spans="1:9">
      <c r="A1371" s="83" t="s">
        <v>4764</v>
      </c>
      <c r="B1371" s="83" t="s">
        <v>4713</v>
      </c>
      <c r="C1371" s="83" t="s">
        <v>4764</v>
      </c>
      <c r="D1371" s="83" t="s">
        <v>4835</v>
      </c>
      <c r="E1371" s="84">
        <f>sch_num_funct_computers_admin_dvt_lgusef</f>
        <v>0</v>
      </c>
      <c r="F1371" s="83" t="b">
        <v>1</v>
      </c>
      <c r="G1371" s="83"/>
      <c r="H1371" s="83"/>
    </row>
    <row r="1372" spans="1:9">
      <c r="A1372" s="83" t="s">
        <v>4765</v>
      </c>
      <c r="B1372" s="83" t="s">
        <v>4713</v>
      </c>
      <c r="C1372" s="83" t="s">
        <v>4765</v>
      </c>
      <c r="D1372" s="83" t="s">
        <v>4836</v>
      </c>
      <c r="E1372" s="84">
        <f>sch_num_funct_computers_admin_dvt_pta</f>
        <v>0</v>
      </c>
      <c r="F1372" s="83" t="b">
        <v>1</v>
      </c>
      <c r="G1372" s="83"/>
      <c r="H1372" s="83"/>
    </row>
    <row r="1373" spans="1:9">
      <c r="A1373" s="83" t="s">
        <v>4766</v>
      </c>
      <c r="B1373" s="83" t="s">
        <v>4713</v>
      </c>
      <c r="C1373" s="83" t="s">
        <v>4766</v>
      </c>
      <c r="D1373" s="83" t="s">
        <v>4837</v>
      </c>
      <c r="E1373" s="84">
        <f>sch_num_funct_computers_admin_dvt_privatedon</f>
        <v>0</v>
      </c>
      <c r="F1373" s="83" t="b">
        <v>1</v>
      </c>
      <c r="G1373" s="83"/>
      <c r="H1373" s="83"/>
    </row>
    <row r="1374" spans="1:9">
      <c r="A1374" s="83" t="s">
        <v>4767</v>
      </c>
      <c r="B1374" s="83" t="s">
        <v>4713</v>
      </c>
      <c r="C1374" s="83" t="s">
        <v>4767</v>
      </c>
      <c r="D1374" s="83" t="s">
        <v>4838</v>
      </c>
      <c r="E1374" s="84">
        <f>sch_num_funct_computers_admin_dvt_othergov</f>
        <v>0</v>
      </c>
      <c r="F1374" s="83" t="b">
        <v>1</v>
      </c>
      <c r="G1374" s="83"/>
      <c r="H1374" s="83"/>
    </row>
    <row r="1375" spans="1:9">
      <c r="A1375" s="83" t="s">
        <v>4768</v>
      </c>
      <c r="B1375" s="83" t="s">
        <v>4713</v>
      </c>
      <c r="C1375" s="83" t="s">
        <v>4768</v>
      </c>
      <c r="D1375" s="83" t="s">
        <v>4839</v>
      </c>
      <c r="E1375" s="84">
        <f>sch_num_funct_computers_admin_dvt_others</f>
        <v>0</v>
      </c>
      <c r="F1375" s="83" t="b">
        <v>1</v>
      </c>
      <c r="G1375" s="83"/>
      <c r="H1375" s="83"/>
    </row>
    <row r="1376" spans="1:9" ht="16" thickBot="1">
      <c r="A1376" s="85" t="s">
        <v>4769</v>
      </c>
      <c r="B1376" s="85" t="s">
        <v>4713</v>
      </c>
      <c r="C1376" s="85" t="s">
        <v>4769</v>
      </c>
      <c r="D1376" s="85" t="s">
        <v>4840</v>
      </c>
      <c r="E1376" s="86" t="str">
        <f>div_ito_name</f>
        <v>ANNE VALERIE KERSTEINE I. VILLANUEVA</v>
      </c>
      <c r="F1376" s="85" t="b">
        <v>1</v>
      </c>
      <c r="G1376" s="85"/>
      <c r="H1376" s="85"/>
    </row>
    <row r="1377" spans="1:8">
      <c r="A1377" s="83" t="s">
        <v>4855</v>
      </c>
      <c r="B1377" s="83" t="s">
        <v>4856</v>
      </c>
      <c r="C1377" s="83" t="s">
        <v>4855</v>
      </c>
      <c r="D1377" s="83" t="s">
        <v>4947</v>
      </c>
      <c r="E1377" s="84">
        <f>sch_num_funct_computers_acad_ledtv_depeddcp</f>
        <v>1</v>
      </c>
      <c r="F1377" s="83" t="b">
        <v>1</v>
      </c>
      <c r="G1377" s="83"/>
      <c r="H1377" s="83"/>
    </row>
    <row r="1378" spans="1:8">
      <c r="A1378" s="83" t="s">
        <v>4857</v>
      </c>
      <c r="B1378" s="83" t="s">
        <v>4856</v>
      </c>
      <c r="C1378" s="83" t="s">
        <v>4857</v>
      </c>
      <c r="D1378" s="83" t="s">
        <v>4948</v>
      </c>
      <c r="E1378" s="84">
        <f>sch_num_funct_computers_acad_ledtv_depednondcp</f>
        <v>0</v>
      </c>
      <c r="F1378" s="83" t="b">
        <v>1</v>
      </c>
      <c r="G1378" s="83"/>
      <c r="H1378" s="83"/>
    </row>
    <row r="1379" spans="1:8">
      <c r="A1379" s="83" t="s">
        <v>4858</v>
      </c>
      <c r="B1379" s="83" t="s">
        <v>4856</v>
      </c>
      <c r="C1379" s="83" t="s">
        <v>4858</v>
      </c>
      <c r="D1379" s="83" t="s">
        <v>4949</v>
      </c>
      <c r="E1379" s="84">
        <f>sch_num_funct_computers_acad_ledtv_lgusef</f>
        <v>0</v>
      </c>
      <c r="F1379" s="83" t="b">
        <v>1</v>
      </c>
      <c r="G1379" s="83"/>
      <c r="H1379" s="83"/>
    </row>
    <row r="1380" spans="1:8">
      <c r="A1380" s="83" t="s">
        <v>4859</v>
      </c>
      <c r="B1380" s="83" t="s">
        <v>4856</v>
      </c>
      <c r="C1380" s="83" t="s">
        <v>4859</v>
      </c>
      <c r="D1380" s="83" t="s">
        <v>4950</v>
      </c>
      <c r="E1380" s="84">
        <f>sch_num_funct_computers_acad_ledtv_pta</f>
        <v>0</v>
      </c>
      <c r="F1380" s="83" t="b">
        <v>1</v>
      </c>
      <c r="G1380" s="83"/>
      <c r="H1380" s="83"/>
    </row>
    <row r="1381" spans="1:8">
      <c r="A1381" s="83" t="s">
        <v>4860</v>
      </c>
      <c r="B1381" s="83" t="s">
        <v>4856</v>
      </c>
      <c r="C1381" s="83" t="s">
        <v>4860</v>
      </c>
      <c r="D1381" s="83" t="s">
        <v>4951</v>
      </c>
      <c r="E1381" s="84">
        <f>sch_num_funct_computers_acad_ledtv_privatedon</f>
        <v>1</v>
      </c>
      <c r="F1381" s="83" t="b">
        <v>1</v>
      </c>
      <c r="G1381" s="83"/>
      <c r="H1381" s="83"/>
    </row>
    <row r="1382" spans="1:8">
      <c r="A1382" s="83" t="s">
        <v>4861</v>
      </c>
      <c r="B1382" s="83" t="s">
        <v>4856</v>
      </c>
      <c r="C1382" s="83" t="s">
        <v>4861</v>
      </c>
      <c r="D1382" s="83" t="s">
        <v>4952</v>
      </c>
      <c r="E1382" s="84">
        <f>sch_num_funct_computers_acad_ledtv_othergov</f>
        <v>0</v>
      </c>
      <c r="F1382" s="83" t="b">
        <v>1</v>
      </c>
      <c r="G1382" s="83"/>
      <c r="H1382" s="83"/>
    </row>
    <row r="1383" spans="1:8">
      <c r="A1383" s="83" t="s">
        <v>4862</v>
      </c>
      <c r="B1383" s="83" t="s">
        <v>4856</v>
      </c>
      <c r="C1383" s="83" t="s">
        <v>4862</v>
      </c>
      <c r="D1383" s="83" t="s">
        <v>4953</v>
      </c>
      <c r="E1383" s="84">
        <f>sch_num_funct_computers_acad_ledtv_others</f>
        <v>6</v>
      </c>
      <c r="F1383" s="83" t="b">
        <v>1</v>
      </c>
      <c r="G1383" s="83"/>
      <c r="H1383" s="83"/>
    </row>
    <row r="1384" spans="1:8">
      <c r="A1384" s="83" t="s">
        <v>4863</v>
      </c>
      <c r="B1384" s="83" t="s">
        <v>4856</v>
      </c>
      <c r="C1384" s="83" t="s">
        <v>4863</v>
      </c>
      <c r="D1384" s="83" t="s">
        <v>4954</v>
      </c>
      <c r="E1384" s="84">
        <f>sch_num_funct_computers_acad_netswitch_depeddcp</f>
        <v>0</v>
      </c>
      <c r="F1384" s="83" t="b">
        <v>1</v>
      </c>
      <c r="G1384" s="83"/>
      <c r="H1384" s="83"/>
    </row>
    <row r="1385" spans="1:8">
      <c r="A1385" s="83" t="s">
        <v>4864</v>
      </c>
      <c r="B1385" s="83" t="s">
        <v>4856</v>
      </c>
      <c r="C1385" s="83" t="s">
        <v>4864</v>
      </c>
      <c r="D1385" s="83" t="s">
        <v>4955</v>
      </c>
      <c r="E1385" s="84">
        <f>sch_num_funct_computers_acad_netswitch_depednondcp</f>
        <v>0</v>
      </c>
      <c r="F1385" s="83" t="b">
        <v>1</v>
      </c>
      <c r="G1385" s="83"/>
      <c r="H1385" s="83"/>
    </row>
    <row r="1386" spans="1:8">
      <c r="A1386" s="83" t="s">
        <v>4865</v>
      </c>
      <c r="B1386" s="83" t="s">
        <v>4856</v>
      </c>
      <c r="C1386" s="83" t="s">
        <v>4865</v>
      </c>
      <c r="D1386" s="83" t="s">
        <v>4956</v>
      </c>
      <c r="E1386" s="84">
        <f>sch_num_funct_computers_acad_netswitch_lgusef</f>
        <v>0</v>
      </c>
      <c r="F1386" s="83" t="b">
        <v>1</v>
      </c>
      <c r="G1386" s="83"/>
      <c r="H1386" s="83"/>
    </row>
    <row r="1387" spans="1:8">
      <c r="A1387" s="83" t="s">
        <v>4866</v>
      </c>
      <c r="B1387" s="83" t="s">
        <v>4856</v>
      </c>
      <c r="C1387" s="83" t="s">
        <v>4866</v>
      </c>
      <c r="D1387" s="83" t="s">
        <v>4957</v>
      </c>
      <c r="E1387" s="84">
        <f>sch_num_funct_computers_acad_netswitch_pta</f>
        <v>0</v>
      </c>
      <c r="F1387" s="83" t="b">
        <v>1</v>
      </c>
      <c r="G1387" s="83"/>
      <c r="H1387" s="83"/>
    </row>
    <row r="1388" spans="1:8">
      <c r="A1388" s="83" t="s">
        <v>4867</v>
      </c>
      <c r="B1388" s="83" t="s">
        <v>4856</v>
      </c>
      <c r="C1388" s="83" t="s">
        <v>4867</v>
      </c>
      <c r="D1388" s="83" t="s">
        <v>4958</v>
      </c>
      <c r="E1388" s="84">
        <f>sch_num_funct_computers_acad_netswitch_privatedon</f>
        <v>0</v>
      </c>
      <c r="F1388" s="83" t="b">
        <v>1</v>
      </c>
      <c r="G1388" s="83"/>
      <c r="H1388" s="83"/>
    </row>
    <row r="1389" spans="1:8">
      <c r="A1389" s="83" t="s">
        <v>4868</v>
      </c>
      <c r="B1389" s="83" t="s">
        <v>4856</v>
      </c>
      <c r="C1389" s="83" t="s">
        <v>4868</v>
      </c>
      <c r="D1389" s="83" t="s">
        <v>4959</v>
      </c>
      <c r="E1389" s="84">
        <f>sch_num_funct_computers_acad_netswitch_othergov</f>
        <v>0</v>
      </c>
      <c r="F1389" s="83" t="b">
        <v>1</v>
      </c>
      <c r="G1389" s="83"/>
      <c r="H1389" s="83"/>
    </row>
    <row r="1390" spans="1:8">
      <c r="A1390" s="83" t="s">
        <v>4869</v>
      </c>
      <c r="B1390" s="83" t="s">
        <v>4856</v>
      </c>
      <c r="C1390" s="83" t="s">
        <v>4869</v>
      </c>
      <c r="D1390" s="83" t="s">
        <v>4960</v>
      </c>
      <c r="E1390" s="84">
        <f>sch_num_funct_computers_acad_netswitch_others</f>
        <v>0</v>
      </c>
      <c r="F1390" s="83" t="b">
        <v>1</v>
      </c>
      <c r="G1390" s="83"/>
      <c r="H1390" s="83"/>
    </row>
    <row r="1391" spans="1:8">
      <c r="A1391" s="83" t="s">
        <v>4870</v>
      </c>
      <c r="B1391" s="83" t="s">
        <v>4856</v>
      </c>
      <c r="C1391" s="83" t="s">
        <v>4870</v>
      </c>
      <c r="D1391" s="83" t="s">
        <v>4961</v>
      </c>
      <c r="E1391" s="84">
        <f>sch_num_funct_computers_acad_printer_depeddcp</f>
        <v>0</v>
      </c>
      <c r="F1391" s="83" t="b">
        <v>1</v>
      </c>
      <c r="G1391" s="83"/>
      <c r="H1391" s="83"/>
    </row>
    <row r="1392" spans="1:8">
      <c r="A1392" s="83" t="s">
        <v>4871</v>
      </c>
      <c r="B1392" s="83" t="s">
        <v>4856</v>
      </c>
      <c r="C1392" s="83" t="s">
        <v>4871</v>
      </c>
      <c r="D1392" s="83" t="s">
        <v>4962</v>
      </c>
      <c r="E1392" s="84">
        <f>sch_num_funct_computers_acad_printer_depednondcp</f>
        <v>0</v>
      </c>
      <c r="F1392" s="83" t="b">
        <v>1</v>
      </c>
      <c r="G1392" s="83"/>
      <c r="H1392" s="83"/>
    </row>
    <row r="1393" spans="1:8">
      <c r="A1393" s="83" t="s">
        <v>4872</v>
      </c>
      <c r="B1393" s="83" t="s">
        <v>4856</v>
      </c>
      <c r="C1393" s="83" t="s">
        <v>4872</v>
      </c>
      <c r="D1393" s="83" t="s">
        <v>4963</v>
      </c>
      <c r="E1393" s="84">
        <f>sch_num_funct_computers_acad_printer_lgusef</f>
        <v>0</v>
      </c>
      <c r="F1393" s="83" t="b">
        <v>1</v>
      </c>
      <c r="G1393" s="83"/>
      <c r="H1393" s="83"/>
    </row>
    <row r="1394" spans="1:8">
      <c r="A1394" s="83" t="s">
        <v>4873</v>
      </c>
      <c r="B1394" s="83" t="s">
        <v>4856</v>
      </c>
      <c r="C1394" s="83" t="s">
        <v>4873</v>
      </c>
      <c r="D1394" s="83" t="s">
        <v>4964</v>
      </c>
      <c r="E1394" s="84">
        <f>sch_num_funct_computers_acad_printer_pta</f>
        <v>0</v>
      </c>
      <c r="F1394" s="83" t="b">
        <v>1</v>
      </c>
      <c r="G1394" s="83"/>
      <c r="H1394" s="83"/>
    </row>
    <row r="1395" spans="1:8">
      <c r="A1395" s="83" t="s">
        <v>4874</v>
      </c>
      <c r="B1395" s="83" t="s">
        <v>4856</v>
      </c>
      <c r="C1395" s="83" t="s">
        <v>4874</v>
      </c>
      <c r="D1395" s="83" t="s">
        <v>4965</v>
      </c>
      <c r="E1395" s="84">
        <f>sch_num_funct_computers_acad_printer_privatedon</f>
        <v>0</v>
      </c>
      <c r="F1395" s="83" t="b">
        <v>1</v>
      </c>
      <c r="G1395" s="83"/>
      <c r="H1395" s="83"/>
    </row>
    <row r="1396" spans="1:8">
      <c r="A1396" s="83" t="s">
        <v>4875</v>
      </c>
      <c r="B1396" s="83" t="s">
        <v>4856</v>
      </c>
      <c r="C1396" s="83" t="s">
        <v>4875</v>
      </c>
      <c r="D1396" s="83" t="s">
        <v>4966</v>
      </c>
      <c r="E1396" s="84">
        <f>sch_num_funct_computers_acad_printer_othergov</f>
        <v>0</v>
      </c>
      <c r="F1396" s="83" t="b">
        <v>1</v>
      </c>
      <c r="G1396" s="83"/>
      <c r="H1396" s="83"/>
    </row>
    <row r="1397" spans="1:8">
      <c r="A1397" s="83" t="s">
        <v>4876</v>
      </c>
      <c r="B1397" s="83" t="s">
        <v>4856</v>
      </c>
      <c r="C1397" s="83" t="s">
        <v>4876</v>
      </c>
      <c r="D1397" s="83" t="s">
        <v>4967</v>
      </c>
      <c r="E1397" s="84">
        <f>sch_num_funct_computers_acad_printer_others</f>
        <v>8</v>
      </c>
      <c r="F1397" s="83" t="b">
        <v>1</v>
      </c>
      <c r="G1397" s="83"/>
      <c r="H1397" s="83"/>
    </row>
    <row r="1398" spans="1:8">
      <c r="A1398" s="83" t="s">
        <v>4877</v>
      </c>
      <c r="B1398" s="83" t="s">
        <v>4856</v>
      </c>
      <c r="C1398" s="83" t="s">
        <v>4877</v>
      </c>
      <c r="D1398" s="83" t="s">
        <v>4968</v>
      </c>
      <c r="E1398" s="84">
        <f>sch_num_funct_computers_acad_projector_depeddcp</f>
        <v>2</v>
      </c>
      <c r="F1398" s="83" t="b">
        <v>1</v>
      </c>
      <c r="G1398" s="83"/>
      <c r="H1398" s="83"/>
    </row>
    <row r="1399" spans="1:8">
      <c r="A1399" s="83" t="s">
        <v>4878</v>
      </c>
      <c r="B1399" s="83" t="s">
        <v>4856</v>
      </c>
      <c r="C1399" s="83" t="s">
        <v>4878</v>
      </c>
      <c r="D1399" s="83" t="s">
        <v>4969</v>
      </c>
      <c r="E1399" s="84">
        <f>sch_num_funct_computers_acad_projector_depednondcp</f>
        <v>0</v>
      </c>
      <c r="F1399" s="83" t="b">
        <v>1</v>
      </c>
      <c r="G1399" s="83"/>
      <c r="H1399" s="83"/>
    </row>
    <row r="1400" spans="1:8">
      <c r="A1400" s="83" t="s">
        <v>4879</v>
      </c>
      <c r="B1400" s="83" t="s">
        <v>4856</v>
      </c>
      <c r="C1400" s="83" t="s">
        <v>4879</v>
      </c>
      <c r="D1400" s="83" t="s">
        <v>4970</v>
      </c>
      <c r="E1400" s="84">
        <f>sch_num_funct_computers_acad_projector_lgusef</f>
        <v>0</v>
      </c>
      <c r="F1400" s="83" t="b">
        <v>1</v>
      </c>
      <c r="G1400" s="83"/>
      <c r="H1400" s="83"/>
    </row>
    <row r="1401" spans="1:8">
      <c r="A1401" s="83" t="s">
        <v>4880</v>
      </c>
      <c r="B1401" s="83" t="s">
        <v>4856</v>
      </c>
      <c r="C1401" s="83" t="s">
        <v>4880</v>
      </c>
      <c r="D1401" s="83" t="s">
        <v>4971</v>
      </c>
      <c r="E1401" s="84">
        <f>sch_num_funct_computers_acad_projector_pta</f>
        <v>0</v>
      </c>
      <c r="F1401" s="83" t="b">
        <v>1</v>
      </c>
      <c r="G1401" s="83"/>
      <c r="H1401" s="83"/>
    </row>
    <row r="1402" spans="1:8">
      <c r="A1402" s="83" t="s">
        <v>4881</v>
      </c>
      <c r="B1402" s="83" t="s">
        <v>4856</v>
      </c>
      <c r="C1402" s="83" t="s">
        <v>4881</v>
      </c>
      <c r="D1402" s="83" t="s">
        <v>4972</v>
      </c>
      <c r="E1402" s="84">
        <f>sch_num_funct_computers_acad_projector_privatedon</f>
        <v>0</v>
      </c>
      <c r="F1402" s="83" t="b">
        <v>1</v>
      </c>
      <c r="G1402" s="83"/>
      <c r="H1402" s="83"/>
    </row>
    <row r="1403" spans="1:8">
      <c r="A1403" s="83" t="s">
        <v>4882</v>
      </c>
      <c r="B1403" s="83" t="s">
        <v>4856</v>
      </c>
      <c r="C1403" s="83" t="s">
        <v>4882</v>
      </c>
      <c r="D1403" s="83" t="s">
        <v>4973</v>
      </c>
      <c r="E1403" s="84">
        <f>sch_num_funct_computers_acad_projector_othergov</f>
        <v>0</v>
      </c>
      <c r="F1403" s="83" t="b">
        <v>1</v>
      </c>
      <c r="G1403" s="83"/>
      <c r="H1403" s="83"/>
    </row>
    <row r="1404" spans="1:8">
      <c r="A1404" s="83" t="s">
        <v>4883</v>
      </c>
      <c r="B1404" s="83" t="s">
        <v>4856</v>
      </c>
      <c r="C1404" s="83" t="s">
        <v>4883</v>
      </c>
      <c r="D1404" s="83" t="s">
        <v>4974</v>
      </c>
      <c r="E1404" s="84">
        <f>sch_num_funct_computers_acad_projector_others</f>
        <v>0</v>
      </c>
      <c r="F1404" s="83" t="b">
        <v>1</v>
      </c>
      <c r="G1404" s="83"/>
      <c r="H1404" s="83"/>
    </row>
    <row r="1405" spans="1:8">
      <c r="A1405" s="83" t="s">
        <v>4884</v>
      </c>
      <c r="B1405" s="83" t="s">
        <v>4856</v>
      </c>
      <c r="C1405" s="83" t="s">
        <v>4884</v>
      </c>
      <c r="D1405" s="83" t="s">
        <v>4975</v>
      </c>
      <c r="E1405" s="84">
        <f>sch_num_funct_computers_acad_ups_depeddcp</f>
        <v>0</v>
      </c>
      <c r="F1405" s="83" t="b">
        <v>1</v>
      </c>
      <c r="G1405" s="83"/>
      <c r="H1405" s="83"/>
    </row>
    <row r="1406" spans="1:8">
      <c r="A1406" s="83" t="s">
        <v>4885</v>
      </c>
      <c r="B1406" s="83" t="s">
        <v>4856</v>
      </c>
      <c r="C1406" s="83" t="s">
        <v>4885</v>
      </c>
      <c r="D1406" s="83" t="s">
        <v>4976</v>
      </c>
      <c r="E1406" s="84">
        <f>sch_num_funct_computers_acad_ups_depednondcp</f>
        <v>0</v>
      </c>
      <c r="F1406" s="83" t="b">
        <v>1</v>
      </c>
      <c r="G1406" s="83"/>
      <c r="H1406" s="83"/>
    </row>
    <row r="1407" spans="1:8">
      <c r="A1407" s="83" t="s">
        <v>4886</v>
      </c>
      <c r="B1407" s="83" t="s">
        <v>4856</v>
      </c>
      <c r="C1407" s="83" t="s">
        <v>4886</v>
      </c>
      <c r="D1407" s="83" t="s">
        <v>4977</v>
      </c>
      <c r="E1407" s="84">
        <f>sch_num_funct_computers_acad_ups_lgusef</f>
        <v>0</v>
      </c>
      <c r="F1407" s="83" t="b">
        <v>1</v>
      </c>
      <c r="G1407" s="83"/>
      <c r="H1407" s="83"/>
    </row>
    <row r="1408" spans="1:8">
      <c r="A1408" s="83" t="s">
        <v>4887</v>
      </c>
      <c r="B1408" s="83" t="s">
        <v>4856</v>
      </c>
      <c r="C1408" s="83" t="s">
        <v>4887</v>
      </c>
      <c r="D1408" s="83" t="s">
        <v>4978</v>
      </c>
      <c r="E1408" s="84">
        <f>sch_num_funct_computers_acad_ups_pta</f>
        <v>0</v>
      </c>
      <c r="F1408" s="83" t="b">
        <v>1</v>
      </c>
      <c r="G1408" s="83"/>
      <c r="H1408" s="83"/>
    </row>
    <row r="1409" spans="1:9">
      <c r="A1409" s="83" t="s">
        <v>4888</v>
      </c>
      <c r="B1409" s="83" t="s">
        <v>4856</v>
      </c>
      <c r="C1409" s="83" t="s">
        <v>4888</v>
      </c>
      <c r="D1409" s="83" t="s">
        <v>4979</v>
      </c>
      <c r="E1409" s="84">
        <f>sch_num_funct_computers_acad_ups_privatedon</f>
        <v>0</v>
      </c>
      <c r="F1409" s="83" t="b">
        <v>1</v>
      </c>
      <c r="G1409" s="83"/>
      <c r="H1409" s="83"/>
    </row>
    <row r="1410" spans="1:9">
      <c r="A1410" s="83" t="s">
        <v>4889</v>
      </c>
      <c r="B1410" s="83" t="s">
        <v>4856</v>
      </c>
      <c r="C1410" s="83" t="s">
        <v>4889</v>
      </c>
      <c r="D1410" s="83" t="s">
        <v>4980</v>
      </c>
      <c r="E1410" s="84">
        <f>sch_num_funct_computers_acad_ups_othergov</f>
        <v>0</v>
      </c>
      <c r="F1410" s="83" t="b">
        <v>1</v>
      </c>
      <c r="G1410" s="83"/>
      <c r="H1410" s="83"/>
    </row>
    <row r="1411" spans="1:9">
      <c r="A1411" s="83" t="s">
        <v>4890</v>
      </c>
      <c r="B1411" s="83" t="s">
        <v>4856</v>
      </c>
      <c r="C1411" s="83" t="s">
        <v>4890</v>
      </c>
      <c r="D1411" s="83" t="s">
        <v>4981</v>
      </c>
      <c r="E1411" s="84">
        <f>sch_num_funct_computers_acad_ups_others</f>
        <v>0</v>
      </c>
      <c r="F1411" s="83" t="b">
        <v>1</v>
      </c>
      <c r="G1411" s="83"/>
      <c r="H1411" s="83"/>
    </row>
    <row r="1412" spans="1:9">
      <c r="A1412" s="83" t="s">
        <v>4891</v>
      </c>
      <c r="B1412" s="83" t="s">
        <v>4856</v>
      </c>
      <c r="C1412" s="83" t="s">
        <v>4891</v>
      </c>
      <c r="D1412" s="83" t="s">
        <v>4982</v>
      </c>
      <c r="E1412" s="84">
        <f>sch_num_funct_computers_acad_router_depeddcp</f>
        <v>0</v>
      </c>
      <c r="F1412" s="83" t="b">
        <v>1</v>
      </c>
      <c r="G1412" s="83"/>
      <c r="H1412" s="83"/>
    </row>
    <row r="1413" spans="1:9">
      <c r="A1413" s="83" t="s">
        <v>4892</v>
      </c>
      <c r="B1413" s="83" t="s">
        <v>4856</v>
      </c>
      <c r="C1413" s="83" t="s">
        <v>4892</v>
      </c>
      <c r="D1413" s="83" t="s">
        <v>4983</v>
      </c>
      <c r="E1413" s="84">
        <f>sch_num_funct_computers_acad_router_depednondcp</f>
        <v>0</v>
      </c>
      <c r="F1413" s="83" t="b">
        <v>1</v>
      </c>
      <c r="G1413" s="83"/>
      <c r="H1413" s="83"/>
    </row>
    <row r="1414" spans="1:9">
      <c r="A1414" s="83" t="s">
        <v>4893</v>
      </c>
      <c r="B1414" s="83" t="s">
        <v>4856</v>
      </c>
      <c r="C1414" s="83" t="s">
        <v>4893</v>
      </c>
      <c r="D1414" s="83" t="s">
        <v>4984</v>
      </c>
      <c r="E1414" s="84">
        <f>sch_num_funct_computers_acad_router_lgusef</f>
        <v>0</v>
      </c>
      <c r="F1414" s="83" t="b">
        <v>1</v>
      </c>
      <c r="G1414" s="83"/>
      <c r="H1414" s="83"/>
    </row>
    <row r="1415" spans="1:9">
      <c r="A1415" s="83" t="s">
        <v>4894</v>
      </c>
      <c r="B1415" s="83" t="s">
        <v>4856</v>
      </c>
      <c r="C1415" s="83" t="s">
        <v>4894</v>
      </c>
      <c r="D1415" s="83" t="s">
        <v>4985</v>
      </c>
      <c r="E1415" s="84">
        <f>sch_num_funct_computers_acad_router_pta</f>
        <v>0</v>
      </c>
      <c r="F1415" s="83" t="b">
        <v>1</v>
      </c>
      <c r="G1415" s="83"/>
      <c r="H1415" s="83"/>
    </row>
    <row r="1416" spans="1:9">
      <c r="A1416" s="83" t="s">
        <v>4895</v>
      </c>
      <c r="B1416" s="83" t="s">
        <v>4856</v>
      </c>
      <c r="C1416" s="83" t="s">
        <v>4895</v>
      </c>
      <c r="D1416" s="83" t="s">
        <v>4986</v>
      </c>
      <c r="E1416" s="84">
        <f>sch_num_funct_computers_acad_router_privatedon</f>
        <v>0</v>
      </c>
      <c r="F1416" s="83" t="b">
        <v>1</v>
      </c>
      <c r="G1416" s="83"/>
      <c r="H1416" s="83"/>
    </row>
    <row r="1417" spans="1:9">
      <c r="A1417" s="83" t="s">
        <v>4896</v>
      </c>
      <c r="B1417" s="83" t="s">
        <v>4856</v>
      </c>
      <c r="C1417" s="83" t="s">
        <v>4896</v>
      </c>
      <c r="D1417" s="83" t="s">
        <v>4987</v>
      </c>
      <c r="E1417" s="84">
        <f>sch_num_funct_computers_acad_router_othergov</f>
        <v>0</v>
      </c>
      <c r="F1417" s="83" t="b">
        <v>1</v>
      </c>
      <c r="G1417" s="83"/>
      <c r="H1417" s="83"/>
    </row>
    <row r="1418" spans="1:9">
      <c r="A1418" s="83" t="s">
        <v>4897</v>
      </c>
      <c r="B1418" s="83" t="s">
        <v>4856</v>
      </c>
      <c r="C1418" s="83" t="s">
        <v>4897</v>
      </c>
      <c r="D1418" s="83" t="s">
        <v>4988</v>
      </c>
      <c r="E1418" s="84">
        <f>sch_num_funct_computers_acad_router_others</f>
        <v>0</v>
      </c>
      <c r="F1418" s="83" t="b">
        <v>1</v>
      </c>
      <c r="G1418" s="83"/>
      <c r="H1418" s="83"/>
    </row>
    <row r="1419" spans="1:9">
      <c r="A1419" s="83" t="s">
        <v>4940</v>
      </c>
      <c r="B1419" s="83" t="s">
        <v>4856</v>
      </c>
      <c r="C1419" s="83" t="s">
        <v>4940</v>
      </c>
      <c r="D1419" s="83" t="s">
        <v>4989</v>
      </c>
      <c r="E1419" s="84">
        <f>sch_num_funct_computers_acad_lapel_depeddcp</f>
        <v>0</v>
      </c>
      <c r="F1419" s="83" t="b">
        <v>1</v>
      </c>
      <c r="G1419" s="83"/>
      <c r="H1419" s="83"/>
      <c r="I1419" s="110" t="s">
        <v>11532</v>
      </c>
    </row>
    <row r="1420" spans="1:9">
      <c r="A1420" s="83" t="s">
        <v>4941</v>
      </c>
      <c r="B1420" s="83" t="s">
        <v>4856</v>
      </c>
      <c r="C1420" s="83" t="s">
        <v>4941</v>
      </c>
      <c r="D1420" s="83" t="s">
        <v>4990</v>
      </c>
      <c r="E1420" s="84">
        <f>sch_num_funct_computers_acad_lapel_depednondcp</f>
        <v>0</v>
      </c>
      <c r="F1420" s="83" t="b">
        <v>1</v>
      </c>
      <c r="G1420" s="83"/>
      <c r="H1420" s="83"/>
      <c r="I1420" s="110" t="s">
        <v>11532</v>
      </c>
    </row>
    <row r="1421" spans="1:9">
      <c r="A1421" s="83" t="s">
        <v>4942</v>
      </c>
      <c r="B1421" s="83" t="s">
        <v>4856</v>
      </c>
      <c r="C1421" s="83" t="s">
        <v>4942</v>
      </c>
      <c r="D1421" s="83" t="s">
        <v>4991</v>
      </c>
      <c r="E1421" s="84">
        <f>sch_num_funct_computers_acad_lapel_lgusef</f>
        <v>0</v>
      </c>
      <c r="F1421" s="83" t="b">
        <v>1</v>
      </c>
      <c r="G1421" s="83"/>
      <c r="H1421" s="83"/>
      <c r="I1421" s="110" t="s">
        <v>11532</v>
      </c>
    </row>
    <row r="1422" spans="1:9">
      <c r="A1422" s="83" t="s">
        <v>4943</v>
      </c>
      <c r="B1422" s="83" t="s">
        <v>4856</v>
      </c>
      <c r="C1422" s="83" t="s">
        <v>4943</v>
      </c>
      <c r="D1422" s="83" t="s">
        <v>4992</v>
      </c>
      <c r="E1422" s="84">
        <f>sch_num_funct_computers_acad_lapel_pta</f>
        <v>0</v>
      </c>
      <c r="F1422" s="83" t="b">
        <v>1</v>
      </c>
      <c r="G1422" s="83"/>
      <c r="H1422" s="83"/>
      <c r="I1422" s="110" t="s">
        <v>11532</v>
      </c>
    </row>
    <row r="1423" spans="1:9">
      <c r="A1423" s="83" t="s">
        <v>4944</v>
      </c>
      <c r="B1423" s="83" t="s">
        <v>4856</v>
      </c>
      <c r="C1423" s="83" t="s">
        <v>4944</v>
      </c>
      <c r="D1423" s="83" t="s">
        <v>4993</v>
      </c>
      <c r="E1423" s="84">
        <f>sch_num_funct_computers_acad_lapel_privatedon</f>
        <v>0</v>
      </c>
      <c r="F1423" s="83" t="b">
        <v>1</v>
      </c>
      <c r="G1423" s="83"/>
      <c r="H1423" s="83"/>
      <c r="I1423" s="110" t="s">
        <v>11532</v>
      </c>
    </row>
    <row r="1424" spans="1:9">
      <c r="A1424" s="83" t="s">
        <v>4945</v>
      </c>
      <c r="B1424" s="83" t="s">
        <v>4856</v>
      </c>
      <c r="C1424" s="83" t="s">
        <v>4945</v>
      </c>
      <c r="D1424" s="83" t="s">
        <v>4994</v>
      </c>
      <c r="E1424" s="84">
        <f>sch_num_funct_computers_acad_lapel_othergov</f>
        <v>0</v>
      </c>
      <c r="F1424" s="83" t="b">
        <v>1</v>
      </c>
      <c r="G1424" s="83"/>
      <c r="H1424" s="83"/>
      <c r="I1424" s="110" t="s">
        <v>11532</v>
      </c>
    </row>
    <row r="1425" spans="1:9">
      <c r="A1425" s="83" t="s">
        <v>4946</v>
      </c>
      <c r="B1425" s="83" t="s">
        <v>4856</v>
      </c>
      <c r="C1425" s="83" t="s">
        <v>4946</v>
      </c>
      <c r="D1425" s="83" t="s">
        <v>4995</v>
      </c>
      <c r="E1425" s="84">
        <f>sch_num_funct_computers_acad_lapel_others</f>
        <v>0</v>
      </c>
      <c r="F1425" s="83" t="b">
        <v>1</v>
      </c>
      <c r="G1425" s="83"/>
      <c r="H1425" s="83"/>
      <c r="I1425" s="110" t="s">
        <v>11532</v>
      </c>
    </row>
    <row r="1426" spans="1:9">
      <c r="A1426" s="83" t="s">
        <v>4898</v>
      </c>
      <c r="B1426" s="83" t="s">
        <v>4856</v>
      </c>
      <c r="C1426" s="83" t="s">
        <v>4898</v>
      </c>
      <c r="D1426" s="83" t="s">
        <v>4996</v>
      </c>
      <c r="E1426" s="84">
        <f>sch_num_funct_computers_admin_ledtv_depeddcp</f>
        <v>0</v>
      </c>
      <c r="F1426" s="83" t="b">
        <v>1</v>
      </c>
      <c r="G1426" s="83"/>
      <c r="H1426" s="83"/>
    </row>
    <row r="1427" spans="1:9">
      <c r="A1427" s="83" t="s">
        <v>4899</v>
      </c>
      <c r="B1427" s="83" t="s">
        <v>4856</v>
      </c>
      <c r="C1427" s="83" t="s">
        <v>4899</v>
      </c>
      <c r="D1427" s="83" t="s">
        <v>4997</v>
      </c>
      <c r="E1427" s="84">
        <f>sch_num_funct_computers_admin_ledtv_depednondcp</f>
        <v>0</v>
      </c>
      <c r="F1427" s="83" t="b">
        <v>1</v>
      </c>
      <c r="G1427" s="83"/>
      <c r="H1427" s="83"/>
    </row>
    <row r="1428" spans="1:9">
      <c r="A1428" s="83" t="s">
        <v>4900</v>
      </c>
      <c r="B1428" s="83" t="s">
        <v>4856</v>
      </c>
      <c r="C1428" s="83" t="s">
        <v>4900</v>
      </c>
      <c r="D1428" s="83" t="s">
        <v>4998</v>
      </c>
      <c r="E1428" s="84">
        <f>sch_num_funct_computers_admin_ledtv_lgusef</f>
        <v>0</v>
      </c>
      <c r="F1428" s="83" t="b">
        <v>1</v>
      </c>
      <c r="G1428" s="83"/>
      <c r="H1428" s="83"/>
    </row>
    <row r="1429" spans="1:9">
      <c r="A1429" s="83" t="s">
        <v>4901</v>
      </c>
      <c r="B1429" s="83" t="s">
        <v>4856</v>
      </c>
      <c r="C1429" s="83" t="s">
        <v>4901</v>
      </c>
      <c r="D1429" s="83" t="s">
        <v>4999</v>
      </c>
      <c r="E1429" s="84">
        <f>sch_num_funct_computers_admin_ledtv_pta</f>
        <v>0</v>
      </c>
      <c r="F1429" s="83" t="b">
        <v>1</v>
      </c>
      <c r="G1429" s="83"/>
      <c r="H1429" s="83"/>
    </row>
    <row r="1430" spans="1:9">
      <c r="A1430" s="83" t="s">
        <v>4902</v>
      </c>
      <c r="B1430" s="83" t="s">
        <v>4856</v>
      </c>
      <c r="C1430" s="83" t="s">
        <v>4902</v>
      </c>
      <c r="D1430" s="83" t="s">
        <v>5000</v>
      </c>
      <c r="E1430" s="84">
        <f>sch_num_funct_computers_admin_ledtv_privatedon</f>
        <v>0</v>
      </c>
      <c r="F1430" s="83" t="b">
        <v>1</v>
      </c>
      <c r="G1430" s="83"/>
      <c r="H1430" s="83"/>
    </row>
    <row r="1431" spans="1:9">
      <c r="A1431" s="83" t="s">
        <v>4903</v>
      </c>
      <c r="B1431" s="83" t="s">
        <v>4856</v>
      </c>
      <c r="C1431" s="83" t="s">
        <v>4903</v>
      </c>
      <c r="D1431" s="83" t="s">
        <v>5001</v>
      </c>
      <c r="E1431" s="84">
        <f>sch_num_funct_computers_admin_ledtv_othergov</f>
        <v>0</v>
      </c>
      <c r="F1431" s="83" t="b">
        <v>1</v>
      </c>
      <c r="G1431" s="83"/>
      <c r="H1431" s="83"/>
    </row>
    <row r="1432" spans="1:9">
      <c r="A1432" s="83" t="s">
        <v>4904</v>
      </c>
      <c r="B1432" s="83" t="s">
        <v>4856</v>
      </c>
      <c r="C1432" s="83" t="s">
        <v>4904</v>
      </c>
      <c r="D1432" s="83" t="s">
        <v>5002</v>
      </c>
      <c r="E1432" s="84">
        <f>sch_num_funct_computers_admin_ledtv_others</f>
        <v>0</v>
      </c>
      <c r="F1432" s="83" t="b">
        <v>1</v>
      </c>
      <c r="G1432" s="83"/>
      <c r="H1432" s="83"/>
    </row>
    <row r="1433" spans="1:9">
      <c r="A1433" s="83" t="s">
        <v>4905</v>
      </c>
      <c r="B1433" s="83" t="s">
        <v>4856</v>
      </c>
      <c r="C1433" s="83" t="s">
        <v>4905</v>
      </c>
      <c r="D1433" s="83" t="s">
        <v>5003</v>
      </c>
      <c r="E1433" s="84">
        <f>sch_num_funct_computers_admin_netswitch_depeddcp</f>
        <v>0</v>
      </c>
      <c r="F1433" s="83" t="b">
        <v>1</v>
      </c>
      <c r="G1433" s="83"/>
      <c r="H1433" s="83"/>
    </row>
    <row r="1434" spans="1:9">
      <c r="A1434" s="83" t="s">
        <v>4906</v>
      </c>
      <c r="B1434" s="83" t="s">
        <v>4856</v>
      </c>
      <c r="C1434" s="83" t="s">
        <v>4906</v>
      </c>
      <c r="D1434" s="83" t="s">
        <v>5004</v>
      </c>
      <c r="E1434" s="84">
        <f>sch_num_funct_computers_admin_netswitch_depednondcp</f>
        <v>0</v>
      </c>
      <c r="F1434" s="83" t="b">
        <v>1</v>
      </c>
      <c r="G1434" s="83"/>
      <c r="H1434" s="83"/>
    </row>
    <row r="1435" spans="1:9">
      <c r="A1435" s="83" t="s">
        <v>4907</v>
      </c>
      <c r="B1435" s="83" t="s">
        <v>4856</v>
      </c>
      <c r="C1435" s="83" t="s">
        <v>4907</v>
      </c>
      <c r="D1435" s="83" t="s">
        <v>5005</v>
      </c>
      <c r="E1435" s="84">
        <f>sch_num_funct_computers_admin_netswitch_lgusef</f>
        <v>0</v>
      </c>
      <c r="F1435" s="83" t="b">
        <v>1</v>
      </c>
      <c r="G1435" s="83"/>
      <c r="H1435" s="83"/>
    </row>
    <row r="1436" spans="1:9">
      <c r="A1436" s="83" t="s">
        <v>4908</v>
      </c>
      <c r="B1436" s="83" t="s">
        <v>4856</v>
      </c>
      <c r="C1436" s="83" t="s">
        <v>4908</v>
      </c>
      <c r="D1436" s="83" t="s">
        <v>5006</v>
      </c>
      <c r="E1436" s="84">
        <f>sch_num_funct_computers_admin_netswitch_pta</f>
        <v>0</v>
      </c>
      <c r="F1436" s="83" t="b">
        <v>1</v>
      </c>
      <c r="G1436" s="83"/>
      <c r="H1436" s="83"/>
    </row>
    <row r="1437" spans="1:9">
      <c r="A1437" s="83" t="s">
        <v>4909</v>
      </c>
      <c r="B1437" s="83" t="s">
        <v>4856</v>
      </c>
      <c r="C1437" s="83" t="s">
        <v>4909</v>
      </c>
      <c r="D1437" s="83" t="s">
        <v>5007</v>
      </c>
      <c r="E1437" s="84">
        <f>sch_num_funct_computers_admin_netswitch_privatedon</f>
        <v>0</v>
      </c>
      <c r="F1437" s="83" t="b">
        <v>1</v>
      </c>
      <c r="G1437" s="83"/>
      <c r="H1437" s="83"/>
    </row>
    <row r="1438" spans="1:9">
      <c r="A1438" s="83" t="s">
        <v>4910</v>
      </c>
      <c r="B1438" s="83" t="s">
        <v>4856</v>
      </c>
      <c r="C1438" s="83" t="s">
        <v>4910</v>
      </c>
      <c r="D1438" s="83" t="s">
        <v>5008</v>
      </c>
      <c r="E1438" s="84">
        <f>sch_num_funct_computers_admin_netswitch_othergov</f>
        <v>0</v>
      </c>
      <c r="F1438" s="83" t="b">
        <v>1</v>
      </c>
      <c r="G1438" s="83"/>
      <c r="H1438" s="83"/>
    </row>
    <row r="1439" spans="1:9">
      <c r="A1439" s="83" t="s">
        <v>4911</v>
      </c>
      <c r="B1439" s="83" t="s">
        <v>4856</v>
      </c>
      <c r="C1439" s="83" t="s">
        <v>4911</v>
      </c>
      <c r="D1439" s="83" t="s">
        <v>5009</v>
      </c>
      <c r="E1439" s="84">
        <f>sch_num_funct_computers_admin_netswitch_others</f>
        <v>0</v>
      </c>
      <c r="F1439" s="83" t="b">
        <v>1</v>
      </c>
      <c r="G1439" s="83"/>
      <c r="H1439" s="83"/>
    </row>
    <row r="1440" spans="1:9">
      <c r="A1440" s="83" t="s">
        <v>4912</v>
      </c>
      <c r="B1440" s="83" t="s">
        <v>4856</v>
      </c>
      <c r="C1440" s="83" t="s">
        <v>4912</v>
      </c>
      <c r="D1440" s="83" t="s">
        <v>5010</v>
      </c>
      <c r="E1440" s="84">
        <f>sch_num_funct_computers_admin_printer_depeddcp</f>
        <v>0</v>
      </c>
      <c r="F1440" s="83" t="b">
        <v>1</v>
      </c>
      <c r="G1440" s="83"/>
      <c r="H1440" s="83"/>
    </row>
    <row r="1441" spans="1:8">
      <c r="A1441" s="83" t="s">
        <v>4913</v>
      </c>
      <c r="B1441" s="83" t="s">
        <v>4856</v>
      </c>
      <c r="C1441" s="83" t="s">
        <v>4913</v>
      </c>
      <c r="D1441" s="83" t="s">
        <v>5011</v>
      </c>
      <c r="E1441" s="84">
        <f>sch_num_funct_computers_admin_printer_depednondcp</f>
        <v>0</v>
      </c>
      <c r="F1441" s="83" t="b">
        <v>1</v>
      </c>
      <c r="G1441" s="83"/>
      <c r="H1441" s="83"/>
    </row>
    <row r="1442" spans="1:8">
      <c r="A1442" s="83" t="s">
        <v>4914</v>
      </c>
      <c r="B1442" s="83" t="s">
        <v>4856</v>
      </c>
      <c r="C1442" s="83" t="s">
        <v>4914</v>
      </c>
      <c r="D1442" s="83" t="s">
        <v>5012</v>
      </c>
      <c r="E1442" s="84">
        <f>sch_num_funct_computers_admin_printer_lgusef</f>
        <v>0</v>
      </c>
      <c r="F1442" s="83" t="b">
        <v>1</v>
      </c>
      <c r="G1442" s="83"/>
      <c r="H1442" s="83"/>
    </row>
    <row r="1443" spans="1:8">
      <c r="A1443" s="83" t="s">
        <v>4915</v>
      </c>
      <c r="B1443" s="83" t="s">
        <v>4856</v>
      </c>
      <c r="C1443" s="83" t="s">
        <v>4915</v>
      </c>
      <c r="D1443" s="83" t="s">
        <v>5013</v>
      </c>
      <c r="E1443" s="84">
        <f>sch_num_funct_computers_admin_printer_pta</f>
        <v>0</v>
      </c>
      <c r="F1443" s="83" t="b">
        <v>1</v>
      </c>
      <c r="G1443" s="83"/>
      <c r="H1443" s="83"/>
    </row>
    <row r="1444" spans="1:8">
      <c r="A1444" s="83" t="s">
        <v>4916</v>
      </c>
      <c r="B1444" s="83" t="s">
        <v>4856</v>
      </c>
      <c r="C1444" s="83" t="s">
        <v>4916</v>
      </c>
      <c r="D1444" s="83" t="s">
        <v>5014</v>
      </c>
      <c r="E1444" s="84">
        <f>sch_num_funct_computers_admin_printer_privatedon</f>
        <v>0</v>
      </c>
      <c r="F1444" s="83" t="b">
        <v>1</v>
      </c>
      <c r="G1444" s="83"/>
      <c r="H1444" s="83"/>
    </row>
    <row r="1445" spans="1:8">
      <c r="A1445" s="83" t="s">
        <v>4917</v>
      </c>
      <c r="B1445" s="83" t="s">
        <v>4856</v>
      </c>
      <c r="C1445" s="83" t="s">
        <v>4917</v>
      </c>
      <c r="D1445" s="83" t="s">
        <v>5015</v>
      </c>
      <c r="E1445" s="84">
        <f>sch_num_funct_computers_admin_printer_othergov</f>
        <v>0</v>
      </c>
      <c r="F1445" s="83" t="b">
        <v>1</v>
      </c>
      <c r="G1445" s="83"/>
      <c r="H1445" s="83"/>
    </row>
    <row r="1446" spans="1:8">
      <c r="A1446" s="83" t="s">
        <v>4918</v>
      </c>
      <c r="B1446" s="83" t="s">
        <v>4856</v>
      </c>
      <c r="C1446" s="83" t="s">
        <v>4918</v>
      </c>
      <c r="D1446" s="83" t="s">
        <v>5016</v>
      </c>
      <c r="E1446" s="84">
        <f>sch_num_funct_computers_admin_printer_others</f>
        <v>0</v>
      </c>
      <c r="F1446" s="83" t="b">
        <v>1</v>
      </c>
      <c r="G1446" s="83"/>
      <c r="H1446" s="83"/>
    </row>
    <row r="1447" spans="1:8">
      <c r="A1447" s="83" t="s">
        <v>4919</v>
      </c>
      <c r="B1447" s="83" t="s">
        <v>4856</v>
      </c>
      <c r="C1447" s="83" t="s">
        <v>4919</v>
      </c>
      <c r="D1447" s="83" t="s">
        <v>5017</v>
      </c>
      <c r="E1447" s="84">
        <f>sch_num_funct_computers_admin_projector_depeddcp</f>
        <v>0</v>
      </c>
      <c r="F1447" s="83" t="b">
        <v>1</v>
      </c>
      <c r="G1447" s="83"/>
      <c r="H1447" s="83"/>
    </row>
    <row r="1448" spans="1:8">
      <c r="A1448" s="83" t="s">
        <v>4920</v>
      </c>
      <c r="B1448" s="83" t="s">
        <v>4856</v>
      </c>
      <c r="C1448" s="83" t="s">
        <v>4920</v>
      </c>
      <c r="D1448" s="83" t="s">
        <v>5018</v>
      </c>
      <c r="E1448" s="84">
        <f>sch_num_funct_computers_admin_projector_depednondcp</f>
        <v>0</v>
      </c>
      <c r="F1448" s="83" t="b">
        <v>1</v>
      </c>
      <c r="G1448" s="83"/>
      <c r="H1448" s="83"/>
    </row>
    <row r="1449" spans="1:8">
      <c r="A1449" s="83" t="s">
        <v>4921</v>
      </c>
      <c r="B1449" s="83" t="s">
        <v>4856</v>
      </c>
      <c r="C1449" s="83" t="s">
        <v>4921</v>
      </c>
      <c r="D1449" s="83" t="s">
        <v>5019</v>
      </c>
      <c r="E1449" s="84">
        <f>sch_num_funct_computers_admin_projector_lgusef</f>
        <v>0</v>
      </c>
      <c r="F1449" s="83" t="b">
        <v>1</v>
      </c>
      <c r="G1449" s="83"/>
      <c r="H1449" s="83"/>
    </row>
    <row r="1450" spans="1:8">
      <c r="A1450" s="83" t="s">
        <v>4922</v>
      </c>
      <c r="B1450" s="83" t="s">
        <v>4856</v>
      </c>
      <c r="C1450" s="83" t="s">
        <v>4922</v>
      </c>
      <c r="D1450" s="83" t="s">
        <v>5020</v>
      </c>
      <c r="E1450" s="84">
        <f>sch_num_funct_computers_admin_projector_pta</f>
        <v>0</v>
      </c>
      <c r="F1450" s="83" t="b">
        <v>1</v>
      </c>
      <c r="G1450" s="83"/>
      <c r="H1450" s="83"/>
    </row>
    <row r="1451" spans="1:8">
      <c r="A1451" s="83" t="s">
        <v>4923</v>
      </c>
      <c r="B1451" s="83" t="s">
        <v>4856</v>
      </c>
      <c r="C1451" s="83" t="s">
        <v>4923</v>
      </c>
      <c r="D1451" s="83" t="s">
        <v>5021</v>
      </c>
      <c r="E1451" s="84">
        <f>sch_num_funct_computers_admin_projector_privatedon</f>
        <v>0</v>
      </c>
      <c r="F1451" s="83" t="b">
        <v>1</v>
      </c>
      <c r="G1451" s="83"/>
      <c r="H1451" s="83"/>
    </row>
    <row r="1452" spans="1:8">
      <c r="A1452" s="83" t="s">
        <v>4924</v>
      </c>
      <c r="B1452" s="83" t="s">
        <v>4856</v>
      </c>
      <c r="C1452" s="83" t="s">
        <v>4924</v>
      </c>
      <c r="D1452" s="83" t="s">
        <v>5022</v>
      </c>
      <c r="E1452" s="84">
        <f>sch_num_funct_computers_admin_projector_othergov</f>
        <v>0</v>
      </c>
      <c r="F1452" s="83" t="b">
        <v>1</v>
      </c>
      <c r="G1452" s="83"/>
      <c r="H1452" s="83"/>
    </row>
    <row r="1453" spans="1:8">
      <c r="A1453" s="83" t="s">
        <v>4925</v>
      </c>
      <c r="B1453" s="83" t="s">
        <v>4856</v>
      </c>
      <c r="C1453" s="83" t="s">
        <v>4925</v>
      </c>
      <c r="D1453" s="83" t="s">
        <v>5023</v>
      </c>
      <c r="E1453" s="84">
        <f>sch_num_funct_computers_admin_projector_others</f>
        <v>0</v>
      </c>
      <c r="F1453" s="83" t="b">
        <v>1</v>
      </c>
      <c r="G1453" s="83"/>
      <c r="H1453" s="83"/>
    </row>
    <row r="1454" spans="1:8">
      <c r="A1454" s="83" t="s">
        <v>4926</v>
      </c>
      <c r="B1454" s="83" t="s">
        <v>4856</v>
      </c>
      <c r="C1454" s="83" t="s">
        <v>4926</v>
      </c>
      <c r="D1454" s="83" t="s">
        <v>5024</v>
      </c>
      <c r="E1454" s="84">
        <f>sch_num_funct_computers_admin_ups_depeddcp</f>
        <v>0</v>
      </c>
      <c r="F1454" s="83" t="b">
        <v>1</v>
      </c>
      <c r="G1454" s="83"/>
      <c r="H1454" s="83"/>
    </row>
    <row r="1455" spans="1:8">
      <c r="A1455" s="83" t="s">
        <v>4927</v>
      </c>
      <c r="B1455" s="83" t="s">
        <v>4856</v>
      </c>
      <c r="C1455" s="83" t="s">
        <v>4927</v>
      </c>
      <c r="D1455" s="83" t="s">
        <v>5025</v>
      </c>
      <c r="E1455" s="84">
        <f>sch_num_funct_computers_admin_ups_depednondcp</f>
        <v>0</v>
      </c>
      <c r="F1455" s="83" t="b">
        <v>1</v>
      </c>
      <c r="G1455" s="83"/>
      <c r="H1455" s="83"/>
    </row>
    <row r="1456" spans="1:8">
      <c r="A1456" s="83" t="s">
        <v>4928</v>
      </c>
      <c r="B1456" s="83" t="s">
        <v>4856</v>
      </c>
      <c r="C1456" s="83" t="s">
        <v>4928</v>
      </c>
      <c r="D1456" s="83" t="s">
        <v>5026</v>
      </c>
      <c r="E1456" s="84">
        <f>sch_num_funct_computers_admin_ups_lgusef</f>
        <v>0</v>
      </c>
      <c r="F1456" s="83" t="b">
        <v>1</v>
      </c>
      <c r="G1456" s="83"/>
      <c r="H1456" s="83"/>
    </row>
    <row r="1457" spans="1:8">
      <c r="A1457" s="83" t="s">
        <v>4929</v>
      </c>
      <c r="B1457" s="83" t="s">
        <v>4856</v>
      </c>
      <c r="C1457" s="83" t="s">
        <v>4929</v>
      </c>
      <c r="D1457" s="83" t="s">
        <v>5027</v>
      </c>
      <c r="E1457" s="84">
        <f>sch_num_funct_computers_admin_ups_pta</f>
        <v>0</v>
      </c>
      <c r="F1457" s="83" t="b">
        <v>1</v>
      </c>
      <c r="G1457" s="83"/>
      <c r="H1457" s="83"/>
    </row>
    <row r="1458" spans="1:8">
      <c r="A1458" s="83" t="s">
        <v>4930</v>
      </c>
      <c r="B1458" s="83" t="s">
        <v>4856</v>
      </c>
      <c r="C1458" s="83" t="s">
        <v>4930</v>
      </c>
      <c r="D1458" s="83" t="s">
        <v>5028</v>
      </c>
      <c r="E1458" s="84">
        <f>sch_num_funct_computers_admin_ups_privatedon</f>
        <v>0</v>
      </c>
      <c r="F1458" s="83" t="b">
        <v>1</v>
      </c>
      <c r="G1458" s="83"/>
      <c r="H1458" s="83"/>
    </row>
    <row r="1459" spans="1:8">
      <c r="A1459" s="83" t="s">
        <v>4931</v>
      </c>
      <c r="B1459" s="83" t="s">
        <v>4856</v>
      </c>
      <c r="C1459" s="83" t="s">
        <v>4931</v>
      </c>
      <c r="D1459" s="83" t="s">
        <v>5029</v>
      </c>
      <c r="E1459" s="84">
        <f>sch_num_funct_computers_admin_ups_othergov</f>
        <v>0</v>
      </c>
      <c r="F1459" s="83" t="b">
        <v>1</v>
      </c>
      <c r="G1459" s="83"/>
      <c r="H1459" s="83"/>
    </row>
    <row r="1460" spans="1:8">
      <c r="A1460" s="83" t="s">
        <v>4932</v>
      </c>
      <c r="B1460" s="83" t="s">
        <v>4856</v>
      </c>
      <c r="C1460" s="83" t="s">
        <v>4932</v>
      </c>
      <c r="D1460" s="83" t="s">
        <v>5030</v>
      </c>
      <c r="E1460" s="84">
        <f>sch_num_funct_computers_admin_ups_others</f>
        <v>0</v>
      </c>
      <c r="F1460" s="83" t="b">
        <v>1</v>
      </c>
      <c r="G1460" s="83"/>
      <c r="H1460" s="83"/>
    </row>
    <row r="1461" spans="1:8">
      <c r="A1461" s="83" t="s">
        <v>4933</v>
      </c>
      <c r="B1461" s="83" t="s">
        <v>4856</v>
      </c>
      <c r="C1461" s="83" t="s">
        <v>4933</v>
      </c>
      <c r="D1461" s="83" t="s">
        <v>5031</v>
      </c>
      <c r="E1461" s="84">
        <f>sch_num_funct_computers_admin_router_depeddcp</f>
        <v>0</v>
      </c>
      <c r="F1461" s="83" t="b">
        <v>1</v>
      </c>
      <c r="G1461" s="83"/>
      <c r="H1461" s="83"/>
    </row>
    <row r="1462" spans="1:8">
      <c r="A1462" s="83" t="s">
        <v>4934</v>
      </c>
      <c r="B1462" s="83" t="s">
        <v>4856</v>
      </c>
      <c r="C1462" s="83" t="s">
        <v>4934</v>
      </c>
      <c r="D1462" s="83" t="s">
        <v>5032</v>
      </c>
      <c r="E1462" s="84">
        <f>sch_num_funct_computers_admin_router_depednondcp</f>
        <v>0</v>
      </c>
      <c r="F1462" s="83" t="b">
        <v>1</v>
      </c>
      <c r="G1462" s="83"/>
      <c r="H1462" s="83"/>
    </row>
    <row r="1463" spans="1:8">
      <c r="A1463" s="83" t="s">
        <v>4935</v>
      </c>
      <c r="B1463" s="83" t="s">
        <v>4856</v>
      </c>
      <c r="C1463" s="83" t="s">
        <v>4935</v>
      </c>
      <c r="D1463" s="83" t="s">
        <v>5033</v>
      </c>
      <c r="E1463" s="84">
        <f>sch_num_funct_computers_admin_router_lgusef</f>
        <v>0</v>
      </c>
      <c r="F1463" s="83" t="b">
        <v>1</v>
      </c>
      <c r="G1463" s="83"/>
      <c r="H1463" s="83"/>
    </row>
    <row r="1464" spans="1:8">
      <c r="A1464" s="83" t="s">
        <v>4936</v>
      </c>
      <c r="B1464" s="83" t="s">
        <v>4856</v>
      </c>
      <c r="C1464" s="83" t="s">
        <v>4936</v>
      </c>
      <c r="D1464" s="83" t="s">
        <v>5034</v>
      </c>
      <c r="E1464" s="84">
        <f>sch_num_funct_computers_admin_router_pta</f>
        <v>0</v>
      </c>
      <c r="F1464" s="83" t="b">
        <v>1</v>
      </c>
      <c r="G1464" s="83"/>
      <c r="H1464" s="83"/>
    </row>
    <row r="1465" spans="1:8">
      <c r="A1465" s="83" t="s">
        <v>4937</v>
      </c>
      <c r="B1465" s="83" t="s">
        <v>4856</v>
      </c>
      <c r="C1465" s="83" t="s">
        <v>4937</v>
      </c>
      <c r="D1465" s="83" t="s">
        <v>5035</v>
      </c>
      <c r="E1465" s="84">
        <f>sch_num_funct_computers_admin_router_privatedon</f>
        <v>0</v>
      </c>
      <c r="F1465" s="83" t="b">
        <v>1</v>
      </c>
      <c r="G1465" s="83"/>
      <c r="H1465" s="83"/>
    </row>
    <row r="1466" spans="1:8">
      <c r="A1466" s="83" t="s">
        <v>4938</v>
      </c>
      <c r="B1466" s="83" t="s">
        <v>4856</v>
      </c>
      <c r="C1466" s="83" t="s">
        <v>4938</v>
      </c>
      <c r="D1466" s="83" t="s">
        <v>5036</v>
      </c>
      <c r="E1466" s="84">
        <f>sch_num_funct_computers_admin_router_othergov</f>
        <v>0</v>
      </c>
      <c r="F1466" s="83" t="b">
        <v>1</v>
      </c>
      <c r="G1466" s="83"/>
      <c r="H1466" s="83"/>
    </row>
    <row r="1467" spans="1:8" ht="16" thickBot="1">
      <c r="A1467" s="85" t="s">
        <v>4939</v>
      </c>
      <c r="B1467" s="85" t="s">
        <v>4856</v>
      </c>
      <c r="C1467" s="85" t="s">
        <v>4939</v>
      </c>
      <c r="D1467" s="85" t="s">
        <v>5037</v>
      </c>
      <c r="E1467" s="86">
        <f>sch_num_funct_computers_admin_router_others</f>
        <v>0</v>
      </c>
      <c r="F1467" s="85" t="b">
        <v>1</v>
      </c>
      <c r="G1467" s="85"/>
      <c r="H1467" s="85"/>
    </row>
    <row r="1468" spans="1:8">
      <c r="A1468" s="83" t="s">
        <v>5038</v>
      </c>
      <c r="B1468" s="83" t="s">
        <v>5039</v>
      </c>
      <c r="C1468" s="83" t="s">
        <v>5038</v>
      </c>
      <c r="D1468" s="83" t="s">
        <v>5040</v>
      </c>
      <c r="E1468" s="84" t="b">
        <f>sch_dic_service_provider_y</f>
        <v>1</v>
      </c>
      <c r="F1468" s="83" t="b">
        <f>OR(E1468=TRUE, E1468=FALSE)</f>
        <v>1</v>
      </c>
      <c r="G1468" s="83" t="s">
        <v>2287</v>
      </c>
      <c r="H1468" s="83"/>
    </row>
    <row r="1469" spans="1:8">
      <c r="A1469" s="83" t="s">
        <v>5041</v>
      </c>
      <c r="B1469" s="83" t="s">
        <v>5039</v>
      </c>
      <c r="C1469" s="83" t="s">
        <v>5041</v>
      </c>
      <c r="D1469" s="83" t="s">
        <v>5042</v>
      </c>
      <c r="E1469" s="84" t="b">
        <f>sch_dic_service_provider_bayantel</f>
        <v>0</v>
      </c>
      <c r="F1469" s="83" t="b">
        <f t="shared" ref="F1469:F1476" si="8">OR(E1469=TRUE, E1469=FALSE)</f>
        <v>1</v>
      </c>
      <c r="G1469" s="83" t="s">
        <v>2287</v>
      </c>
      <c r="H1469" s="83"/>
    </row>
    <row r="1470" spans="1:8">
      <c r="A1470" s="83" t="s">
        <v>5043</v>
      </c>
      <c r="B1470" s="83" t="s">
        <v>5039</v>
      </c>
      <c r="C1470" s="83" t="s">
        <v>5043</v>
      </c>
      <c r="D1470" s="83" t="s">
        <v>5044</v>
      </c>
      <c r="E1470" s="84" t="b">
        <f>sch_dic_service_provider_digitel</f>
        <v>0</v>
      </c>
      <c r="F1470" s="83" t="b">
        <f t="shared" si="8"/>
        <v>1</v>
      </c>
      <c r="G1470" s="83" t="s">
        <v>2287</v>
      </c>
      <c r="H1470" s="83"/>
    </row>
    <row r="1471" spans="1:8">
      <c r="A1471" s="83" t="s">
        <v>5045</v>
      </c>
      <c r="B1471" s="83" t="s">
        <v>5039</v>
      </c>
      <c r="C1471" s="83" t="s">
        <v>5045</v>
      </c>
      <c r="D1471" s="83" t="s">
        <v>5046</v>
      </c>
      <c r="E1471" s="84" t="b">
        <f>sch_dic_service_provider_globe</f>
        <v>0</v>
      </c>
      <c r="F1471" s="83" t="b">
        <f t="shared" si="8"/>
        <v>1</v>
      </c>
      <c r="G1471" s="83" t="s">
        <v>2287</v>
      </c>
      <c r="H1471" s="83"/>
    </row>
    <row r="1472" spans="1:8">
      <c r="A1472" s="83" t="s">
        <v>5047</v>
      </c>
      <c r="B1472" s="83" t="s">
        <v>5039</v>
      </c>
      <c r="C1472" s="83" t="s">
        <v>5047</v>
      </c>
      <c r="D1472" s="83" t="s">
        <v>5048</v>
      </c>
      <c r="E1472" s="84" t="b">
        <f>sch_dic_service_provider_pldt</f>
        <v>0</v>
      </c>
      <c r="F1472" s="83" t="b">
        <f t="shared" si="8"/>
        <v>1</v>
      </c>
      <c r="G1472" s="83" t="s">
        <v>2287</v>
      </c>
      <c r="H1472" s="83"/>
    </row>
    <row r="1473" spans="1:8">
      <c r="A1473" s="83" t="s">
        <v>5049</v>
      </c>
      <c r="B1473" s="83" t="s">
        <v>5039</v>
      </c>
      <c r="C1473" s="83" t="s">
        <v>5049</v>
      </c>
      <c r="D1473" s="83" t="s">
        <v>5050</v>
      </c>
      <c r="E1473" s="84" t="b">
        <f>sch_dic_service_provider_smart</f>
        <v>1</v>
      </c>
      <c r="F1473" s="83" t="b">
        <f t="shared" si="8"/>
        <v>1</v>
      </c>
      <c r="G1473" s="83" t="s">
        <v>2287</v>
      </c>
      <c r="H1473" s="83"/>
    </row>
    <row r="1474" spans="1:8">
      <c r="A1474" s="83" t="s">
        <v>5051</v>
      </c>
      <c r="B1474" s="83" t="s">
        <v>5039</v>
      </c>
      <c r="C1474" s="83" t="s">
        <v>5051</v>
      </c>
      <c r="D1474" s="83" t="s">
        <v>5052</v>
      </c>
      <c r="E1474" s="84" t="b">
        <f>sch_dic_service_provider_sun</f>
        <v>0</v>
      </c>
      <c r="F1474" s="83" t="b">
        <f t="shared" si="8"/>
        <v>1</v>
      </c>
      <c r="G1474" s="83" t="s">
        <v>2287</v>
      </c>
      <c r="H1474" s="83"/>
    </row>
    <row r="1475" spans="1:8">
      <c r="A1475" s="83" t="s">
        <v>5053</v>
      </c>
      <c r="B1475" s="83" t="s">
        <v>5039</v>
      </c>
      <c r="C1475" s="83" t="s">
        <v>5053</v>
      </c>
      <c r="D1475" s="83" t="s">
        <v>5054</v>
      </c>
      <c r="E1475" s="84" t="b">
        <f>sch_dic_service_provider_witglobal</f>
        <v>0</v>
      </c>
      <c r="F1475" s="83" t="b">
        <f t="shared" si="8"/>
        <v>1</v>
      </c>
      <c r="G1475" s="83" t="s">
        <v>2287</v>
      </c>
      <c r="H1475" s="83"/>
    </row>
    <row r="1476" spans="1:8">
      <c r="A1476" s="83" t="s">
        <v>5055</v>
      </c>
      <c r="B1476" s="83" t="s">
        <v>5039</v>
      </c>
      <c r="C1476" s="83" t="s">
        <v>5055</v>
      </c>
      <c r="D1476" s="83" t="s">
        <v>5056</v>
      </c>
      <c r="E1476" s="84" t="b">
        <f>sch_dic_service_provider_others_y</f>
        <v>0</v>
      </c>
      <c r="F1476" s="83" t="b">
        <f t="shared" si="8"/>
        <v>1</v>
      </c>
      <c r="G1476" s="83" t="s">
        <v>2287</v>
      </c>
      <c r="H1476" s="83"/>
    </row>
    <row r="1477" spans="1:8">
      <c r="A1477" s="83" t="s">
        <v>5057</v>
      </c>
      <c r="B1477" s="83" t="s">
        <v>5039</v>
      </c>
      <c r="C1477" s="83" t="s">
        <v>5057</v>
      </c>
      <c r="D1477" s="83" t="s">
        <v>5058</v>
      </c>
      <c r="E1477" s="84">
        <f>sch_dic_service_provider_others_specify</f>
        <v>0</v>
      </c>
      <c r="F1477" s="83" t="b">
        <v>1</v>
      </c>
      <c r="G1477" s="83"/>
      <c r="H1477" s="83"/>
    </row>
    <row r="1478" spans="1:8">
      <c r="A1478" s="83" t="s">
        <v>5059</v>
      </c>
      <c r="B1478" s="83" t="s">
        <v>5039</v>
      </c>
      <c r="C1478" s="83" t="s">
        <v>5059</v>
      </c>
      <c r="D1478" s="83" t="s">
        <v>5060</v>
      </c>
      <c r="E1478" s="84" t="b">
        <f>sch_dic_subscribe_y</f>
        <v>1</v>
      </c>
      <c r="F1478" s="83" t="b">
        <f t="shared" ref="F1478:F1480" si="9">OR(E1478=TRUE, E1478=FALSE)</f>
        <v>1</v>
      </c>
      <c r="G1478" s="83" t="s">
        <v>2287</v>
      </c>
      <c r="H1478" s="83"/>
    </row>
    <row r="1479" spans="1:8">
      <c r="A1479" s="83" t="s">
        <v>5061</v>
      </c>
      <c r="B1479" s="83" t="s">
        <v>5039</v>
      </c>
      <c r="C1479" s="83" t="s">
        <v>5061</v>
      </c>
      <c r="D1479" s="83" t="s">
        <v>5062</v>
      </c>
      <c r="E1479" s="84" t="b">
        <f>sch_dic_subscribe_administrative_y</f>
        <v>1</v>
      </c>
      <c r="F1479" s="83" t="b">
        <f t="shared" si="9"/>
        <v>1</v>
      </c>
      <c r="G1479" s="83" t="s">
        <v>2287</v>
      </c>
      <c r="H1479" s="83"/>
    </row>
    <row r="1480" spans="1:8">
      <c r="A1480" s="83" t="s">
        <v>5063</v>
      </c>
      <c r="B1480" s="83" t="s">
        <v>5039</v>
      </c>
      <c r="C1480" s="83" t="s">
        <v>5063</v>
      </c>
      <c r="D1480" s="83" t="s">
        <v>5064</v>
      </c>
      <c r="E1480" s="84" t="b">
        <f>sch_dic_subscribe_classinst_y</f>
        <v>1</v>
      </c>
      <c r="F1480" s="83" t="b">
        <f t="shared" si="9"/>
        <v>1</v>
      </c>
      <c r="G1480" s="83" t="s">
        <v>2287</v>
      </c>
      <c r="H1480" s="83"/>
    </row>
    <row r="1481" spans="1:8">
      <c r="A1481" s="83" t="s">
        <v>5065</v>
      </c>
      <c r="B1481" s="83" t="s">
        <v>5039</v>
      </c>
      <c r="C1481" s="83" t="s">
        <v>5065</v>
      </c>
      <c r="D1481" s="83" t="s">
        <v>5066</v>
      </c>
      <c r="E1481" s="115">
        <f>sch_dic_fast_date_tested</f>
        <v>44677</v>
      </c>
      <c r="F1481" s="83" t="b">
        <v>1</v>
      </c>
      <c r="G1481" s="83"/>
      <c r="H1481" s="83"/>
    </row>
    <row r="1482" spans="1:8">
      <c r="A1482" s="83" t="s">
        <v>5067</v>
      </c>
      <c r="B1482" s="83" t="s">
        <v>5039</v>
      </c>
      <c r="C1482" s="83" t="s">
        <v>5067</v>
      </c>
      <c r="D1482" s="83" t="s">
        <v>5068</v>
      </c>
      <c r="E1482" s="116">
        <f>sch_dic_fast_time_tested</f>
        <v>0.57013888888888886</v>
      </c>
      <c r="F1482" s="83" t="b">
        <v>1</v>
      </c>
      <c r="G1482" s="83"/>
      <c r="H1482" s="83"/>
    </row>
    <row r="1483" spans="1:8">
      <c r="A1483" s="83" t="s">
        <v>5069</v>
      </c>
      <c r="B1483" s="83" t="s">
        <v>5039</v>
      </c>
      <c r="C1483" s="83" t="s">
        <v>5069</v>
      </c>
      <c r="D1483" s="83" t="s">
        <v>5070</v>
      </c>
      <c r="E1483" s="84">
        <f>sch_dic_fast_time_ping</f>
        <v>29</v>
      </c>
      <c r="F1483" s="83" t="b">
        <v>1</v>
      </c>
      <c r="G1483" s="83"/>
      <c r="H1483" s="83"/>
    </row>
    <row r="1484" spans="1:8">
      <c r="A1484" s="83" t="s">
        <v>5071</v>
      </c>
      <c r="B1484" s="83" t="s">
        <v>5039</v>
      </c>
      <c r="C1484" s="83" t="s">
        <v>5071</v>
      </c>
      <c r="D1484" s="83" t="s">
        <v>5072</v>
      </c>
      <c r="E1484" s="117">
        <f>sch_dic_fast_time_download</f>
        <v>28.97</v>
      </c>
      <c r="F1484" s="83" t="b">
        <v>1</v>
      </c>
      <c r="G1484" s="83"/>
      <c r="H1484" s="83"/>
    </row>
    <row r="1485" spans="1:8" ht="16" thickBot="1">
      <c r="A1485" s="85" t="s">
        <v>5073</v>
      </c>
      <c r="B1485" s="85" t="s">
        <v>5039</v>
      </c>
      <c r="C1485" s="85" t="s">
        <v>5073</v>
      </c>
      <c r="D1485" s="85" t="s">
        <v>5074</v>
      </c>
      <c r="E1485" s="124">
        <f>sch_dic_fast_time_upload</f>
        <v>47.62</v>
      </c>
      <c r="F1485" s="85" t="b">
        <v>1</v>
      </c>
      <c r="G1485" s="85"/>
      <c r="H1485" s="85"/>
    </row>
    <row r="1486" spans="1:8">
      <c r="A1486" s="83" t="s">
        <v>5080</v>
      </c>
      <c r="B1486" s="83" t="s">
        <v>5039</v>
      </c>
      <c r="C1486" s="83" t="s">
        <v>5080</v>
      </c>
      <c r="D1486" s="83" t="s">
        <v>5081</v>
      </c>
      <c r="E1486" s="83" t="str">
        <f>combo_avemontlyexpense_typesofinternet1</f>
        <v>USB modem</v>
      </c>
      <c r="F1486" s="83" t="b">
        <v>1</v>
      </c>
      <c r="G1486" s="83"/>
      <c r="H1486" s="83"/>
    </row>
    <row r="1487" spans="1:8">
      <c r="A1487" s="83" t="s">
        <v>5082</v>
      </c>
      <c r="B1487" s="83" t="s">
        <v>5039</v>
      </c>
      <c r="C1487" s="83" t="s">
        <v>5082</v>
      </c>
      <c r="D1487" s="83" t="s">
        <v>5083</v>
      </c>
      <c r="E1487" s="83">
        <f>combo_avemontlyexpense_typesofinternet2</f>
        <v>0</v>
      </c>
      <c r="F1487" s="83" t="b">
        <v>1</v>
      </c>
      <c r="G1487" s="83"/>
      <c r="H1487" s="83"/>
    </row>
    <row r="1488" spans="1:8">
      <c r="A1488" s="83" t="s">
        <v>5084</v>
      </c>
      <c r="B1488" s="83" t="s">
        <v>5039</v>
      </c>
      <c r="C1488" s="83" t="s">
        <v>5084</v>
      </c>
      <c r="D1488" s="83" t="s">
        <v>5085</v>
      </c>
      <c r="E1488" s="83">
        <f>combo_avemontlyexpense_typesofinternet3</f>
        <v>0</v>
      </c>
      <c r="F1488" s="83" t="b">
        <v>1</v>
      </c>
      <c r="G1488" s="83"/>
      <c r="H1488" s="83"/>
    </row>
    <row r="1489" spans="1:8">
      <c r="A1489" s="83" t="s">
        <v>5086</v>
      </c>
      <c r="B1489" s="83" t="s">
        <v>5039</v>
      </c>
      <c r="C1489" s="83" t="s">
        <v>5086</v>
      </c>
      <c r="D1489" s="83" t="s">
        <v>5087</v>
      </c>
      <c r="E1489" s="83">
        <f>combo_avemontlyexpense_typesofinternet4</f>
        <v>0</v>
      </c>
      <c r="F1489" s="83" t="b">
        <v>1</v>
      </c>
      <c r="G1489" s="83"/>
      <c r="H1489" s="83"/>
    </row>
    <row r="1490" spans="1:8">
      <c r="A1490" s="83" t="s">
        <v>5088</v>
      </c>
      <c r="B1490" s="83" t="s">
        <v>5039</v>
      </c>
      <c r="C1490" s="83" t="s">
        <v>5088</v>
      </c>
      <c r="D1490" s="83" t="s">
        <v>5089</v>
      </c>
      <c r="E1490" s="83">
        <f>combo_avemontlyexpense_typesofinternet5</f>
        <v>0</v>
      </c>
      <c r="F1490" s="83" t="b">
        <v>1</v>
      </c>
      <c r="G1490" s="83"/>
      <c r="H1490" s="83"/>
    </row>
    <row r="1491" spans="1:8">
      <c r="A1491" s="83" t="s">
        <v>5090</v>
      </c>
      <c r="B1491" s="83" t="s">
        <v>5039</v>
      </c>
      <c r="C1491" s="83" t="s">
        <v>5090</v>
      </c>
      <c r="D1491" s="83" t="s">
        <v>5091</v>
      </c>
      <c r="E1491" s="83" t="str">
        <f>combo_avemonthlyexpense_internetserviceprovider1</f>
        <v>Smart</v>
      </c>
      <c r="F1491" s="83" t="b">
        <v>1</v>
      </c>
      <c r="G1491" s="83"/>
      <c r="H1491" s="83"/>
    </row>
    <row r="1492" spans="1:8">
      <c r="A1492" s="83" t="s">
        <v>5092</v>
      </c>
      <c r="B1492" s="83" t="s">
        <v>5039</v>
      </c>
      <c r="C1492" s="83" t="s">
        <v>5092</v>
      </c>
      <c r="D1492" s="83" t="s">
        <v>5093</v>
      </c>
      <c r="E1492" s="83">
        <f>combo_avemonthlyexpense_internetserviceprovider2</f>
        <v>0</v>
      </c>
      <c r="F1492" s="83" t="b">
        <v>1</v>
      </c>
      <c r="G1492" s="83"/>
      <c r="H1492" s="83"/>
    </row>
    <row r="1493" spans="1:8">
      <c r="A1493" s="83" t="s">
        <v>5094</v>
      </c>
      <c r="B1493" s="83" t="s">
        <v>5039</v>
      </c>
      <c r="C1493" s="83" t="s">
        <v>5094</v>
      </c>
      <c r="D1493" s="83" t="s">
        <v>5095</v>
      </c>
      <c r="E1493" s="83">
        <f>combo_avemonthlyexpense_internetserviceprovider3</f>
        <v>0</v>
      </c>
      <c r="F1493" s="83" t="b">
        <v>1</v>
      </c>
      <c r="G1493" s="83"/>
      <c r="H1493" s="83"/>
    </row>
    <row r="1494" spans="1:8">
      <c r="A1494" s="83" t="s">
        <v>5096</v>
      </c>
      <c r="B1494" s="83" t="s">
        <v>5039</v>
      </c>
      <c r="C1494" s="83" t="s">
        <v>5096</v>
      </c>
      <c r="D1494" s="83" t="s">
        <v>5097</v>
      </c>
      <c r="E1494" s="83">
        <f>combo_avemonthlyexpense_internetserviceprovider4</f>
        <v>0</v>
      </c>
      <c r="F1494" s="83" t="b">
        <v>1</v>
      </c>
      <c r="G1494" s="83"/>
      <c r="H1494" s="83"/>
    </row>
    <row r="1495" spans="1:8">
      <c r="A1495" s="83" t="s">
        <v>5098</v>
      </c>
      <c r="B1495" s="83" t="s">
        <v>5039</v>
      </c>
      <c r="C1495" s="83" t="s">
        <v>5098</v>
      </c>
      <c r="D1495" s="83" t="s">
        <v>5099</v>
      </c>
      <c r="E1495" s="83">
        <f>combo_avemonthlyexpense_internetserviceprovider5</f>
        <v>0</v>
      </c>
      <c r="F1495" s="83" t="b">
        <v>1</v>
      </c>
      <c r="G1495" s="83"/>
      <c r="H1495" s="83"/>
    </row>
    <row r="1496" spans="1:8">
      <c r="A1496" s="83" t="s">
        <v>5100</v>
      </c>
      <c r="B1496" s="83" t="s">
        <v>5039</v>
      </c>
      <c r="C1496" s="83" t="s">
        <v>5100</v>
      </c>
      <c r="D1496" s="83" t="s">
        <v>5101</v>
      </c>
      <c r="E1496" s="117">
        <f>sch_avemonthlyexpense_others1</f>
        <v>3000</v>
      </c>
      <c r="F1496" s="83" t="b">
        <v>1</v>
      </c>
      <c r="G1496" s="83"/>
      <c r="H1496" s="83"/>
    </row>
    <row r="1497" spans="1:8">
      <c r="A1497" s="83" t="s">
        <v>5102</v>
      </c>
      <c r="B1497" s="83" t="s">
        <v>5039</v>
      </c>
      <c r="C1497" s="83" t="s">
        <v>5102</v>
      </c>
      <c r="D1497" s="83" t="s">
        <v>5103</v>
      </c>
      <c r="E1497" s="117">
        <f>sch_avemonthlyexpense_others2</f>
        <v>0</v>
      </c>
      <c r="F1497" s="83" t="b">
        <v>1</v>
      </c>
      <c r="G1497" s="83"/>
      <c r="H1497" s="83"/>
    </row>
    <row r="1498" spans="1:8">
      <c r="A1498" s="83" t="s">
        <v>5104</v>
      </c>
      <c r="B1498" s="83" t="s">
        <v>5039</v>
      </c>
      <c r="C1498" s="83" t="s">
        <v>5104</v>
      </c>
      <c r="D1498" s="83" t="s">
        <v>5105</v>
      </c>
      <c r="E1498" s="117">
        <f>sch_avemonthlyexpense_others3</f>
        <v>0</v>
      </c>
      <c r="F1498" s="83" t="b">
        <v>1</v>
      </c>
      <c r="G1498" s="83"/>
      <c r="H1498" s="83"/>
    </row>
    <row r="1499" spans="1:8">
      <c r="A1499" s="83" t="s">
        <v>5106</v>
      </c>
      <c r="B1499" s="83" t="s">
        <v>5039</v>
      </c>
      <c r="C1499" s="83" t="s">
        <v>5106</v>
      </c>
      <c r="D1499" s="83" t="s">
        <v>5107</v>
      </c>
      <c r="E1499" s="117">
        <f>sch_avemonthlyexpense_others4</f>
        <v>0</v>
      </c>
      <c r="F1499" s="83" t="b">
        <v>1</v>
      </c>
      <c r="G1499" s="83"/>
      <c r="H1499" s="83"/>
    </row>
    <row r="1500" spans="1:8">
      <c r="A1500" s="83" t="s">
        <v>5108</v>
      </c>
      <c r="B1500" s="83" t="s">
        <v>5039</v>
      </c>
      <c r="C1500" s="83" t="s">
        <v>5108</v>
      </c>
      <c r="D1500" s="83" t="s">
        <v>5109</v>
      </c>
      <c r="E1500" s="117">
        <f>sch_avemonthlyexpense_others5</f>
        <v>0</v>
      </c>
      <c r="F1500" s="83" t="b">
        <v>1</v>
      </c>
      <c r="G1500" s="83"/>
      <c r="H1500" s="83"/>
    </row>
    <row r="1501" spans="1:8">
      <c r="A1501" s="83" t="s">
        <v>5110</v>
      </c>
      <c r="B1501" s="83" t="s">
        <v>5039</v>
      </c>
      <c r="C1501" s="83" t="s">
        <v>5110</v>
      </c>
      <c r="D1501" s="83" t="s">
        <v>5111</v>
      </c>
      <c r="E1501" s="83" t="str">
        <f>combo_avemonthlyexpense_fundingsource1</f>
        <v>MOOE</v>
      </c>
      <c r="F1501" s="83" t="b">
        <v>1</v>
      </c>
      <c r="G1501" s="83"/>
      <c r="H1501" s="83"/>
    </row>
    <row r="1502" spans="1:8">
      <c r="A1502" s="83" t="s">
        <v>5112</v>
      </c>
      <c r="B1502" s="83" t="s">
        <v>5039</v>
      </c>
      <c r="C1502" s="83" t="s">
        <v>5112</v>
      </c>
      <c r="D1502" s="83" t="s">
        <v>5113</v>
      </c>
      <c r="E1502" s="83">
        <f>combo_avemonthlyexpense_fundingsource2</f>
        <v>0</v>
      </c>
      <c r="F1502" s="83" t="b">
        <v>1</v>
      </c>
      <c r="G1502" s="83"/>
      <c r="H1502" s="83"/>
    </row>
    <row r="1503" spans="1:8">
      <c r="A1503" s="83" t="s">
        <v>5114</v>
      </c>
      <c r="B1503" s="83" t="s">
        <v>5039</v>
      </c>
      <c r="C1503" s="83" t="s">
        <v>5114</v>
      </c>
      <c r="D1503" s="83" t="s">
        <v>5115</v>
      </c>
      <c r="E1503" s="83">
        <f>combo_avemonthlyexpense_fundingsource3</f>
        <v>0</v>
      </c>
      <c r="F1503" s="83" t="b">
        <v>1</v>
      </c>
      <c r="G1503" s="83"/>
      <c r="H1503" s="83"/>
    </row>
    <row r="1504" spans="1:8">
      <c r="A1504" s="83" t="s">
        <v>5116</v>
      </c>
      <c r="B1504" s="83" t="s">
        <v>5039</v>
      </c>
      <c r="C1504" s="83" t="s">
        <v>5116</v>
      </c>
      <c r="D1504" s="83" t="s">
        <v>5117</v>
      </c>
      <c r="E1504" s="83">
        <f>combo_avemonthlyexpense_fundingsource4</f>
        <v>0</v>
      </c>
      <c r="F1504" s="83" t="b">
        <v>1</v>
      </c>
      <c r="G1504" s="83"/>
      <c r="H1504" s="83"/>
    </row>
    <row r="1505" spans="1:9" ht="16" thickBot="1">
      <c r="A1505" s="85" t="s">
        <v>5118</v>
      </c>
      <c r="B1505" s="85" t="s">
        <v>5039</v>
      </c>
      <c r="C1505" s="85" t="s">
        <v>5118</v>
      </c>
      <c r="D1505" s="85" t="s">
        <v>5119</v>
      </c>
      <c r="E1505" s="85">
        <f>combo_avemonthlyexpense_fundingsource5</f>
        <v>0</v>
      </c>
      <c r="F1505" s="85" t="b">
        <v>1</v>
      </c>
      <c r="G1505" s="85"/>
      <c r="H1505" s="85"/>
    </row>
    <row r="1506" spans="1:9">
      <c r="A1506" s="83" t="s">
        <v>5129</v>
      </c>
      <c r="B1506" s="83" t="s">
        <v>5130</v>
      </c>
      <c r="C1506" s="83" t="s">
        <v>5129</v>
      </c>
      <c r="D1506" s="83" t="s">
        <v>5184</v>
      </c>
      <c r="E1506" s="83" t="str">
        <f>cellcomm_cellserviceprovider1</f>
        <v>SMART</v>
      </c>
      <c r="F1506" s="83" t="b">
        <v>1</v>
      </c>
      <c r="G1506" s="83"/>
      <c r="H1506" s="83"/>
      <c r="I1506" s="83" t="s">
        <v>11534</v>
      </c>
    </row>
    <row r="1507" spans="1:9">
      <c r="A1507" s="83" t="s">
        <v>5131</v>
      </c>
      <c r="B1507" s="83" t="s">
        <v>5130</v>
      </c>
      <c r="C1507" s="83" t="s">
        <v>5131</v>
      </c>
      <c r="D1507" s="83" t="s">
        <v>5185</v>
      </c>
      <c r="E1507" s="84" t="b">
        <f>cellcomm_cellserviceprovider1_text</f>
        <v>0</v>
      </c>
      <c r="F1507" s="83" t="b">
        <f>OR(E1507=TRUE, E1507=FALSE)</f>
        <v>1</v>
      </c>
      <c r="G1507" s="83" t="s">
        <v>2287</v>
      </c>
      <c r="H1507" s="83"/>
      <c r="I1507" s="83" t="s">
        <v>11534</v>
      </c>
    </row>
    <row r="1508" spans="1:9">
      <c r="A1508" s="83" t="s">
        <v>5132</v>
      </c>
      <c r="B1508" s="83" t="s">
        <v>5130</v>
      </c>
      <c r="C1508" s="83" t="s">
        <v>5132</v>
      </c>
      <c r="D1508" s="83" t="s">
        <v>5186</v>
      </c>
      <c r="E1508" s="84" t="b">
        <f>cellcomm_cellserviceprovider1_call</f>
        <v>1</v>
      </c>
      <c r="F1508" s="83" t="b">
        <f t="shared" ref="F1508:F1511" si="10">OR(E1508=TRUE, E1508=FALSE)</f>
        <v>1</v>
      </c>
      <c r="G1508" s="83" t="s">
        <v>2287</v>
      </c>
      <c r="H1508" s="83"/>
      <c r="I1508" s="83" t="s">
        <v>11534</v>
      </c>
    </row>
    <row r="1509" spans="1:9">
      <c r="A1509" s="83" t="s">
        <v>5133</v>
      </c>
      <c r="B1509" s="83" t="s">
        <v>5130</v>
      </c>
      <c r="C1509" s="83" t="s">
        <v>5133</v>
      </c>
      <c r="D1509" s="83" t="s">
        <v>5187</v>
      </c>
      <c r="E1509" s="84" t="b">
        <f>cellcomm_cellserviceprovider1_image</f>
        <v>1</v>
      </c>
      <c r="F1509" s="83" t="b">
        <f t="shared" si="10"/>
        <v>1</v>
      </c>
      <c r="G1509" s="83" t="s">
        <v>2287</v>
      </c>
      <c r="H1509" s="83"/>
      <c r="I1509" s="83" t="s">
        <v>11534</v>
      </c>
    </row>
    <row r="1510" spans="1:9">
      <c r="A1510" s="83" t="s">
        <v>5134</v>
      </c>
      <c r="B1510" s="83" t="s">
        <v>5130</v>
      </c>
      <c r="C1510" s="83" t="s">
        <v>5134</v>
      </c>
      <c r="D1510" s="83" t="s">
        <v>5198</v>
      </c>
      <c r="E1510" s="84" t="b">
        <f>cellcomm_cellserviceprovider1_vidcall</f>
        <v>1</v>
      </c>
      <c r="F1510" s="83" t="b">
        <f t="shared" si="10"/>
        <v>1</v>
      </c>
      <c r="G1510" s="83" t="s">
        <v>2287</v>
      </c>
      <c r="H1510" s="83"/>
      <c r="I1510" s="83" t="s">
        <v>11534</v>
      </c>
    </row>
    <row r="1511" spans="1:9">
      <c r="A1511" s="83" t="s">
        <v>5135</v>
      </c>
      <c r="B1511" s="83" t="s">
        <v>5130</v>
      </c>
      <c r="C1511" s="83" t="s">
        <v>5135</v>
      </c>
      <c r="D1511" s="83" t="s">
        <v>5199</v>
      </c>
      <c r="E1511" s="84" t="b">
        <f>cellcomm_cellserviceprovider1_nosignal</f>
        <v>0</v>
      </c>
      <c r="F1511" s="83" t="b">
        <f t="shared" si="10"/>
        <v>1</v>
      </c>
      <c r="G1511" s="83" t="s">
        <v>2287</v>
      </c>
      <c r="H1511" s="83"/>
      <c r="I1511" s="83" t="s">
        <v>11534</v>
      </c>
    </row>
    <row r="1512" spans="1:9">
      <c r="A1512" s="83" t="s">
        <v>5136</v>
      </c>
      <c r="B1512" s="83" t="s">
        <v>5130</v>
      </c>
      <c r="C1512" s="83" t="s">
        <v>5136</v>
      </c>
      <c r="D1512" s="83" t="s">
        <v>5188</v>
      </c>
      <c r="E1512" s="84" t="str">
        <f>cellcomm_type_wireless_conn1</f>
        <v>5G</v>
      </c>
      <c r="F1512" s="83" t="b">
        <v>1</v>
      </c>
      <c r="G1512" s="83"/>
      <c r="H1512" s="83"/>
      <c r="I1512" s="83" t="s">
        <v>11534</v>
      </c>
    </row>
    <row r="1513" spans="1:9">
      <c r="A1513" s="83" t="s">
        <v>5137</v>
      </c>
      <c r="B1513" s="83" t="s">
        <v>5130</v>
      </c>
      <c r="C1513" s="83" t="s">
        <v>5137</v>
      </c>
      <c r="D1513" s="83" t="s">
        <v>5189</v>
      </c>
      <c r="E1513" s="117">
        <f>cellcomm_avemonth_expense1</f>
        <v>3000</v>
      </c>
      <c r="F1513" s="83" t="b">
        <v>1</v>
      </c>
      <c r="G1513" s="83"/>
      <c r="H1513" s="83"/>
      <c r="I1513" s="83" t="s">
        <v>11534</v>
      </c>
    </row>
    <row r="1514" spans="1:9">
      <c r="A1514" s="83" t="s">
        <v>5138</v>
      </c>
      <c r="B1514" s="83" t="s">
        <v>5130</v>
      </c>
      <c r="C1514" s="83" t="s">
        <v>5138</v>
      </c>
      <c r="D1514" s="83" t="s">
        <v>5190</v>
      </c>
      <c r="E1514" s="83" t="str">
        <f>cellcomm_funding_source1</f>
        <v>MOOE</v>
      </c>
      <c r="F1514" s="83" t="b">
        <v>1</v>
      </c>
      <c r="G1514" s="83"/>
      <c r="H1514" s="83"/>
      <c r="I1514" s="83" t="s">
        <v>11534</v>
      </c>
    </row>
    <row r="1515" spans="1:9">
      <c r="A1515" s="83" t="s">
        <v>5139</v>
      </c>
      <c r="B1515" s="83" t="s">
        <v>5130</v>
      </c>
      <c r="C1515" s="83" t="s">
        <v>5139</v>
      </c>
      <c r="D1515" s="83" t="s">
        <v>5191</v>
      </c>
      <c r="E1515" s="83">
        <f>cellcomm_cellserviceprovider2</f>
        <v>0</v>
      </c>
      <c r="F1515" s="83" t="b">
        <v>1</v>
      </c>
      <c r="G1515" s="83"/>
      <c r="H1515" s="83"/>
      <c r="I1515" s="83" t="s">
        <v>11534</v>
      </c>
    </row>
    <row r="1516" spans="1:9">
      <c r="A1516" s="83" t="s">
        <v>5140</v>
      </c>
      <c r="B1516" s="83" t="s">
        <v>5130</v>
      </c>
      <c r="C1516" s="83" t="s">
        <v>5140</v>
      </c>
      <c r="D1516" s="83" t="s">
        <v>5192</v>
      </c>
      <c r="E1516" s="84" t="b">
        <f>cellcomm_cellserviceprovider2_text</f>
        <v>0</v>
      </c>
      <c r="F1516" s="83" t="b">
        <f t="shared" ref="F1516:F1520" si="11">OR(E1516=TRUE, E1516=FALSE)</f>
        <v>1</v>
      </c>
      <c r="G1516" s="83" t="s">
        <v>2287</v>
      </c>
      <c r="H1516" s="83"/>
      <c r="I1516" s="83" t="s">
        <v>11534</v>
      </c>
    </row>
    <row r="1517" spans="1:9">
      <c r="A1517" s="83" t="s">
        <v>5141</v>
      </c>
      <c r="B1517" s="83" t="s">
        <v>5130</v>
      </c>
      <c r="C1517" s="83" t="s">
        <v>5141</v>
      </c>
      <c r="D1517" s="83" t="s">
        <v>5196</v>
      </c>
      <c r="E1517" s="84" t="b">
        <f>cellcomm_cellserviceprovider2_call</f>
        <v>0</v>
      </c>
      <c r="F1517" s="83" t="b">
        <f t="shared" si="11"/>
        <v>1</v>
      </c>
      <c r="G1517" s="83" t="s">
        <v>2287</v>
      </c>
      <c r="H1517" s="83"/>
      <c r="I1517" s="83" t="s">
        <v>11534</v>
      </c>
    </row>
    <row r="1518" spans="1:9">
      <c r="A1518" s="83" t="s">
        <v>5142</v>
      </c>
      <c r="B1518" s="83" t="s">
        <v>5130</v>
      </c>
      <c r="C1518" s="83" t="s">
        <v>5142</v>
      </c>
      <c r="D1518" s="83" t="s">
        <v>5197</v>
      </c>
      <c r="E1518" s="84" t="b">
        <f>cellcomm_cellserviceprovider2_image</f>
        <v>0</v>
      </c>
      <c r="F1518" s="83" t="b">
        <f t="shared" si="11"/>
        <v>1</v>
      </c>
      <c r="G1518" s="83" t="s">
        <v>2287</v>
      </c>
      <c r="H1518" s="83"/>
      <c r="I1518" s="83" t="s">
        <v>11534</v>
      </c>
    </row>
    <row r="1519" spans="1:9">
      <c r="A1519" s="83" t="s">
        <v>5143</v>
      </c>
      <c r="B1519" s="83" t="s">
        <v>5130</v>
      </c>
      <c r="C1519" s="83" t="s">
        <v>5143</v>
      </c>
      <c r="D1519" s="83" t="s">
        <v>5200</v>
      </c>
      <c r="E1519" s="84" t="b">
        <f>cellcomm_cellserviceprovider2_vidcall</f>
        <v>0</v>
      </c>
      <c r="F1519" s="83" t="b">
        <f>OR(E1519=TRUE, E1519=FALSE)</f>
        <v>1</v>
      </c>
      <c r="G1519" s="83" t="s">
        <v>2287</v>
      </c>
      <c r="H1519" s="83"/>
      <c r="I1519" s="83" t="s">
        <v>11534</v>
      </c>
    </row>
    <row r="1520" spans="1:9">
      <c r="A1520" s="83" t="s">
        <v>5144</v>
      </c>
      <c r="B1520" s="83" t="s">
        <v>5130</v>
      </c>
      <c r="C1520" s="83" t="s">
        <v>5144</v>
      </c>
      <c r="D1520" s="83" t="s">
        <v>5201</v>
      </c>
      <c r="E1520" s="84" t="b">
        <f>cellcomm_cellserviceprovider2_nosignal</f>
        <v>0</v>
      </c>
      <c r="F1520" s="83" t="b">
        <f t="shared" si="11"/>
        <v>1</v>
      </c>
      <c r="G1520" s="83" t="s">
        <v>2287</v>
      </c>
      <c r="H1520" s="83"/>
      <c r="I1520" s="83" t="s">
        <v>11534</v>
      </c>
    </row>
    <row r="1521" spans="1:9">
      <c r="A1521" s="83" t="s">
        <v>5145</v>
      </c>
      <c r="B1521" s="83" t="s">
        <v>5130</v>
      </c>
      <c r="C1521" s="83" t="s">
        <v>5145</v>
      </c>
      <c r="D1521" s="83" t="s">
        <v>5193</v>
      </c>
      <c r="E1521" s="83">
        <f>cellcomm_type_wireless_conn2</f>
        <v>0</v>
      </c>
      <c r="F1521" s="83" t="b">
        <v>1</v>
      </c>
      <c r="G1521" s="83"/>
      <c r="H1521" s="83"/>
      <c r="I1521" s="83" t="s">
        <v>11534</v>
      </c>
    </row>
    <row r="1522" spans="1:9">
      <c r="A1522" s="83" t="s">
        <v>5146</v>
      </c>
      <c r="B1522" s="83" t="s">
        <v>5130</v>
      </c>
      <c r="C1522" s="83" t="s">
        <v>5146</v>
      </c>
      <c r="D1522" s="83" t="s">
        <v>5194</v>
      </c>
      <c r="E1522" s="117">
        <f>cellcomm_avemonth_expense2</f>
        <v>0</v>
      </c>
      <c r="F1522" s="83" t="b">
        <v>1</v>
      </c>
      <c r="G1522" s="83"/>
      <c r="H1522" s="83"/>
      <c r="I1522" s="83" t="s">
        <v>11534</v>
      </c>
    </row>
    <row r="1523" spans="1:9">
      <c r="A1523" s="83" t="s">
        <v>5147</v>
      </c>
      <c r="B1523" s="83" t="s">
        <v>5130</v>
      </c>
      <c r="C1523" s="83" t="s">
        <v>5147</v>
      </c>
      <c r="D1523" s="83" t="s">
        <v>5195</v>
      </c>
      <c r="E1523" s="83">
        <f>cellcomm_funding_source2</f>
        <v>0</v>
      </c>
      <c r="F1523" s="83" t="b">
        <v>1</v>
      </c>
      <c r="G1523" s="83"/>
      <c r="H1523" s="83"/>
      <c r="I1523" s="83" t="s">
        <v>11534</v>
      </c>
    </row>
    <row r="1524" spans="1:9">
      <c r="A1524" s="83" t="s">
        <v>5148</v>
      </c>
      <c r="B1524" s="83" t="s">
        <v>5130</v>
      </c>
      <c r="C1524" s="83" t="s">
        <v>5148</v>
      </c>
      <c r="D1524" s="83" t="s">
        <v>5202</v>
      </c>
      <c r="E1524" s="83">
        <f>cellcomm_cellserviceprovider3</f>
        <v>0</v>
      </c>
      <c r="F1524" s="83" t="b">
        <v>1</v>
      </c>
      <c r="G1524" s="83"/>
      <c r="H1524" s="83"/>
      <c r="I1524" s="83" t="s">
        <v>11534</v>
      </c>
    </row>
    <row r="1525" spans="1:9">
      <c r="A1525" s="83" t="s">
        <v>5149</v>
      </c>
      <c r="B1525" s="83" t="s">
        <v>5130</v>
      </c>
      <c r="C1525" s="83" t="s">
        <v>5149</v>
      </c>
      <c r="D1525" s="83" t="s">
        <v>5203</v>
      </c>
      <c r="E1525" s="84" t="b">
        <f>cellcomm_cellserviceprovider3_text</f>
        <v>0</v>
      </c>
      <c r="F1525" s="83" t="b">
        <f t="shared" ref="F1525:F1529" si="12">OR(E1525=TRUE, E1525=FALSE)</f>
        <v>1</v>
      </c>
      <c r="G1525" s="83" t="s">
        <v>2287</v>
      </c>
      <c r="H1525" s="83"/>
      <c r="I1525" s="83" t="s">
        <v>11534</v>
      </c>
    </row>
    <row r="1526" spans="1:9">
      <c r="A1526" s="83" t="s">
        <v>5150</v>
      </c>
      <c r="B1526" s="83" t="s">
        <v>5130</v>
      </c>
      <c r="C1526" s="83" t="s">
        <v>5150</v>
      </c>
      <c r="D1526" s="83" t="s">
        <v>5208</v>
      </c>
      <c r="E1526" s="84" t="b">
        <f>cellcomm_cellserviceprovider3_call</f>
        <v>0</v>
      </c>
      <c r="F1526" s="83" t="b">
        <f t="shared" si="12"/>
        <v>1</v>
      </c>
      <c r="G1526" s="83" t="s">
        <v>2287</v>
      </c>
      <c r="H1526" s="83"/>
      <c r="I1526" s="83" t="s">
        <v>11534</v>
      </c>
    </row>
    <row r="1527" spans="1:9">
      <c r="A1527" s="83" t="s">
        <v>5151</v>
      </c>
      <c r="B1527" s="83" t="s">
        <v>5130</v>
      </c>
      <c r="C1527" s="83" t="s">
        <v>5151</v>
      </c>
      <c r="D1527" s="83" t="s">
        <v>5210</v>
      </c>
      <c r="E1527" s="84" t="b">
        <f>cellcomm_cellserviceprovider3_image</f>
        <v>0</v>
      </c>
      <c r="F1527" s="83" t="b">
        <f t="shared" si="12"/>
        <v>1</v>
      </c>
      <c r="G1527" s="83" t="s">
        <v>2287</v>
      </c>
      <c r="H1527" s="83"/>
      <c r="I1527" s="83" t="s">
        <v>11534</v>
      </c>
    </row>
    <row r="1528" spans="1:9">
      <c r="A1528" s="83" t="s">
        <v>5152</v>
      </c>
      <c r="B1528" s="83" t="s">
        <v>5130</v>
      </c>
      <c r="C1528" s="83" t="s">
        <v>5152</v>
      </c>
      <c r="D1528" s="83" t="s">
        <v>5204</v>
      </c>
      <c r="E1528" s="84" t="b">
        <f>cellcomm_cellserviceprovider3_vidcall</f>
        <v>0</v>
      </c>
      <c r="F1528" s="83" t="b">
        <f t="shared" si="12"/>
        <v>1</v>
      </c>
      <c r="G1528" s="83" t="s">
        <v>2287</v>
      </c>
      <c r="H1528" s="83"/>
      <c r="I1528" s="83" t="s">
        <v>11534</v>
      </c>
    </row>
    <row r="1529" spans="1:9">
      <c r="A1529" s="83" t="s">
        <v>5153</v>
      </c>
      <c r="B1529" s="83" t="s">
        <v>5130</v>
      </c>
      <c r="C1529" s="83" t="s">
        <v>5153</v>
      </c>
      <c r="D1529" s="83" t="s">
        <v>5209</v>
      </c>
      <c r="E1529" s="84" t="b">
        <f>cellcomm_cellserviceprovider3_nosignal</f>
        <v>0</v>
      </c>
      <c r="F1529" s="83" t="b">
        <f t="shared" si="12"/>
        <v>1</v>
      </c>
      <c r="G1529" s="83" t="s">
        <v>2287</v>
      </c>
      <c r="H1529" s="83"/>
      <c r="I1529" s="83" t="s">
        <v>11534</v>
      </c>
    </row>
    <row r="1530" spans="1:9">
      <c r="A1530" s="83" t="s">
        <v>5154</v>
      </c>
      <c r="B1530" s="83" t="s">
        <v>5130</v>
      </c>
      <c r="C1530" s="83" t="s">
        <v>5154</v>
      </c>
      <c r="D1530" s="83" t="s">
        <v>5205</v>
      </c>
      <c r="E1530" s="83">
        <f>cellcomm_type_wireless_conn3</f>
        <v>0</v>
      </c>
      <c r="F1530" s="83" t="b">
        <v>1</v>
      </c>
      <c r="G1530" s="83"/>
      <c r="H1530" s="83"/>
      <c r="I1530" s="83" t="s">
        <v>11534</v>
      </c>
    </row>
    <row r="1531" spans="1:9">
      <c r="A1531" s="83" t="s">
        <v>5155</v>
      </c>
      <c r="B1531" s="83" t="s">
        <v>5130</v>
      </c>
      <c r="C1531" s="83" t="s">
        <v>5155</v>
      </c>
      <c r="D1531" s="83" t="s">
        <v>5206</v>
      </c>
      <c r="E1531" s="117">
        <f>cellcomm_avemonth_expense3</f>
        <v>0</v>
      </c>
      <c r="F1531" s="83" t="b">
        <v>1</v>
      </c>
      <c r="G1531" s="83"/>
      <c r="H1531" s="83"/>
      <c r="I1531" s="83" t="s">
        <v>11534</v>
      </c>
    </row>
    <row r="1532" spans="1:9">
      <c r="A1532" s="83" t="s">
        <v>5156</v>
      </c>
      <c r="B1532" s="83" t="s">
        <v>5130</v>
      </c>
      <c r="C1532" s="83" t="s">
        <v>5156</v>
      </c>
      <c r="D1532" s="83" t="s">
        <v>5207</v>
      </c>
      <c r="E1532" s="83">
        <f>cellcomm_funding_source3</f>
        <v>0</v>
      </c>
      <c r="F1532" s="83" t="b">
        <v>1</v>
      </c>
      <c r="G1532" s="83"/>
      <c r="H1532" s="83"/>
      <c r="I1532" s="83" t="s">
        <v>11534</v>
      </c>
    </row>
    <row r="1533" spans="1:9">
      <c r="A1533" s="83" t="s">
        <v>5157</v>
      </c>
      <c r="B1533" s="83" t="s">
        <v>5130</v>
      </c>
      <c r="C1533" s="83" t="s">
        <v>5157</v>
      </c>
      <c r="D1533" s="83" t="s">
        <v>5211</v>
      </c>
      <c r="E1533" s="83">
        <f>cellcomm_cellserviceprovider4</f>
        <v>0</v>
      </c>
      <c r="F1533" s="83" t="b">
        <v>1</v>
      </c>
      <c r="G1533" s="83"/>
      <c r="H1533" s="83"/>
      <c r="I1533" s="83" t="s">
        <v>11534</v>
      </c>
    </row>
    <row r="1534" spans="1:9">
      <c r="A1534" s="83" t="s">
        <v>5158</v>
      </c>
      <c r="B1534" s="83" t="s">
        <v>5130</v>
      </c>
      <c r="C1534" s="83" t="s">
        <v>5158</v>
      </c>
      <c r="D1534" s="83" t="s">
        <v>5212</v>
      </c>
      <c r="E1534" s="84" t="b">
        <f>cellcomm_cellserviceprovider4_text</f>
        <v>0</v>
      </c>
      <c r="F1534" s="83" t="b">
        <f t="shared" ref="F1534:F1538" si="13">OR(E1534=TRUE, E1534=FALSE)</f>
        <v>1</v>
      </c>
      <c r="G1534" s="83" t="s">
        <v>2287</v>
      </c>
      <c r="H1534" s="83"/>
      <c r="I1534" s="83" t="s">
        <v>11534</v>
      </c>
    </row>
    <row r="1535" spans="1:9">
      <c r="A1535" s="83" t="s">
        <v>5159</v>
      </c>
      <c r="B1535" s="83" t="s">
        <v>5130</v>
      </c>
      <c r="C1535" s="83" t="s">
        <v>5159</v>
      </c>
      <c r="D1535" s="83" t="s">
        <v>5217</v>
      </c>
      <c r="E1535" s="84" t="b">
        <f>cellcomm_cellserviceprovider4_call</f>
        <v>0</v>
      </c>
      <c r="F1535" s="83" t="b">
        <f t="shared" si="13"/>
        <v>1</v>
      </c>
      <c r="G1535" s="83" t="s">
        <v>2287</v>
      </c>
      <c r="H1535" s="83"/>
      <c r="I1535" s="83" t="s">
        <v>11534</v>
      </c>
    </row>
    <row r="1536" spans="1:9">
      <c r="A1536" s="83" t="s">
        <v>5160</v>
      </c>
      <c r="B1536" s="83" t="s">
        <v>5130</v>
      </c>
      <c r="C1536" s="83" t="s">
        <v>5160</v>
      </c>
      <c r="D1536" s="83" t="s">
        <v>5219</v>
      </c>
      <c r="E1536" s="84" t="b">
        <f>cellcomm_cellserviceprovider4_image</f>
        <v>0</v>
      </c>
      <c r="F1536" s="83" t="b">
        <f t="shared" si="13"/>
        <v>1</v>
      </c>
      <c r="G1536" s="83" t="s">
        <v>2287</v>
      </c>
      <c r="H1536" s="83"/>
      <c r="I1536" s="83" t="s">
        <v>11534</v>
      </c>
    </row>
    <row r="1537" spans="1:9">
      <c r="A1537" s="83" t="s">
        <v>5161</v>
      </c>
      <c r="B1537" s="83" t="s">
        <v>5130</v>
      </c>
      <c r="C1537" s="83" t="s">
        <v>5161</v>
      </c>
      <c r="D1537" s="83" t="s">
        <v>5213</v>
      </c>
      <c r="E1537" s="84" t="b">
        <f>cellcomm_cellserviceprovider4_vidcall</f>
        <v>0</v>
      </c>
      <c r="F1537" s="83" t="b">
        <f t="shared" si="13"/>
        <v>1</v>
      </c>
      <c r="G1537" s="83" t="s">
        <v>2287</v>
      </c>
      <c r="H1537" s="83"/>
      <c r="I1537" s="83" t="s">
        <v>11534</v>
      </c>
    </row>
    <row r="1538" spans="1:9">
      <c r="A1538" s="83" t="s">
        <v>5162</v>
      </c>
      <c r="B1538" s="83" t="s">
        <v>5130</v>
      </c>
      <c r="C1538" s="83" t="s">
        <v>5162</v>
      </c>
      <c r="D1538" s="83" t="s">
        <v>5218</v>
      </c>
      <c r="E1538" s="84" t="b">
        <f>cellcomm_cellserviceprovider4_nosignal</f>
        <v>0</v>
      </c>
      <c r="F1538" s="83" t="b">
        <f t="shared" si="13"/>
        <v>1</v>
      </c>
      <c r="G1538" s="83" t="s">
        <v>2287</v>
      </c>
      <c r="H1538" s="83"/>
      <c r="I1538" s="83" t="s">
        <v>11534</v>
      </c>
    </row>
    <row r="1539" spans="1:9">
      <c r="A1539" s="83" t="s">
        <v>5163</v>
      </c>
      <c r="B1539" s="83" t="s">
        <v>5130</v>
      </c>
      <c r="C1539" s="83" t="s">
        <v>5163</v>
      </c>
      <c r="D1539" s="83" t="s">
        <v>5214</v>
      </c>
      <c r="E1539" s="83">
        <f>cellcomm_type_wireless_conn4</f>
        <v>0</v>
      </c>
      <c r="F1539" s="83" t="b">
        <v>1</v>
      </c>
      <c r="G1539" s="83"/>
      <c r="H1539" s="83"/>
      <c r="I1539" s="83" t="s">
        <v>11534</v>
      </c>
    </row>
    <row r="1540" spans="1:9">
      <c r="A1540" s="83" t="s">
        <v>5164</v>
      </c>
      <c r="B1540" s="83" t="s">
        <v>5130</v>
      </c>
      <c r="C1540" s="83" t="s">
        <v>5164</v>
      </c>
      <c r="D1540" s="83" t="s">
        <v>5215</v>
      </c>
      <c r="E1540" s="117">
        <f>cellcomm_avemonth_expense4</f>
        <v>0</v>
      </c>
      <c r="F1540" s="83" t="b">
        <v>1</v>
      </c>
      <c r="G1540" s="83"/>
      <c r="H1540" s="83"/>
      <c r="I1540" s="83" t="s">
        <v>11534</v>
      </c>
    </row>
    <row r="1541" spans="1:9">
      <c r="A1541" s="83" t="s">
        <v>5165</v>
      </c>
      <c r="B1541" s="83" t="s">
        <v>5130</v>
      </c>
      <c r="C1541" s="83" t="s">
        <v>5165</v>
      </c>
      <c r="D1541" s="83" t="s">
        <v>5216</v>
      </c>
      <c r="E1541" s="83">
        <f>cellcomm_funding_source4</f>
        <v>0</v>
      </c>
      <c r="F1541" s="83" t="b">
        <v>1</v>
      </c>
      <c r="G1541" s="83"/>
      <c r="H1541" s="83"/>
      <c r="I1541" s="83" t="s">
        <v>11534</v>
      </c>
    </row>
    <row r="1542" spans="1:9">
      <c r="A1542" s="83" t="s">
        <v>5166</v>
      </c>
      <c r="B1542" s="83" t="s">
        <v>5130</v>
      </c>
      <c r="C1542" s="83" t="s">
        <v>5166</v>
      </c>
      <c r="D1542" s="83" t="s">
        <v>5220</v>
      </c>
      <c r="E1542" s="83">
        <f>cellcomm_cellserviceprovider5</f>
        <v>0</v>
      </c>
      <c r="F1542" s="83" t="b">
        <v>1</v>
      </c>
      <c r="G1542" s="83"/>
      <c r="H1542" s="83"/>
      <c r="I1542" s="83" t="s">
        <v>11534</v>
      </c>
    </row>
    <row r="1543" spans="1:9">
      <c r="A1543" s="83" t="s">
        <v>5167</v>
      </c>
      <c r="B1543" s="83" t="s">
        <v>5130</v>
      </c>
      <c r="C1543" s="83" t="s">
        <v>5167</v>
      </c>
      <c r="D1543" s="83" t="s">
        <v>5221</v>
      </c>
      <c r="E1543" s="84" t="b">
        <f>cellcomm_cellserviceprovider5_text</f>
        <v>0</v>
      </c>
      <c r="F1543" s="83" t="b">
        <f t="shared" ref="F1543:F1547" si="14">OR(E1543=TRUE, E1543=FALSE)</f>
        <v>1</v>
      </c>
      <c r="G1543" s="83" t="s">
        <v>2287</v>
      </c>
      <c r="H1543" s="83"/>
      <c r="I1543" s="83" t="s">
        <v>11534</v>
      </c>
    </row>
    <row r="1544" spans="1:9">
      <c r="A1544" s="83" t="s">
        <v>5168</v>
      </c>
      <c r="B1544" s="83" t="s">
        <v>5130</v>
      </c>
      <c r="C1544" s="83" t="s">
        <v>5168</v>
      </c>
      <c r="D1544" s="83" t="s">
        <v>5226</v>
      </c>
      <c r="E1544" s="84" t="b">
        <f>cellcomm_cellserviceprovider5_call</f>
        <v>0</v>
      </c>
      <c r="F1544" s="83" t="b">
        <f t="shared" si="14"/>
        <v>1</v>
      </c>
      <c r="G1544" s="83" t="s">
        <v>2287</v>
      </c>
      <c r="H1544" s="83"/>
      <c r="I1544" s="83" t="s">
        <v>11534</v>
      </c>
    </row>
    <row r="1545" spans="1:9">
      <c r="A1545" s="83" t="s">
        <v>5169</v>
      </c>
      <c r="B1545" s="83" t="s">
        <v>5130</v>
      </c>
      <c r="C1545" s="83" t="s">
        <v>5169</v>
      </c>
      <c r="D1545" s="83" t="s">
        <v>5228</v>
      </c>
      <c r="E1545" s="84" t="b">
        <f>cellcomm_cellserviceprovider5_image</f>
        <v>0</v>
      </c>
      <c r="F1545" s="83" t="b">
        <f t="shared" si="14"/>
        <v>1</v>
      </c>
      <c r="G1545" s="83" t="s">
        <v>2287</v>
      </c>
      <c r="H1545" s="83"/>
      <c r="I1545" s="83" t="s">
        <v>11534</v>
      </c>
    </row>
    <row r="1546" spans="1:9">
      <c r="A1546" s="83" t="s">
        <v>5170</v>
      </c>
      <c r="B1546" s="83" t="s">
        <v>5130</v>
      </c>
      <c r="C1546" s="83" t="s">
        <v>5170</v>
      </c>
      <c r="D1546" s="83" t="s">
        <v>5222</v>
      </c>
      <c r="E1546" s="84" t="b">
        <f>cellcomm_cellserviceprovider5_vidcall</f>
        <v>0</v>
      </c>
      <c r="F1546" s="83" t="b">
        <f t="shared" si="14"/>
        <v>1</v>
      </c>
      <c r="G1546" s="83" t="s">
        <v>2287</v>
      </c>
      <c r="H1546" s="83"/>
      <c r="I1546" s="83" t="s">
        <v>11534</v>
      </c>
    </row>
    <row r="1547" spans="1:9">
      <c r="A1547" s="83" t="s">
        <v>5171</v>
      </c>
      <c r="B1547" s="83" t="s">
        <v>5130</v>
      </c>
      <c r="C1547" s="83" t="s">
        <v>5171</v>
      </c>
      <c r="D1547" s="83" t="s">
        <v>5227</v>
      </c>
      <c r="E1547" s="84" t="b">
        <f>cellcomm_cellserviceprovider5_nosignal</f>
        <v>0</v>
      </c>
      <c r="F1547" s="83" t="b">
        <f t="shared" si="14"/>
        <v>1</v>
      </c>
      <c r="G1547" s="83" t="s">
        <v>2287</v>
      </c>
      <c r="H1547" s="83"/>
      <c r="I1547" s="83" t="s">
        <v>11534</v>
      </c>
    </row>
    <row r="1548" spans="1:9">
      <c r="A1548" s="83" t="s">
        <v>5172</v>
      </c>
      <c r="B1548" s="83" t="s">
        <v>5130</v>
      </c>
      <c r="C1548" s="83" t="s">
        <v>5172</v>
      </c>
      <c r="D1548" s="83" t="s">
        <v>5223</v>
      </c>
      <c r="E1548" s="83">
        <f>cellcomm_type_wireless_conn5</f>
        <v>0</v>
      </c>
      <c r="F1548" s="83" t="b">
        <v>1</v>
      </c>
      <c r="G1548" s="83"/>
      <c r="H1548" s="83"/>
      <c r="I1548" s="83" t="s">
        <v>11534</v>
      </c>
    </row>
    <row r="1549" spans="1:9">
      <c r="A1549" s="83" t="s">
        <v>5173</v>
      </c>
      <c r="B1549" s="83" t="s">
        <v>5130</v>
      </c>
      <c r="C1549" s="83" t="s">
        <v>5173</v>
      </c>
      <c r="D1549" s="83" t="s">
        <v>5224</v>
      </c>
      <c r="E1549" s="117">
        <f>cellcomm_avemonth_expense5</f>
        <v>0</v>
      </c>
      <c r="F1549" s="83" t="b">
        <v>1</v>
      </c>
      <c r="G1549" s="83"/>
      <c r="H1549" s="83"/>
      <c r="I1549" s="83" t="s">
        <v>11534</v>
      </c>
    </row>
    <row r="1550" spans="1:9">
      <c r="A1550" s="83" t="s">
        <v>5174</v>
      </c>
      <c r="B1550" s="83" t="s">
        <v>5130</v>
      </c>
      <c r="C1550" s="83" t="s">
        <v>5174</v>
      </c>
      <c r="D1550" s="83" t="s">
        <v>5225</v>
      </c>
      <c r="E1550" s="83">
        <f>cellcomm_funding_source5</f>
        <v>0</v>
      </c>
      <c r="F1550" s="83" t="b">
        <v>1</v>
      </c>
      <c r="G1550" s="83"/>
      <c r="H1550" s="83"/>
      <c r="I1550" s="83" t="s">
        <v>11534</v>
      </c>
    </row>
    <row r="1551" spans="1:9">
      <c r="A1551" s="83" t="s">
        <v>5175</v>
      </c>
      <c r="B1551" s="83" t="s">
        <v>5130</v>
      </c>
      <c r="C1551" s="83" t="s">
        <v>5175</v>
      </c>
      <c r="D1551" s="83" t="s">
        <v>5229</v>
      </c>
      <c r="E1551" s="83">
        <f>cellcomm_cellserviceprovider6</f>
        <v>0</v>
      </c>
      <c r="F1551" s="83" t="b">
        <v>1</v>
      </c>
      <c r="G1551" s="83"/>
      <c r="H1551" s="83"/>
      <c r="I1551" s="83" t="s">
        <v>11534</v>
      </c>
    </row>
    <row r="1552" spans="1:9">
      <c r="A1552" s="83" t="s">
        <v>5176</v>
      </c>
      <c r="B1552" s="83" t="s">
        <v>5130</v>
      </c>
      <c r="C1552" s="83" t="s">
        <v>5176</v>
      </c>
      <c r="D1552" s="83" t="s">
        <v>5230</v>
      </c>
      <c r="E1552" s="84" t="b">
        <f>cellcomm_cellserviceprovider6_text</f>
        <v>0</v>
      </c>
      <c r="F1552" s="83" t="b">
        <f t="shared" ref="F1552:F1556" si="15">OR(E1552=TRUE, E1552=FALSE)</f>
        <v>1</v>
      </c>
      <c r="G1552" s="83" t="s">
        <v>2287</v>
      </c>
      <c r="H1552" s="83"/>
      <c r="I1552" s="83" t="s">
        <v>11534</v>
      </c>
    </row>
    <row r="1553" spans="1:9">
      <c r="A1553" s="83" t="s">
        <v>5177</v>
      </c>
      <c r="B1553" s="83" t="s">
        <v>5130</v>
      </c>
      <c r="C1553" s="83" t="s">
        <v>5177</v>
      </c>
      <c r="D1553" s="83" t="s">
        <v>5235</v>
      </c>
      <c r="E1553" s="84" t="b">
        <f>cellcomm_cellserviceprovider6_call</f>
        <v>0</v>
      </c>
      <c r="F1553" s="83" t="b">
        <f t="shared" si="15"/>
        <v>1</v>
      </c>
      <c r="G1553" s="83" t="s">
        <v>2287</v>
      </c>
      <c r="H1553" s="83"/>
      <c r="I1553" s="83" t="s">
        <v>11534</v>
      </c>
    </row>
    <row r="1554" spans="1:9">
      <c r="A1554" s="83" t="s">
        <v>5178</v>
      </c>
      <c r="B1554" s="83" t="s">
        <v>5130</v>
      </c>
      <c r="C1554" s="83" t="s">
        <v>5178</v>
      </c>
      <c r="D1554" s="83" t="s">
        <v>5237</v>
      </c>
      <c r="E1554" s="84" t="b">
        <f>cellcomm_cellserviceprovider6_image</f>
        <v>0</v>
      </c>
      <c r="F1554" s="83" t="b">
        <f t="shared" si="15"/>
        <v>1</v>
      </c>
      <c r="G1554" s="83" t="s">
        <v>2287</v>
      </c>
      <c r="H1554" s="83"/>
      <c r="I1554" s="83" t="s">
        <v>11534</v>
      </c>
    </row>
    <row r="1555" spans="1:9">
      <c r="A1555" s="83" t="s">
        <v>5179</v>
      </c>
      <c r="B1555" s="83" t="s">
        <v>5130</v>
      </c>
      <c r="C1555" s="83" t="s">
        <v>5179</v>
      </c>
      <c r="D1555" s="83" t="s">
        <v>5231</v>
      </c>
      <c r="E1555" s="84" t="b">
        <f>cellcomm_cellserviceprovider6_vidcall</f>
        <v>0</v>
      </c>
      <c r="F1555" s="83" t="b">
        <f t="shared" si="15"/>
        <v>1</v>
      </c>
      <c r="G1555" s="83" t="s">
        <v>2287</v>
      </c>
      <c r="H1555" s="83"/>
      <c r="I1555" s="83" t="s">
        <v>11534</v>
      </c>
    </row>
    <row r="1556" spans="1:9">
      <c r="A1556" s="83" t="s">
        <v>5180</v>
      </c>
      <c r="B1556" s="83" t="s">
        <v>5130</v>
      </c>
      <c r="C1556" s="83" t="s">
        <v>5180</v>
      </c>
      <c r="D1556" s="83" t="s">
        <v>5236</v>
      </c>
      <c r="E1556" s="84" t="b">
        <f>cellcomm_cellserviceprovider6_nosignal</f>
        <v>0</v>
      </c>
      <c r="F1556" s="83" t="b">
        <f t="shared" si="15"/>
        <v>1</v>
      </c>
      <c r="G1556" s="83" t="s">
        <v>2287</v>
      </c>
      <c r="H1556" s="83"/>
      <c r="I1556" s="83" t="s">
        <v>11534</v>
      </c>
    </row>
    <row r="1557" spans="1:9">
      <c r="A1557" s="83" t="s">
        <v>5181</v>
      </c>
      <c r="B1557" s="83" t="s">
        <v>5130</v>
      </c>
      <c r="C1557" s="83" t="s">
        <v>5181</v>
      </c>
      <c r="D1557" s="83" t="s">
        <v>5232</v>
      </c>
      <c r="E1557" s="83">
        <f>cellcomm_type_wireless_conn6</f>
        <v>0</v>
      </c>
      <c r="F1557" s="83" t="b">
        <v>1</v>
      </c>
      <c r="G1557" s="83"/>
      <c r="H1557" s="83"/>
      <c r="I1557" s="83" t="s">
        <v>11534</v>
      </c>
    </row>
    <row r="1558" spans="1:9">
      <c r="A1558" s="83" t="s">
        <v>5182</v>
      </c>
      <c r="B1558" s="83" t="s">
        <v>5130</v>
      </c>
      <c r="C1558" s="83" t="s">
        <v>5182</v>
      </c>
      <c r="D1558" s="83" t="s">
        <v>5233</v>
      </c>
      <c r="E1558" s="117">
        <f>cellcomm_avemonth_expense6</f>
        <v>0</v>
      </c>
      <c r="F1558" s="83" t="b">
        <v>1</v>
      </c>
      <c r="G1558" s="83"/>
      <c r="H1558" s="83"/>
      <c r="I1558" s="83" t="s">
        <v>11534</v>
      </c>
    </row>
    <row r="1559" spans="1:9" ht="16" thickBot="1">
      <c r="A1559" s="85" t="s">
        <v>5183</v>
      </c>
      <c r="B1559" s="85" t="s">
        <v>5130</v>
      </c>
      <c r="C1559" s="85" t="s">
        <v>5183</v>
      </c>
      <c r="D1559" s="85" t="s">
        <v>5234</v>
      </c>
      <c r="E1559" s="85">
        <f>cellcomm_funding_source6</f>
        <v>0</v>
      </c>
      <c r="F1559" s="85" t="b">
        <v>1</v>
      </c>
      <c r="G1559" s="85"/>
      <c r="H1559" s="85"/>
      <c r="I1559" s="83" t="s">
        <v>11534</v>
      </c>
    </row>
    <row r="1560" spans="1:9">
      <c r="A1560" s="83" t="s">
        <v>5246</v>
      </c>
      <c r="B1560" s="83" t="s">
        <v>5245</v>
      </c>
      <c r="C1560" s="83" t="s">
        <v>5246</v>
      </c>
      <c r="D1560" s="83" t="s">
        <v>5296</v>
      </c>
      <c r="E1560" s="83" t="str">
        <f>printer_photocpy_type1</f>
        <v>Inkjet Printer</v>
      </c>
      <c r="F1560" s="83" t="b">
        <v>1</v>
      </c>
      <c r="G1560" s="83"/>
      <c r="H1560" s="83"/>
    </row>
    <row r="1561" spans="1:9">
      <c r="A1561" s="83" t="s">
        <v>5247</v>
      </c>
      <c r="B1561" s="83" t="s">
        <v>5245</v>
      </c>
      <c r="C1561" s="83" t="s">
        <v>5247</v>
      </c>
      <c r="D1561" s="83" t="s">
        <v>5297</v>
      </c>
      <c r="E1561" s="84" t="str">
        <f>printer_photocpy_brand1</f>
        <v>EPSON L1210</v>
      </c>
      <c r="F1561" s="83" t="b">
        <v>1</v>
      </c>
      <c r="G1561" s="83"/>
      <c r="H1561" s="83"/>
    </row>
    <row r="1562" spans="1:9">
      <c r="A1562" s="83" t="s">
        <v>5248</v>
      </c>
      <c r="B1562" s="83" t="s">
        <v>5245</v>
      </c>
      <c r="C1562" s="83" t="s">
        <v>5248</v>
      </c>
      <c r="D1562" s="83" t="s">
        <v>5298</v>
      </c>
      <c r="E1562" s="117">
        <f>printer_photocpy_avemonth_expense1</f>
        <v>300</v>
      </c>
      <c r="F1562" s="83" t="b">
        <v>1</v>
      </c>
      <c r="G1562" s="83"/>
      <c r="H1562" s="83"/>
    </row>
    <row r="1563" spans="1:9">
      <c r="A1563" s="83" t="s">
        <v>5249</v>
      </c>
      <c r="B1563" s="83" t="s">
        <v>5245</v>
      </c>
      <c r="C1563" s="83" t="s">
        <v>5249</v>
      </c>
      <c r="D1563" s="83" t="s">
        <v>5299</v>
      </c>
      <c r="E1563" s="83" t="str">
        <f>printer_photocpy_funding_source1</f>
        <v>MOOE</v>
      </c>
      <c r="F1563" s="83" t="b">
        <v>1</v>
      </c>
      <c r="G1563" s="83"/>
      <c r="H1563" s="83"/>
    </row>
    <row r="1564" spans="1:9">
      <c r="A1564" s="83" t="s">
        <v>5250</v>
      </c>
      <c r="B1564" s="83" t="s">
        <v>5245</v>
      </c>
      <c r="C1564" s="83" t="s">
        <v>5250</v>
      </c>
      <c r="D1564" s="83" t="s">
        <v>5300</v>
      </c>
      <c r="E1564" s="83" t="str">
        <f>printer_photocpy_purpose1</f>
        <v>For classroom instruction use</v>
      </c>
      <c r="F1564" s="83" t="b">
        <v>1</v>
      </c>
      <c r="G1564" s="83"/>
      <c r="H1564" s="83"/>
    </row>
    <row r="1565" spans="1:9">
      <c r="A1565" s="83" t="s">
        <v>5251</v>
      </c>
      <c r="B1565" s="83" t="s">
        <v>5245</v>
      </c>
      <c r="C1565" s="83" t="s">
        <v>5251</v>
      </c>
      <c r="D1565" s="83" t="s">
        <v>5301</v>
      </c>
      <c r="E1565" s="83" t="str">
        <f>printer_photocpy_type2</f>
        <v>Inkjet Printer</v>
      </c>
      <c r="F1565" s="83" t="b">
        <v>1</v>
      </c>
      <c r="G1565" s="83"/>
      <c r="H1565" s="83"/>
    </row>
    <row r="1566" spans="1:9">
      <c r="A1566" s="83" t="s">
        <v>5252</v>
      </c>
      <c r="B1566" s="83" t="s">
        <v>5245</v>
      </c>
      <c r="C1566" s="83" t="s">
        <v>5252</v>
      </c>
      <c r="D1566" s="83" t="s">
        <v>5302</v>
      </c>
      <c r="E1566" s="84" t="str">
        <f>printer_photocpy_brand2</f>
        <v>EPSON L1210</v>
      </c>
      <c r="F1566" s="83" t="b">
        <v>1</v>
      </c>
      <c r="G1566" s="83"/>
      <c r="H1566" s="83"/>
    </row>
    <row r="1567" spans="1:9">
      <c r="A1567" s="83" t="s">
        <v>5253</v>
      </c>
      <c r="B1567" s="83" t="s">
        <v>5245</v>
      </c>
      <c r="C1567" s="83" t="s">
        <v>5253</v>
      </c>
      <c r="D1567" s="83" t="s">
        <v>5303</v>
      </c>
      <c r="E1567" s="117">
        <f>printer_photocpy_avemonth_expense2</f>
        <v>1000</v>
      </c>
      <c r="F1567" s="83" t="b">
        <v>1</v>
      </c>
      <c r="G1567" s="83"/>
      <c r="H1567" s="83"/>
    </row>
    <row r="1568" spans="1:9">
      <c r="A1568" s="83" t="s">
        <v>5254</v>
      </c>
      <c r="B1568" s="83" t="s">
        <v>5245</v>
      </c>
      <c r="C1568" s="83" t="s">
        <v>5254</v>
      </c>
      <c r="D1568" s="83" t="s">
        <v>5304</v>
      </c>
      <c r="E1568" s="83" t="str">
        <f>printer_photocpy_funding_source2</f>
        <v>MOOE</v>
      </c>
      <c r="F1568" s="83" t="b">
        <v>1</v>
      </c>
      <c r="G1568" s="83"/>
      <c r="H1568" s="83"/>
    </row>
    <row r="1569" spans="1:8">
      <c r="A1569" s="83" t="s">
        <v>5255</v>
      </c>
      <c r="B1569" s="83" t="s">
        <v>5245</v>
      </c>
      <c r="C1569" s="83" t="s">
        <v>5255</v>
      </c>
      <c r="D1569" s="83" t="s">
        <v>5305</v>
      </c>
      <c r="E1569" s="83" t="str">
        <f>printer_photocpy_purpose2</f>
        <v>For both administrative &amp; classroom instruction use</v>
      </c>
      <c r="F1569" s="83" t="b">
        <v>1</v>
      </c>
      <c r="G1569" s="83"/>
      <c r="H1569" s="83"/>
    </row>
    <row r="1570" spans="1:8">
      <c r="A1570" s="83" t="s">
        <v>5256</v>
      </c>
      <c r="B1570" s="83" t="s">
        <v>5245</v>
      </c>
      <c r="C1570" s="83" t="s">
        <v>5256</v>
      </c>
      <c r="D1570" s="83" t="s">
        <v>5306</v>
      </c>
      <c r="E1570" s="83">
        <f>printer_photocpy_type3</f>
        <v>0</v>
      </c>
      <c r="F1570" s="83" t="b">
        <v>1</v>
      </c>
      <c r="G1570" s="83"/>
      <c r="H1570" s="83"/>
    </row>
    <row r="1571" spans="1:8">
      <c r="A1571" s="83" t="s">
        <v>5257</v>
      </c>
      <c r="B1571" s="83" t="s">
        <v>5245</v>
      </c>
      <c r="C1571" s="83" t="s">
        <v>5257</v>
      </c>
      <c r="D1571" s="83" t="s">
        <v>5307</v>
      </c>
      <c r="E1571" s="84">
        <f>printer_photocpy_brand3</f>
        <v>0</v>
      </c>
      <c r="F1571" s="83" t="b">
        <v>1</v>
      </c>
      <c r="G1571" s="83"/>
      <c r="H1571" s="83"/>
    </row>
    <row r="1572" spans="1:8">
      <c r="A1572" s="83" t="s">
        <v>5258</v>
      </c>
      <c r="B1572" s="83" t="s">
        <v>5245</v>
      </c>
      <c r="C1572" s="83" t="s">
        <v>5258</v>
      </c>
      <c r="D1572" s="83" t="s">
        <v>5308</v>
      </c>
      <c r="E1572" s="117">
        <f>printer_photocpy_avemonth_expense3</f>
        <v>0</v>
      </c>
      <c r="F1572" s="83" t="b">
        <v>1</v>
      </c>
      <c r="G1572" s="83"/>
      <c r="H1572" s="83"/>
    </row>
    <row r="1573" spans="1:8">
      <c r="A1573" s="83" t="s">
        <v>5259</v>
      </c>
      <c r="B1573" s="83" t="s">
        <v>5245</v>
      </c>
      <c r="C1573" s="83" t="s">
        <v>5259</v>
      </c>
      <c r="D1573" s="83" t="s">
        <v>5309</v>
      </c>
      <c r="E1573" s="83">
        <f>printer_photocpy_funding_source3</f>
        <v>0</v>
      </c>
      <c r="F1573" s="83" t="b">
        <v>1</v>
      </c>
      <c r="G1573" s="83"/>
      <c r="H1573" s="83"/>
    </row>
    <row r="1574" spans="1:8">
      <c r="A1574" s="83" t="s">
        <v>5260</v>
      </c>
      <c r="B1574" s="83" t="s">
        <v>5245</v>
      </c>
      <c r="C1574" s="83" t="s">
        <v>5260</v>
      </c>
      <c r="D1574" s="83" t="s">
        <v>5310</v>
      </c>
      <c r="E1574" s="83">
        <f>printer_photocpy_purpose3</f>
        <v>0</v>
      </c>
      <c r="F1574" s="83" t="b">
        <v>1</v>
      </c>
      <c r="G1574" s="83"/>
      <c r="H1574" s="83"/>
    </row>
    <row r="1575" spans="1:8">
      <c r="A1575" s="83" t="s">
        <v>5261</v>
      </c>
      <c r="B1575" s="83" t="s">
        <v>5245</v>
      </c>
      <c r="C1575" s="83" t="s">
        <v>5261</v>
      </c>
      <c r="D1575" s="83" t="s">
        <v>5311</v>
      </c>
      <c r="E1575" s="83">
        <f>printer_photocpy_type4</f>
        <v>0</v>
      </c>
      <c r="F1575" s="83" t="b">
        <v>1</v>
      </c>
      <c r="G1575" s="83"/>
      <c r="H1575" s="83"/>
    </row>
    <row r="1576" spans="1:8">
      <c r="A1576" s="83" t="s">
        <v>5262</v>
      </c>
      <c r="B1576" s="83" t="s">
        <v>5245</v>
      </c>
      <c r="C1576" s="83" t="s">
        <v>5262</v>
      </c>
      <c r="D1576" s="83" t="s">
        <v>5312</v>
      </c>
      <c r="E1576" s="84">
        <f>printer_photocpy_brand4</f>
        <v>0</v>
      </c>
      <c r="F1576" s="83" t="b">
        <v>1</v>
      </c>
      <c r="G1576" s="83"/>
      <c r="H1576" s="83"/>
    </row>
    <row r="1577" spans="1:8">
      <c r="A1577" s="83" t="s">
        <v>5263</v>
      </c>
      <c r="B1577" s="83" t="s">
        <v>5245</v>
      </c>
      <c r="C1577" s="83" t="s">
        <v>5263</v>
      </c>
      <c r="D1577" s="83" t="s">
        <v>5313</v>
      </c>
      <c r="E1577" s="117">
        <f>printer_photocpy_avemonth_expense4</f>
        <v>0</v>
      </c>
      <c r="F1577" s="83" t="b">
        <v>1</v>
      </c>
      <c r="G1577" s="83"/>
      <c r="H1577" s="83"/>
    </row>
    <row r="1578" spans="1:8">
      <c r="A1578" s="83" t="s">
        <v>5264</v>
      </c>
      <c r="B1578" s="83" t="s">
        <v>5245</v>
      </c>
      <c r="C1578" s="83" t="s">
        <v>5264</v>
      </c>
      <c r="D1578" s="83" t="s">
        <v>5314</v>
      </c>
      <c r="E1578" s="83">
        <f>printer_photocpy_funding_source4</f>
        <v>0</v>
      </c>
      <c r="F1578" s="83" t="b">
        <v>1</v>
      </c>
      <c r="G1578" s="83"/>
      <c r="H1578" s="83"/>
    </row>
    <row r="1579" spans="1:8">
      <c r="A1579" s="83" t="s">
        <v>5265</v>
      </c>
      <c r="B1579" s="83" t="s">
        <v>5245</v>
      </c>
      <c r="C1579" s="83" t="s">
        <v>5265</v>
      </c>
      <c r="D1579" s="83" t="s">
        <v>5315</v>
      </c>
      <c r="E1579" s="83">
        <f>printer_photocpy_purpose4</f>
        <v>0</v>
      </c>
      <c r="F1579" s="83" t="b">
        <v>1</v>
      </c>
      <c r="G1579" s="83"/>
      <c r="H1579" s="83"/>
    </row>
    <row r="1580" spans="1:8">
      <c r="A1580" s="83" t="s">
        <v>5266</v>
      </c>
      <c r="B1580" s="83" t="s">
        <v>5245</v>
      </c>
      <c r="C1580" s="83" t="s">
        <v>5266</v>
      </c>
      <c r="D1580" s="83" t="s">
        <v>5316</v>
      </c>
      <c r="E1580" s="83">
        <f>printer_photocpy_type5</f>
        <v>0</v>
      </c>
      <c r="F1580" s="83" t="b">
        <v>1</v>
      </c>
      <c r="G1580" s="83"/>
      <c r="H1580" s="83"/>
    </row>
    <row r="1581" spans="1:8">
      <c r="A1581" s="83" t="s">
        <v>5267</v>
      </c>
      <c r="B1581" s="83" t="s">
        <v>5245</v>
      </c>
      <c r="C1581" s="83" t="s">
        <v>5267</v>
      </c>
      <c r="D1581" s="83" t="s">
        <v>5317</v>
      </c>
      <c r="E1581" s="84">
        <f>printer_photocpy_brand5</f>
        <v>0</v>
      </c>
      <c r="F1581" s="83" t="b">
        <v>1</v>
      </c>
      <c r="G1581" s="83"/>
      <c r="H1581" s="83"/>
    </row>
    <row r="1582" spans="1:8">
      <c r="A1582" s="83" t="s">
        <v>5268</v>
      </c>
      <c r="B1582" s="83" t="s">
        <v>5245</v>
      </c>
      <c r="C1582" s="83" t="s">
        <v>5268</v>
      </c>
      <c r="D1582" s="83" t="s">
        <v>5318</v>
      </c>
      <c r="E1582" s="117">
        <f>printer_photocpy_avemonth_expense5</f>
        <v>0</v>
      </c>
      <c r="F1582" s="83" t="b">
        <v>1</v>
      </c>
      <c r="G1582" s="83"/>
      <c r="H1582" s="83"/>
    </row>
    <row r="1583" spans="1:8">
      <c r="A1583" s="83" t="s">
        <v>5269</v>
      </c>
      <c r="B1583" s="83" t="s">
        <v>5245</v>
      </c>
      <c r="C1583" s="83" t="s">
        <v>5269</v>
      </c>
      <c r="D1583" s="83" t="s">
        <v>5319</v>
      </c>
      <c r="E1583" s="83">
        <f>printer_photocpy_funding_source5</f>
        <v>0</v>
      </c>
      <c r="F1583" s="83" t="b">
        <v>1</v>
      </c>
      <c r="G1583" s="83"/>
      <c r="H1583" s="83"/>
    </row>
    <row r="1584" spans="1:8">
      <c r="A1584" s="83" t="s">
        <v>5270</v>
      </c>
      <c r="B1584" s="83" t="s">
        <v>5245</v>
      </c>
      <c r="C1584" s="83" t="s">
        <v>5270</v>
      </c>
      <c r="D1584" s="83" t="s">
        <v>5320</v>
      </c>
      <c r="E1584" s="83">
        <f>printer_photocpy_purpose5</f>
        <v>0</v>
      </c>
      <c r="F1584" s="83" t="b">
        <v>1</v>
      </c>
      <c r="G1584" s="83"/>
      <c r="H1584" s="83"/>
    </row>
    <row r="1585" spans="1:8">
      <c r="A1585" s="83" t="s">
        <v>5271</v>
      </c>
      <c r="B1585" s="83" t="s">
        <v>5245</v>
      </c>
      <c r="C1585" s="83" t="s">
        <v>5271</v>
      </c>
      <c r="D1585" s="83" t="s">
        <v>5321</v>
      </c>
      <c r="E1585" s="83">
        <f>printer_photocpy_type6</f>
        <v>0</v>
      </c>
      <c r="F1585" s="83" t="b">
        <v>1</v>
      </c>
      <c r="G1585" s="83"/>
      <c r="H1585" s="83"/>
    </row>
    <row r="1586" spans="1:8">
      <c r="A1586" s="83" t="s">
        <v>5272</v>
      </c>
      <c r="B1586" s="83" t="s">
        <v>5245</v>
      </c>
      <c r="C1586" s="83" t="s">
        <v>5272</v>
      </c>
      <c r="D1586" s="83" t="s">
        <v>5322</v>
      </c>
      <c r="E1586" s="84">
        <f>printer_photocpy_brand6</f>
        <v>0</v>
      </c>
      <c r="F1586" s="83" t="b">
        <v>1</v>
      </c>
      <c r="G1586" s="83"/>
      <c r="H1586" s="83"/>
    </row>
    <row r="1587" spans="1:8">
      <c r="A1587" s="83" t="s">
        <v>5273</v>
      </c>
      <c r="B1587" s="83" t="s">
        <v>5245</v>
      </c>
      <c r="C1587" s="83" t="s">
        <v>5273</v>
      </c>
      <c r="D1587" s="83" t="s">
        <v>5323</v>
      </c>
      <c r="E1587" s="117">
        <f>printer_photocpy_avemonth_expense6</f>
        <v>0</v>
      </c>
      <c r="F1587" s="83" t="b">
        <v>1</v>
      </c>
      <c r="G1587" s="83"/>
      <c r="H1587" s="83"/>
    </row>
    <row r="1588" spans="1:8">
      <c r="A1588" s="83" t="s">
        <v>5274</v>
      </c>
      <c r="B1588" s="83" t="s">
        <v>5245</v>
      </c>
      <c r="C1588" s="83" t="s">
        <v>5274</v>
      </c>
      <c r="D1588" s="83" t="s">
        <v>5324</v>
      </c>
      <c r="E1588" s="83">
        <f>printer_photocpy_funding_source6</f>
        <v>0</v>
      </c>
      <c r="F1588" s="83" t="b">
        <v>1</v>
      </c>
      <c r="G1588" s="83"/>
      <c r="H1588" s="83"/>
    </row>
    <row r="1589" spans="1:8">
      <c r="A1589" s="83" t="s">
        <v>5275</v>
      </c>
      <c r="B1589" s="83" t="s">
        <v>5245</v>
      </c>
      <c r="C1589" s="83" t="s">
        <v>5275</v>
      </c>
      <c r="D1589" s="83" t="s">
        <v>5325</v>
      </c>
      <c r="E1589" s="83">
        <f>printer_photocpy_purpose6</f>
        <v>0</v>
      </c>
      <c r="F1589" s="83" t="b">
        <v>1</v>
      </c>
      <c r="G1589" s="83"/>
      <c r="H1589" s="83"/>
    </row>
    <row r="1590" spans="1:8">
      <c r="A1590" s="83" t="s">
        <v>5276</v>
      </c>
      <c r="B1590" s="83" t="s">
        <v>5245</v>
      </c>
      <c r="C1590" s="83" t="s">
        <v>5276</v>
      </c>
      <c r="D1590" s="83" t="s">
        <v>5326</v>
      </c>
      <c r="E1590" s="83">
        <f>printer_photocpy_type7</f>
        <v>0</v>
      </c>
      <c r="F1590" s="83" t="b">
        <v>1</v>
      </c>
      <c r="G1590" s="83"/>
      <c r="H1590" s="83"/>
    </row>
    <row r="1591" spans="1:8">
      <c r="A1591" s="83" t="s">
        <v>5277</v>
      </c>
      <c r="B1591" s="83" t="s">
        <v>5245</v>
      </c>
      <c r="C1591" s="83" t="s">
        <v>5277</v>
      </c>
      <c r="D1591" s="83" t="s">
        <v>5327</v>
      </c>
      <c r="E1591" s="84">
        <f>printer_photocpy_brand7</f>
        <v>0</v>
      </c>
      <c r="F1591" s="83" t="b">
        <v>1</v>
      </c>
      <c r="G1591" s="83"/>
      <c r="H1591" s="83"/>
    </row>
    <row r="1592" spans="1:8">
      <c r="A1592" s="83" t="s">
        <v>5278</v>
      </c>
      <c r="B1592" s="83" t="s">
        <v>5245</v>
      </c>
      <c r="C1592" s="83" t="s">
        <v>5278</v>
      </c>
      <c r="D1592" s="83" t="s">
        <v>5328</v>
      </c>
      <c r="E1592" s="117">
        <f>printer_photocpy_avemonth_expense7</f>
        <v>0</v>
      </c>
      <c r="F1592" s="83" t="b">
        <v>1</v>
      </c>
      <c r="G1592" s="83"/>
      <c r="H1592" s="83"/>
    </row>
    <row r="1593" spans="1:8">
      <c r="A1593" s="83" t="s">
        <v>5279</v>
      </c>
      <c r="B1593" s="83" t="s">
        <v>5245</v>
      </c>
      <c r="C1593" s="83" t="s">
        <v>5279</v>
      </c>
      <c r="D1593" s="83" t="s">
        <v>5329</v>
      </c>
      <c r="E1593" s="83">
        <f>printer_photocpy_funding_source7</f>
        <v>0</v>
      </c>
      <c r="F1593" s="83" t="b">
        <v>1</v>
      </c>
      <c r="G1593" s="83"/>
      <c r="H1593" s="83"/>
    </row>
    <row r="1594" spans="1:8">
      <c r="A1594" s="83" t="s">
        <v>5280</v>
      </c>
      <c r="B1594" s="83" t="s">
        <v>5245</v>
      </c>
      <c r="C1594" s="83" t="s">
        <v>5280</v>
      </c>
      <c r="D1594" s="83" t="s">
        <v>5330</v>
      </c>
      <c r="E1594" s="83">
        <f>printer_photocpy_purpose7</f>
        <v>0</v>
      </c>
      <c r="F1594" s="83" t="b">
        <v>1</v>
      </c>
      <c r="G1594" s="83"/>
      <c r="H1594" s="83"/>
    </row>
    <row r="1595" spans="1:8">
      <c r="A1595" s="83" t="s">
        <v>5281</v>
      </c>
      <c r="B1595" s="83" t="s">
        <v>5245</v>
      </c>
      <c r="C1595" s="83" t="s">
        <v>5281</v>
      </c>
      <c r="D1595" s="83" t="s">
        <v>5331</v>
      </c>
      <c r="E1595" s="83">
        <f>printer_photocpy_type8</f>
        <v>0</v>
      </c>
      <c r="F1595" s="83" t="b">
        <v>1</v>
      </c>
      <c r="G1595" s="83"/>
      <c r="H1595" s="83"/>
    </row>
    <row r="1596" spans="1:8">
      <c r="A1596" s="83" t="s">
        <v>5282</v>
      </c>
      <c r="B1596" s="83" t="s">
        <v>5245</v>
      </c>
      <c r="C1596" s="83" t="s">
        <v>5282</v>
      </c>
      <c r="D1596" s="83" t="s">
        <v>5332</v>
      </c>
      <c r="E1596" s="84">
        <f>printer_photocpy_brand8</f>
        <v>0</v>
      </c>
      <c r="F1596" s="83" t="b">
        <v>1</v>
      </c>
      <c r="G1596" s="83"/>
      <c r="H1596" s="83"/>
    </row>
    <row r="1597" spans="1:8">
      <c r="A1597" s="83" t="s">
        <v>5283</v>
      </c>
      <c r="B1597" s="83" t="s">
        <v>5245</v>
      </c>
      <c r="C1597" s="83" t="s">
        <v>5283</v>
      </c>
      <c r="D1597" s="83" t="s">
        <v>5333</v>
      </c>
      <c r="E1597" s="117">
        <f>printer_photocpy_avemonth_expense8</f>
        <v>0</v>
      </c>
      <c r="F1597" s="83" t="b">
        <v>1</v>
      </c>
      <c r="G1597" s="83"/>
      <c r="H1597" s="83"/>
    </row>
    <row r="1598" spans="1:8">
      <c r="A1598" s="83" t="s">
        <v>5284</v>
      </c>
      <c r="B1598" s="83" t="s">
        <v>5245</v>
      </c>
      <c r="C1598" s="83" t="s">
        <v>5284</v>
      </c>
      <c r="D1598" s="83" t="s">
        <v>5334</v>
      </c>
      <c r="E1598" s="83">
        <f>printer_photocpy_funding_source8</f>
        <v>0</v>
      </c>
      <c r="F1598" s="83" t="b">
        <v>1</v>
      </c>
      <c r="G1598" s="83"/>
      <c r="H1598" s="83"/>
    </row>
    <row r="1599" spans="1:8">
      <c r="A1599" s="83" t="s">
        <v>5285</v>
      </c>
      <c r="B1599" s="83" t="s">
        <v>5245</v>
      </c>
      <c r="C1599" s="83" t="s">
        <v>5285</v>
      </c>
      <c r="D1599" s="83" t="s">
        <v>5335</v>
      </c>
      <c r="E1599" s="83">
        <f>printer_photocpy_purpose8</f>
        <v>0</v>
      </c>
      <c r="F1599" s="83" t="b">
        <v>1</v>
      </c>
      <c r="G1599" s="83"/>
      <c r="H1599" s="83"/>
    </row>
    <row r="1600" spans="1:8">
      <c r="A1600" s="83" t="s">
        <v>5286</v>
      </c>
      <c r="B1600" s="83" t="s">
        <v>5245</v>
      </c>
      <c r="C1600" s="83" t="s">
        <v>5286</v>
      </c>
      <c r="D1600" s="83" t="s">
        <v>5336</v>
      </c>
      <c r="E1600" s="83">
        <f>printer_photocpy_type9</f>
        <v>0</v>
      </c>
      <c r="F1600" s="83" t="b">
        <v>1</v>
      </c>
      <c r="G1600" s="83"/>
      <c r="H1600" s="83"/>
    </row>
    <row r="1601" spans="1:8">
      <c r="A1601" s="83" t="s">
        <v>5287</v>
      </c>
      <c r="B1601" s="83" t="s">
        <v>5245</v>
      </c>
      <c r="C1601" s="83" t="s">
        <v>5287</v>
      </c>
      <c r="D1601" s="83" t="s">
        <v>5337</v>
      </c>
      <c r="E1601" s="84">
        <f>printer_photocpy_brand9</f>
        <v>0</v>
      </c>
      <c r="F1601" s="83" t="b">
        <v>1</v>
      </c>
      <c r="G1601" s="83"/>
      <c r="H1601" s="83"/>
    </row>
    <row r="1602" spans="1:8">
      <c r="A1602" s="83" t="s">
        <v>5288</v>
      </c>
      <c r="B1602" s="83" t="s">
        <v>5245</v>
      </c>
      <c r="C1602" s="83" t="s">
        <v>5288</v>
      </c>
      <c r="D1602" s="83" t="s">
        <v>5338</v>
      </c>
      <c r="E1602" s="117">
        <f>printer_photocpy_avemonth_expense9</f>
        <v>0</v>
      </c>
      <c r="F1602" s="83" t="b">
        <v>1</v>
      </c>
      <c r="G1602" s="83"/>
      <c r="H1602" s="83"/>
    </row>
    <row r="1603" spans="1:8">
      <c r="A1603" s="83" t="s">
        <v>5289</v>
      </c>
      <c r="B1603" s="83" t="s">
        <v>5245</v>
      </c>
      <c r="C1603" s="83" t="s">
        <v>5289</v>
      </c>
      <c r="D1603" s="83" t="s">
        <v>5339</v>
      </c>
      <c r="E1603" s="83">
        <f>printer_photocpy_funding_source9</f>
        <v>0</v>
      </c>
      <c r="F1603" s="83" t="b">
        <v>1</v>
      </c>
      <c r="G1603" s="83"/>
      <c r="H1603" s="83"/>
    </row>
    <row r="1604" spans="1:8">
      <c r="A1604" s="83" t="s">
        <v>5290</v>
      </c>
      <c r="B1604" s="83" t="s">
        <v>5245</v>
      </c>
      <c r="C1604" s="83" t="s">
        <v>5290</v>
      </c>
      <c r="D1604" s="83" t="s">
        <v>5340</v>
      </c>
      <c r="E1604" s="83">
        <f>printer_photocpy_purpose9</f>
        <v>0</v>
      </c>
      <c r="F1604" s="83" t="b">
        <v>1</v>
      </c>
      <c r="G1604" s="83"/>
      <c r="H1604" s="83"/>
    </row>
    <row r="1605" spans="1:8">
      <c r="A1605" s="83" t="s">
        <v>5291</v>
      </c>
      <c r="B1605" s="83" t="s">
        <v>5245</v>
      </c>
      <c r="C1605" s="83" t="s">
        <v>5291</v>
      </c>
      <c r="D1605" s="83" t="s">
        <v>5341</v>
      </c>
      <c r="E1605" s="83">
        <f>printer_photocpy_type10</f>
        <v>0</v>
      </c>
      <c r="F1605" s="83" t="b">
        <v>1</v>
      </c>
      <c r="G1605" s="83"/>
      <c r="H1605" s="83"/>
    </row>
    <row r="1606" spans="1:8">
      <c r="A1606" s="83" t="s">
        <v>5292</v>
      </c>
      <c r="B1606" s="83" t="s">
        <v>5245</v>
      </c>
      <c r="C1606" s="83" t="s">
        <v>5292</v>
      </c>
      <c r="D1606" s="83" t="s">
        <v>5342</v>
      </c>
      <c r="E1606" s="84">
        <f>printer_photocpy_brand10</f>
        <v>0</v>
      </c>
      <c r="F1606" s="83" t="b">
        <v>1</v>
      </c>
      <c r="G1606" s="83"/>
      <c r="H1606" s="83"/>
    </row>
    <row r="1607" spans="1:8">
      <c r="A1607" s="83" t="s">
        <v>5293</v>
      </c>
      <c r="B1607" s="83" t="s">
        <v>5245</v>
      </c>
      <c r="C1607" s="83" t="s">
        <v>5293</v>
      </c>
      <c r="D1607" s="83" t="s">
        <v>5343</v>
      </c>
      <c r="E1607" s="117">
        <f>printer_photocpy_avemonth_expense10</f>
        <v>0</v>
      </c>
      <c r="F1607" s="83" t="b">
        <v>1</v>
      </c>
      <c r="G1607" s="83"/>
      <c r="H1607" s="83"/>
    </row>
    <row r="1608" spans="1:8">
      <c r="A1608" s="83" t="s">
        <v>5294</v>
      </c>
      <c r="B1608" s="83" t="s">
        <v>5245</v>
      </c>
      <c r="C1608" s="83" t="s">
        <v>5294</v>
      </c>
      <c r="D1608" s="83" t="s">
        <v>5344</v>
      </c>
      <c r="E1608" s="83">
        <f>printer_photocpy_funding_source10</f>
        <v>0</v>
      </c>
      <c r="F1608" s="83" t="b">
        <v>1</v>
      </c>
      <c r="G1608" s="83"/>
      <c r="H1608" s="83"/>
    </row>
    <row r="1609" spans="1:8" ht="16" thickBot="1">
      <c r="A1609" s="83" t="s">
        <v>5295</v>
      </c>
      <c r="B1609" s="83" t="s">
        <v>5245</v>
      </c>
      <c r="C1609" s="83" t="s">
        <v>5295</v>
      </c>
      <c r="D1609" s="83" t="s">
        <v>5345</v>
      </c>
      <c r="E1609" s="83">
        <f>printer_photocpy_purpose10</f>
        <v>0</v>
      </c>
      <c r="F1609" s="83" t="b">
        <v>1</v>
      </c>
      <c r="G1609" s="83"/>
      <c r="H1609" s="83"/>
    </row>
    <row r="1610" spans="1:8" s="119" customFormat="1">
      <c r="A1610" s="118" t="s">
        <v>5355</v>
      </c>
      <c r="B1610" s="118" t="s">
        <v>5354</v>
      </c>
      <c r="C1610" s="118" t="s">
        <v>5355</v>
      </c>
      <c r="D1610" s="118" t="s">
        <v>5427</v>
      </c>
      <c r="E1610" s="118">
        <f>broadcast_station_type1</f>
        <v>0</v>
      </c>
      <c r="F1610" s="118" t="b">
        <v>1</v>
      </c>
      <c r="G1610" s="118"/>
      <c r="H1610" s="118"/>
    </row>
    <row r="1611" spans="1:8">
      <c r="A1611" s="83" t="s">
        <v>5356</v>
      </c>
      <c r="B1611" s="83" t="s">
        <v>5354</v>
      </c>
      <c r="C1611" s="83" t="s">
        <v>5356</v>
      </c>
      <c r="D1611" s="83" t="s">
        <v>5428</v>
      </c>
      <c r="E1611" s="84">
        <f>broadcast_station_name1</f>
        <v>0</v>
      </c>
      <c r="F1611" s="83" t="b">
        <v>1</v>
      </c>
      <c r="G1611" s="83"/>
      <c r="H1611" s="83"/>
    </row>
    <row r="1612" spans="1:8">
      <c r="A1612" s="83" t="s">
        <v>5357</v>
      </c>
      <c r="B1612" s="83" t="s">
        <v>5354</v>
      </c>
      <c r="C1612" s="83" t="s">
        <v>5357</v>
      </c>
      <c r="D1612" s="83" t="s">
        <v>5429</v>
      </c>
      <c r="E1612" s="84">
        <f>broadcast_station_frequency1</f>
        <v>0</v>
      </c>
      <c r="F1612" s="83" t="b">
        <v>1</v>
      </c>
      <c r="G1612" s="83"/>
      <c r="H1612" s="83"/>
    </row>
    <row r="1613" spans="1:8">
      <c r="A1613" s="83" t="s">
        <v>5358</v>
      </c>
      <c r="B1613" s="83" t="s">
        <v>5354</v>
      </c>
      <c r="C1613" s="83" t="s">
        <v>5358</v>
      </c>
      <c r="D1613" s="83" t="s">
        <v>5430</v>
      </c>
      <c r="E1613" s="84">
        <f>broadcast_station_ntc_licensenum1</f>
        <v>0</v>
      </c>
      <c r="F1613" s="83" t="b">
        <v>1</v>
      </c>
      <c r="G1613" s="83"/>
      <c r="H1613" s="83"/>
    </row>
    <row r="1614" spans="1:8">
      <c r="A1614" s="83" t="s">
        <v>5359</v>
      </c>
      <c r="B1614" s="83" t="s">
        <v>5354</v>
      </c>
      <c r="C1614" s="83" t="s">
        <v>5359</v>
      </c>
      <c r="D1614" s="83" t="s">
        <v>5431</v>
      </c>
      <c r="E1614" s="84">
        <f>broadcast_station_owner1</f>
        <v>0</v>
      </c>
      <c r="F1614" s="83" t="b">
        <v>1</v>
      </c>
      <c r="G1614" s="83"/>
      <c r="H1614" s="83"/>
    </row>
    <row r="1615" spans="1:8">
      <c r="A1615" s="83" t="s">
        <v>5360</v>
      </c>
      <c r="B1615" s="83" t="s">
        <v>5354</v>
      </c>
      <c r="C1615" s="83" t="s">
        <v>5360</v>
      </c>
      <c r="D1615" s="83" t="s">
        <v>5432</v>
      </c>
      <c r="E1615" s="83">
        <f>broadcast_station_partner_status1</f>
        <v>0</v>
      </c>
      <c r="F1615" s="83" t="b">
        <v>1</v>
      </c>
      <c r="G1615" s="83"/>
      <c r="H1615" s="83"/>
    </row>
    <row r="1616" spans="1:8">
      <c r="A1616" s="83" t="s">
        <v>5361</v>
      </c>
      <c r="B1616" s="83" t="s">
        <v>5354</v>
      </c>
      <c r="C1616" s="83" t="s">
        <v>5361</v>
      </c>
      <c r="D1616" s="83" t="s">
        <v>5433</v>
      </c>
      <c r="E1616" s="115">
        <f>broadcast_station_broadcast_date1</f>
        <v>0</v>
      </c>
      <c r="F1616" s="83" t="b">
        <v>1</v>
      </c>
      <c r="G1616" s="83"/>
      <c r="H1616" s="83"/>
    </row>
    <row r="1617" spans="1:8">
      <c r="A1617" s="83" t="s">
        <v>5362</v>
      </c>
      <c r="B1617" s="83" t="s">
        <v>5354</v>
      </c>
      <c r="C1617" s="83" t="s">
        <v>5362</v>
      </c>
      <c r="D1617" s="83" t="s">
        <v>5434</v>
      </c>
      <c r="E1617" s="84">
        <f>broadcast_station_partner_contact1</f>
        <v>0</v>
      </c>
      <c r="F1617" s="83" t="b">
        <v>1</v>
      </c>
      <c r="G1617" s="83"/>
      <c r="H1617" s="83"/>
    </row>
    <row r="1618" spans="1:8">
      <c r="A1618" s="83" t="s">
        <v>5517</v>
      </c>
      <c r="B1618" s="83" t="s">
        <v>5354</v>
      </c>
      <c r="C1618" s="83" t="s">
        <v>5517</v>
      </c>
      <c r="D1618" s="83" t="s">
        <v>5435</v>
      </c>
      <c r="E1618" s="84">
        <f>broadcast_station_partner_address1</f>
        <v>0</v>
      </c>
      <c r="F1618" s="83" t="b">
        <v>1</v>
      </c>
      <c r="G1618" s="83"/>
      <c r="H1618" s="83"/>
    </row>
    <row r="1619" spans="1:8">
      <c r="A1619" s="83" t="s">
        <v>5526</v>
      </c>
      <c r="B1619" s="83" t="s">
        <v>5354</v>
      </c>
      <c r="C1619" s="83" t="s">
        <v>5526</v>
      </c>
      <c r="D1619" s="83" t="s">
        <v>5436</v>
      </c>
      <c r="E1619" s="84">
        <f>broadcast_station_partner_email1</f>
        <v>0</v>
      </c>
      <c r="F1619" s="83" t="b">
        <v>1</v>
      </c>
      <c r="G1619" s="83"/>
      <c r="H1619" s="83"/>
    </row>
    <row r="1620" spans="1:8">
      <c r="A1620" s="83" t="s">
        <v>5363</v>
      </c>
      <c r="B1620" s="83" t="s">
        <v>5354</v>
      </c>
      <c r="C1620" s="83" t="s">
        <v>5363</v>
      </c>
      <c r="D1620" s="83" t="s">
        <v>5437</v>
      </c>
      <c r="E1620" s="83">
        <f>broadcast_station_type2</f>
        <v>0</v>
      </c>
      <c r="F1620" s="83" t="b">
        <v>1</v>
      </c>
      <c r="G1620" s="83"/>
      <c r="H1620" s="83"/>
    </row>
    <row r="1621" spans="1:8">
      <c r="A1621" s="83" t="s">
        <v>5364</v>
      </c>
      <c r="B1621" s="83" t="s">
        <v>5354</v>
      </c>
      <c r="C1621" s="83" t="s">
        <v>5364</v>
      </c>
      <c r="D1621" s="83" t="s">
        <v>5438</v>
      </c>
      <c r="E1621" s="84">
        <f>broadcast_station_name2</f>
        <v>0</v>
      </c>
      <c r="F1621" s="83" t="b">
        <v>1</v>
      </c>
      <c r="G1621" s="83"/>
      <c r="H1621" s="83"/>
    </row>
    <row r="1622" spans="1:8">
      <c r="A1622" s="83" t="s">
        <v>5365</v>
      </c>
      <c r="B1622" s="83" t="s">
        <v>5354</v>
      </c>
      <c r="C1622" s="83" t="s">
        <v>5365</v>
      </c>
      <c r="D1622" s="83" t="s">
        <v>5439</v>
      </c>
      <c r="E1622" s="84">
        <f>broadcast_station_frequency2</f>
        <v>0</v>
      </c>
      <c r="F1622" s="83" t="b">
        <v>1</v>
      </c>
      <c r="G1622" s="83"/>
      <c r="H1622" s="83"/>
    </row>
    <row r="1623" spans="1:8">
      <c r="A1623" s="83" t="s">
        <v>5366</v>
      </c>
      <c r="B1623" s="83" t="s">
        <v>5354</v>
      </c>
      <c r="C1623" s="83" t="s">
        <v>5366</v>
      </c>
      <c r="D1623" s="83" t="s">
        <v>5440</v>
      </c>
      <c r="E1623" s="84">
        <f>broadcast_station_ntc_licensenum2</f>
        <v>0</v>
      </c>
      <c r="F1623" s="83" t="b">
        <v>1</v>
      </c>
      <c r="G1623" s="83"/>
      <c r="H1623" s="83"/>
    </row>
    <row r="1624" spans="1:8">
      <c r="A1624" s="83" t="s">
        <v>5367</v>
      </c>
      <c r="B1624" s="83" t="s">
        <v>5354</v>
      </c>
      <c r="C1624" s="83" t="s">
        <v>5367</v>
      </c>
      <c r="D1624" s="83" t="s">
        <v>5441</v>
      </c>
      <c r="E1624" s="84">
        <f>broadcast_station_owner2</f>
        <v>0</v>
      </c>
      <c r="F1624" s="83" t="b">
        <v>1</v>
      </c>
      <c r="G1624" s="83"/>
      <c r="H1624" s="83"/>
    </row>
    <row r="1625" spans="1:8">
      <c r="A1625" s="83" t="s">
        <v>5368</v>
      </c>
      <c r="B1625" s="83" t="s">
        <v>5354</v>
      </c>
      <c r="C1625" s="83" t="s">
        <v>5368</v>
      </c>
      <c r="D1625" s="83" t="s">
        <v>5442</v>
      </c>
      <c r="E1625" s="83">
        <f>broadcast_station_partner_status2</f>
        <v>0</v>
      </c>
      <c r="F1625" s="83" t="b">
        <v>1</v>
      </c>
      <c r="G1625" s="83"/>
      <c r="H1625" s="83"/>
    </row>
    <row r="1626" spans="1:8">
      <c r="A1626" s="83" t="s">
        <v>5369</v>
      </c>
      <c r="B1626" s="83" t="s">
        <v>5354</v>
      </c>
      <c r="C1626" s="83" t="s">
        <v>5369</v>
      </c>
      <c r="D1626" s="83" t="s">
        <v>5443</v>
      </c>
      <c r="E1626" s="115">
        <f>broadcast_station_broadcast_date2</f>
        <v>0</v>
      </c>
      <c r="F1626" s="83" t="b">
        <v>1</v>
      </c>
      <c r="G1626" s="83"/>
      <c r="H1626" s="83"/>
    </row>
    <row r="1627" spans="1:8">
      <c r="A1627" s="83" t="s">
        <v>5370</v>
      </c>
      <c r="B1627" s="83" t="s">
        <v>5354</v>
      </c>
      <c r="C1627" s="83" t="s">
        <v>5370</v>
      </c>
      <c r="D1627" s="83" t="s">
        <v>5444</v>
      </c>
      <c r="E1627" s="84">
        <f>broadcast_station_partner_contact2</f>
        <v>0</v>
      </c>
      <c r="F1627" s="83" t="b">
        <v>1</v>
      </c>
      <c r="G1627" s="83"/>
      <c r="H1627" s="83"/>
    </row>
    <row r="1628" spans="1:8">
      <c r="A1628" s="83" t="s">
        <v>5518</v>
      </c>
      <c r="B1628" s="83" t="s">
        <v>5354</v>
      </c>
      <c r="C1628" s="83" t="s">
        <v>5518</v>
      </c>
      <c r="D1628" s="83" t="s">
        <v>5445</v>
      </c>
      <c r="E1628" s="84">
        <f>broadcast_station_partner_address2</f>
        <v>0</v>
      </c>
      <c r="F1628" s="83" t="b">
        <v>1</v>
      </c>
      <c r="G1628" s="83"/>
      <c r="H1628" s="83"/>
    </row>
    <row r="1629" spans="1:8">
      <c r="A1629" s="83" t="s">
        <v>5527</v>
      </c>
      <c r="B1629" s="83" t="s">
        <v>5354</v>
      </c>
      <c r="C1629" s="83" t="s">
        <v>5527</v>
      </c>
      <c r="D1629" s="83" t="s">
        <v>5446</v>
      </c>
      <c r="E1629" s="84">
        <f>broadcast_station_partner_email2</f>
        <v>0</v>
      </c>
      <c r="F1629" s="83" t="b">
        <v>1</v>
      </c>
      <c r="G1629" s="83"/>
      <c r="H1629" s="83"/>
    </row>
    <row r="1630" spans="1:8">
      <c r="A1630" s="83" t="s">
        <v>5371</v>
      </c>
      <c r="B1630" s="83" t="s">
        <v>5354</v>
      </c>
      <c r="C1630" s="83" t="s">
        <v>5371</v>
      </c>
      <c r="D1630" s="83" t="s">
        <v>5447</v>
      </c>
      <c r="E1630" s="83">
        <f>broadcast_station_type3</f>
        <v>0</v>
      </c>
      <c r="F1630" s="83" t="b">
        <v>1</v>
      </c>
      <c r="G1630" s="83"/>
      <c r="H1630" s="83"/>
    </row>
    <row r="1631" spans="1:8">
      <c r="A1631" s="83" t="s">
        <v>5372</v>
      </c>
      <c r="B1631" s="83" t="s">
        <v>5354</v>
      </c>
      <c r="C1631" s="83" t="s">
        <v>5372</v>
      </c>
      <c r="D1631" s="83" t="s">
        <v>5448</v>
      </c>
      <c r="E1631" s="84">
        <f>broadcast_station_name3</f>
        <v>0</v>
      </c>
      <c r="F1631" s="83" t="b">
        <v>1</v>
      </c>
      <c r="G1631" s="83"/>
      <c r="H1631" s="83"/>
    </row>
    <row r="1632" spans="1:8">
      <c r="A1632" s="83" t="s">
        <v>5373</v>
      </c>
      <c r="B1632" s="83" t="s">
        <v>5354</v>
      </c>
      <c r="C1632" s="83" t="s">
        <v>5373</v>
      </c>
      <c r="D1632" s="83" t="s">
        <v>5449</v>
      </c>
      <c r="E1632" s="84">
        <f>broadcast_station_frequency3</f>
        <v>0</v>
      </c>
      <c r="F1632" s="83" t="b">
        <v>1</v>
      </c>
      <c r="G1632" s="83"/>
      <c r="H1632" s="83"/>
    </row>
    <row r="1633" spans="1:8">
      <c r="A1633" s="83" t="s">
        <v>5374</v>
      </c>
      <c r="B1633" s="83" t="s">
        <v>5354</v>
      </c>
      <c r="C1633" s="83" t="s">
        <v>5374</v>
      </c>
      <c r="D1633" s="83" t="s">
        <v>5450</v>
      </c>
      <c r="E1633" s="84">
        <f>broadcast_station_ntc_licensenum3</f>
        <v>0</v>
      </c>
      <c r="F1633" s="83" t="b">
        <v>1</v>
      </c>
      <c r="G1633" s="83"/>
      <c r="H1633" s="83"/>
    </row>
    <row r="1634" spans="1:8">
      <c r="A1634" s="83" t="s">
        <v>5375</v>
      </c>
      <c r="B1634" s="83" t="s">
        <v>5354</v>
      </c>
      <c r="C1634" s="83" t="s">
        <v>5375</v>
      </c>
      <c r="D1634" s="83" t="s">
        <v>5451</v>
      </c>
      <c r="E1634" s="84">
        <f>broadcast_station_owner3</f>
        <v>0</v>
      </c>
      <c r="F1634" s="83" t="b">
        <v>1</v>
      </c>
      <c r="G1634" s="83"/>
      <c r="H1634" s="83"/>
    </row>
    <row r="1635" spans="1:8">
      <c r="A1635" s="83" t="s">
        <v>5376</v>
      </c>
      <c r="B1635" s="83" t="s">
        <v>5354</v>
      </c>
      <c r="C1635" s="83" t="s">
        <v>5376</v>
      </c>
      <c r="D1635" s="83" t="s">
        <v>5452</v>
      </c>
      <c r="E1635" s="83">
        <f>broadcast_station_partner_status3</f>
        <v>0</v>
      </c>
      <c r="F1635" s="83" t="b">
        <v>1</v>
      </c>
      <c r="G1635" s="83"/>
      <c r="H1635" s="83"/>
    </row>
    <row r="1636" spans="1:8">
      <c r="A1636" s="83" t="s">
        <v>5377</v>
      </c>
      <c r="B1636" s="83" t="s">
        <v>5354</v>
      </c>
      <c r="C1636" s="83" t="s">
        <v>5377</v>
      </c>
      <c r="D1636" s="83" t="s">
        <v>5453</v>
      </c>
      <c r="E1636" s="115">
        <f>broadcast_station_broadcast_date3</f>
        <v>0</v>
      </c>
      <c r="F1636" s="83" t="b">
        <v>1</v>
      </c>
      <c r="G1636" s="83"/>
      <c r="H1636" s="83"/>
    </row>
    <row r="1637" spans="1:8">
      <c r="A1637" s="83" t="s">
        <v>5378</v>
      </c>
      <c r="B1637" s="83" t="s">
        <v>5354</v>
      </c>
      <c r="C1637" s="83" t="s">
        <v>5378</v>
      </c>
      <c r="D1637" s="83" t="s">
        <v>5454</v>
      </c>
      <c r="E1637" s="84">
        <f>broadcast_station_partner_contact3</f>
        <v>0</v>
      </c>
      <c r="F1637" s="83" t="b">
        <v>1</v>
      </c>
      <c r="G1637" s="83"/>
      <c r="H1637" s="83"/>
    </row>
    <row r="1638" spans="1:8">
      <c r="A1638" s="83" t="s">
        <v>5519</v>
      </c>
      <c r="B1638" s="83" t="s">
        <v>5354</v>
      </c>
      <c r="C1638" s="83" t="s">
        <v>5519</v>
      </c>
      <c r="D1638" s="83" t="s">
        <v>5455</v>
      </c>
      <c r="E1638" s="84">
        <f>broadcast_station_partner_address3</f>
        <v>0</v>
      </c>
      <c r="F1638" s="83" t="b">
        <v>1</v>
      </c>
      <c r="G1638" s="83"/>
      <c r="H1638" s="83"/>
    </row>
    <row r="1639" spans="1:8">
      <c r="A1639" s="83" t="s">
        <v>5528</v>
      </c>
      <c r="B1639" s="83" t="s">
        <v>5354</v>
      </c>
      <c r="C1639" s="83" t="s">
        <v>5528</v>
      </c>
      <c r="D1639" s="83" t="s">
        <v>5456</v>
      </c>
      <c r="E1639" s="84">
        <f>broadcast_station_partner_email3</f>
        <v>0</v>
      </c>
      <c r="F1639" s="83" t="b">
        <v>1</v>
      </c>
      <c r="G1639" s="83"/>
      <c r="H1639" s="83"/>
    </row>
    <row r="1640" spans="1:8">
      <c r="A1640" s="83" t="s">
        <v>5379</v>
      </c>
      <c r="B1640" s="83" t="s">
        <v>5354</v>
      </c>
      <c r="C1640" s="83" t="s">
        <v>5379</v>
      </c>
      <c r="D1640" s="83" t="s">
        <v>5457</v>
      </c>
      <c r="E1640" s="83">
        <f>broadcast_station_type4</f>
        <v>0</v>
      </c>
      <c r="F1640" s="83" t="b">
        <v>1</v>
      </c>
      <c r="G1640" s="83"/>
      <c r="H1640" s="83"/>
    </row>
    <row r="1641" spans="1:8">
      <c r="A1641" s="83" t="s">
        <v>5380</v>
      </c>
      <c r="B1641" s="83" t="s">
        <v>5354</v>
      </c>
      <c r="C1641" s="83" t="s">
        <v>5380</v>
      </c>
      <c r="D1641" s="83" t="s">
        <v>5458</v>
      </c>
      <c r="E1641" s="84">
        <f>broadcast_station_name4</f>
        <v>0</v>
      </c>
      <c r="F1641" s="83" t="b">
        <v>1</v>
      </c>
      <c r="G1641" s="83"/>
      <c r="H1641" s="83"/>
    </row>
    <row r="1642" spans="1:8">
      <c r="A1642" s="83" t="s">
        <v>5381</v>
      </c>
      <c r="B1642" s="83" t="s">
        <v>5354</v>
      </c>
      <c r="C1642" s="83" t="s">
        <v>5381</v>
      </c>
      <c r="D1642" s="83" t="s">
        <v>5459</v>
      </c>
      <c r="E1642" s="84">
        <f>broadcast_station_frequency4</f>
        <v>0</v>
      </c>
      <c r="F1642" s="83" t="b">
        <v>1</v>
      </c>
      <c r="G1642" s="83"/>
      <c r="H1642" s="83"/>
    </row>
    <row r="1643" spans="1:8">
      <c r="A1643" s="83" t="s">
        <v>5382</v>
      </c>
      <c r="B1643" s="83" t="s">
        <v>5354</v>
      </c>
      <c r="C1643" s="83" t="s">
        <v>5382</v>
      </c>
      <c r="D1643" s="83" t="s">
        <v>5460</v>
      </c>
      <c r="E1643" s="84">
        <f>broadcast_station_ntc_licensenum4</f>
        <v>0</v>
      </c>
      <c r="F1643" s="83" t="b">
        <v>1</v>
      </c>
      <c r="G1643" s="83"/>
      <c r="H1643" s="83"/>
    </row>
    <row r="1644" spans="1:8">
      <c r="A1644" s="83" t="s">
        <v>5383</v>
      </c>
      <c r="B1644" s="83" t="s">
        <v>5354</v>
      </c>
      <c r="C1644" s="83" t="s">
        <v>5383</v>
      </c>
      <c r="D1644" s="83" t="s">
        <v>5461</v>
      </c>
      <c r="E1644" s="84">
        <f>broadcast_station_owner4</f>
        <v>0</v>
      </c>
      <c r="F1644" s="83" t="b">
        <v>1</v>
      </c>
      <c r="G1644" s="83"/>
      <c r="H1644" s="83"/>
    </row>
    <row r="1645" spans="1:8">
      <c r="A1645" s="83" t="s">
        <v>5384</v>
      </c>
      <c r="B1645" s="83" t="s">
        <v>5354</v>
      </c>
      <c r="C1645" s="83" t="s">
        <v>5384</v>
      </c>
      <c r="D1645" s="83" t="s">
        <v>5462</v>
      </c>
      <c r="E1645" s="83">
        <f>broadcast_station_partner_status4</f>
        <v>0</v>
      </c>
      <c r="F1645" s="83" t="b">
        <v>1</v>
      </c>
      <c r="G1645" s="83"/>
      <c r="H1645" s="83"/>
    </row>
    <row r="1646" spans="1:8">
      <c r="A1646" s="83" t="s">
        <v>5385</v>
      </c>
      <c r="B1646" s="83" t="s">
        <v>5354</v>
      </c>
      <c r="C1646" s="83" t="s">
        <v>5385</v>
      </c>
      <c r="D1646" s="83" t="s">
        <v>5463</v>
      </c>
      <c r="E1646" s="115">
        <f>broadcast_station_broadcast_date4</f>
        <v>0</v>
      </c>
      <c r="F1646" s="83" t="b">
        <v>1</v>
      </c>
      <c r="G1646" s="83"/>
      <c r="H1646" s="83"/>
    </row>
    <row r="1647" spans="1:8">
      <c r="A1647" s="83" t="s">
        <v>5386</v>
      </c>
      <c r="B1647" s="83" t="s">
        <v>5354</v>
      </c>
      <c r="C1647" s="83" t="s">
        <v>5386</v>
      </c>
      <c r="D1647" s="83" t="s">
        <v>5464</v>
      </c>
      <c r="E1647" s="84">
        <f>broadcast_station_partner_contact4</f>
        <v>0</v>
      </c>
      <c r="F1647" s="83" t="b">
        <v>1</v>
      </c>
      <c r="G1647" s="83"/>
      <c r="H1647" s="83"/>
    </row>
    <row r="1648" spans="1:8">
      <c r="A1648" s="83" t="s">
        <v>5520</v>
      </c>
      <c r="B1648" s="83" t="s">
        <v>5354</v>
      </c>
      <c r="C1648" s="83" t="s">
        <v>5520</v>
      </c>
      <c r="D1648" s="83" t="s">
        <v>5465</v>
      </c>
      <c r="E1648" s="84">
        <f>broadcast_station_partner_address4</f>
        <v>0</v>
      </c>
      <c r="F1648" s="83" t="b">
        <v>1</v>
      </c>
      <c r="G1648" s="83"/>
      <c r="H1648" s="83"/>
    </row>
    <row r="1649" spans="1:8">
      <c r="A1649" s="83" t="s">
        <v>5529</v>
      </c>
      <c r="B1649" s="83" t="s">
        <v>5354</v>
      </c>
      <c r="C1649" s="83" t="s">
        <v>5529</v>
      </c>
      <c r="D1649" s="83" t="s">
        <v>5466</v>
      </c>
      <c r="E1649" s="84">
        <f>broadcast_station_partner_email4</f>
        <v>0</v>
      </c>
      <c r="F1649" s="83" t="b">
        <v>1</v>
      </c>
      <c r="G1649" s="83"/>
      <c r="H1649" s="83"/>
    </row>
    <row r="1650" spans="1:8">
      <c r="A1650" s="83" t="s">
        <v>5387</v>
      </c>
      <c r="B1650" s="83" t="s">
        <v>5354</v>
      </c>
      <c r="C1650" s="83" t="s">
        <v>5387</v>
      </c>
      <c r="D1650" s="83" t="s">
        <v>5467</v>
      </c>
      <c r="E1650" s="83">
        <f>broadcast_station_type5</f>
        <v>0</v>
      </c>
      <c r="F1650" s="83" t="b">
        <v>1</v>
      </c>
      <c r="G1650" s="83"/>
      <c r="H1650" s="83"/>
    </row>
    <row r="1651" spans="1:8">
      <c r="A1651" s="83" t="s">
        <v>5388</v>
      </c>
      <c r="B1651" s="83" t="s">
        <v>5354</v>
      </c>
      <c r="C1651" s="83" t="s">
        <v>5388</v>
      </c>
      <c r="D1651" s="83" t="s">
        <v>5468</v>
      </c>
      <c r="E1651" s="84">
        <f>broadcast_station_name5</f>
        <v>0</v>
      </c>
      <c r="F1651" s="83" t="b">
        <v>1</v>
      </c>
      <c r="G1651" s="83"/>
      <c r="H1651" s="83"/>
    </row>
    <row r="1652" spans="1:8">
      <c r="A1652" s="83" t="s">
        <v>5389</v>
      </c>
      <c r="B1652" s="83" t="s">
        <v>5354</v>
      </c>
      <c r="C1652" s="83" t="s">
        <v>5389</v>
      </c>
      <c r="D1652" s="83" t="s">
        <v>5469</v>
      </c>
      <c r="E1652" s="84">
        <f>broadcast_station_frequency5</f>
        <v>0</v>
      </c>
      <c r="F1652" s="83" t="b">
        <v>1</v>
      </c>
      <c r="G1652" s="83"/>
      <c r="H1652" s="83"/>
    </row>
    <row r="1653" spans="1:8">
      <c r="A1653" s="83" t="s">
        <v>5390</v>
      </c>
      <c r="B1653" s="83" t="s">
        <v>5354</v>
      </c>
      <c r="C1653" s="83" t="s">
        <v>5390</v>
      </c>
      <c r="D1653" s="83" t="s">
        <v>5470</v>
      </c>
      <c r="E1653" s="84">
        <f>broadcast_station_ntc_licensenum5</f>
        <v>0</v>
      </c>
      <c r="F1653" s="83" t="b">
        <v>1</v>
      </c>
      <c r="G1653" s="83"/>
      <c r="H1653" s="83"/>
    </row>
    <row r="1654" spans="1:8">
      <c r="A1654" s="83" t="s">
        <v>5391</v>
      </c>
      <c r="B1654" s="83" t="s">
        <v>5354</v>
      </c>
      <c r="C1654" s="83" t="s">
        <v>5391</v>
      </c>
      <c r="D1654" s="83" t="s">
        <v>5471</v>
      </c>
      <c r="E1654" s="84">
        <f>broadcast_station_owner5</f>
        <v>0</v>
      </c>
      <c r="F1654" s="83" t="b">
        <v>1</v>
      </c>
      <c r="G1654" s="83"/>
      <c r="H1654" s="83"/>
    </row>
    <row r="1655" spans="1:8">
      <c r="A1655" s="83" t="s">
        <v>5392</v>
      </c>
      <c r="B1655" s="83" t="s">
        <v>5354</v>
      </c>
      <c r="C1655" s="83" t="s">
        <v>5392</v>
      </c>
      <c r="D1655" s="83" t="s">
        <v>5472</v>
      </c>
      <c r="E1655" s="83">
        <f>broadcast_station_partner_status5</f>
        <v>0</v>
      </c>
      <c r="F1655" s="83" t="b">
        <v>1</v>
      </c>
      <c r="G1655" s="83"/>
      <c r="H1655" s="83"/>
    </row>
    <row r="1656" spans="1:8">
      <c r="A1656" s="83" t="s">
        <v>5393</v>
      </c>
      <c r="B1656" s="83" t="s">
        <v>5354</v>
      </c>
      <c r="C1656" s="83" t="s">
        <v>5393</v>
      </c>
      <c r="D1656" s="83" t="s">
        <v>5473</v>
      </c>
      <c r="E1656" s="115">
        <f>broadcast_station_broadcast_date5</f>
        <v>0</v>
      </c>
      <c r="F1656" s="83" t="b">
        <v>1</v>
      </c>
      <c r="G1656" s="83"/>
      <c r="H1656" s="83"/>
    </row>
    <row r="1657" spans="1:8">
      <c r="A1657" s="83" t="s">
        <v>5394</v>
      </c>
      <c r="B1657" s="83" t="s">
        <v>5354</v>
      </c>
      <c r="C1657" s="83" t="s">
        <v>5394</v>
      </c>
      <c r="D1657" s="83" t="s">
        <v>5474</v>
      </c>
      <c r="E1657" s="84">
        <f>broadcast_station_partner_contact5</f>
        <v>0</v>
      </c>
      <c r="F1657" s="83" t="b">
        <v>1</v>
      </c>
      <c r="G1657" s="83"/>
      <c r="H1657" s="83"/>
    </row>
    <row r="1658" spans="1:8">
      <c r="A1658" s="83" t="s">
        <v>5521</v>
      </c>
      <c r="B1658" s="83" t="s">
        <v>5354</v>
      </c>
      <c r="C1658" s="83" t="s">
        <v>5521</v>
      </c>
      <c r="D1658" s="83" t="s">
        <v>5475</v>
      </c>
      <c r="E1658" s="84">
        <f>broadcast_station_partner_address5</f>
        <v>0</v>
      </c>
      <c r="F1658" s="83" t="b">
        <v>1</v>
      </c>
      <c r="G1658" s="83"/>
      <c r="H1658" s="83"/>
    </row>
    <row r="1659" spans="1:8">
      <c r="A1659" s="83" t="s">
        <v>5530</v>
      </c>
      <c r="B1659" s="83" t="s">
        <v>5354</v>
      </c>
      <c r="C1659" s="83" t="s">
        <v>5530</v>
      </c>
      <c r="D1659" s="83" t="s">
        <v>5476</v>
      </c>
      <c r="E1659" s="84">
        <f>broadcast_station_partner_email5</f>
        <v>0</v>
      </c>
      <c r="F1659" s="83" t="b">
        <v>1</v>
      </c>
      <c r="G1659" s="83"/>
      <c r="H1659" s="83"/>
    </row>
    <row r="1660" spans="1:8">
      <c r="A1660" s="83" t="s">
        <v>5395</v>
      </c>
      <c r="B1660" s="83" t="s">
        <v>5354</v>
      </c>
      <c r="C1660" s="83" t="s">
        <v>5395</v>
      </c>
      <c r="D1660" s="83" t="s">
        <v>5477</v>
      </c>
      <c r="E1660" s="83">
        <f>broadcast_station_type6</f>
        <v>0</v>
      </c>
      <c r="F1660" s="83" t="b">
        <v>1</v>
      </c>
      <c r="G1660" s="83"/>
      <c r="H1660" s="83"/>
    </row>
    <row r="1661" spans="1:8">
      <c r="A1661" s="83" t="s">
        <v>5396</v>
      </c>
      <c r="B1661" s="83" t="s">
        <v>5354</v>
      </c>
      <c r="C1661" s="83" t="s">
        <v>5396</v>
      </c>
      <c r="D1661" s="83" t="s">
        <v>5478</v>
      </c>
      <c r="E1661" s="84">
        <f>broadcast_station_name6</f>
        <v>0</v>
      </c>
      <c r="F1661" s="83" t="b">
        <v>1</v>
      </c>
      <c r="G1661" s="83"/>
      <c r="H1661" s="83"/>
    </row>
    <row r="1662" spans="1:8">
      <c r="A1662" s="83" t="s">
        <v>5397</v>
      </c>
      <c r="B1662" s="83" t="s">
        <v>5354</v>
      </c>
      <c r="C1662" s="83" t="s">
        <v>5397</v>
      </c>
      <c r="D1662" s="83" t="s">
        <v>5479</v>
      </c>
      <c r="E1662" s="84">
        <f>broadcast_station_frequency6</f>
        <v>0</v>
      </c>
      <c r="F1662" s="83" t="b">
        <v>1</v>
      </c>
      <c r="G1662" s="83"/>
      <c r="H1662" s="83"/>
    </row>
    <row r="1663" spans="1:8">
      <c r="A1663" s="83" t="s">
        <v>5398</v>
      </c>
      <c r="B1663" s="83" t="s">
        <v>5354</v>
      </c>
      <c r="C1663" s="83" t="s">
        <v>5398</v>
      </c>
      <c r="D1663" s="83" t="s">
        <v>5480</v>
      </c>
      <c r="E1663" s="84">
        <f>broadcast_station_ntc_licensenum6</f>
        <v>0</v>
      </c>
      <c r="F1663" s="83" t="b">
        <v>1</v>
      </c>
      <c r="G1663" s="83"/>
      <c r="H1663" s="83"/>
    </row>
    <row r="1664" spans="1:8">
      <c r="A1664" s="83" t="s">
        <v>5399</v>
      </c>
      <c r="B1664" s="83" t="s">
        <v>5354</v>
      </c>
      <c r="C1664" s="83" t="s">
        <v>5399</v>
      </c>
      <c r="D1664" s="83" t="s">
        <v>5481</v>
      </c>
      <c r="E1664" s="84">
        <f>broadcast_station_owner6</f>
        <v>0</v>
      </c>
      <c r="F1664" s="83" t="b">
        <v>1</v>
      </c>
      <c r="G1664" s="83"/>
      <c r="H1664" s="83"/>
    </row>
    <row r="1665" spans="1:8">
      <c r="A1665" s="83" t="s">
        <v>5400</v>
      </c>
      <c r="B1665" s="83" t="s">
        <v>5354</v>
      </c>
      <c r="C1665" s="83" t="s">
        <v>5400</v>
      </c>
      <c r="D1665" s="83" t="s">
        <v>5482</v>
      </c>
      <c r="E1665" s="83">
        <f>broadcast_station_partner_status6</f>
        <v>0</v>
      </c>
      <c r="F1665" s="83" t="b">
        <v>1</v>
      </c>
      <c r="G1665" s="83"/>
      <c r="H1665" s="83"/>
    </row>
    <row r="1666" spans="1:8">
      <c r="A1666" s="83" t="s">
        <v>5401</v>
      </c>
      <c r="B1666" s="83" t="s">
        <v>5354</v>
      </c>
      <c r="C1666" s="83" t="s">
        <v>5401</v>
      </c>
      <c r="D1666" s="83" t="s">
        <v>5483</v>
      </c>
      <c r="E1666" s="115">
        <f>broadcast_station_broadcast_date6</f>
        <v>0</v>
      </c>
      <c r="F1666" s="83" t="b">
        <v>1</v>
      </c>
      <c r="G1666" s="83"/>
      <c r="H1666" s="83"/>
    </row>
    <row r="1667" spans="1:8">
      <c r="A1667" s="83" t="s">
        <v>5402</v>
      </c>
      <c r="B1667" s="83" t="s">
        <v>5354</v>
      </c>
      <c r="C1667" s="83" t="s">
        <v>5402</v>
      </c>
      <c r="D1667" s="83" t="s">
        <v>5484</v>
      </c>
      <c r="E1667" s="84">
        <f>broadcast_station_partner_contact6</f>
        <v>0</v>
      </c>
      <c r="F1667" s="83" t="b">
        <v>1</v>
      </c>
      <c r="G1667" s="83"/>
      <c r="H1667" s="83"/>
    </row>
    <row r="1668" spans="1:8">
      <c r="A1668" s="83" t="s">
        <v>5522</v>
      </c>
      <c r="B1668" s="83" t="s">
        <v>5354</v>
      </c>
      <c r="C1668" s="83" t="s">
        <v>5522</v>
      </c>
      <c r="D1668" s="83" t="s">
        <v>5485</v>
      </c>
      <c r="E1668" s="84">
        <f>broadcast_station_partner_address6</f>
        <v>0</v>
      </c>
      <c r="F1668" s="83" t="b">
        <v>1</v>
      </c>
      <c r="G1668" s="83"/>
      <c r="H1668" s="83"/>
    </row>
    <row r="1669" spans="1:8">
      <c r="A1669" s="83" t="s">
        <v>5531</v>
      </c>
      <c r="B1669" s="83" t="s">
        <v>5354</v>
      </c>
      <c r="C1669" s="83" t="s">
        <v>5531</v>
      </c>
      <c r="D1669" s="83" t="s">
        <v>5486</v>
      </c>
      <c r="E1669" s="84">
        <f>broadcast_station_partner_email6</f>
        <v>0</v>
      </c>
      <c r="F1669" s="83" t="b">
        <v>1</v>
      </c>
      <c r="G1669" s="83"/>
      <c r="H1669" s="83"/>
    </row>
    <row r="1670" spans="1:8">
      <c r="A1670" s="83" t="s">
        <v>5403</v>
      </c>
      <c r="B1670" s="83" t="s">
        <v>5354</v>
      </c>
      <c r="C1670" s="83" t="s">
        <v>5403</v>
      </c>
      <c r="D1670" s="83" t="s">
        <v>5487</v>
      </c>
      <c r="E1670" s="83">
        <f>broadcast_station_type7</f>
        <v>0</v>
      </c>
      <c r="F1670" s="83" t="b">
        <v>1</v>
      </c>
      <c r="G1670" s="83"/>
      <c r="H1670" s="83"/>
    </row>
    <row r="1671" spans="1:8">
      <c r="A1671" s="83" t="s">
        <v>5404</v>
      </c>
      <c r="B1671" s="83" t="s">
        <v>5354</v>
      </c>
      <c r="C1671" s="83" t="s">
        <v>5404</v>
      </c>
      <c r="D1671" s="83" t="s">
        <v>5488</v>
      </c>
      <c r="E1671" s="84">
        <f>broadcast_station_name7</f>
        <v>0</v>
      </c>
      <c r="F1671" s="83" t="b">
        <v>1</v>
      </c>
      <c r="G1671" s="83"/>
      <c r="H1671" s="83"/>
    </row>
    <row r="1672" spans="1:8">
      <c r="A1672" s="83" t="s">
        <v>5405</v>
      </c>
      <c r="B1672" s="83" t="s">
        <v>5354</v>
      </c>
      <c r="C1672" s="83" t="s">
        <v>5405</v>
      </c>
      <c r="D1672" s="83" t="s">
        <v>5489</v>
      </c>
      <c r="E1672" s="84">
        <f>broadcast_station_frequency7</f>
        <v>0</v>
      </c>
      <c r="F1672" s="83" t="b">
        <v>1</v>
      </c>
      <c r="G1672" s="83"/>
      <c r="H1672" s="83"/>
    </row>
    <row r="1673" spans="1:8">
      <c r="A1673" s="83" t="s">
        <v>5406</v>
      </c>
      <c r="B1673" s="83" t="s">
        <v>5354</v>
      </c>
      <c r="C1673" s="83" t="s">
        <v>5406</v>
      </c>
      <c r="D1673" s="83" t="s">
        <v>5490</v>
      </c>
      <c r="E1673" s="84">
        <f>broadcast_station_ntc_licensenum7</f>
        <v>0</v>
      </c>
      <c r="F1673" s="83" t="b">
        <v>1</v>
      </c>
      <c r="G1673" s="83"/>
      <c r="H1673" s="83"/>
    </row>
    <row r="1674" spans="1:8">
      <c r="A1674" s="83" t="s">
        <v>5407</v>
      </c>
      <c r="B1674" s="83" t="s">
        <v>5354</v>
      </c>
      <c r="C1674" s="83" t="s">
        <v>5407</v>
      </c>
      <c r="D1674" s="83" t="s">
        <v>5491</v>
      </c>
      <c r="E1674" s="84">
        <f>broadcast_station_owner7</f>
        <v>0</v>
      </c>
      <c r="F1674" s="83" t="b">
        <v>1</v>
      </c>
      <c r="G1674" s="83"/>
      <c r="H1674" s="83"/>
    </row>
    <row r="1675" spans="1:8">
      <c r="A1675" s="83" t="s">
        <v>5408</v>
      </c>
      <c r="B1675" s="83" t="s">
        <v>5354</v>
      </c>
      <c r="C1675" s="83" t="s">
        <v>5408</v>
      </c>
      <c r="D1675" s="83" t="s">
        <v>5492</v>
      </c>
      <c r="E1675" s="83">
        <f>broadcast_station_partner_status7</f>
        <v>0</v>
      </c>
      <c r="F1675" s="83" t="b">
        <v>1</v>
      </c>
      <c r="G1675" s="83"/>
      <c r="H1675" s="83"/>
    </row>
    <row r="1676" spans="1:8">
      <c r="A1676" s="83" t="s">
        <v>5409</v>
      </c>
      <c r="B1676" s="83" t="s">
        <v>5354</v>
      </c>
      <c r="C1676" s="83" t="s">
        <v>5409</v>
      </c>
      <c r="D1676" s="83" t="s">
        <v>5493</v>
      </c>
      <c r="E1676" s="115">
        <f>broadcast_station_broadcast_date7</f>
        <v>0</v>
      </c>
      <c r="F1676" s="83" t="b">
        <v>1</v>
      </c>
      <c r="G1676" s="83"/>
      <c r="H1676" s="83"/>
    </row>
    <row r="1677" spans="1:8">
      <c r="A1677" s="83" t="s">
        <v>5410</v>
      </c>
      <c r="B1677" s="83" t="s">
        <v>5354</v>
      </c>
      <c r="C1677" s="83" t="s">
        <v>5410</v>
      </c>
      <c r="D1677" s="83" t="s">
        <v>5494</v>
      </c>
      <c r="E1677" s="84">
        <f>broadcast_station_partner_contact7</f>
        <v>0</v>
      </c>
      <c r="F1677" s="83" t="b">
        <v>1</v>
      </c>
      <c r="G1677" s="83"/>
      <c r="H1677" s="83"/>
    </row>
    <row r="1678" spans="1:8">
      <c r="A1678" s="83" t="s">
        <v>5523</v>
      </c>
      <c r="B1678" s="83" t="s">
        <v>5354</v>
      </c>
      <c r="C1678" s="83" t="s">
        <v>5523</v>
      </c>
      <c r="D1678" s="83" t="s">
        <v>5495</v>
      </c>
      <c r="E1678" s="84">
        <f>broadcast_station_partner_address7</f>
        <v>0</v>
      </c>
      <c r="F1678" s="83" t="b">
        <v>1</v>
      </c>
      <c r="G1678" s="83"/>
      <c r="H1678" s="83"/>
    </row>
    <row r="1679" spans="1:8">
      <c r="A1679" s="83" t="s">
        <v>5532</v>
      </c>
      <c r="B1679" s="83" t="s">
        <v>5354</v>
      </c>
      <c r="C1679" s="83" t="s">
        <v>5532</v>
      </c>
      <c r="D1679" s="83" t="s">
        <v>5496</v>
      </c>
      <c r="E1679" s="84">
        <f>broadcast_station_partner_email7</f>
        <v>0</v>
      </c>
      <c r="F1679" s="83" t="b">
        <v>1</v>
      </c>
      <c r="G1679" s="83"/>
      <c r="H1679" s="83"/>
    </row>
    <row r="1680" spans="1:8">
      <c r="A1680" s="83" t="s">
        <v>5411</v>
      </c>
      <c r="B1680" s="83" t="s">
        <v>5354</v>
      </c>
      <c r="C1680" s="83" t="s">
        <v>5411</v>
      </c>
      <c r="D1680" s="83" t="s">
        <v>5497</v>
      </c>
      <c r="E1680" s="83">
        <f>broadcast_station_type8</f>
        <v>0</v>
      </c>
      <c r="F1680" s="83" t="b">
        <v>1</v>
      </c>
      <c r="G1680" s="83"/>
      <c r="H1680" s="83"/>
    </row>
    <row r="1681" spans="1:8">
      <c r="A1681" s="83" t="s">
        <v>5412</v>
      </c>
      <c r="B1681" s="83" t="s">
        <v>5354</v>
      </c>
      <c r="C1681" s="83" t="s">
        <v>5412</v>
      </c>
      <c r="D1681" s="83" t="s">
        <v>5498</v>
      </c>
      <c r="E1681" s="84">
        <f>broadcast_station_name8</f>
        <v>0</v>
      </c>
      <c r="F1681" s="83" t="b">
        <v>1</v>
      </c>
      <c r="G1681" s="83"/>
      <c r="H1681" s="83"/>
    </row>
    <row r="1682" spans="1:8">
      <c r="A1682" s="83" t="s">
        <v>5413</v>
      </c>
      <c r="B1682" s="83" t="s">
        <v>5354</v>
      </c>
      <c r="C1682" s="83" t="s">
        <v>5413</v>
      </c>
      <c r="D1682" s="83" t="s">
        <v>5499</v>
      </c>
      <c r="E1682" s="84">
        <f>broadcast_station_frequency8</f>
        <v>0</v>
      </c>
      <c r="F1682" s="83" t="b">
        <v>1</v>
      </c>
      <c r="G1682" s="83"/>
      <c r="H1682" s="83"/>
    </row>
    <row r="1683" spans="1:8">
      <c r="A1683" s="83" t="s">
        <v>5414</v>
      </c>
      <c r="B1683" s="83" t="s">
        <v>5354</v>
      </c>
      <c r="C1683" s="83" t="s">
        <v>5414</v>
      </c>
      <c r="D1683" s="83" t="s">
        <v>5500</v>
      </c>
      <c r="E1683" s="84">
        <f>broadcast_station_ntc_licensenum8</f>
        <v>0</v>
      </c>
      <c r="F1683" s="83" t="b">
        <v>1</v>
      </c>
      <c r="G1683" s="83"/>
      <c r="H1683" s="83"/>
    </row>
    <row r="1684" spans="1:8">
      <c r="A1684" s="83" t="s">
        <v>5415</v>
      </c>
      <c r="B1684" s="83" t="s">
        <v>5354</v>
      </c>
      <c r="C1684" s="83" t="s">
        <v>5415</v>
      </c>
      <c r="D1684" s="83" t="s">
        <v>5501</v>
      </c>
      <c r="E1684" s="84">
        <f>broadcast_station_owner8</f>
        <v>0</v>
      </c>
      <c r="F1684" s="83" t="b">
        <v>1</v>
      </c>
      <c r="G1684" s="83"/>
      <c r="H1684" s="83"/>
    </row>
    <row r="1685" spans="1:8">
      <c r="A1685" s="83" t="s">
        <v>5416</v>
      </c>
      <c r="B1685" s="83" t="s">
        <v>5354</v>
      </c>
      <c r="C1685" s="83" t="s">
        <v>5416</v>
      </c>
      <c r="D1685" s="83" t="s">
        <v>5502</v>
      </c>
      <c r="E1685" s="83">
        <f>broadcast_station_partner_status8</f>
        <v>0</v>
      </c>
      <c r="F1685" s="83" t="b">
        <v>1</v>
      </c>
      <c r="G1685" s="83"/>
      <c r="H1685" s="83"/>
    </row>
    <row r="1686" spans="1:8">
      <c r="A1686" s="83" t="s">
        <v>5417</v>
      </c>
      <c r="B1686" s="83" t="s">
        <v>5354</v>
      </c>
      <c r="C1686" s="83" t="s">
        <v>5417</v>
      </c>
      <c r="D1686" s="83" t="s">
        <v>5503</v>
      </c>
      <c r="E1686" s="115">
        <f>broadcast_station_broadcast_date8</f>
        <v>0</v>
      </c>
      <c r="F1686" s="83" t="b">
        <v>1</v>
      </c>
      <c r="G1686" s="83"/>
      <c r="H1686" s="83"/>
    </row>
    <row r="1687" spans="1:8">
      <c r="A1687" s="83" t="s">
        <v>5418</v>
      </c>
      <c r="B1687" s="83" t="s">
        <v>5354</v>
      </c>
      <c r="C1687" s="83" t="s">
        <v>5418</v>
      </c>
      <c r="D1687" s="83" t="s">
        <v>5504</v>
      </c>
      <c r="E1687" s="84">
        <f>broadcast_station_partner_contact8</f>
        <v>0</v>
      </c>
      <c r="F1687" s="83" t="b">
        <v>1</v>
      </c>
      <c r="G1687" s="83"/>
      <c r="H1687" s="83"/>
    </row>
    <row r="1688" spans="1:8">
      <c r="A1688" s="83" t="s">
        <v>5524</v>
      </c>
      <c r="B1688" s="83" t="s">
        <v>5354</v>
      </c>
      <c r="C1688" s="83" t="s">
        <v>5524</v>
      </c>
      <c r="D1688" s="83" t="s">
        <v>5505</v>
      </c>
      <c r="E1688" s="84">
        <f>broadcast_station_partner_address8</f>
        <v>0</v>
      </c>
      <c r="F1688" s="83" t="b">
        <v>1</v>
      </c>
      <c r="G1688" s="83"/>
      <c r="H1688" s="83"/>
    </row>
    <row r="1689" spans="1:8">
      <c r="A1689" s="83" t="s">
        <v>5533</v>
      </c>
      <c r="B1689" s="83" t="s">
        <v>5354</v>
      </c>
      <c r="C1689" s="83" t="s">
        <v>5533</v>
      </c>
      <c r="D1689" s="83" t="s">
        <v>5506</v>
      </c>
      <c r="E1689" s="84">
        <f>broadcast_station_partner_email8</f>
        <v>0</v>
      </c>
      <c r="F1689" s="83" t="b">
        <v>1</v>
      </c>
      <c r="G1689" s="83"/>
      <c r="H1689" s="83"/>
    </row>
    <row r="1690" spans="1:8">
      <c r="A1690" s="83" t="s">
        <v>5419</v>
      </c>
      <c r="B1690" s="83" t="s">
        <v>5354</v>
      </c>
      <c r="C1690" s="83" t="s">
        <v>5419</v>
      </c>
      <c r="D1690" s="83" t="s">
        <v>5507</v>
      </c>
      <c r="E1690" s="83">
        <f>broadcast_station_type9</f>
        <v>0</v>
      </c>
      <c r="F1690" s="83" t="b">
        <v>1</v>
      </c>
      <c r="G1690" s="83"/>
      <c r="H1690" s="83"/>
    </row>
    <row r="1691" spans="1:8">
      <c r="A1691" s="83" t="s">
        <v>5420</v>
      </c>
      <c r="B1691" s="83" t="s">
        <v>5354</v>
      </c>
      <c r="C1691" s="83" t="s">
        <v>5420</v>
      </c>
      <c r="D1691" s="83" t="s">
        <v>5508</v>
      </c>
      <c r="E1691" s="84">
        <f>broadcast_station_name9</f>
        <v>0</v>
      </c>
      <c r="F1691" s="83" t="b">
        <v>1</v>
      </c>
      <c r="G1691" s="83"/>
      <c r="H1691" s="83"/>
    </row>
    <row r="1692" spans="1:8">
      <c r="A1692" s="83" t="s">
        <v>5421</v>
      </c>
      <c r="B1692" s="83" t="s">
        <v>5354</v>
      </c>
      <c r="C1692" s="83" t="s">
        <v>5421</v>
      </c>
      <c r="D1692" s="83" t="s">
        <v>5509</v>
      </c>
      <c r="E1692" s="84">
        <f>broadcast_station_frequency9</f>
        <v>0</v>
      </c>
      <c r="F1692" s="83" t="b">
        <v>1</v>
      </c>
      <c r="G1692" s="83"/>
      <c r="H1692" s="83"/>
    </row>
    <row r="1693" spans="1:8">
      <c r="A1693" s="83" t="s">
        <v>5422</v>
      </c>
      <c r="B1693" s="83" t="s">
        <v>5354</v>
      </c>
      <c r="C1693" s="83" t="s">
        <v>5422</v>
      </c>
      <c r="D1693" s="83" t="s">
        <v>5510</v>
      </c>
      <c r="E1693" s="84">
        <f>broadcast_station_ntc_licensenum9</f>
        <v>0</v>
      </c>
      <c r="F1693" s="83" t="b">
        <v>1</v>
      </c>
      <c r="G1693" s="83"/>
      <c r="H1693" s="83"/>
    </row>
    <row r="1694" spans="1:8">
      <c r="A1694" s="83" t="s">
        <v>5423</v>
      </c>
      <c r="B1694" s="83" t="s">
        <v>5354</v>
      </c>
      <c r="C1694" s="83" t="s">
        <v>5423</v>
      </c>
      <c r="D1694" s="83" t="s">
        <v>5511</v>
      </c>
      <c r="E1694" s="84">
        <f>broadcast_station_owner9</f>
        <v>0</v>
      </c>
      <c r="F1694" s="83" t="b">
        <v>1</v>
      </c>
      <c r="G1694" s="83"/>
      <c r="H1694" s="83"/>
    </row>
    <row r="1695" spans="1:8">
      <c r="A1695" s="83" t="s">
        <v>5424</v>
      </c>
      <c r="B1695" s="83" t="s">
        <v>5354</v>
      </c>
      <c r="C1695" s="83" t="s">
        <v>5424</v>
      </c>
      <c r="D1695" s="83" t="s">
        <v>5512</v>
      </c>
      <c r="E1695" s="83">
        <f>broadcast_station_partner_status9</f>
        <v>0</v>
      </c>
      <c r="F1695" s="83" t="b">
        <v>1</v>
      </c>
      <c r="G1695" s="83"/>
      <c r="H1695" s="83"/>
    </row>
    <row r="1696" spans="1:8">
      <c r="A1696" s="83" t="s">
        <v>5425</v>
      </c>
      <c r="B1696" s="83" t="s">
        <v>5354</v>
      </c>
      <c r="C1696" s="83" t="s">
        <v>5425</v>
      </c>
      <c r="D1696" s="83" t="s">
        <v>5513</v>
      </c>
      <c r="E1696" s="115">
        <f>broadcast_station_broadcast_date9</f>
        <v>0</v>
      </c>
      <c r="F1696" s="83" t="b">
        <v>1</v>
      </c>
      <c r="G1696" s="83"/>
      <c r="H1696" s="83"/>
    </row>
    <row r="1697" spans="1:8">
      <c r="A1697" s="83" t="s">
        <v>5426</v>
      </c>
      <c r="B1697" s="83" t="s">
        <v>5354</v>
      </c>
      <c r="C1697" s="83" t="s">
        <v>5426</v>
      </c>
      <c r="D1697" s="83" t="s">
        <v>5514</v>
      </c>
      <c r="E1697" s="84">
        <f>broadcast_station_partner_contact9</f>
        <v>0</v>
      </c>
      <c r="F1697" s="83" t="b">
        <v>1</v>
      </c>
      <c r="G1697" s="83"/>
      <c r="H1697" s="83"/>
    </row>
    <row r="1698" spans="1:8">
      <c r="A1698" s="83" t="s">
        <v>5525</v>
      </c>
      <c r="B1698" s="83" t="s">
        <v>5354</v>
      </c>
      <c r="C1698" s="83" t="s">
        <v>5525</v>
      </c>
      <c r="D1698" s="83" t="s">
        <v>5515</v>
      </c>
      <c r="E1698" s="84">
        <f>broadcast_station_partner_address9</f>
        <v>0</v>
      </c>
      <c r="F1698" s="83" t="b">
        <v>1</v>
      </c>
      <c r="G1698" s="83"/>
      <c r="H1698" s="83"/>
    </row>
    <row r="1699" spans="1:8" s="112" customFormat="1" ht="16" thickBot="1">
      <c r="A1699" s="85" t="s">
        <v>5534</v>
      </c>
      <c r="B1699" s="85" t="s">
        <v>5354</v>
      </c>
      <c r="C1699" s="85" t="s">
        <v>5534</v>
      </c>
      <c r="D1699" s="85" t="s">
        <v>5516</v>
      </c>
      <c r="E1699" s="86">
        <f>broadcast_station_partner_email9</f>
        <v>0</v>
      </c>
      <c r="F1699" s="85" t="b">
        <v>1</v>
      </c>
      <c r="G1699" s="85"/>
      <c r="H1699" s="85"/>
    </row>
    <row r="1700" spans="1:8">
      <c r="A1700" s="83" t="s">
        <v>5538</v>
      </c>
      <c r="B1700" s="83" t="s">
        <v>5537</v>
      </c>
      <c r="C1700" s="83" t="s">
        <v>5538</v>
      </c>
      <c r="D1700" s="83" t="s">
        <v>5588</v>
      </c>
      <c r="E1700" s="83">
        <f>radio_type1</f>
        <v>0</v>
      </c>
      <c r="F1700" s="83" t="b">
        <v>1</v>
      </c>
      <c r="G1700" s="83"/>
      <c r="H1700" s="83"/>
    </row>
    <row r="1701" spans="1:8">
      <c r="A1701" s="83" t="s">
        <v>5539</v>
      </c>
      <c r="B1701" s="83" t="s">
        <v>5537</v>
      </c>
      <c r="C1701" s="83" t="s">
        <v>5539</v>
      </c>
      <c r="D1701" s="83" t="s">
        <v>5589</v>
      </c>
      <c r="E1701" s="83">
        <f>radio_purpose1</f>
        <v>0</v>
      </c>
      <c r="F1701" s="83" t="b">
        <v>1</v>
      </c>
      <c r="G1701" s="83"/>
      <c r="H1701" s="83"/>
    </row>
    <row r="1702" spans="1:8">
      <c r="A1702" s="83" t="s">
        <v>5540</v>
      </c>
      <c r="B1702" s="83" t="s">
        <v>5537</v>
      </c>
      <c r="C1702" s="83" t="s">
        <v>5540</v>
      </c>
      <c r="D1702" s="83" t="s">
        <v>5590</v>
      </c>
      <c r="E1702" s="84">
        <f>radio_frequency1</f>
        <v>0</v>
      </c>
      <c r="F1702" s="83" t="b">
        <v>1</v>
      </c>
      <c r="G1702" s="83"/>
      <c r="H1702" s="83"/>
    </row>
    <row r="1703" spans="1:8">
      <c r="A1703" s="83" t="s">
        <v>5541</v>
      </c>
      <c r="B1703" s="83" t="s">
        <v>5537</v>
      </c>
      <c r="C1703" s="83" t="s">
        <v>5541</v>
      </c>
      <c r="D1703" s="83" t="s">
        <v>5591</v>
      </c>
      <c r="E1703" s="84">
        <f>radio_ntc_licensenum1</f>
        <v>0</v>
      </c>
      <c r="F1703" s="83" t="b">
        <v>1</v>
      </c>
      <c r="G1703" s="83"/>
      <c r="H1703" s="83"/>
    </row>
    <row r="1704" spans="1:8">
      <c r="A1704" s="83" t="s">
        <v>5542</v>
      </c>
      <c r="B1704" s="83" t="s">
        <v>5537</v>
      </c>
      <c r="C1704" s="83" t="s">
        <v>5542</v>
      </c>
      <c r="D1704" s="83" t="s">
        <v>5592</v>
      </c>
      <c r="E1704" s="83">
        <f>radio_no_of_units1</f>
        <v>0</v>
      </c>
      <c r="F1704" s="83" t="b">
        <v>1</v>
      </c>
      <c r="G1704" s="83"/>
      <c r="H1704" s="83"/>
    </row>
    <row r="1705" spans="1:8">
      <c r="A1705" s="83" t="s">
        <v>5543</v>
      </c>
      <c r="B1705" s="83" t="s">
        <v>5537</v>
      </c>
      <c r="C1705" s="83" t="s">
        <v>5543</v>
      </c>
      <c r="D1705" s="83" t="s">
        <v>5593</v>
      </c>
      <c r="E1705" s="83">
        <f>radio_type2</f>
        <v>0</v>
      </c>
      <c r="F1705" s="83" t="b">
        <v>1</v>
      </c>
      <c r="G1705" s="83"/>
      <c r="H1705" s="83"/>
    </row>
    <row r="1706" spans="1:8">
      <c r="A1706" s="83" t="s">
        <v>5544</v>
      </c>
      <c r="B1706" s="83" t="s">
        <v>5537</v>
      </c>
      <c r="C1706" s="83" t="s">
        <v>5544</v>
      </c>
      <c r="D1706" s="83" t="s">
        <v>5594</v>
      </c>
      <c r="E1706" s="83">
        <f>radio_purpose2</f>
        <v>0</v>
      </c>
      <c r="F1706" s="83" t="b">
        <v>1</v>
      </c>
      <c r="G1706" s="83"/>
      <c r="H1706" s="83"/>
    </row>
    <row r="1707" spans="1:8">
      <c r="A1707" s="83" t="s">
        <v>5545</v>
      </c>
      <c r="B1707" s="83" t="s">
        <v>5537</v>
      </c>
      <c r="C1707" s="83" t="s">
        <v>5545</v>
      </c>
      <c r="D1707" s="83" t="s">
        <v>5595</v>
      </c>
      <c r="E1707" s="84">
        <f>radio_frequency2</f>
        <v>0</v>
      </c>
      <c r="F1707" s="83" t="b">
        <v>1</v>
      </c>
      <c r="G1707" s="83"/>
      <c r="H1707" s="83"/>
    </row>
    <row r="1708" spans="1:8">
      <c r="A1708" s="83" t="s">
        <v>5546</v>
      </c>
      <c r="B1708" s="83" t="s">
        <v>5537</v>
      </c>
      <c r="C1708" s="83" t="s">
        <v>5546</v>
      </c>
      <c r="D1708" s="83" t="s">
        <v>5596</v>
      </c>
      <c r="E1708" s="84">
        <f>radio_ntc_licensenum2</f>
        <v>0</v>
      </c>
      <c r="F1708" s="83" t="b">
        <v>1</v>
      </c>
      <c r="G1708" s="83"/>
      <c r="H1708" s="83"/>
    </row>
    <row r="1709" spans="1:8">
      <c r="A1709" s="83" t="s">
        <v>5547</v>
      </c>
      <c r="B1709" s="83" t="s">
        <v>5537</v>
      </c>
      <c r="C1709" s="83" t="s">
        <v>5547</v>
      </c>
      <c r="D1709" s="83" t="s">
        <v>5597</v>
      </c>
      <c r="E1709" s="83">
        <f>radio_no_of_units2</f>
        <v>0</v>
      </c>
      <c r="F1709" s="83" t="b">
        <v>1</v>
      </c>
      <c r="G1709" s="83"/>
      <c r="H1709" s="83"/>
    </row>
    <row r="1710" spans="1:8">
      <c r="A1710" s="83" t="s">
        <v>5548</v>
      </c>
      <c r="B1710" s="83" t="s">
        <v>5537</v>
      </c>
      <c r="C1710" s="83" t="s">
        <v>5548</v>
      </c>
      <c r="D1710" s="83" t="s">
        <v>5598</v>
      </c>
      <c r="E1710" s="83">
        <f>radio_type3</f>
        <v>0</v>
      </c>
      <c r="F1710" s="83" t="b">
        <v>1</v>
      </c>
      <c r="G1710" s="83"/>
      <c r="H1710" s="83"/>
    </row>
    <row r="1711" spans="1:8">
      <c r="A1711" s="83" t="s">
        <v>5549</v>
      </c>
      <c r="B1711" s="83" t="s">
        <v>5537</v>
      </c>
      <c r="C1711" s="83" t="s">
        <v>5549</v>
      </c>
      <c r="D1711" s="83" t="s">
        <v>5599</v>
      </c>
      <c r="E1711" s="83">
        <f>radio_purpose3</f>
        <v>0</v>
      </c>
      <c r="F1711" s="83" t="b">
        <v>1</v>
      </c>
      <c r="G1711" s="83"/>
      <c r="H1711" s="83"/>
    </row>
    <row r="1712" spans="1:8">
      <c r="A1712" s="83" t="s">
        <v>5550</v>
      </c>
      <c r="B1712" s="83" t="s">
        <v>5537</v>
      </c>
      <c r="C1712" s="83" t="s">
        <v>5550</v>
      </c>
      <c r="D1712" s="83" t="s">
        <v>5600</v>
      </c>
      <c r="E1712" s="84">
        <f>radio_frequency3</f>
        <v>0</v>
      </c>
      <c r="F1712" s="83" t="b">
        <v>1</v>
      </c>
      <c r="G1712" s="83"/>
      <c r="H1712" s="83"/>
    </row>
    <row r="1713" spans="1:8">
      <c r="A1713" s="83" t="s">
        <v>5551</v>
      </c>
      <c r="B1713" s="83" t="s">
        <v>5537</v>
      </c>
      <c r="C1713" s="83" t="s">
        <v>5551</v>
      </c>
      <c r="D1713" s="83" t="s">
        <v>5601</v>
      </c>
      <c r="E1713" s="84">
        <f>radio_ntc_licensenum3</f>
        <v>0</v>
      </c>
      <c r="F1713" s="83" t="b">
        <v>1</v>
      </c>
      <c r="G1713" s="83"/>
      <c r="H1713" s="83"/>
    </row>
    <row r="1714" spans="1:8">
      <c r="A1714" s="83" t="s">
        <v>5552</v>
      </c>
      <c r="B1714" s="83" t="s">
        <v>5537</v>
      </c>
      <c r="C1714" s="83" t="s">
        <v>5552</v>
      </c>
      <c r="D1714" s="83" t="s">
        <v>5602</v>
      </c>
      <c r="E1714" s="83">
        <f>radio_no_of_units3</f>
        <v>0</v>
      </c>
      <c r="F1714" s="83" t="b">
        <v>1</v>
      </c>
      <c r="G1714" s="83"/>
      <c r="H1714" s="83"/>
    </row>
    <row r="1715" spans="1:8">
      <c r="A1715" s="83" t="s">
        <v>5553</v>
      </c>
      <c r="B1715" s="83" t="s">
        <v>5537</v>
      </c>
      <c r="C1715" s="83" t="s">
        <v>5553</v>
      </c>
      <c r="D1715" s="83" t="s">
        <v>5603</v>
      </c>
      <c r="E1715" s="83">
        <f>radio_type4</f>
        <v>0</v>
      </c>
      <c r="F1715" s="83" t="b">
        <v>1</v>
      </c>
      <c r="G1715" s="83"/>
      <c r="H1715" s="83"/>
    </row>
    <row r="1716" spans="1:8">
      <c r="A1716" s="83" t="s">
        <v>5554</v>
      </c>
      <c r="B1716" s="83" t="s">
        <v>5537</v>
      </c>
      <c r="C1716" s="83" t="s">
        <v>5554</v>
      </c>
      <c r="D1716" s="83" t="s">
        <v>5604</v>
      </c>
      <c r="E1716" s="83">
        <f>radio_purpose4</f>
        <v>0</v>
      </c>
      <c r="F1716" s="83" t="b">
        <v>1</v>
      </c>
      <c r="G1716" s="83"/>
      <c r="H1716" s="83"/>
    </row>
    <row r="1717" spans="1:8">
      <c r="A1717" s="83" t="s">
        <v>5555</v>
      </c>
      <c r="B1717" s="83" t="s">
        <v>5537</v>
      </c>
      <c r="C1717" s="83" t="s">
        <v>5555</v>
      </c>
      <c r="D1717" s="83" t="s">
        <v>5605</v>
      </c>
      <c r="E1717" s="84">
        <f>radio_frequency4</f>
        <v>0</v>
      </c>
      <c r="F1717" s="83" t="b">
        <v>1</v>
      </c>
      <c r="G1717" s="83"/>
      <c r="H1717" s="83"/>
    </row>
    <row r="1718" spans="1:8">
      <c r="A1718" s="83" t="s">
        <v>5556</v>
      </c>
      <c r="B1718" s="83" t="s">
        <v>5537</v>
      </c>
      <c r="C1718" s="83" t="s">
        <v>5556</v>
      </c>
      <c r="D1718" s="83" t="s">
        <v>5606</v>
      </c>
      <c r="E1718" s="84">
        <f>radio_ntc_licensenum4</f>
        <v>0</v>
      </c>
      <c r="F1718" s="83" t="b">
        <v>1</v>
      </c>
      <c r="G1718" s="83"/>
      <c r="H1718" s="83"/>
    </row>
    <row r="1719" spans="1:8">
      <c r="A1719" s="83" t="s">
        <v>5557</v>
      </c>
      <c r="B1719" s="83" t="s">
        <v>5537</v>
      </c>
      <c r="C1719" s="83" t="s">
        <v>5557</v>
      </c>
      <c r="D1719" s="83" t="s">
        <v>5607</v>
      </c>
      <c r="E1719" s="83">
        <f>radio_no_of_units4</f>
        <v>0</v>
      </c>
      <c r="F1719" s="83" t="b">
        <v>1</v>
      </c>
      <c r="G1719" s="83"/>
      <c r="H1719" s="83"/>
    </row>
    <row r="1720" spans="1:8">
      <c r="A1720" s="83" t="s">
        <v>5558</v>
      </c>
      <c r="B1720" s="83" t="s">
        <v>5537</v>
      </c>
      <c r="C1720" s="83" t="s">
        <v>5558</v>
      </c>
      <c r="D1720" s="83" t="s">
        <v>5608</v>
      </c>
      <c r="E1720" s="83">
        <f>radio_type5</f>
        <v>0</v>
      </c>
      <c r="F1720" s="83" t="b">
        <v>1</v>
      </c>
      <c r="G1720" s="83"/>
      <c r="H1720" s="83"/>
    </row>
    <row r="1721" spans="1:8">
      <c r="A1721" s="83" t="s">
        <v>5559</v>
      </c>
      <c r="B1721" s="83" t="s">
        <v>5537</v>
      </c>
      <c r="C1721" s="83" t="s">
        <v>5559</v>
      </c>
      <c r="D1721" s="83" t="s">
        <v>5609</v>
      </c>
      <c r="E1721" s="83">
        <f>radio_purpose5</f>
        <v>0</v>
      </c>
      <c r="F1721" s="83" t="b">
        <v>1</v>
      </c>
      <c r="G1721" s="83"/>
      <c r="H1721" s="83"/>
    </row>
    <row r="1722" spans="1:8">
      <c r="A1722" s="83" t="s">
        <v>5560</v>
      </c>
      <c r="B1722" s="83" t="s">
        <v>5537</v>
      </c>
      <c r="C1722" s="83" t="s">
        <v>5560</v>
      </c>
      <c r="D1722" s="83" t="s">
        <v>5610</v>
      </c>
      <c r="E1722" s="84">
        <f>radio_frequency5</f>
        <v>0</v>
      </c>
      <c r="F1722" s="83" t="b">
        <v>1</v>
      </c>
      <c r="G1722" s="83"/>
      <c r="H1722" s="83"/>
    </row>
    <row r="1723" spans="1:8">
      <c r="A1723" s="83" t="s">
        <v>5561</v>
      </c>
      <c r="B1723" s="83" t="s">
        <v>5537</v>
      </c>
      <c r="C1723" s="83" t="s">
        <v>5561</v>
      </c>
      <c r="D1723" s="83" t="s">
        <v>5611</v>
      </c>
      <c r="E1723" s="84">
        <f>radio_ntc_licensenum5</f>
        <v>0</v>
      </c>
      <c r="F1723" s="83" t="b">
        <v>1</v>
      </c>
      <c r="G1723" s="83"/>
      <c r="H1723" s="83"/>
    </row>
    <row r="1724" spans="1:8">
      <c r="A1724" s="83" t="s">
        <v>5562</v>
      </c>
      <c r="B1724" s="83" t="s">
        <v>5537</v>
      </c>
      <c r="C1724" s="83" t="s">
        <v>5562</v>
      </c>
      <c r="D1724" s="83" t="s">
        <v>5612</v>
      </c>
      <c r="E1724" s="83">
        <f>radio_no_of_units5</f>
        <v>0</v>
      </c>
      <c r="F1724" s="83" t="b">
        <v>1</v>
      </c>
      <c r="G1724" s="83"/>
      <c r="H1724" s="83"/>
    </row>
    <row r="1725" spans="1:8">
      <c r="A1725" s="83" t="s">
        <v>5563</v>
      </c>
      <c r="B1725" s="83" t="s">
        <v>5537</v>
      </c>
      <c r="C1725" s="83" t="s">
        <v>5563</v>
      </c>
      <c r="D1725" s="83" t="s">
        <v>5613</v>
      </c>
      <c r="E1725" s="83">
        <f>radio_type6</f>
        <v>0</v>
      </c>
      <c r="F1725" s="83" t="b">
        <v>1</v>
      </c>
      <c r="G1725" s="83"/>
      <c r="H1725" s="83"/>
    </row>
    <row r="1726" spans="1:8">
      <c r="A1726" s="83" t="s">
        <v>5564</v>
      </c>
      <c r="B1726" s="83" t="s">
        <v>5537</v>
      </c>
      <c r="C1726" s="83" t="s">
        <v>5564</v>
      </c>
      <c r="D1726" s="83" t="s">
        <v>5614</v>
      </c>
      <c r="E1726" s="83">
        <f>radio_purpose6</f>
        <v>0</v>
      </c>
      <c r="F1726" s="83" t="b">
        <v>1</v>
      </c>
      <c r="G1726" s="83"/>
      <c r="H1726" s="83"/>
    </row>
    <row r="1727" spans="1:8">
      <c r="A1727" s="83" t="s">
        <v>5565</v>
      </c>
      <c r="B1727" s="83" t="s">
        <v>5537</v>
      </c>
      <c r="C1727" s="83" t="s">
        <v>5565</v>
      </c>
      <c r="D1727" s="83" t="s">
        <v>5615</v>
      </c>
      <c r="E1727" s="84">
        <f>radio_frequency6</f>
        <v>0</v>
      </c>
      <c r="F1727" s="83" t="b">
        <v>1</v>
      </c>
      <c r="G1727" s="83"/>
      <c r="H1727" s="83"/>
    </row>
    <row r="1728" spans="1:8">
      <c r="A1728" s="83" t="s">
        <v>5566</v>
      </c>
      <c r="B1728" s="83" t="s">
        <v>5537</v>
      </c>
      <c r="C1728" s="83" t="s">
        <v>5566</v>
      </c>
      <c r="D1728" s="83" t="s">
        <v>5616</v>
      </c>
      <c r="E1728" s="84">
        <f>radio_ntc_licensenum6</f>
        <v>0</v>
      </c>
      <c r="F1728" s="83" t="b">
        <v>1</v>
      </c>
      <c r="G1728" s="83"/>
      <c r="H1728" s="83"/>
    </row>
    <row r="1729" spans="1:8">
      <c r="A1729" s="83" t="s">
        <v>5567</v>
      </c>
      <c r="B1729" s="83" t="s">
        <v>5537</v>
      </c>
      <c r="C1729" s="83" t="s">
        <v>5567</v>
      </c>
      <c r="D1729" s="83" t="s">
        <v>5617</v>
      </c>
      <c r="E1729" s="83">
        <f>radio_no_of_units6</f>
        <v>0</v>
      </c>
      <c r="F1729" s="83" t="b">
        <v>1</v>
      </c>
      <c r="G1729" s="83"/>
      <c r="H1729" s="83"/>
    </row>
    <row r="1730" spans="1:8">
      <c r="A1730" s="83" t="s">
        <v>5568</v>
      </c>
      <c r="B1730" s="83" t="s">
        <v>5537</v>
      </c>
      <c r="C1730" s="83" t="s">
        <v>5568</v>
      </c>
      <c r="D1730" s="83" t="s">
        <v>5618</v>
      </c>
      <c r="E1730" s="83">
        <f>radio_type7</f>
        <v>0</v>
      </c>
      <c r="F1730" s="83" t="b">
        <v>1</v>
      </c>
      <c r="G1730" s="83"/>
      <c r="H1730" s="83"/>
    </row>
    <row r="1731" spans="1:8">
      <c r="A1731" s="83" t="s">
        <v>5569</v>
      </c>
      <c r="B1731" s="83" t="s">
        <v>5537</v>
      </c>
      <c r="C1731" s="83" t="s">
        <v>5569</v>
      </c>
      <c r="D1731" s="83" t="s">
        <v>5619</v>
      </c>
      <c r="E1731" s="83">
        <f>radio_purpose7</f>
        <v>0</v>
      </c>
      <c r="F1731" s="83" t="b">
        <v>1</v>
      </c>
      <c r="G1731" s="83"/>
      <c r="H1731" s="83"/>
    </row>
    <row r="1732" spans="1:8">
      <c r="A1732" s="83" t="s">
        <v>5570</v>
      </c>
      <c r="B1732" s="83" t="s">
        <v>5537</v>
      </c>
      <c r="C1732" s="83" t="s">
        <v>5570</v>
      </c>
      <c r="D1732" s="83" t="s">
        <v>5620</v>
      </c>
      <c r="E1732" s="84">
        <f>radio_frequency7</f>
        <v>0</v>
      </c>
      <c r="F1732" s="83" t="b">
        <v>1</v>
      </c>
      <c r="G1732" s="83"/>
      <c r="H1732" s="83"/>
    </row>
    <row r="1733" spans="1:8">
      <c r="A1733" s="83" t="s">
        <v>5571</v>
      </c>
      <c r="B1733" s="83" t="s">
        <v>5537</v>
      </c>
      <c r="C1733" s="83" t="s">
        <v>5571</v>
      </c>
      <c r="D1733" s="83" t="s">
        <v>5621</v>
      </c>
      <c r="E1733" s="84">
        <f>radio_ntc_licensenum7</f>
        <v>0</v>
      </c>
      <c r="F1733" s="83" t="b">
        <v>1</v>
      </c>
      <c r="G1733" s="83"/>
      <c r="H1733" s="83"/>
    </row>
    <row r="1734" spans="1:8">
      <c r="A1734" s="83" t="s">
        <v>5572</v>
      </c>
      <c r="B1734" s="83" t="s">
        <v>5537</v>
      </c>
      <c r="C1734" s="83" t="s">
        <v>5572</v>
      </c>
      <c r="D1734" s="83" t="s">
        <v>5622</v>
      </c>
      <c r="E1734" s="83">
        <f>radio_no_of_units7</f>
        <v>0</v>
      </c>
      <c r="F1734" s="83" t="b">
        <v>1</v>
      </c>
      <c r="G1734" s="83"/>
      <c r="H1734" s="83"/>
    </row>
    <row r="1735" spans="1:8">
      <c r="A1735" s="83" t="s">
        <v>5573</v>
      </c>
      <c r="B1735" s="83" t="s">
        <v>5537</v>
      </c>
      <c r="C1735" s="83" t="s">
        <v>5573</v>
      </c>
      <c r="D1735" s="83" t="s">
        <v>5623</v>
      </c>
      <c r="E1735" s="83">
        <f>radio_type8</f>
        <v>0</v>
      </c>
      <c r="F1735" s="83" t="b">
        <v>1</v>
      </c>
      <c r="G1735" s="83"/>
      <c r="H1735" s="83"/>
    </row>
    <row r="1736" spans="1:8">
      <c r="A1736" s="83" t="s">
        <v>5574</v>
      </c>
      <c r="B1736" s="83" t="s">
        <v>5537</v>
      </c>
      <c r="C1736" s="83" t="s">
        <v>5574</v>
      </c>
      <c r="D1736" s="83" t="s">
        <v>5624</v>
      </c>
      <c r="E1736" s="83">
        <f>radio_purpose8</f>
        <v>0</v>
      </c>
      <c r="F1736" s="83" t="b">
        <v>1</v>
      </c>
      <c r="G1736" s="83"/>
      <c r="H1736" s="83"/>
    </row>
    <row r="1737" spans="1:8">
      <c r="A1737" s="83" t="s">
        <v>5575</v>
      </c>
      <c r="B1737" s="83" t="s">
        <v>5537</v>
      </c>
      <c r="C1737" s="83" t="s">
        <v>5575</v>
      </c>
      <c r="D1737" s="83" t="s">
        <v>5625</v>
      </c>
      <c r="E1737" s="84">
        <f>radio_frequency8</f>
        <v>0</v>
      </c>
      <c r="F1737" s="83" t="b">
        <v>1</v>
      </c>
      <c r="G1737" s="83"/>
      <c r="H1737" s="83"/>
    </row>
    <row r="1738" spans="1:8">
      <c r="A1738" s="83" t="s">
        <v>5576</v>
      </c>
      <c r="B1738" s="83" t="s">
        <v>5537</v>
      </c>
      <c r="C1738" s="83" t="s">
        <v>5576</v>
      </c>
      <c r="D1738" s="83" t="s">
        <v>5626</v>
      </c>
      <c r="E1738" s="84">
        <f>radio_ntc_licensenum8</f>
        <v>0</v>
      </c>
      <c r="F1738" s="83" t="b">
        <v>1</v>
      </c>
      <c r="G1738" s="83"/>
      <c r="H1738" s="83"/>
    </row>
    <row r="1739" spans="1:8">
      <c r="A1739" s="83" t="s">
        <v>5577</v>
      </c>
      <c r="B1739" s="83" t="s">
        <v>5537</v>
      </c>
      <c r="C1739" s="83" t="s">
        <v>5577</v>
      </c>
      <c r="D1739" s="83" t="s">
        <v>5627</v>
      </c>
      <c r="E1739" s="83">
        <f>radio_no_of_units8</f>
        <v>0</v>
      </c>
      <c r="F1739" s="83" t="b">
        <v>1</v>
      </c>
      <c r="G1739" s="83"/>
      <c r="H1739" s="83"/>
    </row>
    <row r="1740" spans="1:8">
      <c r="A1740" s="83" t="s">
        <v>5578</v>
      </c>
      <c r="B1740" s="83" t="s">
        <v>5537</v>
      </c>
      <c r="C1740" s="83" t="s">
        <v>5578</v>
      </c>
      <c r="D1740" s="83" t="s">
        <v>5628</v>
      </c>
      <c r="E1740" s="83">
        <f>radio_type9</f>
        <v>0</v>
      </c>
      <c r="F1740" s="83" t="b">
        <v>1</v>
      </c>
      <c r="G1740" s="83"/>
      <c r="H1740" s="83"/>
    </row>
    <row r="1741" spans="1:8">
      <c r="A1741" s="83" t="s">
        <v>5579</v>
      </c>
      <c r="B1741" s="83" t="s">
        <v>5537</v>
      </c>
      <c r="C1741" s="83" t="s">
        <v>5579</v>
      </c>
      <c r="D1741" s="83" t="s">
        <v>5629</v>
      </c>
      <c r="E1741" s="83">
        <f>radio_purpose9</f>
        <v>0</v>
      </c>
      <c r="F1741" s="83" t="b">
        <v>1</v>
      </c>
      <c r="G1741" s="83"/>
      <c r="H1741" s="83"/>
    </row>
    <row r="1742" spans="1:8">
      <c r="A1742" s="83" t="s">
        <v>5580</v>
      </c>
      <c r="B1742" s="83" t="s">
        <v>5537</v>
      </c>
      <c r="C1742" s="83" t="s">
        <v>5580</v>
      </c>
      <c r="D1742" s="83" t="s">
        <v>5630</v>
      </c>
      <c r="E1742" s="84">
        <f>radio_frequency9</f>
        <v>0</v>
      </c>
      <c r="F1742" s="83" t="b">
        <v>1</v>
      </c>
      <c r="G1742" s="83"/>
      <c r="H1742" s="83"/>
    </row>
    <row r="1743" spans="1:8">
      <c r="A1743" s="83" t="s">
        <v>5581</v>
      </c>
      <c r="B1743" s="83" t="s">
        <v>5537</v>
      </c>
      <c r="C1743" s="83" t="s">
        <v>5581</v>
      </c>
      <c r="D1743" s="83" t="s">
        <v>5631</v>
      </c>
      <c r="E1743" s="84">
        <f>radio_ntc_licensenum9</f>
        <v>0</v>
      </c>
      <c r="F1743" s="83" t="b">
        <v>1</v>
      </c>
      <c r="G1743" s="83"/>
      <c r="H1743" s="83"/>
    </row>
    <row r="1744" spans="1:8">
      <c r="A1744" s="83" t="s">
        <v>5582</v>
      </c>
      <c r="B1744" s="83" t="s">
        <v>5537</v>
      </c>
      <c r="C1744" s="83" t="s">
        <v>5582</v>
      </c>
      <c r="D1744" s="83" t="s">
        <v>5632</v>
      </c>
      <c r="E1744" s="83">
        <f>radio_no_of_units9</f>
        <v>0</v>
      </c>
      <c r="F1744" s="83" t="b">
        <v>1</v>
      </c>
      <c r="G1744" s="83"/>
      <c r="H1744" s="83"/>
    </row>
    <row r="1745" spans="1:8">
      <c r="A1745" s="83" t="s">
        <v>5583</v>
      </c>
      <c r="B1745" s="83" t="s">
        <v>5537</v>
      </c>
      <c r="C1745" s="83" t="s">
        <v>5583</v>
      </c>
      <c r="D1745" s="83" t="s">
        <v>5633</v>
      </c>
      <c r="E1745" s="83">
        <f>radio_type10</f>
        <v>0</v>
      </c>
      <c r="F1745" s="83" t="b">
        <v>1</v>
      </c>
      <c r="G1745" s="83"/>
      <c r="H1745" s="83"/>
    </row>
    <row r="1746" spans="1:8">
      <c r="A1746" s="83" t="s">
        <v>5584</v>
      </c>
      <c r="B1746" s="83" t="s">
        <v>5537</v>
      </c>
      <c r="C1746" s="83" t="s">
        <v>5584</v>
      </c>
      <c r="D1746" s="83" t="s">
        <v>5634</v>
      </c>
      <c r="E1746" s="83">
        <f>radio_purpose10</f>
        <v>0</v>
      </c>
      <c r="F1746" s="83" t="b">
        <v>1</v>
      </c>
      <c r="G1746" s="83"/>
      <c r="H1746" s="83"/>
    </row>
    <row r="1747" spans="1:8">
      <c r="A1747" s="83" t="s">
        <v>5585</v>
      </c>
      <c r="B1747" s="83" t="s">
        <v>5537</v>
      </c>
      <c r="C1747" s="83" t="s">
        <v>5585</v>
      </c>
      <c r="D1747" s="83" t="s">
        <v>5635</v>
      </c>
      <c r="E1747" s="84">
        <f>radio_frequency10</f>
        <v>0</v>
      </c>
      <c r="F1747" s="83" t="b">
        <v>1</v>
      </c>
      <c r="G1747" s="83"/>
      <c r="H1747" s="83"/>
    </row>
    <row r="1748" spans="1:8">
      <c r="A1748" s="83" t="s">
        <v>5586</v>
      </c>
      <c r="B1748" s="83" t="s">
        <v>5537</v>
      </c>
      <c r="C1748" s="83" t="s">
        <v>5586</v>
      </c>
      <c r="D1748" s="83" t="s">
        <v>5636</v>
      </c>
      <c r="E1748" s="84">
        <f>radio_ntc_licensenum10</f>
        <v>0</v>
      </c>
      <c r="F1748" s="83" t="b">
        <v>1</v>
      </c>
      <c r="G1748" s="83"/>
      <c r="H1748" s="83"/>
    </row>
    <row r="1749" spans="1:8" ht="16" thickBot="1">
      <c r="A1749" s="85" t="s">
        <v>5587</v>
      </c>
      <c r="B1749" s="85" t="s">
        <v>5537</v>
      </c>
      <c r="C1749" s="85" t="s">
        <v>5587</v>
      </c>
      <c r="D1749" s="85" t="s">
        <v>5637</v>
      </c>
      <c r="E1749" s="86">
        <f>radio_no_of_units10</f>
        <v>0</v>
      </c>
      <c r="F1749" s="85" t="b">
        <v>1</v>
      </c>
      <c r="G1749" s="85"/>
      <c r="H1749" s="85"/>
    </row>
    <row r="1750" spans="1:8">
      <c r="A1750" s="83" t="s">
        <v>5639</v>
      </c>
      <c r="B1750" s="83" t="s">
        <v>5638</v>
      </c>
      <c r="C1750" s="83" t="s">
        <v>5639</v>
      </c>
      <c r="D1750" s="83" t="s">
        <v>5695</v>
      </c>
      <c r="E1750" s="84">
        <f>oer_original_work_kinder_quarter1</f>
        <v>0</v>
      </c>
      <c r="F1750" s="83" t="b">
        <v>1</v>
      </c>
      <c r="G1750" s="83"/>
      <c r="H1750" s="83"/>
    </row>
    <row r="1751" spans="1:8">
      <c r="A1751" s="83" t="s">
        <v>5640</v>
      </c>
      <c r="B1751" s="83" t="s">
        <v>5638</v>
      </c>
      <c r="C1751" s="83" t="s">
        <v>5640</v>
      </c>
      <c r="D1751" s="83" t="s">
        <v>5696</v>
      </c>
      <c r="E1751" s="84">
        <f>oer_original_work_kinder_quarter2</f>
        <v>0</v>
      </c>
      <c r="F1751" s="83" t="b">
        <v>1</v>
      </c>
      <c r="G1751" s="83"/>
      <c r="H1751" s="83"/>
    </row>
    <row r="1752" spans="1:8">
      <c r="A1752" s="83" t="s">
        <v>5641</v>
      </c>
      <c r="B1752" s="83" t="s">
        <v>5638</v>
      </c>
      <c r="C1752" s="83" t="s">
        <v>5641</v>
      </c>
      <c r="D1752" s="83" t="s">
        <v>5697</v>
      </c>
      <c r="E1752" s="84">
        <f>oer_original_work_kinder_quarter3</f>
        <v>0</v>
      </c>
      <c r="F1752" s="83" t="b">
        <v>1</v>
      </c>
      <c r="G1752" s="83"/>
      <c r="H1752" s="83"/>
    </row>
    <row r="1753" spans="1:8">
      <c r="A1753" s="83" t="s">
        <v>5642</v>
      </c>
      <c r="B1753" s="83" t="s">
        <v>5638</v>
      </c>
      <c r="C1753" s="83" t="s">
        <v>5642</v>
      </c>
      <c r="D1753" s="83" t="s">
        <v>5698</v>
      </c>
      <c r="E1753" s="84">
        <f>oer_original_work_kinder_quarter4</f>
        <v>0</v>
      </c>
      <c r="F1753" s="83" t="b">
        <v>1</v>
      </c>
      <c r="G1753" s="83"/>
      <c r="H1753" s="83"/>
    </row>
    <row r="1754" spans="1:8">
      <c r="A1754" s="83" t="s">
        <v>5643</v>
      </c>
      <c r="B1754" s="83" t="s">
        <v>5638</v>
      </c>
      <c r="C1754" s="83" t="s">
        <v>5643</v>
      </c>
      <c r="D1754" s="83" t="s">
        <v>5699</v>
      </c>
      <c r="E1754" s="84">
        <f>oer_edited_remix_reuse_work_kinder_quarter1</f>
        <v>0</v>
      </c>
      <c r="F1754" s="83" t="b">
        <v>1</v>
      </c>
      <c r="G1754" s="83"/>
      <c r="H1754" s="83"/>
    </row>
    <row r="1755" spans="1:8">
      <c r="A1755" s="83" t="s">
        <v>5644</v>
      </c>
      <c r="B1755" s="83" t="s">
        <v>5638</v>
      </c>
      <c r="C1755" s="83" t="s">
        <v>5644</v>
      </c>
      <c r="D1755" s="83" t="s">
        <v>5700</v>
      </c>
      <c r="E1755" s="84">
        <f>oer_edited_remix_reuse_work_kinder_quarter2</f>
        <v>0</v>
      </c>
      <c r="F1755" s="83" t="b">
        <v>1</v>
      </c>
      <c r="G1755" s="83"/>
      <c r="H1755" s="83"/>
    </row>
    <row r="1756" spans="1:8">
      <c r="A1756" s="83" t="s">
        <v>5645</v>
      </c>
      <c r="B1756" s="83" t="s">
        <v>5638</v>
      </c>
      <c r="C1756" s="83" t="s">
        <v>5645</v>
      </c>
      <c r="D1756" s="83" t="s">
        <v>5701</v>
      </c>
      <c r="E1756" s="84">
        <f>oer_edited_remix_reuse_work_kinder_quarter3</f>
        <v>0</v>
      </c>
      <c r="F1756" s="83" t="b">
        <v>1</v>
      </c>
      <c r="G1756" s="83"/>
      <c r="H1756" s="83"/>
    </row>
    <row r="1757" spans="1:8">
      <c r="A1757" s="83" t="s">
        <v>5646</v>
      </c>
      <c r="B1757" s="83" t="s">
        <v>5638</v>
      </c>
      <c r="C1757" s="83" t="s">
        <v>5646</v>
      </c>
      <c r="D1757" s="83" t="s">
        <v>5702</v>
      </c>
      <c r="E1757" s="84">
        <f>oer_edited_remix_reuse_work_kinder_quarter4</f>
        <v>0</v>
      </c>
      <c r="F1757" s="83" t="b">
        <v>1</v>
      </c>
      <c r="G1757" s="83"/>
      <c r="H1757" s="83"/>
    </row>
    <row r="1758" spans="1:8">
      <c r="A1758" s="83" t="s">
        <v>5647</v>
      </c>
      <c r="B1758" s="83" t="s">
        <v>5638</v>
      </c>
      <c r="C1758" s="83" t="s">
        <v>5647</v>
      </c>
      <c r="D1758" s="83" t="s">
        <v>5703</v>
      </c>
      <c r="E1758" s="84">
        <f>oer_original_work_grade1_quarter1</f>
        <v>0</v>
      </c>
      <c r="F1758" s="83" t="b">
        <v>1</v>
      </c>
      <c r="G1758" s="83"/>
      <c r="H1758" s="83"/>
    </row>
    <row r="1759" spans="1:8">
      <c r="A1759" s="83" t="s">
        <v>5648</v>
      </c>
      <c r="B1759" s="83" t="s">
        <v>5638</v>
      </c>
      <c r="C1759" s="83" t="s">
        <v>5648</v>
      </c>
      <c r="D1759" s="83" t="s">
        <v>5704</v>
      </c>
      <c r="E1759" s="84">
        <f>oer_original_work_grade1_quarter2</f>
        <v>0</v>
      </c>
      <c r="F1759" s="83" t="b">
        <v>1</v>
      </c>
      <c r="G1759" s="83"/>
      <c r="H1759" s="83"/>
    </row>
    <row r="1760" spans="1:8">
      <c r="A1760" s="83" t="s">
        <v>5649</v>
      </c>
      <c r="B1760" s="83" t="s">
        <v>5638</v>
      </c>
      <c r="C1760" s="83" t="s">
        <v>5649</v>
      </c>
      <c r="D1760" s="83" t="s">
        <v>5705</v>
      </c>
      <c r="E1760" s="84">
        <f>oer_original_work_grade1_quarter3</f>
        <v>0</v>
      </c>
      <c r="F1760" s="83" t="b">
        <v>1</v>
      </c>
      <c r="G1760" s="83"/>
      <c r="H1760" s="83"/>
    </row>
    <row r="1761" spans="1:8">
      <c r="A1761" s="83" t="s">
        <v>5650</v>
      </c>
      <c r="B1761" s="83" t="s">
        <v>5638</v>
      </c>
      <c r="C1761" s="83" t="s">
        <v>5650</v>
      </c>
      <c r="D1761" s="83" t="s">
        <v>5706</v>
      </c>
      <c r="E1761" s="84">
        <f>oer_original_work_grade1_quarter4</f>
        <v>0</v>
      </c>
      <c r="F1761" s="83" t="b">
        <v>1</v>
      </c>
      <c r="G1761" s="83"/>
      <c r="H1761" s="83"/>
    </row>
    <row r="1762" spans="1:8">
      <c r="A1762" s="83" t="s">
        <v>5651</v>
      </c>
      <c r="B1762" s="83" t="s">
        <v>5638</v>
      </c>
      <c r="C1762" s="83" t="s">
        <v>5651</v>
      </c>
      <c r="D1762" s="83" t="s">
        <v>5707</v>
      </c>
      <c r="E1762" s="84">
        <f>oer_edited_remix_reuse_work_grade1_quarter1</f>
        <v>0</v>
      </c>
      <c r="F1762" s="83" t="b">
        <v>1</v>
      </c>
      <c r="G1762" s="83"/>
      <c r="H1762" s="83"/>
    </row>
    <row r="1763" spans="1:8">
      <c r="A1763" s="83" t="s">
        <v>5652</v>
      </c>
      <c r="B1763" s="83" t="s">
        <v>5638</v>
      </c>
      <c r="C1763" s="83" t="s">
        <v>5652</v>
      </c>
      <c r="D1763" s="83" t="s">
        <v>5708</v>
      </c>
      <c r="E1763" s="84">
        <f>oer_edited_remix_reuse_work_grade1_quarter2</f>
        <v>0</v>
      </c>
      <c r="F1763" s="83" t="b">
        <v>1</v>
      </c>
      <c r="G1763" s="83"/>
      <c r="H1763" s="83"/>
    </row>
    <row r="1764" spans="1:8">
      <c r="A1764" s="83" t="s">
        <v>5653</v>
      </c>
      <c r="B1764" s="83" t="s">
        <v>5638</v>
      </c>
      <c r="C1764" s="83" t="s">
        <v>5653</v>
      </c>
      <c r="D1764" s="83" t="s">
        <v>5709</v>
      </c>
      <c r="E1764" s="84">
        <f>oer_edited_remix_reuse_work_grade1_quarter3</f>
        <v>0</v>
      </c>
      <c r="F1764" s="83" t="b">
        <v>1</v>
      </c>
      <c r="G1764" s="83"/>
      <c r="H1764" s="83"/>
    </row>
    <row r="1765" spans="1:8">
      <c r="A1765" s="83" t="s">
        <v>5654</v>
      </c>
      <c r="B1765" s="83" t="s">
        <v>5638</v>
      </c>
      <c r="C1765" s="83" t="s">
        <v>5654</v>
      </c>
      <c r="D1765" s="83" t="s">
        <v>5710</v>
      </c>
      <c r="E1765" s="84">
        <f>oer_edited_remix_reuse_work_grade1_quarter4</f>
        <v>0</v>
      </c>
      <c r="F1765" s="83" t="b">
        <v>1</v>
      </c>
      <c r="G1765" s="83"/>
      <c r="H1765" s="83"/>
    </row>
    <row r="1766" spans="1:8">
      <c r="A1766" s="83" t="s">
        <v>5655</v>
      </c>
      <c r="B1766" s="83" t="s">
        <v>5638</v>
      </c>
      <c r="C1766" s="83" t="s">
        <v>5655</v>
      </c>
      <c r="D1766" s="83" t="s">
        <v>5711</v>
      </c>
      <c r="E1766" s="84">
        <f>oer_original_work_grade2_quarter1</f>
        <v>0</v>
      </c>
      <c r="F1766" s="83" t="b">
        <v>1</v>
      </c>
      <c r="G1766" s="83"/>
      <c r="H1766" s="83"/>
    </row>
    <row r="1767" spans="1:8">
      <c r="A1767" s="83" t="s">
        <v>5656</v>
      </c>
      <c r="B1767" s="83" t="s">
        <v>5638</v>
      </c>
      <c r="C1767" s="83" t="s">
        <v>5656</v>
      </c>
      <c r="D1767" s="83" t="s">
        <v>5712</v>
      </c>
      <c r="E1767" s="84">
        <f>oer_original_work_grade2_quarter2</f>
        <v>0</v>
      </c>
      <c r="F1767" s="83" t="b">
        <v>1</v>
      </c>
      <c r="G1767" s="83"/>
      <c r="H1767" s="83"/>
    </row>
    <row r="1768" spans="1:8">
      <c r="A1768" s="83" t="s">
        <v>5657</v>
      </c>
      <c r="B1768" s="83" t="s">
        <v>5638</v>
      </c>
      <c r="C1768" s="83" t="s">
        <v>5657</v>
      </c>
      <c r="D1768" s="83" t="s">
        <v>5713</v>
      </c>
      <c r="E1768" s="84">
        <f>oer_original_work_grade2_quarter3</f>
        <v>0</v>
      </c>
      <c r="F1768" s="83" t="b">
        <v>1</v>
      </c>
      <c r="G1768" s="83"/>
      <c r="H1768" s="83"/>
    </row>
    <row r="1769" spans="1:8">
      <c r="A1769" s="83" t="s">
        <v>5658</v>
      </c>
      <c r="B1769" s="83" t="s">
        <v>5638</v>
      </c>
      <c r="C1769" s="83" t="s">
        <v>5658</v>
      </c>
      <c r="D1769" s="83" t="s">
        <v>5714</v>
      </c>
      <c r="E1769" s="84">
        <f>oer_original_work_grade2_quarter4</f>
        <v>0</v>
      </c>
      <c r="F1769" s="83" t="b">
        <v>1</v>
      </c>
      <c r="G1769" s="83"/>
      <c r="H1769" s="83"/>
    </row>
    <row r="1770" spans="1:8">
      <c r="A1770" s="83" t="s">
        <v>5659</v>
      </c>
      <c r="B1770" s="83" t="s">
        <v>5638</v>
      </c>
      <c r="C1770" s="83" t="s">
        <v>5659</v>
      </c>
      <c r="D1770" s="83" t="s">
        <v>5715</v>
      </c>
      <c r="E1770" s="84">
        <f>oer_edited_remix_reuse_work_grade2_quarter1</f>
        <v>0</v>
      </c>
      <c r="F1770" s="83" t="b">
        <v>1</v>
      </c>
      <c r="G1770" s="83"/>
      <c r="H1770" s="83"/>
    </row>
    <row r="1771" spans="1:8">
      <c r="A1771" s="83" t="s">
        <v>5660</v>
      </c>
      <c r="B1771" s="83" t="s">
        <v>5638</v>
      </c>
      <c r="C1771" s="83" t="s">
        <v>5660</v>
      </c>
      <c r="D1771" s="83" t="s">
        <v>5716</v>
      </c>
      <c r="E1771" s="84">
        <f>oer_edited_remix_reuse_work_grade2_quarter2</f>
        <v>0</v>
      </c>
      <c r="F1771" s="83" t="b">
        <v>1</v>
      </c>
      <c r="G1771" s="83"/>
      <c r="H1771" s="83"/>
    </row>
    <row r="1772" spans="1:8">
      <c r="A1772" s="83" t="s">
        <v>5661</v>
      </c>
      <c r="B1772" s="83" t="s">
        <v>5638</v>
      </c>
      <c r="C1772" s="83" t="s">
        <v>5661</v>
      </c>
      <c r="D1772" s="83" t="s">
        <v>5717</v>
      </c>
      <c r="E1772" s="84">
        <f>oer_edited_remix_reuse_work_grade2_quarter3</f>
        <v>0</v>
      </c>
      <c r="F1772" s="83" t="b">
        <v>1</v>
      </c>
      <c r="G1772" s="83"/>
      <c r="H1772" s="83"/>
    </row>
    <row r="1773" spans="1:8">
      <c r="A1773" s="83" t="s">
        <v>5662</v>
      </c>
      <c r="B1773" s="83" t="s">
        <v>5638</v>
      </c>
      <c r="C1773" s="83" t="s">
        <v>5662</v>
      </c>
      <c r="D1773" s="83" t="s">
        <v>5718</v>
      </c>
      <c r="E1773" s="84">
        <f>oer_edited_remix_reuse_work_grade2_quarter4</f>
        <v>0</v>
      </c>
      <c r="F1773" s="83" t="b">
        <v>1</v>
      </c>
      <c r="G1773" s="83"/>
      <c r="H1773" s="83"/>
    </row>
    <row r="1774" spans="1:8">
      <c r="A1774" s="83" t="s">
        <v>5663</v>
      </c>
      <c r="B1774" s="83" t="s">
        <v>5638</v>
      </c>
      <c r="C1774" s="83" t="s">
        <v>5663</v>
      </c>
      <c r="D1774" s="83" t="s">
        <v>5719</v>
      </c>
      <c r="E1774" s="84">
        <f>oer_original_work_grade3_quarter1</f>
        <v>0</v>
      </c>
      <c r="F1774" s="83" t="b">
        <v>1</v>
      </c>
      <c r="G1774" s="83"/>
      <c r="H1774" s="83"/>
    </row>
    <row r="1775" spans="1:8">
      <c r="A1775" s="83" t="s">
        <v>5664</v>
      </c>
      <c r="B1775" s="83" t="s">
        <v>5638</v>
      </c>
      <c r="C1775" s="83" t="s">
        <v>5664</v>
      </c>
      <c r="D1775" s="83" t="s">
        <v>5720</v>
      </c>
      <c r="E1775" s="84">
        <f>oer_original_work_grade3_quarter2</f>
        <v>0</v>
      </c>
      <c r="F1775" s="83" t="b">
        <v>1</v>
      </c>
      <c r="G1775" s="83"/>
      <c r="H1775" s="83"/>
    </row>
    <row r="1776" spans="1:8">
      <c r="A1776" s="83" t="s">
        <v>5665</v>
      </c>
      <c r="B1776" s="83" t="s">
        <v>5638</v>
      </c>
      <c r="C1776" s="83" t="s">
        <v>5665</v>
      </c>
      <c r="D1776" s="83" t="s">
        <v>5721</v>
      </c>
      <c r="E1776" s="84">
        <f>oer_original_work_grade3_quarter3</f>
        <v>0</v>
      </c>
      <c r="F1776" s="83" t="b">
        <v>1</v>
      </c>
      <c r="G1776" s="83"/>
      <c r="H1776" s="83"/>
    </row>
    <row r="1777" spans="1:8">
      <c r="A1777" s="83" t="s">
        <v>5666</v>
      </c>
      <c r="B1777" s="83" t="s">
        <v>5638</v>
      </c>
      <c r="C1777" s="83" t="s">
        <v>5666</v>
      </c>
      <c r="D1777" s="83" t="s">
        <v>5722</v>
      </c>
      <c r="E1777" s="84">
        <f>oer_original_work_grade3_quarter4</f>
        <v>0</v>
      </c>
      <c r="F1777" s="83" t="b">
        <v>1</v>
      </c>
      <c r="G1777" s="83"/>
      <c r="H1777" s="83"/>
    </row>
    <row r="1778" spans="1:8">
      <c r="A1778" s="83" t="s">
        <v>5667</v>
      </c>
      <c r="B1778" s="83" t="s">
        <v>5638</v>
      </c>
      <c r="C1778" s="83" t="s">
        <v>5667</v>
      </c>
      <c r="D1778" s="83" t="s">
        <v>5723</v>
      </c>
      <c r="E1778" s="84">
        <f>oer_edited_remix_reuse_work_grade3_quarter1</f>
        <v>0</v>
      </c>
      <c r="F1778" s="83" t="b">
        <v>1</v>
      </c>
      <c r="G1778" s="83"/>
      <c r="H1778" s="83"/>
    </row>
    <row r="1779" spans="1:8">
      <c r="A1779" s="83" t="s">
        <v>5668</v>
      </c>
      <c r="B1779" s="83" t="s">
        <v>5638</v>
      </c>
      <c r="C1779" s="83" t="s">
        <v>5668</v>
      </c>
      <c r="D1779" s="83" t="s">
        <v>5724</v>
      </c>
      <c r="E1779" s="84">
        <f>oer_edited_remix_reuse_work_grade3_quarter2</f>
        <v>0</v>
      </c>
      <c r="F1779" s="83" t="b">
        <v>1</v>
      </c>
      <c r="G1779" s="83"/>
      <c r="H1779" s="83"/>
    </row>
    <row r="1780" spans="1:8">
      <c r="A1780" s="83" t="s">
        <v>5669</v>
      </c>
      <c r="B1780" s="83" t="s">
        <v>5638</v>
      </c>
      <c r="C1780" s="83" t="s">
        <v>5669</v>
      </c>
      <c r="D1780" s="83" t="s">
        <v>5725</v>
      </c>
      <c r="E1780" s="84">
        <f>oer_edited_remix_reuse_work_grade3_quarter3</f>
        <v>0</v>
      </c>
      <c r="F1780" s="83" t="b">
        <v>1</v>
      </c>
      <c r="G1780" s="83"/>
      <c r="H1780" s="83"/>
    </row>
    <row r="1781" spans="1:8">
      <c r="A1781" s="83" t="s">
        <v>5670</v>
      </c>
      <c r="B1781" s="83" t="s">
        <v>5638</v>
      </c>
      <c r="C1781" s="83" t="s">
        <v>5670</v>
      </c>
      <c r="D1781" s="83" t="s">
        <v>5726</v>
      </c>
      <c r="E1781" s="84">
        <f>oer_edited_remix_reuse_work_grade3_quarter4</f>
        <v>0</v>
      </c>
      <c r="F1781" s="83" t="b">
        <v>1</v>
      </c>
      <c r="G1781" s="83"/>
      <c r="H1781" s="83"/>
    </row>
    <row r="1782" spans="1:8">
      <c r="A1782" s="83" t="s">
        <v>5671</v>
      </c>
      <c r="B1782" s="83" t="s">
        <v>5638</v>
      </c>
      <c r="C1782" s="83" t="s">
        <v>5671</v>
      </c>
      <c r="D1782" s="83" t="s">
        <v>5727</v>
      </c>
      <c r="E1782" s="84">
        <f>oer_original_work_grade4_quarter1</f>
        <v>0</v>
      </c>
      <c r="F1782" s="83" t="b">
        <v>1</v>
      </c>
      <c r="G1782" s="83"/>
      <c r="H1782" s="83"/>
    </row>
    <row r="1783" spans="1:8">
      <c r="A1783" s="83" t="s">
        <v>5672</v>
      </c>
      <c r="B1783" s="83" t="s">
        <v>5638</v>
      </c>
      <c r="C1783" s="83" t="s">
        <v>5672</v>
      </c>
      <c r="D1783" s="83" t="s">
        <v>5728</v>
      </c>
      <c r="E1783" s="84">
        <f>oer_original_work_grade4_quarter2</f>
        <v>0</v>
      </c>
      <c r="F1783" s="83" t="b">
        <v>1</v>
      </c>
      <c r="G1783" s="83"/>
      <c r="H1783" s="83"/>
    </row>
    <row r="1784" spans="1:8">
      <c r="A1784" s="83" t="s">
        <v>5673</v>
      </c>
      <c r="B1784" s="83" t="s">
        <v>5638</v>
      </c>
      <c r="C1784" s="83" t="s">
        <v>5673</v>
      </c>
      <c r="D1784" s="83" t="s">
        <v>5729</v>
      </c>
      <c r="E1784" s="84">
        <f>oer_original_work_grade4_quarter3</f>
        <v>0</v>
      </c>
      <c r="F1784" s="83" t="b">
        <v>1</v>
      </c>
      <c r="G1784" s="83"/>
      <c r="H1784" s="83"/>
    </row>
    <row r="1785" spans="1:8">
      <c r="A1785" s="83" t="s">
        <v>5674</v>
      </c>
      <c r="B1785" s="83" t="s">
        <v>5638</v>
      </c>
      <c r="C1785" s="83" t="s">
        <v>5674</v>
      </c>
      <c r="D1785" s="83" t="s">
        <v>5730</v>
      </c>
      <c r="E1785" s="84">
        <f>oer_original_work_grade4_quarter4</f>
        <v>0</v>
      </c>
      <c r="F1785" s="83" t="b">
        <v>1</v>
      </c>
      <c r="G1785" s="83"/>
      <c r="H1785" s="83"/>
    </row>
    <row r="1786" spans="1:8">
      <c r="A1786" s="83" t="s">
        <v>5675</v>
      </c>
      <c r="B1786" s="83" t="s">
        <v>5638</v>
      </c>
      <c r="C1786" s="83" t="s">
        <v>5675</v>
      </c>
      <c r="D1786" s="83" t="s">
        <v>5731</v>
      </c>
      <c r="E1786" s="84">
        <f>oer_edited_remix_reuse_work_grade4_quarter1</f>
        <v>0</v>
      </c>
      <c r="F1786" s="83" t="b">
        <v>1</v>
      </c>
      <c r="G1786" s="83"/>
      <c r="H1786" s="83"/>
    </row>
    <row r="1787" spans="1:8">
      <c r="A1787" s="83" t="s">
        <v>5676</v>
      </c>
      <c r="B1787" s="83" t="s">
        <v>5638</v>
      </c>
      <c r="C1787" s="83" t="s">
        <v>5676</v>
      </c>
      <c r="D1787" s="83" t="s">
        <v>5732</v>
      </c>
      <c r="E1787" s="84">
        <f>oer_edited_remix_reuse_work_grade4_quarter2</f>
        <v>0</v>
      </c>
      <c r="F1787" s="83" t="b">
        <v>1</v>
      </c>
      <c r="G1787" s="83"/>
      <c r="H1787" s="83"/>
    </row>
    <row r="1788" spans="1:8">
      <c r="A1788" s="83" t="s">
        <v>5677</v>
      </c>
      <c r="B1788" s="83" t="s">
        <v>5638</v>
      </c>
      <c r="C1788" s="83" t="s">
        <v>5677</v>
      </c>
      <c r="D1788" s="83" t="s">
        <v>5733</v>
      </c>
      <c r="E1788" s="84">
        <f>oer_edited_remix_reuse_work_grade4_quarter3</f>
        <v>0</v>
      </c>
      <c r="F1788" s="83" t="b">
        <v>1</v>
      </c>
      <c r="G1788" s="83"/>
      <c r="H1788" s="83"/>
    </row>
    <row r="1789" spans="1:8">
      <c r="A1789" s="83" t="s">
        <v>5678</v>
      </c>
      <c r="B1789" s="83" t="s">
        <v>5638</v>
      </c>
      <c r="C1789" s="83" t="s">
        <v>5678</v>
      </c>
      <c r="D1789" s="83" t="s">
        <v>5734</v>
      </c>
      <c r="E1789" s="84">
        <f>oer_edited_remix_reuse_work_grade4_quarter4</f>
        <v>0</v>
      </c>
      <c r="F1789" s="83" t="b">
        <v>1</v>
      </c>
      <c r="G1789" s="83"/>
      <c r="H1789" s="83"/>
    </row>
    <row r="1790" spans="1:8">
      <c r="A1790" s="83" t="s">
        <v>5679</v>
      </c>
      <c r="B1790" s="83" t="s">
        <v>5638</v>
      </c>
      <c r="C1790" s="83" t="s">
        <v>5679</v>
      </c>
      <c r="D1790" s="83" t="s">
        <v>5735</v>
      </c>
      <c r="E1790" s="84">
        <f>oer_original_work_grade5_quarter1</f>
        <v>0</v>
      </c>
      <c r="F1790" s="83" t="b">
        <v>1</v>
      </c>
      <c r="G1790" s="83"/>
      <c r="H1790" s="83"/>
    </row>
    <row r="1791" spans="1:8">
      <c r="A1791" s="83" t="s">
        <v>5680</v>
      </c>
      <c r="B1791" s="83" t="s">
        <v>5638</v>
      </c>
      <c r="C1791" s="83" t="s">
        <v>5680</v>
      </c>
      <c r="D1791" s="83" t="s">
        <v>5736</v>
      </c>
      <c r="E1791" s="84">
        <f>oer_original_work_grade5_quarter2</f>
        <v>0</v>
      </c>
      <c r="F1791" s="83" t="b">
        <v>1</v>
      </c>
      <c r="G1791" s="83"/>
      <c r="H1791" s="83"/>
    </row>
    <row r="1792" spans="1:8">
      <c r="A1792" s="83" t="s">
        <v>5681</v>
      </c>
      <c r="B1792" s="83" t="s">
        <v>5638</v>
      </c>
      <c r="C1792" s="83" t="s">
        <v>5681</v>
      </c>
      <c r="D1792" s="83" t="s">
        <v>5737</v>
      </c>
      <c r="E1792" s="84">
        <f>oer_original_work_grade5_quarter3</f>
        <v>0</v>
      </c>
      <c r="F1792" s="83" t="b">
        <v>1</v>
      </c>
      <c r="G1792" s="83"/>
      <c r="H1792" s="83"/>
    </row>
    <row r="1793" spans="1:8">
      <c r="A1793" s="83" t="s">
        <v>5682</v>
      </c>
      <c r="B1793" s="83" t="s">
        <v>5638</v>
      </c>
      <c r="C1793" s="83" t="s">
        <v>5682</v>
      </c>
      <c r="D1793" s="83" t="s">
        <v>5738</v>
      </c>
      <c r="E1793" s="84">
        <f>oer_original_work_grade5_quarter4</f>
        <v>0</v>
      </c>
      <c r="F1793" s="83" t="b">
        <v>1</v>
      </c>
      <c r="G1793" s="83"/>
      <c r="H1793" s="83"/>
    </row>
    <row r="1794" spans="1:8">
      <c r="A1794" s="83" t="s">
        <v>5683</v>
      </c>
      <c r="B1794" s="83" t="s">
        <v>5638</v>
      </c>
      <c r="C1794" s="83" t="s">
        <v>5683</v>
      </c>
      <c r="D1794" s="83" t="s">
        <v>5739</v>
      </c>
      <c r="E1794" s="84">
        <f>oer_edited_remix_reuse_work_grade5_quarter1</f>
        <v>0</v>
      </c>
      <c r="F1794" s="83" t="b">
        <v>1</v>
      </c>
      <c r="G1794" s="83"/>
      <c r="H1794" s="83"/>
    </row>
    <row r="1795" spans="1:8">
      <c r="A1795" s="83" t="s">
        <v>5684</v>
      </c>
      <c r="B1795" s="83" t="s">
        <v>5638</v>
      </c>
      <c r="C1795" s="83" t="s">
        <v>5684</v>
      </c>
      <c r="D1795" s="83" t="s">
        <v>5740</v>
      </c>
      <c r="E1795" s="84">
        <f>oer_edited_remix_reuse_work_grade5_quarter2</f>
        <v>0</v>
      </c>
      <c r="F1795" s="83" t="b">
        <v>1</v>
      </c>
      <c r="G1795" s="83"/>
      <c r="H1795" s="83"/>
    </row>
    <row r="1796" spans="1:8">
      <c r="A1796" s="83" t="s">
        <v>5685</v>
      </c>
      <c r="B1796" s="83" t="s">
        <v>5638</v>
      </c>
      <c r="C1796" s="83" t="s">
        <v>5685</v>
      </c>
      <c r="D1796" s="83" t="s">
        <v>5741</v>
      </c>
      <c r="E1796" s="84">
        <f>oer_edited_remix_reuse_work_grade5_quarter3</f>
        <v>0</v>
      </c>
      <c r="F1796" s="83" t="b">
        <v>1</v>
      </c>
      <c r="G1796" s="83"/>
      <c r="H1796" s="83"/>
    </row>
    <row r="1797" spans="1:8">
      <c r="A1797" s="83" t="s">
        <v>5686</v>
      </c>
      <c r="B1797" s="83" t="s">
        <v>5638</v>
      </c>
      <c r="C1797" s="83" t="s">
        <v>5686</v>
      </c>
      <c r="D1797" s="83" t="s">
        <v>5742</v>
      </c>
      <c r="E1797" s="84">
        <f>oer_edited_remix_reuse_work_grade5_quarter4</f>
        <v>0</v>
      </c>
      <c r="F1797" s="83" t="b">
        <v>1</v>
      </c>
      <c r="G1797" s="83"/>
      <c r="H1797" s="83"/>
    </row>
    <row r="1798" spans="1:8">
      <c r="A1798" s="83" t="s">
        <v>5687</v>
      </c>
      <c r="B1798" s="83" t="s">
        <v>5638</v>
      </c>
      <c r="C1798" s="83" t="s">
        <v>5687</v>
      </c>
      <c r="D1798" s="83" t="s">
        <v>5743</v>
      </c>
      <c r="E1798" s="84">
        <f>oer_original_work_grade6_quarter1</f>
        <v>0</v>
      </c>
      <c r="F1798" s="83" t="b">
        <v>1</v>
      </c>
      <c r="G1798" s="83"/>
      <c r="H1798" s="83"/>
    </row>
    <row r="1799" spans="1:8">
      <c r="A1799" s="83" t="s">
        <v>5688</v>
      </c>
      <c r="B1799" s="83" t="s">
        <v>5638</v>
      </c>
      <c r="C1799" s="83" t="s">
        <v>5688</v>
      </c>
      <c r="D1799" s="83" t="s">
        <v>5744</v>
      </c>
      <c r="E1799" s="84">
        <f>oer_original_work_grade6_quarter2</f>
        <v>0</v>
      </c>
      <c r="F1799" s="83" t="b">
        <v>1</v>
      </c>
      <c r="G1799" s="83"/>
      <c r="H1799" s="83"/>
    </row>
    <row r="1800" spans="1:8">
      <c r="A1800" s="83" t="s">
        <v>5689</v>
      </c>
      <c r="B1800" s="83" t="s">
        <v>5638</v>
      </c>
      <c r="C1800" s="83" t="s">
        <v>5689</v>
      </c>
      <c r="D1800" s="83" t="s">
        <v>5745</v>
      </c>
      <c r="E1800" s="84">
        <f>oer_original_work_grade6_quarter3</f>
        <v>0</v>
      </c>
      <c r="F1800" s="83" t="b">
        <v>1</v>
      </c>
      <c r="G1800" s="83"/>
      <c r="H1800" s="83"/>
    </row>
    <row r="1801" spans="1:8">
      <c r="A1801" s="83" t="s">
        <v>5690</v>
      </c>
      <c r="B1801" s="83" t="s">
        <v>5638</v>
      </c>
      <c r="C1801" s="83" t="s">
        <v>5690</v>
      </c>
      <c r="D1801" s="83" t="s">
        <v>5746</v>
      </c>
      <c r="E1801" s="84">
        <f>oer_original_work_grade6_quarter4</f>
        <v>0</v>
      </c>
      <c r="F1801" s="83" t="b">
        <v>1</v>
      </c>
      <c r="G1801" s="83"/>
      <c r="H1801" s="83"/>
    </row>
    <row r="1802" spans="1:8">
      <c r="A1802" s="83" t="s">
        <v>5691</v>
      </c>
      <c r="B1802" s="83" t="s">
        <v>5638</v>
      </c>
      <c r="C1802" s="83" t="s">
        <v>5691</v>
      </c>
      <c r="D1802" s="83" t="s">
        <v>5747</v>
      </c>
      <c r="E1802" s="84">
        <f>oer_edited_remix_reuse_work_grade6_quarter1</f>
        <v>0</v>
      </c>
      <c r="F1802" s="83" t="b">
        <v>1</v>
      </c>
      <c r="G1802" s="83"/>
      <c r="H1802" s="83"/>
    </row>
    <row r="1803" spans="1:8">
      <c r="A1803" s="83" t="s">
        <v>5692</v>
      </c>
      <c r="B1803" s="83" t="s">
        <v>5638</v>
      </c>
      <c r="C1803" s="83" t="s">
        <v>5692</v>
      </c>
      <c r="D1803" s="83" t="s">
        <v>5748</v>
      </c>
      <c r="E1803" s="84">
        <f>oer_edited_remix_reuse_work_grade6_quarter2</f>
        <v>0</v>
      </c>
      <c r="F1803" s="83" t="b">
        <v>1</v>
      </c>
      <c r="G1803" s="83"/>
      <c r="H1803" s="83"/>
    </row>
    <row r="1804" spans="1:8">
      <c r="A1804" s="83" t="s">
        <v>5693</v>
      </c>
      <c r="B1804" s="83" t="s">
        <v>5638</v>
      </c>
      <c r="C1804" s="83" t="s">
        <v>5693</v>
      </c>
      <c r="D1804" s="83" t="s">
        <v>5749</v>
      </c>
      <c r="E1804" s="84">
        <f>oer_edited_remix_reuse_work_grade6_quarter3</f>
        <v>0</v>
      </c>
      <c r="F1804" s="83" t="b">
        <v>1</v>
      </c>
      <c r="G1804" s="83"/>
      <c r="H1804" s="83"/>
    </row>
    <row r="1805" spans="1:8" s="112" customFormat="1" ht="16" thickBot="1">
      <c r="A1805" s="85" t="s">
        <v>5694</v>
      </c>
      <c r="B1805" s="85" t="s">
        <v>5638</v>
      </c>
      <c r="C1805" s="85" t="s">
        <v>5694</v>
      </c>
      <c r="D1805" s="85" t="s">
        <v>5750</v>
      </c>
      <c r="E1805" s="86">
        <f>oer_edited_remix_reuse_work_grade6_quarter4</f>
        <v>0</v>
      </c>
      <c r="F1805" s="85" t="b">
        <v>1</v>
      </c>
      <c r="G1805" s="85"/>
      <c r="H1805" s="85"/>
    </row>
    <row r="1806" spans="1:8">
      <c r="A1806" s="83" t="s">
        <v>5752</v>
      </c>
      <c r="B1806" s="83" t="s">
        <v>5751</v>
      </c>
      <c r="C1806" s="83" t="s">
        <v>5752</v>
      </c>
      <c r="D1806" s="83" t="s">
        <v>5774</v>
      </c>
      <c r="E1806" s="84">
        <f>teachers_using_depedtv_frequent_m</f>
        <v>0</v>
      </c>
      <c r="F1806" s="83" t="b">
        <v>1</v>
      </c>
      <c r="G1806" s="83"/>
      <c r="H1806" s="83"/>
    </row>
    <row r="1807" spans="1:8">
      <c r="A1807" s="83" t="s">
        <v>5753</v>
      </c>
      <c r="B1807" s="83" t="s">
        <v>5751</v>
      </c>
      <c r="C1807" s="83" t="s">
        <v>5753</v>
      </c>
      <c r="D1807" s="83" t="s">
        <v>5775</v>
      </c>
      <c r="E1807" s="84">
        <f>teachers_using_depedtv_frequent_f</f>
        <v>0</v>
      </c>
      <c r="F1807" s="83" t="b">
        <v>1</v>
      </c>
      <c r="G1807" s="83"/>
      <c r="H1807" s="83"/>
    </row>
    <row r="1808" spans="1:8">
      <c r="A1808" s="83" t="s">
        <v>5754</v>
      </c>
      <c r="B1808" s="83" t="s">
        <v>5751</v>
      </c>
      <c r="C1808" s="83" t="s">
        <v>5754</v>
      </c>
      <c r="D1808" s="83" t="s">
        <v>5776</v>
      </c>
      <c r="E1808" s="84">
        <f>teachers_using_depedtv_seldom_m</f>
        <v>0</v>
      </c>
      <c r="F1808" s="83" t="b">
        <v>1</v>
      </c>
      <c r="G1808" s="83"/>
      <c r="H1808" s="83"/>
    </row>
    <row r="1809" spans="1:8">
      <c r="A1809" s="83" t="s">
        <v>5755</v>
      </c>
      <c r="B1809" s="83" t="s">
        <v>5751</v>
      </c>
      <c r="C1809" s="83" t="s">
        <v>5755</v>
      </c>
      <c r="D1809" s="83" t="s">
        <v>5777</v>
      </c>
      <c r="E1809" s="84">
        <f>teachers_using_depedtv_seldom_f</f>
        <v>0</v>
      </c>
      <c r="F1809" s="83" t="b">
        <v>1</v>
      </c>
      <c r="G1809" s="83"/>
      <c r="H1809" s="83"/>
    </row>
    <row r="1810" spans="1:8">
      <c r="A1810" s="83" t="s">
        <v>5756</v>
      </c>
      <c r="B1810" s="83" t="s">
        <v>5751</v>
      </c>
      <c r="C1810" s="83" t="s">
        <v>5756</v>
      </c>
      <c r="D1810" s="83" t="s">
        <v>5778</v>
      </c>
      <c r="E1810" s="84">
        <f>teachers_using_depedtv_never_m</f>
        <v>0</v>
      </c>
      <c r="F1810" s="83" t="b">
        <v>1</v>
      </c>
      <c r="G1810" s="83"/>
      <c r="H1810" s="83"/>
    </row>
    <row r="1811" spans="1:8">
      <c r="A1811" s="83" t="s">
        <v>5757</v>
      </c>
      <c r="B1811" s="83" t="s">
        <v>5751</v>
      </c>
      <c r="C1811" s="83" t="s">
        <v>5757</v>
      </c>
      <c r="D1811" s="83" t="s">
        <v>5779</v>
      </c>
      <c r="E1811" s="84">
        <f>teachers_using_depedtv_never_f</f>
        <v>0</v>
      </c>
      <c r="F1811" s="83" t="b">
        <v>1</v>
      </c>
      <c r="G1811" s="83"/>
      <c r="H1811" s="83"/>
    </row>
    <row r="1812" spans="1:8">
      <c r="A1812" s="83" t="s">
        <v>5758</v>
      </c>
      <c r="B1812" s="83" t="s">
        <v>5751</v>
      </c>
      <c r="C1812" s="83" t="s">
        <v>5758</v>
      </c>
      <c r="D1812" s="83" t="s">
        <v>5780</v>
      </c>
      <c r="E1812" s="84" t="b">
        <f>teacher_method_for_depedtv_broadcasttv</f>
        <v>0</v>
      </c>
      <c r="F1812" s="83" t="b">
        <f t="shared" ref="F1812:F1820" si="16">OR(E1812=TRUE, E1812=FALSE)</f>
        <v>1</v>
      </c>
      <c r="G1812" s="83" t="s">
        <v>2287</v>
      </c>
      <c r="H1812" s="83"/>
    </row>
    <row r="1813" spans="1:8">
      <c r="A1813" s="83" t="s">
        <v>5759</v>
      </c>
      <c r="B1813" s="83" t="s">
        <v>5751</v>
      </c>
      <c r="C1813" s="83" t="s">
        <v>5759</v>
      </c>
      <c r="D1813" s="83" t="s">
        <v>5781</v>
      </c>
      <c r="E1813" s="84" t="b">
        <f>teacher_method_for_depedtv_facebook</f>
        <v>0</v>
      </c>
      <c r="F1813" s="83" t="b">
        <f t="shared" si="16"/>
        <v>1</v>
      </c>
      <c r="G1813" s="83" t="s">
        <v>2287</v>
      </c>
      <c r="H1813" s="83"/>
    </row>
    <row r="1814" spans="1:8">
      <c r="A1814" s="83" t="s">
        <v>5760</v>
      </c>
      <c r="B1814" s="83" t="s">
        <v>5751</v>
      </c>
      <c r="C1814" s="83" t="s">
        <v>5760</v>
      </c>
      <c r="D1814" s="83" t="s">
        <v>5782</v>
      </c>
      <c r="E1814" s="84" t="b">
        <f>teacher_method_for_depedtv_youtube</f>
        <v>0</v>
      </c>
      <c r="F1814" s="83" t="b">
        <f t="shared" si="16"/>
        <v>1</v>
      </c>
      <c r="G1814" s="83" t="s">
        <v>2287</v>
      </c>
      <c r="H1814" s="83"/>
    </row>
    <row r="1815" spans="1:8">
      <c r="A1815" s="83" t="s">
        <v>5761</v>
      </c>
      <c r="B1815" s="83" t="s">
        <v>5751</v>
      </c>
      <c r="C1815" s="83" t="s">
        <v>5761</v>
      </c>
      <c r="D1815" s="83" t="s">
        <v>5783</v>
      </c>
      <c r="E1815" s="84" t="b">
        <f>teacher_method_for_depedtv_downloaded</f>
        <v>1</v>
      </c>
      <c r="F1815" s="83" t="b">
        <f t="shared" si="16"/>
        <v>1</v>
      </c>
      <c r="G1815" s="83" t="s">
        <v>2287</v>
      </c>
      <c r="H1815" s="83"/>
    </row>
    <row r="1816" spans="1:8">
      <c r="A1816" s="83" t="s">
        <v>5762</v>
      </c>
      <c r="B1816" s="83" t="s">
        <v>5751</v>
      </c>
      <c r="C1816" s="83" t="s">
        <v>5762</v>
      </c>
      <c r="D1816" s="83" t="s">
        <v>5784</v>
      </c>
      <c r="E1816" s="84" t="b">
        <f>teacher_identify_needs_more_resources_depedtv_english</f>
        <v>1</v>
      </c>
      <c r="F1816" s="83" t="b">
        <f t="shared" si="16"/>
        <v>1</v>
      </c>
      <c r="G1816" s="83" t="s">
        <v>2287</v>
      </c>
      <c r="H1816" s="83"/>
    </row>
    <row r="1817" spans="1:8">
      <c r="A1817" s="83" t="s">
        <v>5763</v>
      </c>
      <c r="B1817" s="83" t="s">
        <v>5751</v>
      </c>
      <c r="C1817" s="83" t="s">
        <v>5763</v>
      </c>
      <c r="D1817" s="83" t="s">
        <v>5785</v>
      </c>
      <c r="E1817" s="84" t="b">
        <f>teacher_identify_needs_more_resources_depedtv_math</f>
        <v>1</v>
      </c>
      <c r="F1817" s="83" t="b">
        <f t="shared" si="16"/>
        <v>1</v>
      </c>
      <c r="G1817" s="83" t="s">
        <v>2287</v>
      </c>
      <c r="H1817" s="83"/>
    </row>
    <row r="1818" spans="1:8">
      <c r="A1818" s="83" t="s">
        <v>5764</v>
      </c>
      <c r="B1818" s="83" t="s">
        <v>5751</v>
      </c>
      <c r="C1818" s="83" t="s">
        <v>5764</v>
      </c>
      <c r="D1818" s="83" t="s">
        <v>5786</v>
      </c>
      <c r="E1818" s="84" t="b">
        <f>teacher_identify_needs_more_resources_depedtv_filipino</f>
        <v>1</v>
      </c>
      <c r="F1818" s="83" t="b">
        <f t="shared" si="16"/>
        <v>1</v>
      </c>
      <c r="G1818" s="83" t="s">
        <v>2287</v>
      </c>
      <c r="H1818" s="83"/>
    </row>
    <row r="1819" spans="1:8">
      <c r="A1819" s="83" t="s">
        <v>5765</v>
      </c>
      <c r="B1819" s="83" t="s">
        <v>5751</v>
      </c>
      <c r="C1819" s="83" t="s">
        <v>5765</v>
      </c>
      <c r="D1819" s="83" t="s">
        <v>5787</v>
      </c>
      <c r="E1819" s="84" t="b">
        <f>teacher_identify_needs_more_resources_depedtv_science</f>
        <v>1</v>
      </c>
      <c r="F1819" s="83" t="b">
        <f t="shared" si="16"/>
        <v>1</v>
      </c>
      <c r="G1819" s="83" t="s">
        <v>2287</v>
      </c>
      <c r="H1819" s="83"/>
    </row>
    <row r="1820" spans="1:8">
      <c r="A1820" s="83" t="s">
        <v>5766</v>
      </c>
      <c r="B1820" s="83" t="s">
        <v>5751</v>
      </c>
      <c r="C1820" s="83" t="s">
        <v>5766</v>
      </c>
      <c r="D1820" s="83" t="s">
        <v>5788</v>
      </c>
      <c r="E1820" s="84" t="b">
        <f>teacher_identify_needs_more_resources_depedtv_ap</f>
        <v>1</v>
      </c>
      <c r="F1820" s="83" t="b">
        <f t="shared" si="16"/>
        <v>1</v>
      </c>
      <c r="G1820" s="83" t="s">
        <v>2287</v>
      </c>
      <c r="H1820" s="83"/>
    </row>
    <row r="1821" spans="1:8">
      <c r="A1821" s="83" t="s">
        <v>5767</v>
      </c>
      <c r="B1821" s="83" t="s">
        <v>5751</v>
      </c>
      <c r="C1821" s="83" t="s">
        <v>5767</v>
      </c>
      <c r="D1821" s="83" t="s">
        <v>5789</v>
      </c>
      <c r="E1821" s="84" t="b">
        <f>teacher_identify_needs_more_resources_depedtv_esp</f>
        <v>1</v>
      </c>
      <c r="F1821" s="83" t="b">
        <v>1</v>
      </c>
      <c r="G1821" s="83"/>
      <c r="H1821" s="83"/>
    </row>
    <row r="1822" spans="1:8">
      <c r="A1822" s="83" t="s">
        <v>5768</v>
      </c>
      <c r="B1822" s="83" t="s">
        <v>5751</v>
      </c>
      <c r="C1822" s="83" t="s">
        <v>5768</v>
      </c>
      <c r="D1822" s="83" t="s">
        <v>5790</v>
      </c>
      <c r="E1822" s="84" t="b">
        <f>teacher_identify_needs_more_resources_depedtv_tle</f>
        <v>1</v>
      </c>
      <c r="F1822" s="83" t="b">
        <f t="shared" ref="F1822:F1824" si="17">OR(E1822=TRUE, E1822=FALSE)</f>
        <v>1</v>
      </c>
      <c r="G1822" s="83" t="s">
        <v>2287</v>
      </c>
      <c r="H1822" s="83"/>
    </row>
    <row r="1823" spans="1:8">
      <c r="A1823" s="83" t="s">
        <v>5769</v>
      </c>
      <c r="B1823" s="83" t="s">
        <v>5751</v>
      </c>
      <c r="C1823" s="83" t="s">
        <v>5769</v>
      </c>
      <c r="D1823" s="83" t="s">
        <v>5791</v>
      </c>
      <c r="E1823" s="84" t="b">
        <f>teacher_identify_needs_more_resources_depedtv_mapeh</f>
        <v>1</v>
      </c>
      <c r="F1823" s="83" t="b">
        <f t="shared" si="17"/>
        <v>1</v>
      </c>
      <c r="G1823" s="83" t="s">
        <v>2287</v>
      </c>
      <c r="H1823" s="83"/>
    </row>
    <row r="1824" spans="1:8">
      <c r="A1824" s="83" t="s">
        <v>5770</v>
      </c>
      <c r="B1824" s="83" t="s">
        <v>5751</v>
      </c>
      <c r="C1824" s="83" t="s">
        <v>5770</v>
      </c>
      <c r="D1824" s="83" t="s">
        <v>5792</v>
      </c>
      <c r="E1824" s="84" t="b">
        <f>teacher_identify_needs_more_resources_depedtv_others</f>
        <v>0</v>
      </c>
      <c r="F1824" s="83" t="b">
        <f t="shared" si="17"/>
        <v>1</v>
      </c>
      <c r="G1824" s="83" t="s">
        <v>2287</v>
      </c>
      <c r="H1824" s="83"/>
    </row>
    <row r="1825" spans="1:8">
      <c r="A1825" s="83" t="s">
        <v>5771</v>
      </c>
      <c r="B1825" s="83" t="s">
        <v>5751</v>
      </c>
      <c r="C1825" s="83" t="s">
        <v>5771</v>
      </c>
      <c r="D1825" s="83" t="s">
        <v>5793</v>
      </c>
      <c r="E1825" s="84">
        <f>teacher_identify_needs_more_resources_depedtv_others_specify</f>
        <v>0</v>
      </c>
      <c r="F1825" s="83" t="b">
        <v>1</v>
      </c>
      <c r="G1825" s="83"/>
      <c r="H1825" s="83"/>
    </row>
    <row r="1826" spans="1:8">
      <c r="A1826" s="83" t="s">
        <v>5772</v>
      </c>
      <c r="B1826" s="83" t="s">
        <v>5751</v>
      </c>
      <c r="C1826" s="83" t="s">
        <v>5772</v>
      </c>
      <c r="D1826" s="83" t="s">
        <v>5794</v>
      </c>
      <c r="E1826" s="84" t="str">
        <f>deps_lrdms</f>
        <v>RONE RAY M. PORTACION</v>
      </c>
      <c r="F1826" s="83" t="b">
        <v>1</v>
      </c>
      <c r="G1826" s="83"/>
      <c r="H1826" s="83"/>
    </row>
    <row r="1827" spans="1:8" s="112" customFormat="1" ht="16" thickBot="1">
      <c r="A1827" s="85" t="s">
        <v>5773</v>
      </c>
      <c r="B1827" s="85" t="s">
        <v>5751</v>
      </c>
      <c r="C1827" s="85" t="s">
        <v>5773</v>
      </c>
      <c r="D1827" s="85" t="s">
        <v>5795</v>
      </c>
      <c r="E1827" s="86" t="str">
        <f>deps_lrdms_pos</f>
        <v>Education Program Supervisor</v>
      </c>
      <c r="F1827" s="85" t="b">
        <v>1</v>
      </c>
      <c r="G1827" s="85"/>
      <c r="H1827" s="85"/>
    </row>
    <row r="1828" spans="1:8">
      <c r="A1828" s="83" t="s">
        <v>5796</v>
      </c>
      <c r="B1828" s="83" t="s">
        <v>5797</v>
      </c>
      <c r="C1828" s="83" t="s">
        <v>5796</v>
      </c>
      <c r="D1828" s="83" t="s">
        <v>5826</v>
      </c>
      <c r="E1828" s="117">
        <f>mooe_alloc_jantodec_amount</f>
        <v>762549.96</v>
      </c>
      <c r="F1828" s="83" t="b">
        <v>1</v>
      </c>
      <c r="G1828" s="83"/>
      <c r="H1828" s="83"/>
    </row>
    <row r="1829" spans="1:8">
      <c r="A1829" s="83" t="s">
        <v>5798</v>
      </c>
      <c r="B1829" s="83" t="s">
        <v>5797</v>
      </c>
      <c r="C1829" s="83" t="s">
        <v>5798</v>
      </c>
      <c r="D1829" s="83" t="s">
        <v>5827</v>
      </c>
      <c r="E1829" s="117">
        <f>mooe_utili_jantodec_amount</f>
        <v>762549.96</v>
      </c>
      <c r="F1829" s="83" t="b">
        <v>1</v>
      </c>
      <c r="G1829" s="83"/>
      <c r="H1829" s="83"/>
    </row>
    <row r="1830" spans="1:8">
      <c r="A1830" s="83" t="s">
        <v>5799</v>
      </c>
      <c r="B1830" s="83" t="s">
        <v>5797</v>
      </c>
      <c r="C1830" s="83" t="s">
        <v>5799</v>
      </c>
      <c r="D1830" s="83" t="s">
        <v>5828</v>
      </c>
      <c r="E1830" s="117">
        <f>mooe_liqui_jantodec_amount</f>
        <v>762549.96</v>
      </c>
      <c r="F1830" s="83" t="b">
        <v>1</v>
      </c>
      <c r="G1830" s="83"/>
      <c r="H1830" s="83"/>
    </row>
    <row r="1831" spans="1:8">
      <c r="A1831" s="83" t="s">
        <v>5800</v>
      </c>
      <c r="B1831" s="83" t="s">
        <v>5797</v>
      </c>
      <c r="C1831" s="83" t="s">
        <v>5800</v>
      </c>
      <c r="D1831" s="83" t="s">
        <v>5829</v>
      </c>
      <c r="E1831" s="84" t="str">
        <f>do_accountant_name</f>
        <v>ROBERTO L. TORRES</v>
      </c>
      <c r="F1831" s="83" t="b">
        <v>1</v>
      </c>
      <c r="G1831" s="83"/>
      <c r="H1831" s="83"/>
    </row>
    <row r="1832" spans="1:8" s="112" customFormat="1" ht="16" thickBot="1">
      <c r="A1832" s="85" t="s">
        <v>5801</v>
      </c>
      <c r="B1832" s="85" t="s">
        <v>5797</v>
      </c>
      <c r="C1832" s="85" t="s">
        <v>5801</v>
      </c>
      <c r="D1832" s="85" t="s">
        <v>5830</v>
      </c>
      <c r="E1832" s="86" t="str">
        <f>do_accountant_pos</f>
        <v>Accountant II</v>
      </c>
      <c r="F1832" s="85" t="b">
        <v>1</v>
      </c>
      <c r="G1832" s="85"/>
      <c r="H1832" s="85"/>
    </row>
    <row r="1833" spans="1:8">
      <c r="A1833" s="83" t="s">
        <v>5802</v>
      </c>
      <c r="B1833" s="83" t="s">
        <v>5803</v>
      </c>
      <c r="C1833" s="83" t="s">
        <v>5802</v>
      </c>
      <c r="D1833" s="83" t="s">
        <v>5831</v>
      </c>
      <c r="E1833" s="84" t="b">
        <f>electrical_supply_sources_grid</f>
        <v>1</v>
      </c>
      <c r="F1833" s="83" t="b">
        <f t="shared" ref="F1833:F1837" si="18">OR(E1833=TRUE, E1833=FALSE)</f>
        <v>1</v>
      </c>
      <c r="G1833" s="83" t="s">
        <v>2287</v>
      </c>
      <c r="H1833" s="83"/>
    </row>
    <row r="1834" spans="1:8">
      <c r="A1834" s="83" t="s">
        <v>5804</v>
      </c>
      <c r="B1834" s="83" t="s">
        <v>5803</v>
      </c>
      <c r="C1834" s="83" t="s">
        <v>5804</v>
      </c>
      <c r="D1834" s="83" t="s">
        <v>5832</v>
      </c>
      <c r="E1834" s="84" t="b">
        <f>electrical_supply_sources_offgrid</f>
        <v>0</v>
      </c>
      <c r="F1834" s="83" t="b">
        <f t="shared" si="18"/>
        <v>1</v>
      </c>
      <c r="G1834" s="83" t="s">
        <v>2287</v>
      </c>
      <c r="H1834" s="83"/>
    </row>
    <row r="1835" spans="1:8">
      <c r="A1835" s="83" t="s">
        <v>5805</v>
      </c>
      <c r="B1835" s="83" t="s">
        <v>5803</v>
      </c>
      <c r="C1835" s="83" t="s">
        <v>5805</v>
      </c>
      <c r="D1835" s="83" t="s">
        <v>5833</v>
      </c>
      <c r="E1835" s="84" t="b">
        <f>electrical_offgrid_solar_power</f>
        <v>0</v>
      </c>
      <c r="F1835" s="83" t="b">
        <f t="shared" si="18"/>
        <v>1</v>
      </c>
      <c r="G1835" s="83" t="s">
        <v>2287</v>
      </c>
      <c r="H1835" s="83"/>
    </row>
    <row r="1836" spans="1:8">
      <c r="A1836" s="83" t="s">
        <v>5806</v>
      </c>
      <c r="B1836" s="83" t="s">
        <v>5803</v>
      </c>
      <c r="C1836" s="83" t="s">
        <v>5806</v>
      </c>
      <c r="D1836" s="83" t="s">
        <v>5834</v>
      </c>
      <c r="E1836" s="84" t="b">
        <f>electrical_offgrid_generator</f>
        <v>0</v>
      </c>
      <c r="F1836" s="83" t="b">
        <f t="shared" si="18"/>
        <v>1</v>
      </c>
      <c r="G1836" s="83" t="s">
        <v>2287</v>
      </c>
      <c r="H1836" s="83"/>
    </row>
    <row r="1837" spans="1:8">
      <c r="A1837" s="83" t="s">
        <v>5807</v>
      </c>
      <c r="B1837" s="83" t="s">
        <v>5803</v>
      </c>
      <c r="C1837" s="83" t="s">
        <v>5807</v>
      </c>
      <c r="D1837" s="83" t="s">
        <v>5835</v>
      </c>
      <c r="E1837" s="84" t="b">
        <f>electrical_offgrid_others</f>
        <v>0</v>
      </c>
      <c r="F1837" s="83" t="b">
        <f t="shared" si="18"/>
        <v>1</v>
      </c>
      <c r="G1837" s="83" t="s">
        <v>2287</v>
      </c>
      <c r="H1837" s="83"/>
    </row>
    <row r="1838" spans="1:8">
      <c r="A1838" s="83" t="s">
        <v>5808</v>
      </c>
      <c r="B1838" s="83" t="s">
        <v>5803</v>
      </c>
      <c r="C1838" s="83" t="s">
        <v>5808</v>
      </c>
      <c r="D1838" s="83" t="s">
        <v>5836</v>
      </c>
      <c r="E1838" s="84">
        <f>electrical_offgrid_others_specify</f>
        <v>0</v>
      </c>
      <c r="F1838" s="83" t="b">
        <v>1</v>
      </c>
      <c r="G1838" s="83"/>
      <c r="H1838" s="83"/>
    </row>
    <row r="1839" spans="1:8">
      <c r="A1839" s="83" t="s">
        <v>5809</v>
      </c>
      <c r="B1839" s="83" t="s">
        <v>5803</v>
      </c>
      <c r="C1839" s="83" t="s">
        <v>5809</v>
      </c>
      <c r="D1839" s="83" t="s">
        <v>5837</v>
      </c>
      <c r="E1839" s="84" t="b">
        <f>electrical_no_sources</f>
        <v>0</v>
      </c>
      <c r="F1839" s="83" t="b">
        <v>1</v>
      </c>
      <c r="G1839" s="83"/>
      <c r="H1839" s="83"/>
    </row>
    <row r="1840" spans="1:8">
      <c r="A1840" s="83" t="s">
        <v>5810</v>
      </c>
      <c r="B1840" s="83" t="s">
        <v>5803</v>
      </c>
      <c r="C1840" s="83" t="s">
        <v>5810</v>
      </c>
      <c r="D1840" s="83" t="s">
        <v>5838</v>
      </c>
      <c r="E1840" s="84">
        <f>ave_cost_monthly_bills_amount</f>
        <v>7500</v>
      </c>
      <c r="F1840" s="83" t="b">
        <v>1</v>
      </c>
      <c r="G1840" s="83"/>
      <c r="H1840" s="83"/>
    </row>
    <row r="1841" spans="1:8">
      <c r="A1841" s="83" t="s">
        <v>5811</v>
      </c>
      <c r="B1841" s="83" t="s">
        <v>5803</v>
      </c>
      <c r="C1841" s="83" t="s">
        <v>5811</v>
      </c>
      <c r="D1841" s="83" t="s">
        <v>5839</v>
      </c>
      <c r="E1841" s="84" t="b">
        <f>electrical_funding_source_mooe</f>
        <v>1</v>
      </c>
      <c r="F1841" s="83" t="b">
        <f t="shared" ref="F1841:F1846" si="19">OR(E1841=TRUE, E1841=FALSE)</f>
        <v>1</v>
      </c>
      <c r="G1841" s="83" t="s">
        <v>2287</v>
      </c>
      <c r="H1841" s="83"/>
    </row>
    <row r="1842" spans="1:8">
      <c r="A1842" s="83" t="s">
        <v>5812</v>
      </c>
      <c r="B1842" s="83" t="s">
        <v>5803</v>
      </c>
      <c r="C1842" s="83" t="s">
        <v>5812</v>
      </c>
      <c r="D1842" s="83" t="s">
        <v>5840</v>
      </c>
      <c r="E1842" s="84" t="b">
        <f>electrical_funding_sources_lgu</f>
        <v>0</v>
      </c>
      <c r="F1842" s="83" t="b">
        <f t="shared" si="19"/>
        <v>1</v>
      </c>
      <c r="G1842" s="83" t="s">
        <v>2287</v>
      </c>
      <c r="H1842" s="83"/>
    </row>
    <row r="1843" spans="1:8">
      <c r="A1843" s="83" t="s">
        <v>5813</v>
      </c>
      <c r="B1843" s="83" t="s">
        <v>5803</v>
      </c>
      <c r="C1843" s="83" t="s">
        <v>5813</v>
      </c>
      <c r="D1843" s="83" t="s">
        <v>5841</v>
      </c>
      <c r="E1843" s="84" t="b">
        <f>electrical_funding_sources_pta</f>
        <v>0</v>
      </c>
      <c r="F1843" s="83" t="b">
        <f t="shared" si="19"/>
        <v>1</v>
      </c>
      <c r="G1843" s="83" t="s">
        <v>2287</v>
      </c>
      <c r="H1843" s="83"/>
    </row>
    <row r="1844" spans="1:8">
      <c r="A1844" s="83" t="s">
        <v>5814</v>
      </c>
      <c r="B1844" s="83" t="s">
        <v>5803</v>
      </c>
      <c r="C1844" s="83" t="s">
        <v>5814</v>
      </c>
      <c r="D1844" s="83" t="s">
        <v>5842</v>
      </c>
      <c r="E1844" s="84" t="b">
        <f>electrical_funding_sources_canteen</f>
        <v>0</v>
      </c>
      <c r="F1844" s="83" t="b">
        <f t="shared" si="19"/>
        <v>1</v>
      </c>
      <c r="G1844" s="83" t="s">
        <v>2287</v>
      </c>
      <c r="H1844" s="83"/>
    </row>
    <row r="1845" spans="1:8">
      <c r="A1845" s="83" t="s">
        <v>5815</v>
      </c>
      <c r="B1845" s="83" t="s">
        <v>5803</v>
      </c>
      <c r="C1845" s="83" t="s">
        <v>5815</v>
      </c>
      <c r="D1845" s="83" t="s">
        <v>5843</v>
      </c>
      <c r="E1845" s="84" t="b">
        <f>electrical_funding_source_private</f>
        <v>0</v>
      </c>
      <c r="F1845" s="83" t="b">
        <f t="shared" si="19"/>
        <v>1</v>
      </c>
      <c r="G1845" s="83" t="s">
        <v>2287</v>
      </c>
      <c r="H1845" s="83"/>
    </row>
    <row r="1846" spans="1:8">
      <c r="A1846" s="83" t="s">
        <v>5816</v>
      </c>
      <c r="B1846" s="83" t="s">
        <v>5803</v>
      </c>
      <c r="C1846" s="83" t="s">
        <v>5816</v>
      </c>
      <c r="D1846" s="83" t="s">
        <v>5844</v>
      </c>
      <c r="E1846" s="84" t="b">
        <f>electrical_funding_source_others</f>
        <v>0</v>
      </c>
      <c r="F1846" s="83" t="b">
        <f t="shared" si="19"/>
        <v>1</v>
      </c>
      <c r="G1846" s="83" t="s">
        <v>2287</v>
      </c>
      <c r="H1846" s="83"/>
    </row>
    <row r="1847" spans="1:8">
      <c r="A1847" s="83" t="s">
        <v>5817</v>
      </c>
      <c r="B1847" s="83" t="s">
        <v>5803</v>
      </c>
      <c r="C1847" s="83" t="s">
        <v>5817</v>
      </c>
      <c r="D1847" s="83" t="s">
        <v>5845</v>
      </c>
      <c r="E1847" s="84">
        <f>electrical_funding_source_others_specify</f>
        <v>0</v>
      </c>
      <c r="F1847" s="83" t="b">
        <v>1</v>
      </c>
      <c r="G1847" s="83"/>
      <c r="H1847" s="83"/>
    </row>
    <row r="1848" spans="1:8">
      <c r="A1848" s="83" t="s">
        <v>5818</v>
      </c>
      <c r="B1848" s="83" t="s">
        <v>5803</v>
      </c>
      <c r="C1848" s="83" t="s">
        <v>5818</v>
      </c>
      <c r="D1848" s="83" t="s">
        <v>5846</v>
      </c>
      <c r="E1848" s="84">
        <f>electricity_available_inaday_hours</f>
        <v>8</v>
      </c>
      <c r="F1848" s="83" t="b">
        <v>1</v>
      </c>
      <c r="G1848" s="83"/>
      <c r="H1848" s="83"/>
    </row>
    <row r="1849" spans="1:8">
      <c r="A1849" s="83" t="s">
        <v>5819</v>
      </c>
      <c r="B1849" s="83" t="s">
        <v>5803</v>
      </c>
      <c r="C1849" s="83" t="s">
        <v>5819</v>
      </c>
      <c r="D1849" s="83" t="s">
        <v>5847</v>
      </c>
      <c r="E1849" s="84" t="str">
        <f>phyfacoor_doengr_name</f>
        <v>BRYAN REY P. JAMIS</v>
      </c>
      <c r="F1849" s="83" t="b">
        <v>1</v>
      </c>
      <c r="G1849" s="83"/>
      <c r="H1849" s="83"/>
    </row>
    <row r="1850" spans="1:8" s="112" customFormat="1" ht="16" thickBot="1">
      <c r="A1850" s="85" t="s">
        <v>5821</v>
      </c>
      <c r="B1850" s="85" t="s">
        <v>5803</v>
      </c>
      <c r="C1850" s="85" t="s">
        <v>5821</v>
      </c>
      <c r="D1850" s="85" t="s">
        <v>5848</v>
      </c>
      <c r="E1850" s="86" t="str">
        <f>phyfacoor_doengr_pos</f>
        <v>Enginner III</v>
      </c>
      <c r="F1850" s="85" t="b">
        <v>1</v>
      </c>
      <c r="G1850" s="85"/>
      <c r="H1850" s="85"/>
    </row>
    <row r="1851" spans="1:8">
      <c r="A1851" s="83" t="s">
        <v>5822</v>
      </c>
      <c r="B1851" s="83" t="s">
        <v>5820</v>
      </c>
      <c r="C1851" s="83" t="s">
        <v>5822</v>
      </c>
      <c r="D1851" s="83" t="s">
        <v>5849</v>
      </c>
      <c r="E1851" s="84" t="b">
        <f>sch_site_chk31_deped</f>
        <v>1</v>
      </c>
      <c r="F1851" s="83" t="b">
        <f t="shared" ref="F1851:F1870" si="20">OR(E1851=TRUE, E1851=FALSE)</f>
        <v>1</v>
      </c>
      <c r="G1851" s="83" t="s">
        <v>2287</v>
      </c>
      <c r="H1851" s="83"/>
    </row>
    <row r="1852" spans="1:8">
      <c r="A1852" s="83" t="s">
        <v>5823</v>
      </c>
      <c r="B1852" s="83" t="s">
        <v>5820</v>
      </c>
      <c r="C1852" s="83" t="s">
        <v>5823</v>
      </c>
      <c r="D1852" s="83" t="s">
        <v>5850</v>
      </c>
      <c r="E1852" s="84" t="b">
        <f>sch_site_chk31_lgu</f>
        <v>0</v>
      </c>
      <c r="F1852" s="83" t="b">
        <f t="shared" si="20"/>
        <v>1</v>
      </c>
      <c r="G1852" s="83" t="s">
        <v>2287</v>
      </c>
      <c r="H1852" s="83"/>
    </row>
    <row r="1853" spans="1:8">
      <c r="A1853" s="83" t="s">
        <v>5824</v>
      </c>
      <c r="B1853" s="83" t="s">
        <v>5820</v>
      </c>
      <c r="C1853" s="83" t="s">
        <v>5824</v>
      </c>
      <c r="D1853" s="83" t="s">
        <v>5851</v>
      </c>
      <c r="E1853" s="84" t="b">
        <f>sch_site_chk31_othergov</f>
        <v>0</v>
      </c>
      <c r="F1853" s="83" t="b">
        <f t="shared" si="20"/>
        <v>1</v>
      </c>
      <c r="G1853" s="83" t="s">
        <v>2287</v>
      </c>
      <c r="H1853" s="83"/>
    </row>
    <row r="1854" spans="1:8">
      <c r="A1854" s="83" t="s">
        <v>5825</v>
      </c>
      <c r="B1854" s="83" t="s">
        <v>5820</v>
      </c>
      <c r="C1854" s="83" t="s">
        <v>5825</v>
      </c>
      <c r="D1854" s="83" t="s">
        <v>5852</v>
      </c>
      <c r="E1854" s="84" t="b">
        <f>sch_site_chk31_prvt_ind</f>
        <v>0</v>
      </c>
      <c r="F1854" s="83" t="b">
        <f t="shared" si="20"/>
        <v>1</v>
      </c>
      <c r="G1854" s="83" t="s">
        <v>2287</v>
      </c>
      <c r="H1854" s="83"/>
    </row>
    <row r="1855" spans="1:8">
      <c r="A1855" s="83" t="s">
        <v>5853</v>
      </c>
      <c r="B1855" s="83" t="s">
        <v>5820</v>
      </c>
      <c r="C1855" s="83" t="s">
        <v>5853</v>
      </c>
      <c r="D1855" s="83" t="s">
        <v>5854</v>
      </c>
      <c r="E1855" s="84" t="b">
        <f>sch_site_chk31_yes</f>
        <v>0</v>
      </c>
      <c r="F1855" s="83" t="b">
        <f t="shared" si="20"/>
        <v>1</v>
      </c>
      <c r="G1855" s="83" t="s">
        <v>2287</v>
      </c>
      <c r="H1855" s="83"/>
    </row>
    <row r="1856" spans="1:8">
      <c r="A1856" s="83" t="s">
        <v>5855</v>
      </c>
      <c r="B1856" s="83" t="s">
        <v>5820</v>
      </c>
      <c r="C1856" s="83" t="s">
        <v>5855</v>
      </c>
      <c r="D1856" s="83" t="s">
        <v>5870</v>
      </c>
      <c r="E1856" s="84" t="b">
        <f>sch_site_chk31_yes_oct</f>
        <v>0</v>
      </c>
      <c r="F1856" s="83" t="b">
        <f t="shared" si="20"/>
        <v>1</v>
      </c>
      <c r="G1856" s="83" t="s">
        <v>2287</v>
      </c>
      <c r="H1856" s="83"/>
    </row>
    <row r="1857" spans="1:9">
      <c r="A1857" s="83" t="s">
        <v>5856</v>
      </c>
      <c r="B1857" s="83" t="s">
        <v>5820</v>
      </c>
      <c r="C1857" s="83" t="s">
        <v>5856</v>
      </c>
      <c r="D1857" s="83" t="s">
        <v>5871</v>
      </c>
      <c r="E1857" s="84" t="b">
        <f>sch_site_chk31_yes_tct</f>
        <v>0</v>
      </c>
      <c r="F1857" s="83" t="b">
        <f t="shared" si="20"/>
        <v>1</v>
      </c>
      <c r="G1857" s="83" t="s">
        <v>2287</v>
      </c>
      <c r="H1857" s="83"/>
    </row>
    <row r="1858" spans="1:9">
      <c r="A1858" s="83" t="s">
        <v>5857</v>
      </c>
      <c r="B1858" s="83" t="s">
        <v>5820</v>
      </c>
      <c r="C1858" s="83" t="s">
        <v>5857</v>
      </c>
      <c r="D1858" s="83" t="s">
        <v>5872</v>
      </c>
      <c r="E1858" s="84" t="b">
        <f>sch_site_chk31_yes_cloa</f>
        <v>0</v>
      </c>
      <c r="F1858" s="83" t="b">
        <f t="shared" si="20"/>
        <v>1</v>
      </c>
      <c r="G1858" s="83" t="s">
        <v>2287</v>
      </c>
      <c r="H1858" s="83"/>
    </row>
    <row r="1859" spans="1:9">
      <c r="A1859" s="83" t="s">
        <v>5858</v>
      </c>
      <c r="B1859" s="83" t="s">
        <v>5820</v>
      </c>
      <c r="C1859" s="83" t="s">
        <v>5858</v>
      </c>
      <c r="D1859" s="83" t="s">
        <v>5873</v>
      </c>
      <c r="E1859" s="84" t="b">
        <f>sch_site_chk31_yes_spl_patent</f>
        <v>0</v>
      </c>
      <c r="F1859" s="83" t="b">
        <f t="shared" si="20"/>
        <v>1</v>
      </c>
      <c r="G1859" s="83" t="s">
        <v>2287</v>
      </c>
      <c r="H1859" s="83"/>
    </row>
    <row r="1860" spans="1:9">
      <c r="A1860" s="83" t="s">
        <v>5859</v>
      </c>
      <c r="B1860" s="83" t="s">
        <v>5820</v>
      </c>
      <c r="C1860" s="83" t="s">
        <v>5859</v>
      </c>
      <c r="D1860" s="83" t="s">
        <v>5874</v>
      </c>
      <c r="E1860" s="84" t="b">
        <f>sch_site_chk31_yes_pres_proc</f>
        <v>0</v>
      </c>
      <c r="F1860" s="83" t="b">
        <f t="shared" si="20"/>
        <v>1</v>
      </c>
      <c r="G1860" s="83" t="s">
        <v>2287</v>
      </c>
      <c r="H1860" s="83"/>
    </row>
    <row r="1861" spans="1:9">
      <c r="A1861" s="83" t="s">
        <v>5860</v>
      </c>
      <c r="B1861" s="83" t="s">
        <v>5820</v>
      </c>
      <c r="C1861" s="83" t="s">
        <v>5860</v>
      </c>
      <c r="D1861" s="83" t="s">
        <v>5875</v>
      </c>
      <c r="E1861" s="84" t="b">
        <f>sch_site_chk31_yes_tax_dec</f>
        <v>1</v>
      </c>
      <c r="F1861" s="83" t="b">
        <f t="shared" si="20"/>
        <v>1</v>
      </c>
      <c r="G1861" s="83" t="s">
        <v>2287</v>
      </c>
      <c r="H1861" s="83"/>
    </row>
    <row r="1862" spans="1:9">
      <c r="A1862" s="83" t="s">
        <v>5861</v>
      </c>
      <c r="B1862" s="83" t="s">
        <v>5820</v>
      </c>
      <c r="C1862" s="83" t="s">
        <v>5861</v>
      </c>
      <c r="D1862" s="83" t="s">
        <v>5876</v>
      </c>
      <c r="E1862" s="84" t="b">
        <f>sch_site_chk31_yes_deed_abso</f>
        <v>0</v>
      </c>
      <c r="F1862" s="83" t="b">
        <f t="shared" si="20"/>
        <v>1</v>
      </c>
      <c r="G1862" s="83" t="s">
        <v>2287</v>
      </c>
      <c r="H1862" s="83"/>
    </row>
    <row r="1863" spans="1:9">
      <c r="A1863" s="83" t="s">
        <v>5862</v>
      </c>
      <c r="B1863" s="83" t="s">
        <v>5820</v>
      </c>
      <c r="C1863" s="83" t="s">
        <v>5862</v>
      </c>
      <c r="D1863" s="83" t="s">
        <v>5877</v>
      </c>
      <c r="E1863" s="84" t="b">
        <f>sch_site_chk31_yes_deed_donation</f>
        <v>0</v>
      </c>
      <c r="F1863" s="83" t="b">
        <f t="shared" si="20"/>
        <v>1</v>
      </c>
      <c r="G1863" s="83" t="s">
        <v>2287</v>
      </c>
      <c r="H1863" s="83"/>
    </row>
    <row r="1864" spans="1:9">
      <c r="A1864" s="83" t="s">
        <v>5863</v>
      </c>
      <c r="B1864" s="83" t="s">
        <v>5820</v>
      </c>
      <c r="C1864" s="83" t="s">
        <v>5863</v>
      </c>
      <c r="D1864" s="83" t="s">
        <v>5878</v>
      </c>
      <c r="E1864" s="84" t="b">
        <f>sch_site_chk31_yes_cert_stew</f>
        <v>0</v>
      </c>
      <c r="F1864" s="83" t="b">
        <f t="shared" si="20"/>
        <v>1</v>
      </c>
      <c r="G1864" s="83" t="s">
        <v>2287</v>
      </c>
      <c r="H1864" s="83"/>
    </row>
    <row r="1865" spans="1:9">
      <c r="A1865" s="83" t="s">
        <v>5864</v>
      </c>
      <c r="B1865" s="83" t="s">
        <v>5820</v>
      </c>
      <c r="C1865" s="83" t="s">
        <v>5864</v>
      </c>
      <c r="D1865" s="83" t="s">
        <v>5879</v>
      </c>
      <c r="E1865" s="84" t="b">
        <f>sch_site_chk31_yes_slup</f>
        <v>0</v>
      </c>
      <c r="F1865" s="83" t="b">
        <f t="shared" si="20"/>
        <v>1</v>
      </c>
      <c r="G1865" s="83" t="s">
        <v>2287</v>
      </c>
      <c r="H1865" s="83"/>
    </row>
    <row r="1866" spans="1:9">
      <c r="A1866" s="83" t="s">
        <v>5865</v>
      </c>
      <c r="B1866" s="83" t="s">
        <v>5820</v>
      </c>
      <c r="C1866" s="83" t="s">
        <v>5865</v>
      </c>
      <c r="D1866" s="83" t="s">
        <v>5880</v>
      </c>
      <c r="E1866" s="84" t="b">
        <f>sch_site_chk31_yes_usufruct</f>
        <v>0</v>
      </c>
      <c r="F1866" s="83" t="b">
        <f t="shared" si="20"/>
        <v>1</v>
      </c>
      <c r="G1866" s="83" t="s">
        <v>2287</v>
      </c>
      <c r="H1866" s="83"/>
    </row>
    <row r="1867" spans="1:9">
      <c r="A1867" s="83" t="s">
        <v>5866</v>
      </c>
      <c r="B1867" s="83" t="s">
        <v>5820</v>
      </c>
      <c r="C1867" s="83" t="s">
        <v>5866</v>
      </c>
      <c r="D1867" s="83" t="s">
        <v>5881</v>
      </c>
      <c r="E1867" s="84" t="b">
        <f>sch_site_chk31_yes_moa</f>
        <v>0</v>
      </c>
      <c r="F1867" s="83" t="b">
        <f t="shared" si="20"/>
        <v>1</v>
      </c>
      <c r="G1867" s="83" t="s">
        <v>2287</v>
      </c>
      <c r="H1867" s="83"/>
    </row>
    <row r="1868" spans="1:9">
      <c r="A1868" s="83" t="s">
        <v>5867</v>
      </c>
      <c r="B1868" s="83" t="s">
        <v>5820</v>
      </c>
      <c r="C1868" s="83" t="s">
        <v>5867</v>
      </c>
      <c r="D1868" s="83" t="s">
        <v>5882</v>
      </c>
      <c r="E1868" s="84" t="b">
        <f>sch_site_chk31_yes_lease</f>
        <v>0</v>
      </c>
      <c r="F1868" s="83" t="b">
        <f t="shared" si="20"/>
        <v>1</v>
      </c>
      <c r="G1868" s="83" t="s">
        <v>2287</v>
      </c>
      <c r="H1868" s="83"/>
    </row>
    <row r="1869" spans="1:9">
      <c r="A1869" s="83" t="s">
        <v>5869</v>
      </c>
      <c r="B1869" s="83" t="s">
        <v>5820</v>
      </c>
      <c r="C1869" s="83" t="s">
        <v>5869</v>
      </c>
      <c r="D1869" s="83" t="s">
        <v>5883</v>
      </c>
      <c r="E1869" s="84" t="b">
        <f>sch_site_chk31_yes_sflag</f>
        <v>0</v>
      </c>
      <c r="F1869" s="83" t="b">
        <f t="shared" si="20"/>
        <v>1</v>
      </c>
      <c r="G1869" s="83" t="s">
        <v>2287</v>
      </c>
      <c r="H1869" s="83"/>
      <c r="I1869" s="110" t="s">
        <v>11532</v>
      </c>
    </row>
    <row r="1870" spans="1:9">
      <c r="A1870" s="83" t="s">
        <v>5868</v>
      </c>
      <c r="B1870" s="83" t="s">
        <v>5820</v>
      </c>
      <c r="C1870" s="83" t="s">
        <v>5868</v>
      </c>
      <c r="D1870" s="83" t="s">
        <v>5884</v>
      </c>
      <c r="E1870" s="84" t="b">
        <f>sch_site_chk31_yes_others</f>
        <v>0</v>
      </c>
      <c r="F1870" s="83" t="b">
        <f t="shared" si="20"/>
        <v>1</v>
      </c>
      <c r="G1870" s="83" t="s">
        <v>2287</v>
      </c>
      <c r="H1870" s="83"/>
    </row>
    <row r="1871" spans="1:9">
      <c r="A1871" s="83" t="s">
        <v>5885</v>
      </c>
      <c r="B1871" s="83" t="s">
        <v>5820</v>
      </c>
      <c r="C1871" s="83" t="s">
        <v>5885</v>
      </c>
      <c r="D1871" s="83" t="s">
        <v>5886</v>
      </c>
      <c r="E1871" s="84">
        <f>sch_site_31_specify</f>
        <v>0</v>
      </c>
      <c r="F1871" s="83" t="b">
        <v>1</v>
      </c>
      <c r="G1871" s="83"/>
      <c r="H1871" s="83"/>
    </row>
    <row r="1872" spans="1:9">
      <c r="A1872" s="83" t="s">
        <v>5887</v>
      </c>
      <c r="B1872" s="83" t="s">
        <v>5820</v>
      </c>
      <c r="C1872" s="83" t="s">
        <v>5887</v>
      </c>
      <c r="D1872" s="83" t="s">
        <v>5888</v>
      </c>
      <c r="E1872" s="117">
        <f>sch_site_32_land_area</f>
        <v>20025</v>
      </c>
      <c r="F1872" s="83" t="b">
        <v>1</v>
      </c>
      <c r="G1872" s="83"/>
      <c r="H1872" s="83"/>
    </row>
    <row r="1873" spans="1:8">
      <c r="A1873" s="83" t="s">
        <v>5889</v>
      </c>
      <c r="B1873" s="83" t="s">
        <v>5820</v>
      </c>
      <c r="C1873" s="83" t="s">
        <v>5889</v>
      </c>
      <c r="D1873" s="83" t="s">
        <v>5910</v>
      </c>
      <c r="E1873" s="84" t="b">
        <f>sch_site_chk33_mode_donation</f>
        <v>0</v>
      </c>
      <c r="F1873" s="83" t="b">
        <f t="shared" ref="F1873" si="21">OR(E1873=TRUE, E1873=FALSE)</f>
        <v>1</v>
      </c>
      <c r="G1873" s="83" t="s">
        <v>2287</v>
      </c>
      <c r="H1873" s="83"/>
    </row>
    <row r="1874" spans="1:8">
      <c r="A1874" s="83" t="s">
        <v>5890</v>
      </c>
      <c r="B1874" s="83" t="s">
        <v>5820</v>
      </c>
      <c r="C1874" s="83" t="s">
        <v>5890</v>
      </c>
      <c r="D1874" s="83" t="s">
        <v>5911</v>
      </c>
      <c r="E1874" s="84">
        <f>sch_site_33_modeyr_donation</f>
        <v>0</v>
      </c>
      <c r="F1874" s="83" t="b">
        <v>1</v>
      </c>
      <c r="G1874" s="83"/>
      <c r="H1874" s="83"/>
    </row>
    <row r="1875" spans="1:8">
      <c r="A1875" s="83" t="s">
        <v>5891</v>
      </c>
      <c r="B1875" s="83" t="s">
        <v>5820</v>
      </c>
      <c r="C1875" s="83" t="s">
        <v>5891</v>
      </c>
      <c r="D1875" s="83" t="s">
        <v>5912</v>
      </c>
      <c r="E1875" s="84" t="b">
        <f>sch_site_chk33_mode_purchase</f>
        <v>0</v>
      </c>
      <c r="F1875" s="83" t="b">
        <f t="shared" ref="F1875" si="22">OR(E1875=TRUE, E1875=FALSE)</f>
        <v>1</v>
      </c>
      <c r="G1875" s="83" t="s">
        <v>2287</v>
      </c>
      <c r="H1875" s="83"/>
    </row>
    <row r="1876" spans="1:8">
      <c r="A1876" s="83" t="s">
        <v>5892</v>
      </c>
      <c r="B1876" s="83" t="s">
        <v>5820</v>
      </c>
      <c r="C1876" s="83" t="s">
        <v>5892</v>
      </c>
      <c r="D1876" s="83" t="s">
        <v>5913</v>
      </c>
      <c r="E1876" s="84">
        <f>sch_site_33_modeyr_purchase</f>
        <v>0</v>
      </c>
      <c r="F1876" s="83" t="b">
        <v>1</v>
      </c>
      <c r="G1876" s="83"/>
      <c r="H1876" s="83"/>
    </row>
    <row r="1877" spans="1:8">
      <c r="A1877" s="83" t="s">
        <v>5893</v>
      </c>
      <c r="B1877" s="83" t="s">
        <v>5820</v>
      </c>
      <c r="C1877" s="83" t="s">
        <v>5893</v>
      </c>
      <c r="D1877" s="83" t="s">
        <v>5914</v>
      </c>
      <c r="E1877" s="84" t="b">
        <f>sch_site_chk33_mode_usufruct_agree</f>
        <v>0</v>
      </c>
      <c r="F1877" s="83" t="b">
        <f t="shared" ref="F1877" si="23">OR(E1877=TRUE, E1877=FALSE)</f>
        <v>1</v>
      </c>
      <c r="G1877" s="83" t="s">
        <v>2287</v>
      </c>
      <c r="H1877" s="83"/>
    </row>
    <row r="1878" spans="1:8">
      <c r="A1878" s="83" t="s">
        <v>5894</v>
      </c>
      <c r="B1878" s="83" t="s">
        <v>5820</v>
      </c>
      <c r="C1878" s="83" t="s">
        <v>5894</v>
      </c>
      <c r="D1878" s="83" t="s">
        <v>5915</v>
      </c>
      <c r="E1878" s="84">
        <f>sch_site_33_modeyr_usufruct_agree</f>
        <v>0</v>
      </c>
      <c r="F1878" s="83" t="b">
        <v>1</v>
      </c>
      <c r="G1878" s="83"/>
      <c r="H1878" s="83"/>
    </row>
    <row r="1879" spans="1:8">
      <c r="A1879" s="83" t="s">
        <v>5895</v>
      </c>
      <c r="B1879" s="83" t="s">
        <v>5820</v>
      </c>
      <c r="C1879" s="83" t="s">
        <v>5895</v>
      </c>
      <c r="D1879" s="83" t="s">
        <v>5916</v>
      </c>
      <c r="E1879" s="84" t="b">
        <f>sch_site_chk33_mode_expropriation</f>
        <v>0</v>
      </c>
      <c r="F1879" s="83" t="b">
        <f t="shared" ref="F1879" si="24">OR(E1879=TRUE, E1879=FALSE)</f>
        <v>1</v>
      </c>
      <c r="G1879" s="83" t="s">
        <v>2287</v>
      </c>
      <c r="H1879" s="83"/>
    </row>
    <row r="1880" spans="1:8">
      <c r="A1880" s="83" t="s">
        <v>5896</v>
      </c>
      <c r="B1880" s="83" t="s">
        <v>5820</v>
      </c>
      <c r="C1880" s="83" t="s">
        <v>5896</v>
      </c>
      <c r="D1880" s="83" t="s">
        <v>5917</v>
      </c>
      <c r="E1880" s="84">
        <f>sch_site_33_modeyr_expropriation</f>
        <v>0</v>
      </c>
      <c r="F1880" s="83" t="b">
        <v>1</v>
      </c>
      <c r="G1880" s="83"/>
      <c r="H1880" s="83"/>
    </row>
    <row r="1881" spans="1:8">
      <c r="A1881" s="83" t="s">
        <v>5897</v>
      </c>
      <c r="B1881" s="83" t="s">
        <v>5820</v>
      </c>
      <c r="C1881" s="83" t="s">
        <v>5897</v>
      </c>
      <c r="D1881" s="83" t="s">
        <v>5918</v>
      </c>
      <c r="E1881" s="84" t="b">
        <f>sch_site_chk33_mode_exchange_swapping</f>
        <v>0</v>
      </c>
      <c r="F1881" s="83" t="b">
        <f t="shared" ref="F1881" si="25">OR(E1881=TRUE, E1881=FALSE)</f>
        <v>1</v>
      </c>
      <c r="G1881" s="83" t="s">
        <v>2287</v>
      </c>
      <c r="H1881" s="83"/>
    </row>
    <row r="1882" spans="1:8">
      <c r="A1882" s="83" t="s">
        <v>5898</v>
      </c>
      <c r="B1882" s="83" t="s">
        <v>5820</v>
      </c>
      <c r="C1882" s="83" t="s">
        <v>5898</v>
      </c>
      <c r="D1882" s="83" t="s">
        <v>5919</v>
      </c>
      <c r="E1882" s="84">
        <f>sch_site_33_modeyr_exchange_swapping</f>
        <v>0</v>
      </c>
      <c r="F1882" s="83" t="b">
        <v>1</v>
      </c>
      <c r="G1882" s="83"/>
      <c r="H1882" s="83"/>
    </row>
    <row r="1883" spans="1:8">
      <c r="A1883" s="83" t="s">
        <v>5899</v>
      </c>
      <c r="B1883" s="83" t="s">
        <v>5820</v>
      </c>
      <c r="C1883" s="83" t="s">
        <v>5899</v>
      </c>
      <c r="D1883" s="83" t="s">
        <v>5920</v>
      </c>
      <c r="E1883" s="84" t="b">
        <f>sch_site_chk33_mode_pres_proc</f>
        <v>0</v>
      </c>
      <c r="F1883" s="83" t="b">
        <f t="shared" ref="F1883" si="26">OR(E1883=TRUE, E1883=FALSE)</f>
        <v>1</v>
      </c>
      <c r="G1883" s="83" t="s">
        <v>2287</v>
      </c>
      <c r="H1883" s="83"/>
    </row>
    <row r="1884" spans="1:8">
      <c r="A1884" s="83" t="s">
        <v>5900</v>
      </c>
      <c r="B1884" s="83" t="s">
        <v>5820</v>
      </c>
      <c r="C1884" s="83" t="s">
        <v>5900</v>
      </c>
      <c r="D1884" s="83" t="s">
        <v>5921</v>
      </c>
      <c r="E1884" s="84">
        <f>sch_site_33_modeyr_pres_proc</f>
        <v>0</v>
      </c>
      <c r="F1884" s="83" t="b">
        <v>1</v>
      </c>
      <c r="G1884" s="83"/>
      <c r="H1884" s="83"/>
    </row>
    <row r="1885" spans="1:8">
      <c r="A1885" s="83" t="s">
        <v>5901</v>
      </c>
      <c r="B1885" s="83" t="s">
        <v>5820</v>
      </c>
      <c r="C1885" s="83" t="s">
        <v>5901</v>
      </c>
      <c r="D1885" s="83" t="s">
        <v>5922</v>
      </c>
      <c r="E1885" s="84" t="b">
        <f>sch_site_chk33_mode_spl_patent</f>
        <v>0</v>
      </c>
      <c r="F1885" s="83" t="b">
        <f t="shared" ref="F1885" si="27">OR(E1885=TRUE, E1885=FALSE)</f>
        <v>1</v>
      </c>
      <c r="G1885" s="83" t="s">
        <v>2287</v>
      </c>
      <c r="H1885" s="83"/>
    </row>
    <row r="1886" spans="1:8">
      <c r="A1886" s="83" t="s">
        <v>5902</v>
      </c>
      <c r="B1886" s="83" t="s">
        <v>5820</v>
      </c>
      <c r="C1886" s="83" t="s">
        <v>5902</v>
      </c>
      <c r="D1886" s="83" t="s">
        <v>5923</v>
      </c>
      <c r="E1886" s="84">
        <f>sch_site_33_modeyr_spl_patent</f>
        <v>0</v>
      </c>
      <c r="F1886" s="83" t="b">
        <v>1</v>
      </c>
      <c r="G1886" s="83"/>
      <c r="H1886" s="83"/>
    </row>
    <row r="1887" spans="1:8">
      <c r="A1887" s="83" t="s">
        <v>5903</v>
      </c>
      <c r="B1887" s="83" t="s">
        <v>5820</v>
      </c>
      <c r="C1887" s="83" t="s">
        <v>5903</v>
      </c>
      <c r="D1887" s="83" t="s">
        <v>5924</v>
      </c>
      <c r="E1887" s="84" t="b">
        <f>sch_site_chk33_mode_cloa</f>
        <v>0</v>
      </c>
      <c r="F1887" s="83" t="b">
        <f t="shared" ref="F1887" si="28">OR(E1887=TRUE, E1887=FALSE)</f>
        <v>1</v>
      </c>
      <c r="G1887" s="83" t="s">
        <v>2287</v>
      </c>
      <c r="H1887" s="83"/>
    </row>
    <row r="1888" spans="1:8">
      <c r="A1888" s="83" t="s">
        <v>5904</v>
      </c>
      <c r="B1888" s="83" t="s">
        <v>5820</v>
      </c>
      <c r="C1888" s="83" t="s">
        <v>5904</v>
      </c>
      <c r="D1888" s="83" t="s">
        <v>5925</v>
      </c>
      <c r="E1888" s="84">
        <f>sch_site_33_modeyr_cloa</f>
        <v>0</v>
      </c>
      <c r="F1888" s="83" t="b">
        <v>1</v>
      </c>
      <c r="G1888" s="83"/>
      <c r="H1888" s="83"/>
    </row>
    <row r="1889" spans="1:8">
      <c r="A1889" s="83" t="s">
        <v>5905</v>
      </c>
      <c r="B1889" s="83" t="s">
        <v>5820</v>
      </c>
      <c r="C1889" s="83" t="s">
        <v>5905</v>
      </c>
      <c r="D1889" s="83" t="s">
        <v>5926</v>
      </c>
      <c r="E1889" s="84" t="b">
        <f>sch_site_chk33_mode_slup</f>
        <v>0</v>
      </c>
      <c r="F1889" s="83" t="b">
        <f t="shared" ref="F1889" si="29">OR(E1889=TRUE, E1889=FALSE)</f>
        <v>1</v>
      </c>
      <c r="G1889" s="83" t="s">
        <v>2287</v>
      </c>
      <c r="H1889" s="83"/>
    </row>
    <row r="1890" spans="1:8">
      <c r="A1890" s="83" t="s">
        <v>5906</v>
      </c>
      <c r="B1890" s="83" t="s">
        <v>5820</v>
      </c>
      <c r="C1890" s="83" t="s">
        <v>5906</v>
      </c>
      <c r="D1890" s="83" t="s">
        <v>5927</v>
      </c>
      <c r="E1890" s="84">
        <f>sch_site_33_modeyr_slup</f>
        <v>0</v>
      </c>
      <c r="F1890" s="83" t="b">
        <v>1</v>
      </c>
      <c r="G1890" s="83"/>
      <c r="H1890" s="83"/>
    </row>
    <row r="1891" spans="1:8">
      <c r="A1891" s="83" t="s">
        <v>5907</v>
      </c>
      <c r="B1891" s="83" t="s">
        <v>5820</v>
      </c>
      <c r="C1891" s="83" t="s">
        <v>5907</v>
      </c>
      <c r="D1891" s="83" t="s">
        <v>5928</v>
      </c>
      <c r="E1891" s="84" t="b">
        <f>sch_site_chk33_mode_others</f>
        <v>0</v>
      </c>
      <c r="F1891" s="83" t="b">
        <f t="shared" ref="F1891" si="30">OR(E1891=TRUE, E1891=FALSE)</f>
        <v>1</v>
      </c>
      <c r="G1891" s="83" t="s">
        <v>2287</v>
      </c>
      <c r="H1891" s="83"/>
    </row>
    <row r="1892" spans="1:8">
      <c r="A1892" s="83" t="s">
        <v>5908</v>
      </c>
      <c r="B1892" s="83" t="s">
        <v>5820</v>
      </c>
      <c r="C1892" s="83" t="s">
        <v>5908</v>
      </c>
      <c r="D1892" s="83" t="s">
        <v>5929</v>
      </c>
      <c r="E1892" s="84">
        <f>sch_site_33_mode_specify</f>
        <v>0</v>
      </c>
      <c r="F1892" s="83" t="b">
        <v>1</v>
      </c>
      <c r="G1892" s="83"/>
      <c r="H1892" s="83"/>
    </row>
    <row r="1893" spans="1:8">
      <c r="A1893" s="83" t="s">
        <v>5909</v>
      </c>
      <c r="B1893" s="83" t="s">
        <v>5820</v>
      </c>
      <c r="C1893" s="83" t="s">
        <v>5909</v>
      </c>
      <c r="D1893" s="83" t="s">
        <v>5930</v>
      </c>
      <c r="E1893" s="84">
        <f>sch_site_33_modeyr_others</f>
        <v>0</v>
      </c>
      <c r="F1893" s="83" t="b">
        <v>1</v>
      </c>
      <c r="G1893" s="83"/>
      <c r="H1893" s="83"/>
    </row>
    <row r="1894" spans="1:8">
      <c r="A1894" s="83" t="s">
        <v>5931</v>
      </c>
      <c r="B1894" s="83" t="s">
        <v>5820</v>
      </c>
      <c r="C1894" s="83" t="s">
        <v>5931</v>
      </c>
      <c r="D1894" s="83" t="s">
        <v>5942</v>
      </c>
      <c r="E1894" s="84" t="b">
        <f>sch_site_chk40w_ancesdom_usuyes</f>
        <v>0</v>
      </c>
      <c r="F1894" s="83" t="b">
        <f t="shared" ref="F1894:F1901" si="31">OR(E1894=TRUE, E1894=FALSE)</f>
        <v>1</v>
      </c>
      <c r="G1894" s="83" t="s">
        <v>2287</v>
      </c>
      <c r="H1894" s="83"/>
    </row>
    <row r="1895" spans="1:8">
      <c r="A1895" s="83" t="s">
        <v>5932</v>
      </c>
      <c r="B1895" s="83" t="s">
        <v>5820</v>
      </c>
      <c r="C1895" s="83" t="s">
        <v>5932</v>
      </c>
      <c r="D1895" s="83" t="s">
        <v>5943</v>
      </c>
      <c r="E1895" s="84" t="b">
        <f>sch_site_chk40w_ancesdom_cadtyes</f>
        <v>0</v>
      </c>
      <c r="F1895" s="83" t="b">
        <f t="shared" si="31"/>
        <v>1</v>
      </c>
      <c r="G1895" s="83" t="s">
        <v>2287</v>
      </c>
      <c r="H1895" s="83"/>
    </row>
    <row r="1896" spans="1:8">
      <c r="A1896" s="83" t="s">
        <v>5933</v>
      </c>
      <c r="B1896" s="83" t="s">
        <v>5820</v>
      </c>
      <c r="C1896" s="83" t="s">
        <v>5933</v>
      </c>
      <c r="D1896" s="83" t="s">
        <v>5944</v>
      </c>
      <c r="E1896" s="84" t="b">
        <f>sch_site_chk50w_ancesland_usuyes</f>
        <v>0</v>
      </c>
      <c r="F1896" s="83" t="b">
        <f t="shared" si="31"/>
        <v>1</v>
      </c>
      <c r="G1896" s="83" t="s">
        <v>2287</v>
      </c>
      <c r="H1896" s="83"/>
    </row>
    <row r="1897" spans="1:8">
      <c r="A1897" s="83" t="s">
        <v>5934</v>
      </c>
      <c r="B1897" s="83" t="s">
        <v>5820</v>
      </c>
      <c r="C1897" s="83" t="s">
        <v>5934</v>
      </c>
      <c r="D1897" s="83" t="s">
        <v>5945</v>
      </c>
      <c r="E1897" s="84" t="b">
        <f>sch_site_chk50w_ancesland_caltyes</f>
        <v>0</v>
      </c>
      <c r="F1897" s="83" t="b">
        <f t="shared" si="31"/>
        <v>1</v>
      </c>
      <c r="G1897" s="83" t="s">
        <v>2287</v>
      </c>
      <c r="H1897" s="83"/>
    </row>
    <row r="1898" spans="1:8">
      <c r="A1898" s="83" t="s">
        <v>5935</v>
      </c>
      <c r="B1898" s="83" t="s">
        <v>5820</v>
      </c>
      <c r="C1898" s="83" t="s">
        <v>5935</v>
      </c>
      <c r="D1898" s="83" t="s">
        <v>5946</v>
      </c>
      <c r="E1898" s="84" t="b">
        <f>sch_site_chk60_leg_own_adverseclaim</f>
        <v>0</v>
      </c>
      <c r="F1898" s="83" t="b">
        <f t="shared" si="31"/>
        <v>1</v>
      </c>
      <c r="G1898" s="83" t="s">
        <v>2287</v>
      </c>
      <c r="H1898" s="83"/>
    </row>
    <row r="1899" spans="1:8">
      <c r="A1899" s="83" t="s">
        <v>5936</v>
      </c>
      <c r="B1899" s="83" t="s">
        <v>5820</v>
      </c>
      <c r="C1899" s="83" t="s">
        <v>5936</v>
      </c>
      <c r="D1899" s="83" t="s">
        <v>5947</v>
      </c>
      <c r="E1899" s="84" t="b">
        <f>sch_site_chk60_leg_own_encroach</f>
        <v>0</v>
      </c>
      <c r="F1899" s="83" t="b">
        <f t="shared" si="31"/>
        <v>1</v>
      </c>
      <c r="G1899" s="83" t="s">
        <v>2287</v>
      </c>
      <c r="H1899" s="83"/>
    </row>
    <row r="1900" spans="1:8">
      <c r="A1900" s="83" t="s">
        <v>5937</v>
      </c>
      <c r="B1900" s="83" t="s">
        <v>5820</v>
      </c>
      <c r="C1900" s="83" t="s">
        <v>5937</v>
      </c>
      <c r="D1900" s="83" t="s">
        <v>5948</v>
      </c>
      <c r="E1900" s="84" t="b">
        <f>sch_site_chk60_leg_own_willegalsetler</f>
        <v>0</v>
      </c>
      <c r="F1900" s="83" t="b">
        <f t="shared" si="31"/>
        <v>1</v>
      </c>
      <c r="G1900" s="83" t="s">
        <v>2287</v>
      </c>
      <c r="H1900" s="83"/>
    </row>
    <row r="1901" spans="1:8">
      <c r="A1901" s="83" t="s">
        <v>5938</v>
      </c>
      <c r="B1901" s="83" t="s">
        <v>5820</v>
      </c>
      <c r="C1901" s="83" t="s">
        <v>5938</v>
      </c>
      <c r="D1901" s="83" t="s">
        <v>5949</v>
      </c>
      <c r="E1901" s="84" t="b">
        <f>sch_site_chk60_leg_own_others</f>
        <v>1</v>
      </c>
      <c r="F1901" s="83" t="b">
        <f t="shared" si="31"/>
        <v>1</v>
      </c>
      <c r="G1901" s="83" t="s">
        <v>2287</v>
      </c>
      <c r="H1901" s="83"/>
    </row>
    <row r="1902" spans="1:8">
      <c r="A1902" s="83" t="s">
        <v>5939</v>
      </c>
      <c r="B1902" s="83" t="s">
        <v>5820</v>
      </c>
      <c r="C1902" s="83" t="s">
        <v>5939</v>
      </c>
      <c r="D1902" s="83" t="s">
        <v>5950</v>
      </c>
      <c r="E1902" s="84" t="str">
        <f>sch_site_60_leg_own_specify</f>
        <v>none</v>
      </c>
      <c r="F1902" s="83" t="b">
        <v>1</v>
      </c>
      <c r="G1902" s="83"/>
      <c r="H1902" s="83"/>
    </row>
    <row r="1903" spans="1:8">
      <c r="A1903" s="83" t="s">
        <v>5940</v>
      </c>
      <c r="B1903" s="83" t="s">
        <v>5820</v>
      </c>
      <c r="C1903" s="83" t="s">
        <v>5940</v>
      </c>
      <c r="D1903" s="83" t="s">
        <v>5951</v>
      </c>
      <c r="E1903" s="84" t="b">
        <f>sch_site_chk70_schsite_protec_area</f>
        <v>0</v>
      </c>
      <c r="F1903" s="83" t="b">
        <f t="shared" ref="F1903:F1904" si="32">OR(E1903=TRUE, E1903=FALSE)</f>
        <v>1</v>
      </c>
      <c r="G1903" s="83" t="s">
        <v>2287</v>
      </c>
      <c r="H1903" s="83"/>
    </row>
    <row r="1904" spans="1:8" s="112" customFormat="1" ht="16" thickBot="1">
      <c r="A1904" s="85" t="s">
        <v>5941</v>
      </c>
      <c r="B1904" s="85" t="s">
        <v>5820</v>
      </c>
      <c r="C1904" s="85" t="s">
        <v>5941</v>
      </c>
      <c r="D1904" s="85" t="s">
        <v>5952</v>
      </c>
      <c r="E1904" s="86" t="b">
        <f>sch_site_chk70_schsite_timber_forest</f>
        <v>0</v>
      </c>
      <c r="F1904" s="85" t="b">
        <f t="shared" si="32"/>
        <v>1</v>
      </c>
      <c r="G1904" s="85" t="s">
        <v>2287</v>
      </c>
      <c r="H1904" s="85"/>
    </row>
    <row r="1905" spans="1:8">
      <c r="A1905" s="83" t="s">
        <v>5953</v>
      </c>
      <c r="B1905" s="83" t="s">
        <v>5954</v>
      </c>
      <c r="C1905" s="83" t="s">
        <v>5953</v>
      </c>
      <c r="D1905" s="83" t="s">
        <v>5963</v>
      </c>
      <c r="E1905" s="84" t="b">
        <f>sch_loc_althighway</f>
        <v>0</v>
      </c>
      <c r="F1905" s="83" t="b">
        <f t="shared" ref="F1905:F1912" si="33">OR(E1905=TRUE, E1905=FALSE)</f>
        <v>1</v>
      </c>
      <c r="G1905" s="83" t="s">
        <v>2287</v>
      </c>
      <c r="H1905" s="83"/>
    </row>
    <row r="1906" spans="1:8">
      <c r="A1906" s="83" t="s">
        <v>5955</v>
      </c>
      <c r="B1906" s="83" t="s">
        <v>5954</v>
      </c>
      <c r="C1906" s="83" t="s">
        <v>5955</v>
      </c>
      <c r="D1906" s="83" t="s">
        <v>5964</v>
      </c>
      <c r="E1906" s="84" t="b">
        <f>sch_loc_bythillside</f>
        <v>0</v>
      </c>
      <c r="F1906" s="83" t="b">
        <f t="shared" si="33"/>
        <v>1</v>
      </c>
      <c r="G1906" s="83" t="s">
        <v>2287</v>
      </c>
      <c r="H1906" s="83"/>
    </row>
    <row r="1907" spans="1:8">
      <c r="A1907" s="83" t="s">
        <v>5956</v>
      </c>
      <c r="B1907" s="83" t="s">
        <v>5954</v>
      </c>
      <c r="C1907" s="83" t="s">
        <v>5956</v>
      </c>
      <c r="D1907" s="83" t="s">
        <v>5965</v>
      </c>
      <c r="E1907" s="84" t="b">
        <f>sch_loc_ontopmount</f>
        <v>0</v>
      </c>
      <c r="F1907" s="83" t="b">
        <f>OR(E1907=TRUE, E1907=FALSE)</f>
        <v>1</v>
      </c>
      <c r="G1907" s="83" t="s">
        <v>2287</v>
      </c>
      <c r="H1907" s="83"/>
    </row>
    <row r="1908" spans="1:8">
      <c r="A1908" s="83" t="s">
        <v>5957</v>
      </c>
      <c r="B1908" s="83" t="s">
        <v>5954</v>
      </c>
      <c r="C1908" s="83" t="s">
        <v>5957</v>
      </c>
      <c r="D1908" s="83" t="s">
        <v>5966</v>
      </c>
      <c r="E1908" s="84" t="b">
        <f>sch_loc_onsmllisland</f>
        <v>0</v>
      </c>
      <c r="F1908" s="83" t="b">
        <f t="shared" si="33"/>
        <v>1</v>
      </c>
      <c r="G1908" s="83" t="s">
        <v>2287</v>
      </c>
      <c r="H1908" s="83"/>
    </row>
    <row r="1909" spans="1:8">
      <c r="A1909" s="83" t="s">
        <v>5958</v>
      </c>
      <c r="B1909" s="83" t="s">
        <v>5954</v>
      </c>
      <c r="C1909" s="83" t="s">
        <v>5958</v>
      </c>
      <c r="D1909" s="83" t="s">
        <v>5967</v>
      </c>
      <c r="E1909" s="84" t="b">
        <f>sch_loc_nearcoast</f>
        <v>1</v>
      </c>
      <c r="F1909" s="83" t="b">
        <f t="shared" si="33"/>
        <v>1</v>
      </c>
      <c r="G1909" s="83" t="s">
        <v>2287</v>
      </c>
      <c r="H1909" s="83"/>
    </row>
    <row r="1910" spans="1:8">
      <c r="A1910" s="83" t="s">
        <v>5959</v>
      </c>
      <c r="B1910" s="83" t="s">
        <v>5954</v>
      </c>
      <c r="C1910" s="83" t="s">
        <v>5959</v>
      </c>
      <c r="D1910" s="83" t="s">
        <v>5968</v>
      </c>
      <c r="E1910" s="84" t="b">
        <f>sch_loc_nearriverwway</f>
        <v>0</v>
      </c>
      <c r="F1910" s="83" t="b">
        <f t="shared" si="33"/>
        <v>1</v>
      </c>
      <c r="G1910" s="83" t="s">
        <v>2287</v>
      </c>
      <c r="H1910" s="83"/>
    </row>
    <row r="1911" spans="1:8">
      <c r="A1911" s="83" t="s">
        <v>5960</v>
      </c>
      <c r="B1911" s="83" t="s">
        <v>5954</v>
      </c>
      <c r="C1911" s="83" t="s">
        <v>5960</v>
      </c>
      <c r="D1911" s="83" t="s">
        <v>5969</v>
      </c>
      <c r="E1911" s="84" t="b">
        <f>sch_loc_nearfaultl</f>
        <v>0</v>
      </c>
      <c r="F1911" s="83" t="b">
        <f t="shared" si="33"/>
        <v>1</v>
      </c>
      <c r="G1911" s="83" t="s">
        <v>2287</v>
      </c>
      <c r="H1911" s="83"/>
    </row>
    <row r="1912" spans="1:8">
      <c r="A1912" s="83" t="s">
        <v>5961</v>
      </c>
      <c r="B1912" s="83" t="s">
        <v>5954</v>
      </c>
      <c r="C1912" s="83" t="s">
        <v>5961</v>
      </c>
      <c r="D1912" s="83" t="s">
        <v>5970</v>
      </c>
      <c r="E1912" s="84" t="b">
        <f>sch_loc_otherspec</f>
        <v>0</v>
      </c>
      <c r="F1912" s="83" t="b">
        <f t="shared" si="33"/>
        <v>1</v>
      </c>
      <c r="G1912" s="83" t="s">
        <v>2287</v>
      </c>
      <c r="H1912" s="83"/>
    </row>
    <row r="1913" spans="1:8" s="112" customFormat="1" ht="16" thickBot="1">
      <c r="A1913" s="85" t="s">
        <v>5962</v>
      </c>
      <c r="B1913" s="85" t="s">
        <v>5954</v>
      </c>
      <c r="C1913" s="85" t="s">
        <v>5962</v>
      </c>
      <c r="D1913" s="85" t="s">
        <v>5971</v>
      </c>
      <c r="E1913" s="86">
        <f>sch_loc_specify</f>
        <v>0</v>
      </c>
      <c r="F1913" s="85" t="b">
        <v>1</v>
      </c>
      <c r="G1913" s="85"/>
      <c r="H1913" s="85"/>
    </row>
    <row r="1914" spans="1:8">
      <c r="A1914" s="83" t="s">
        <v>5972</v>
      </c>
      <c r="B1914" s="83" t="s">
        <v>5973</v>
      </c>
      <c r="C1914" s="83" t="s">
        <v>5972</v>
      </c>
      <c r="D1914" s="83" t="s">
        <v>5978</v>
      </c>
      <c r="E1914" s="84">
        <f>sch_health_vacc_mcv_g1_m</f>
        <v>0</v>
      </c>
      <c r="F1914" s="83" t="b">
        <v>1</v>
      </c>
      <c r="G1914" s="83"/>
      <c r="H1914" s="83"/>
    </row>
    <row r="1915" spans="1:8">
      <c r="A1915" s="83" t="s">
        <v>5974</v>
      </c>
      <c r="B1915" s="83" t="s">
        <v>5973</v>
      </c>
      <c r="C1915" s="83" t="s">
        <v>5974</v>
      </c>
      <c r="D1915" s="83" t="s">
        <v>5979</v>
      </c>
      <c r="E1915" s="84">
        <f>sch_health_vacc_mcv_g1_f</f>
        <v>0</v>
      </c>
      <c r="F1915" s="83" t="b">
        <v>1</v>
      </c>
      <c r="G1915" s="83"/>
      <c r="H1915" s="83"/>
    </row>
    <row r="1916" spans="1:8">
      <c r="A1916" s="83" t="s">
        <v>5975</v>
      </c>
      <c r="B1916" s="83" t="s">
        <v>5973</v>
      </c>
      <c r="C1916" s="83" t="s">
        <v>5975</v>
      </c>
      <c r="D1916" s="83" t="s">
        <v>5980</v>
      </c>
      <c r="E1916" s="84">
        <f>sch_health_vacc_td_g1_m</f>
        <v>0</v>
      </c>
      <c r="F1916" s="83" t="b">
        <v>1</v>
      </c>
      <c r="G1916" s="83"/>
      <c r="H1916" s="83"/>
    </row>
    <row r="1917" spans="1:8">
      <c r="A1917" s="83" t="s">
        <v>5976</v>
      </c>
      <c r="B1917" s="83" t="s">
        <v>5973</v>
      </c>
      <c r="C1917" s="83" t="s">
        <v>5976</v>
      </c>
      <c r="D1917" s="83" t="s">
        <v>5981</v>
      </c>
      <c r="E1917" s="84">
        <f>sch_health_vacc_td_g1_f</f>
        <v>0</v>
      </c>
      <c r="F1917" s="83" t="b">
        <v>1</v>
      </c>
      <c r="G1917" s="83"/>
      <c r="H1917" s="83"/>
    </row>
    <row r="1918" spans="1:8" s="112" customFormat="1" ht="16" thickBot="1">
      <c r="A1918" s="85" t="s">
        <v>5977</v>
      </c>
      <c r="B1918" s="85" t="s">
        <v>5973</v>
      </c>
      <c r="C1918" s="85" t="s">
        <v>5977</v>
      </c>
      <c r="D1918" s="85" t="s">
        <v>5982</v>
      </c>
      <c r="E1918" s="86">
        <f>sch_health_vacc_hpv_g4_f</f>
        <v>0</v>
      </c>
      <c r="F1918" s="85" t="b">
        <v>1</v>
      </c>
      <c r="G1918" s="85"/>
      <c r="H1918" s="85"/>
    </row>
    <row r="1919" spans="1:8">
      <c r="A1919" s="83" t="s">
        <v>5983</v>
      </c>
      <c r="B1919" s="83" t="s">
        <v>5984</v>
      </c>
      <c r="C1919" s="83" t="s">
        <v>5983</v>
      </c>
      <c r="D1919" s="83" t="s">
        <v>6008</v>
      </c>
      <c r="E1919" s="84">
        <f>sch_health_vs_pass_k_m</f>
        <v>0</v>
      </c>
      <c r="F1919" s="83" t="b">
        <v>1</v>
      </c>
      <c r="G1919" s="83"/>
      <c r="H1919" s="83"/>
    </row>
    <row r="1920" spans="1:8">
      <c r="A1920" s="83" t="s">
        <v>5985</v>
      </c>
      <c r="B1920" s="83" t="s">
        <v>5984</v>
      </c>
      <c r="C1920" s="83" t="s">
        <v>5985</v>
      </c>
      <c r="D1920" s="83" t="s">
        <v>6009</v>
      </c>
      <c r="E1920" s="84">
        <f>sch_health_vs_pass_k_f</f>
        <v>0</v>
      </c>
      <c r="F1920" s="83" t="b">
        <v>1</v>
      </c>
      <c r="G1920" s="83"/>
      <c r="H1920" s="83"/>
    </row>
    <row r="1921" spans="1:8">
      <c r="A1921" s="83" t="s">
        <v>5986</v>
      </c>
      <c r="B1921" s="83" t="s">
        <v>5984</v>
      </c>
      <c r="C1921" s="83" t="s">
        <v>5986</v>
      </c>
      <c r="D1921" s="83" t="s">
        <v>6010</v>
      </c>
      <c r="E1921" s="84">
        <f>sch_health_vs_pass_g1_m</f>
        <v>0</v>
      </c>
      <c r="F1921" s="83" t="b">
        <v>1</v>
      </c>
      <c r="G1921" s="83"/>
      <c r="H1921" s="83"/>
    </row>
    <row r="1922" spans="1:8">
      <c r="A1922" s="83" t="s">
        <v>5987</v>
      </c>
      <c r="B1922" s="83" t="s">
        <v>5984</v>
      </c>
      <c r="C1922" s="83" t="s">
        <v>5987</v>
      </c>
      <c r="D1922" s="83" t="s">
        <v>6011</v>
      </c>
      <c r="E1922" s="84">
        <f>sch_health_vs_pass_g1_f</f>
        <v>0</v>
      </c>
      <c r="F1922" s="83" t="b">
        <v>1</v>
      </c>
      <c r="G1922" s="83"/>
      <c r="H1922" s="83"/>
    </row>
    <row r="1923" spans="1:8">
      <c r="A1923" s="83" t="s">
        <v>5988</v>
      </c>
      <c r="B1923" s="83" t="s">
        <v>5984</v>
      </c>
      <c r="C1923" s="83" t="s">
        <v>5988</v>
      </c>
      <c r="D1923" s="83" t="s">
        <v>6012</v>
      </c>
      <c r="E1923" s="84">
        <f>sch_health_vs_pass_g2_m</f>
        <v>0</v>
      </c>
      <c r="F1923" s="83" t="b">
        <v>1</v>
      </c>
      <c r="G1923" s="83"/>
      <c r="H1923" s="83"/>
    </row>
    <row r="1924" spans="1:8">
      <c r="A1924" s="83" t="s">
        <v>5989</v>
      </c>
      <c r="B1924" s="83" t="s">
        <v>5984</v>
      </c>
      <c r="C1924" s="83" t="s">
        <v>5989</v>
      </c>
      <c r="D1924" s="83" t="s">
        <v>6013</v>
      </c>
      <c r="E1924" s="84">
        <f>sch_health_vs_pass_g2_f</f>
        <v>0</v>
      </c>
      <c r="F1924" s="83" t="b">
        <v>1</v>
      </c>
      <c r="G1924" s="83"/>
      <c r="H1924" s="83"/>
    </row>
    <row r="1925" spans="1:8">
      <c r="A1925" s="83" t="s">
        <v>5990</v>
      </c>
      <c r="B1925" s="83" t="s">
        <v>5984</v>
      </c>
      <c r="C1925" s="83" t="s">
        <v>5990</v>
      </c>
      <c r="D1925" s="83" t="s">
        <v>6014</v>
      </c>
      <c r="E1925" s="84">
        <f>sch_health_vs_pass_g3_m</f>
        <v>0</v>
      </c>
      <c r="F1925" s="83" t="b">
        <v>1</v>
      </c>
      <c r="G1925" s="83"/>
      <c r="H1925" s="83"/>
    </row>
    <row r="1926" spans="1:8">
      <c r="A1926" s="83" t="s">
        <v>5991</v>
      </c>
      <c r="B1926" s="83" t="s">
        <v>5984</v>
      </c>
      <c r="C1926" s="83" t="s">
        <v>5991</v>
      </c>
      <c r="D1926" s="83" t="s">
        <v>6015</v>
      </c>
      <c r="E1926" s="84">
        <f>sch_health_vs_pass_g3_f</f>
        <v>0</v>
      </c>
      <c r="F1926" s="83" t="b">
        <v>1</v>
      </c>
      <c r="G1926" s="83"/>
      <c r="H1926" s="83"/>
    </row>
    <row r="1927" spans="1:8">
      <c r="A1927" s="83" t="s">
        <v>5992</v>
      </c>
      <c r="B1927" s="83" t="s">
        <v>5984</v>
      </c>
      <c r="C1927" s="83" t="s">
        <v>5992</v>
      </c>
      <c r="D1927" s="83" t="s">
        <v>6000</v>
      </c>
      <c r="E1927" s="84">
        <f>sch_health_vs_fail_k_m</f>
        <v>0</v>
      </c>
      <c r="F1927" s="83" t="b">
        <v>1</v>
      </c>
      <c r="G1927" s="83"/>
      <c r="H1927" s="83"/>
    </row>
    <row r="1928" spans="1:8">
      <c r="A1928" s="83" t="s">
        <v>5993</v>
      </c>
      <c r="B1928" s="83" t="s">
        <v>5984</v>
      </c>
      <c r="C1928" s="83" t="s">
        <v>5993</v>
      </c>
      <c r="D1928" s="83" t="s">
        <v>6001</v>
      </c>
      <c r="E1928" s="84">
        <f>sch_health_vs_fail_k_f</f>
        <v>0</v>
      </c>
      <c r="F1928" s="83" t="b">
        <v>1</v>
      </c>
      <c r="G1928" s="83"/>
      <c r="H1928" s="83"/>
    </row>
    <row r="1929" spans="1:8">
      <c r="A1929" s="83" t="s">
        <v>5994</v>
      </c>
      <c r="B1929" s="83" t="s">
        <v>5984</v>
      </c>
      <c r="C1929" s="83" t="s">
        <v>5994</v>
      </c>
      <c r="D1929" s="83" t="s">
        <v>6002</v>
      </c>
      <c r="E1929" s="84">
        <f>sch_health_vs_fail_g1_m</f>
        <v>0</v>
      </c>
      <c r="F1929" s="83" t="b">
        <v>1</v>
      </c>
      <c r="G1929" s="83"/>
      <c r="H1929" s="83"/>
    </row>
    <row r="1930" spans="1:8">
      <c r="A1930" s="83" t="s">
        <v>5995</v>
      </c>
      <c r="B1930" s="83" t="s">
        <v>5984</v>
      </c>
      <c r="C1930" s="83" t="s">
        <v>5995</v>
      </c>
      <c r="D1930" s="83" t="s">
        <v>6003</v>
      </c>
      <c r="E1930" s="84">
        <f>sch_health_vs_fail_g1_f</f>
        <v>0</v>
      </c>
      <c r="F1930" s="83" t="b">
        <v>1</v>
      </c>
      <c r="G1930" s="83"/>
      <c r="H1930" s="83"/>
    </row>
    <row r="1931" spans="1:8">
      <c r="A1931" s="83" t="s">
        <v>5996</v>
      </c>
      <c r="B1931" s="83" t="s">
        <v>5984</v>
      </c>
      <c r="C1931" s="83" t="s">
        <v>5996</v>
      </c>
      <c r="D1931" s="83" t="s">
        <v>6004</v>
      </c>
      <c r="E1931" s="84">
        <f>sch_health_vs_fail_g2_m</f>
        <v>0</v>
      </c>
      <c r="F1931" s="83" t="b">
        <v>1</v>
      </c>
      <c r="G1931" s="83"/>
      <c r="H1931" s="83"/>
    </row>
    <row r="1932" spans="1:8">
      <c r="A1932" s="83" t="s">
        <v>5997</v>
      </c>
      <c r="B1932" s="83" t="s">
        <v>5984</v>
      </c>
      <c r="C1932" s="83" t="s">
        <v>5997</v>
      </c>
      <c r="D1932" s="83" t="s">
        <v>6005</v>
      </c>
      <c r="E1932" s="84">
        <f>sch_health_vs_fail_g2_f</f>
        <v>0</v>
      </c>
      <c r="F1932" s="83" t="b">
        <v>1</v>
      </c>
      <c r="G1932" s="83"/>
      <c r="H1932" s="83"/>
    </row>
    <row r="1933" spans="1:8">
      <c r="A1933" s="83" t="s">
        <v>5998</v>
      </c>
      <c r="B1933" s="83" t="s">
        <v>5984</v>
      </c>
      <c r="C1933" s="83" t="s">
        <v>5998</v>
      </c>
      <c r="D1933" s="83" t="s">
        <v>6006</v>
      </c>
      <c r="E1933" s="84">
        <f>sch_health_vs_fail_g3_m</f>
        <v>0</v>
      </c>
      <c r="F1933" s="83" t="b">
        <v>1</v>
      </c>
      <c r="G1933" s="83"/>
      <c r="H1933" s="83"/>
    </row>
    <row r="1934" spans="1:8" s="112" customFormat="1" ht="16" thickBot="1">
      <c r="A1934" s="85" t="s">
        <v>5999</v>
      </c>
      <c r="B1934" s="85" t="s">
        <v>5984</v>
      </c>
      <c r="C1934" s="85" t="s">
        <v>5999</v>
      </c>
      <c r="D1934" s="85" t="s">
        <v>6007</v>
      </c>
      <c r="E1934" s="86">
        <f>sch_health_vs_fail_g3_f</f>
        <v>0</v>
      </c>
      <c r="F1934" s="85" t="b">
        <v>1</v>
      </c>
      <c r="G1934" s="85"/>
      <c r="H1934" s="85"/>
    </row>
    <row r="1935" spans="1:8">
      <c r="A1935" s="83" t="s">
        <v>6016</v>
      </c>
      <c r="B1935" s="83" t="s">
        <v>6017</v>
      </c>
      <c r="C1935" s="83" t="s">
        <v>6016</v>
      </c>
      <c r="D1935" s="83" t="s">
        <v>6113</v>
      </c>
      <c r="E1935" s="84">
        <f>sch_health_nsw_normal_k_m</f>
        <v>47</v>
      </c>
      <c r="F1935" s="83" t="b">
        <v>1</v>
      </c>
      <c r="G1935" s="83"/>
      <c r="H1935" s="83"/>
    </row>
    <row r="1936" spans="1:8">
      <c r="A1936" s="83" t="s">
        <v>6018</v>
      </c>
      <c r="B1936" s="83" t="s">
        <v>6017</v>
      </c>
      <c r="C1936" s="83" t="s">
        <v>6018</v>
      </c>
      <c r="D1936" s="83" t="s">
        <v>6114</v>
      </c>
      <c r="E1936" s="84">
        <f>sch_health_nsw_normal_k_f</f>
        <v>36</v>
      </c>
      <c r="F1936" s="83" t="b">
        <v>1</v>
      </c>
      <c r="G1936" s="83"/>
      <c r="H1936" s="83"/>
    </row>
    <row r="1937" spans="1:8">
      <c r="A1937" s="83" t="s">
        <v>6019</v>
      </c>
      <c r="B1937" s="83" t="s">
        <v>6017</v>
      </c>
      <c r="C1937" s="83" t="s">
        <v>6019</v>
      </c>
      <c r="D1937" s="83" t="s">
        <v>6115</v>
      </c>
      <c r="E1937" s="84">
        <f>sch_health_nsw_normal_g1_m</f>
        <v>44</v>
      </c>
      <c r="F1937" s="83" t="b">
        <v>1</v>
      </c>
      <c r="G1937" s="83"/>
      <c r="H1937" s="83"/>
    </row>
    <row r="1938" spans="1:8">
      <c r="A1938" s="83" t="s">
        <v>6020</v>
      </c>
      <c r="B1938" s="83" t="s">
        <v>6017</v>
      </c>
      <c r="C1938" s="83" t="s">
        <v>6020</v>
      </c>
      <c r="D1938" s="83" t="s">
        <v>6116</v>
      </c>
      <c r="E1938" s="84">
        <f>sch_health_nsw_normal_g1_f</f>
        <v>45</v>
      </c>
      <c r="F1938" s="83" t="b">
        <v>1</v>
      </c>
      <c r="G1938" s="83"/>
      <c r="H1938" s="83"/>
    </row>
    <row r="1939" spans="1:8">
      <c r="A1939" s="83" t="s">
        <v>6021</v>
      </c>
      <c r="B1939" s="83" t="s">
        <v>6017</v>
      </c>
      <c r="C1939" s="83" t="s">
        <v>6021</v>
      </c>
      <c r="D1939" s="83" t="s">
        <v>6117</v>
      </c>
      <c r="E1939" s="84">
        <f>sch_health_nsw_normal_g2_m</f>
        <v>56</v>
      </c>
      <c r="F1939" s="83" t="b">
        <v>1</v>
      </c>
      <c r="G1939" s="83"/>
      <c r="H1939" s="83"/>
    </row>
    <row r="1940" spans="1:8">
      <c r="A1940" s="83" t="s">
        <v>6022</v>
      </c>
      <c r="B1940" s="83" t="s">
        <v>6017</v>
      </c>
      <c r="C1940" s="83" t="s">
        <v>6022</v>
      </c>
      <c r="D1940" s="83" t="s">
        <v>6118</v>
      </c>
      <c r="E1940" s="84">
        <f>sch_health_nsw_normal_g2_f</f>
        <v>37</v>
      </c>
      <c r="F1940" s="83" t="b">
        <v>1</v>
      </c>
      <c r="G1940" s="83"/>
      <c r="H1940" s="83"/>
    </row>
    <row r="1941" spans="1:8">
      <c r="A1941" s="83" t="s">
        <v>6023</v>
      </c>
      <c r="B1941" s="83" t="s">
        <v>6017</v>
      </c>
      <c r="C1941" s="83" t="s">
        <v>6023</v>
      </c>
      <c r="D1941" s="83" t="s">
        <v>6119</v>
      </c>
      <c r="E1941" s="84">
        <f>sch_health_nsw_normal_g3_m</f>
        <v>39</v>
      </c>
      <c r="F1941" s="83" t="b">
        <v>1</v>
      </c>
      <c r="G1941" s="83"/>
      <c r="H1941" s="83"/>
    </row>
    <row r="1942" spans="1:8">
      <c r="A1942" s="83" t="s">
        <v>6024</v>
      </c>
      <c r="B1942" s="83" t="s">
        <v>6017</v>
      </c>
      <c r="C1942" s="83" t="s">
        <v>6024</v>
      </c>
      <c r="D1942" s="83" t="s">
        <v>6120</v>
      </c>
      <c r="E1942" s="84">
        <f>sch_health_nsw_normal_g3_f</f>
        <v>51</v>
      </c>
      <c r="F1942" s="83" t="b">
        <v>1</v>
      </c>
      <c r="G1942" s="83"/>
      <c r="H1942" s="83"/>
    </row>
    <row r="1943" spans="1:8">
      <c r="A1943" s="83" t="s">
        <v>6025</v>
      </c>
      <c r="B1943" s="83" t="s">
        <v>6017</v>
      </c>
      <c r="C1943" s="83" t="s">
        <v>6025</v>
      </c>
      <c r="D1943" s="83" t="s">
        <v>6121</v>
      </c>
      <c r="E1943" s="84">
        <f>sch_health_nsw_normal_g4_m</f>
        <v>64</v>
      </c>
      <c r="F1943" s="83" t="b">
        <v>1</v>
      </c>
      <c r="G1943" s="83"/>
      <c r="H1943" s="83"/>
    </row>
    <row r="1944" spans="1:8">
      <c r="A1944" s="83" t="s">
        <v>6026</v>
      </c>
      <c r="B1944" s="83" t="s">
        <v>6017</v>
      </c>
      <c r="C1944" s="83" t="s">
        <v>6026</v>
      </c>
      <c r="D1944" s="83" t="s">
        <v>6122</v>
      </c>
      <c r="E1944" s="84">
        <f>sch_health_nsw_normal_g4_f</f>
        <v>54</v>
      </c>
      <c r="F1944" s="83" t="b">
        <v>1</v>
      </c>
      <c r="G1944" s="83"/>
      <c r="H1944" s="83"/>
    </row>
    <row r="1945" spans="1:8">
      <c r="A1945" s="83" t="s">
        <v>6027</v>
      </c>
      <c r="B1945" s="83" t="s">
        <v>6017</v>
      </c>
      <c r="C1945" s="83" t="s">
        <v>6027</v>
      </c>
      <c r="D1945" s="83" t="s">
        <v>6123</v>
      </c>
      <c r="E1945" s="84">
        <f>sch_health_nsw_normal_g5_m</f>
        <v>56</v>
      </c>
      <c r="F1945" s="83" t="b">
        <v>1</v>
      </c>
      <c r="G1945" s="83"/>
      <c r="H1945" s="83"/>
    </row>
    <row r="1946" spans="1:8">
      <c r="A1946" s="83" t="s">
        <v>6028</v>
      </c>
      <c r="B1946" s="83" t="s">
        <v>6017</v>
      </c>
      <c r="C1946" s="83" t="s">
        <v>6028</v>
      </c>
      <c r="D1946" s="83" t="s">
        <v>6124</v>
      </c>
      <c r="E1946" s="84">
        <f>sch_health_nsw_normal_g5_f</f>
        <v>49</v>
      </c>
      <c r="F1946" s="83" t="b">
        <v>1</v>
      </c>
      <c r="G1946" s="83"/>
      <c r="H1946" s="83"/>
    </row>
    <row r="1947" spans="1:8">
      <c r="A1947" s="83" t="s">
        <v>6029</v>
      </c>
      <c r="B1947" s="83" t="s">
        <v>6017</v>
      </c>
      <c r="C1947" s="83" t="s">
        <v>6029</v>
      </c>
      <c r="D1947" s="83" t="s">
        <v>6125</v>
      </c>
      <c r="E1947" s="84">
        <f>sch_health_nsw_normal_g6_m</f>
        <v>39</v>
      </c>
      <c r="F1947" s="83" t="b">
        <v>1</v>
      </c>
      <c r="G1947" s="83"/>
      <c r="H1947" s="83"/>
    </row>
    <row r="1948" spans="1:8">
      <c r="A1948" s="83" t="s">
        <v>6030</v>
      </c>
      <c r="B1948" s="83" t="s">
        <v>6017</v>
      </c>
      <c r="C1948" s="83" t="s">
        <v>6030</v>
      </c>
      <c r="D1948" s="83" t="s">
        <v>6126</v>
      </c>
      <c r="E1948" s="84">
        <f>sch_health_nsw_normal_g6_f</f>
        <v>28</v>
      </c>
      <c r="F1948" s="83" t="b">
        <v>1</v>
      </c>
      <c r="G1948" s="83"/>
      <c r="H1948" s="83"/>
    </row>
    <row r="1949" spans="1:8">
      <c r="A1949" s="83" t="s">
        <v>6031</v>
      </c>
      <c r="B1949" s="83" t="s">
        <v>6017</v>
      </c>
      <c r="C1949" s="83" t="s">
        <v>6031</v>
      </c>
      <c r="D1949" s="83" t="s">
        <v>6127</v>
      </c>
      <c r="E1949" s="84">
        <f>sch_health_nsw_normal_ng_m</f>
        <v>0</v>
      </c>
      <c r="F1949" s="83" t="b">
        <v>1</v>
      </c>
      <c r="G1949" s="83"/>
      <c r="H1949" s="83"/>
    </row>
    <row r="1950" spans="1:8">
      <c r="A1950" s="83" t="s">
        <v>6032</v>
      </c>
      <c r="B1950" s="83" t="s">
        <v>6017</v>
      </c>
      <c r="C1950" s="83" t="s">
        <v>6032</v>
      </c>
      <c r="D1950" s="83" t="s">
        <v>6128</v>
      </c>
      <c r="E1950" s="84">
        <f>sch_health_nsw_normal_ng_f</f>
        <v>0</v>
      </c>
      <c r="F1950" s="83" t="b">
        <v>1</v>
      </c>
      <c r="G1950" s="83"/>
      <c r="H1950" s="83"/>
    </row>
    <row r="1951" spans="1:8">
      <c r="A1951" s="83" t="s">
        <v>6033</v>
      </c>
      <c r="B1951" s="83" t="s">
        <v>6017</v>
      </c>
      <c r="C1951" s="83" t="s">
        <v>6033</v>
      </c>
      <c r="D1951" s="83" t="s">
        <v>6129</v>
      </c>
      <c r="E1951" s="84">
        <f>sch_health_nsw_obese_k_m</f>
        <v>0</v>
      </c>
      <c r="F1951" s="83" t="b">
        <v>1</v>
      </c>
      <c r="G1951" s="83"/>
      <c r="H1951" s="83"/>
    </row>
    <row r="1952" spans="1:8">
      <c r="A1952" s="83" t="s">
        <v>6034</v>
      </c>
      <c r="B1952" s="83" t="s">
        <v>6017</v>
      </c>
      <c r="C1952" s="83" t="s">
        <v>6034</v>
      </c>
      <c r="D1952" s="83" t="s">
        <v>6130</v>
      </c>
      <c r="E1952" s="84">
        <f>sch_health_nsw_obese_k_f</f>
        <v>0</v>
      </c>
      <c r="F1952" s="83" t="b">
        <v>1</v>
      </c>
      <c r="G1952" s="83"/>
      <c r="H1952" s="83"/>
    </row>
    <row r="1953" spans="1:8">
      <c r="A1953" s="83" t="s">
        <v>6035</v>
      </c>
      <c r="B1953" s="83" t="s">
        <v>6017</v>
      </c>
      <c r="C1953" s="83" t="s">
        <v>6035</v>
      </c>
      <c r="D1953" s="83" t="s">
        <v>6131</v>
      </c>
      <c r="E1953" s="84">
        <f>sch_health_nsw_obese_g1_m</f>
        <v>0</v>
      </c>
      <c r="F1953" s="83" t="b">
        <v>1</v>
      </c>
      <c r="G1953" s="83"/>
      <c r="H1953" s="83"/>
    </row>
    <row r="1954" spans="1:8">
      <c r="A1954" s="83" t="s">
        <v>6036</v>
      </c>
      <c r="B1954" s="83" t="s">
        <v>6017</v>
      </c>
      <c r="C1954" s="83" t="s">
        <v>6036</v>
      </c>
      <c r="D1954" s="83" t="s">
        <v>6132</v>
      </c>
      <c r="E1954" s="84">
        <f>sch_health_nsw_obese_g1_f</f>
        <v>0</v>
      </c>
      <c r="F1954" s="83" t="b">
        <v>1</v>
      </c>
      <c r="G1954" s="83"/>
      <c r="H1954" s="83"/>
    </row>
    <row r="1955" spans="1:8">
      <c r="A1955" s="83" t="s">
        <v>6037</v>
      </c>
      <c r="B1955" s="83" t="s">
        <v>6017</v>
      </c>
      <c r="C1955" s="83" t="s">
        <v>6037</v>
      </c>
      <c r="D1955" s="83" t="s">
        <v>6133</v>
      </c>
      <c r="E1955" s="84">
        <f>sch_health_nsw_obese_g2_m</f>
        <v>0</v>
      </c>
      <c r="F1955" s="83" t="b">
        <v>1</v>
      </c>
      <c r="G1955" s="83"/>
      <c r="H1955" s="83"/>
    </row>
    <row r="1956" spans="1:8">
      <c r="A1956" s="83" t="s">
        <v>6038</v>
      </c>
      <c r="B1956" s="83" t="s">
        <v>6017</v>
      </c>
      <c r="C1956" s="83" t="s">
        <v>6038</v>
      </c>
      <c r="D1956" s="83" t="s">
        <v>6134</v>
      </c>
      <c r="E1956" s="84">
        <f>sch_health_nsw_obese_g2_f</f>
        <v>2</v>
      </c>
      <c r="F1956" s="83" t="b">
        <v>1</v>
      </c>
      <c r="G1956" s="83"/>
      <c r="H1956" s="83"/>
    </row>
    <row r="1957" spans="1:8">
      <c r="A1957" s="83" t="s">
        <v>6039</v>
      </c>
      <c r="B1957" s="83" t="s">
        <v>6017</v>
      </c>
      <c r="C1957" s="83" t="s">
        <v>6039</v>
      </c>
      <c r="D1957" s="83" t="s">
        <v>6135</v>
      </c>
      <c r="E1957" s="84">
        <f>sch_health_nsw_obese_g3_m</f>
        <v>3</v>
      </c>
      <c r="F1957" s="83" t="b">
        <v>1</v>
      </c>
      <c r="G1957" s="83"/>
      <c r="H1957" s="83"/>
    </row>
    <row r="1958" spans="1:8">
      <c r="A1958" s="83" t="s">
        <v>6040</v>
      </c>
      <c r="B1958" s="83" t="s">
        <v>6017</v>
      </c>
      <c r="C1958" s="83" t="s">
        <v>6040</v>
      </c>
      <c r="D1958" s="83" t="s">
        <v>6136</v>
      </c>
      <c r="E1958" s="84">
        <f>sch_health_nsw_obese_g3_f</f>
        <v>2</v>
      </c>
      <c r="F1958" s="83" t="b">
        <v>1</v>
      </c>
      <c r="G1958" s="83"/>
      <c r="H1958" s="83"/>
    </row>
    <row r="1959" spans="1:8">
      <c r="A1959" s="83" t="s">
        <v>6041</v>
      </c>
      <c r="B1959" s="83" t="s">
        <v>6017</v>
      </c>
      <c r="C1959" s="83" t="s">
        <v>6041</v>
      </c>
      <c r="D1959" s="83" t="s">
        <v>6137</v>
      </c>
      <c r="E1959" s="84">
        <f>sch_health_nsw_obese_g4_m</f>
        <v>1</v>
      </c>
      <c r="F1959" s="83" t="b">
        <v>1</v>
      </c>
      <c r="G1959" s="83"/>
      <c r="H1959" s="83"/>
    </row>
    <row r="1960" spans="1:8">
      <c r="A1960" s="83" t="s">
        <v>6042</v>
      </c>
      <c r="B1960" s="83" t="s">
        <v>6017</v>
      </c>
      <c r="C1960" s="83" t="s">
        <v>6042</v>
      </c>
      <c r="D1960" s="83" t="s">
        <v>6138</v>
      </c>
      <c r="E1960" s="84">
        <f>sch_health_nsw_obese_g4_f</f>
        <v>0</v>
      </c>
      <c r="F1960" s="83" t="b">
        <v>1</v>
      </c>
      <c r="G1960" s="83"/>
      <c r="H1960" s="83"/>
    </row>
    <row r="1961" spans="1:8">
      <c r="A1961" s="83" t="s">
        <v>6043</v>
      </c>
      <c r="B1961" s="83" t="s">
        <v>6017</v>
      </c>
      <c r="C1961" s="83" t="s">
        <v>6043</v>
      </c>
      <c r="D1961" s="83" t="s">
        <v>6139</v>
      </c>
      <c r="E1961" s="84">
        <f>sch_health_nsw_obese_g5_m</f>
        <v>0</v>
      </c>
      <c r="F1961" s="83" t="b">
        <v>1</v>
      </c>
      <c r="G1961" s="83"/>
      <c r="H1961" s="83"/>
    </row>
    <row r="1962" spans="1:8">
      <c r="A1962" s="83" t="s">
        <v>6044</v>
      </c>
      <c r="B1962" s="83" t="s">
        <v>6017</v>
      </c>
      <c r="C1962" s="83" t="s">
        <v>6044</v>
      </c>
      <c r="D1962" s="83" t="s">
        <v>6140</v>
      </c>
      <c r="E1962" s="84">
        <f>sch_health_nsw_obese_g5_f</f>
        <v>1</v>
      </c>
      <c r="F1962" s="83" t="b">
        <v>1</v>
      </c>
      <c r="G1962" s="83"/>
      <c r="H1962" s="83"/>
    </row>
    <row r="1963" spans="1:8">
      <c r="A1963" s="83" t="s">
        <v>6045</v>
      </c>
      <c r="B1963" s="83" t="s">
        <v>6017</v>
      </c>
      <c r="C1963" s="83" t="s">
        <v>6045</v>
      </c>
      <c r="D1963" s="83" t="s">
        <v>6141</v>
      </c>
      <c r="E1963" s="84">
        <f>sch_health_nsw_obese_g6_m</f>
        <v>0</v>
      </c>
      <c r="F1963" s="83" t="b">
        <v>1</v>
      </c>
      <c r="G1963" s="83"/>
      <c r="H1963" s="83"/>
    </row>
    <row r="1964" spans="1:8">
      <c r="A1964" s="83" t="s">
        <v>6046</v>
      </c>
      <c r="B1964" s="83" t="s">
        <v>6017</v>
      </c>
      <c r="C1964" s="83" t="s">
        <v>6046</v>
      </c>
      <c r="D1964" s="83" t="s">
        <v>6142</v>
      </c>
      <c r="E1964" s="84">
        <f>sch_health_nsw_obese_g6_f</f>
        <v>0</v>
      </c>
      <c r="F1964" s="83" t="b">
        <v>1</v>
      </c>
      <c r="G1964" s="83"/>
      <c r="H1964" s="83"/>
    </row>
    <row r="1965" spans="1:8">
      <c r="A1965" s="83" t="s">
        <v>6047</v>
      </c>
      <c r="B1965" s="83" t="s">
        <v>6017</v>
      </c>
      <c r="C1965" s="83" t="s">
        <v>6047</v>
      </c>
      <c r="D1965" s="83" t="s">
        <v>6143</v>
      </c>
      <c r="E1965" s="84">
        <f>sch_health_nsw_obese_ng_m</f>
        <v>0</v>
      </c>
      <c r="F1965" s="83" t="b">
        <v>1</v>
      </c>
      <c r="G1965" s="83"/>
      <c r="H1965" s="83"/>
    </row>
    <row r="1966" spans="1:8">
      <c r="A1966" s="83" t="s">
        <v>6048</v>
      </c>
      <c r="B1966" s="83" t="s">
        <v>6017</v>
      </c>
      <c r="C1966" s="83" t="s">
        <v>6048</v>
      </c>
      <c r="D1966" s="83" t="s">
        <v>6144</v>
      </c>
      <c r="E1966" s="84">
        <f>sch_health_nsw_obese_ng_f</f>
        <v>0</v>
      </c>
      <c r="F1966" s="83" t="b">
        <v>1</v>
      </c>
      <c r="G1966" s="83"/>
      <c r="H1966" s="83"/>
    </row>
    <row r="1967" spans="1:8">
      <c r="A1967" s="83" t="s">
        <v>6049</v>
      </c>
      <c r="B1967" s="83" t="s">
        <v>6017</v>
      </c>
      <c r="C1967" s="83" t="s">
        <v>6049</v>
      </c>
      <c r="D1967" s="83" t="s">
        <v>6097</v>
      </c>
      <c r="E1967" s="84">
        <f>sch_health_nsw_overweight_k_m</f>
        <v>1</v>
      </c>
      <c r="F1967" s="83" t="b">
        <v>1</v>
      </c>
      <c r="G1967" s="83"/>
      <c r="H1967" s="83"/>
    </row>
    <row r="1968" spans="1:8">
      <c r="A1968" s="83" t="s">
        <v>6050</v>
      </c>
      <c r="B1968" s="83" t="s">
        <v>6017</v>
      </c>
      <c r="C1968" s="83" t="s">
        <v>6050</v>
      </c>
      <c r="D1968" s="83" t="s">
        <v>6098</v>
      </c>
      <c r="E1968" s="84">
        <f>sch_health_nsw_overweight_k_f</f>
        <v>1</v>
      </c>
      <c r="F1968" s="83" t="b">
        <v>1</v>
      </c>
      <c r="G1968" s="83"/>
      <c r="H1968" s="83"/>
    </row>
    <row r="1969" spans="1:8">
      <c r="A1969" s="83" t="s">
        <v>6051</v>
      </c>
      <c r="B1969" s="83" t="s">
        <v>6017</v>
      </c>
      <c r="C1969" s="83" t="s">
        <v>6051</v>
      </c>
      <c r="D1969" s="83" t="s">
        <v>6099</v>
      </c>
      <c r="E1969" s="84">
        <f>sch_health_nsw_overweight_g1_m</f>
        <v>3</v>
      </c>
      <c r="F1969" s="83" t="b">
        <v>1</v>
      </c>
      <c r="G1969" s="83"/>
      <c r="H1969" s="83"/>
    </row>
    <row r="1970" spans="1:8">
      <c r="A1970" s="83" t="s">
        <v>6052</v>
      </c>
      <c r="B1970" s="83" t="s">
        <v>6017</v>
      </c>
      <c r="C1970" s="83" t="s">
        <v>6052</v>
      </c>
      <c r="D1970" s="83" t="s">
        <v>6100</v>
      </c>
      <c r="E1970" s="84">
        <f>sch_health_nsw_overweight_g1_f</f>
        <v>1</v>
      </c>
      <c r="F1970" s="83" t="b">
        <v>1</v>
      </c>
      <c r="G1970" s="83"/>
      <c r="H1970" s="83"/>
    </row>
    <row r="1971" spans="1:8">
      <c r="A1971" s="83" t="s">
        <v>6053</v>
      </c>
      <c r="B1971" s="83" t="s">
        <v>6017</v>
      </c>
      <c r="C1971" s="83" t="s">
        <v>6053</v>
      </c>
      <c r="D1971" s="83" t="s">
        <v>6101</v>
      </c>
      <c r="E1971" s="84">
        <f>sch_health_nsw_overweight_g2_m</f>
        <v>3</v>
      </c>
      <c r="F1971" s="83" t="b">
        <v>1</v>
      </c>
      <c r="G1971" s="83"/>
      <c r="H1971" s="83"/>
    </row>
    <row r="1972" spans="1:8">
      <c r="A1972" s="83" t="s">
        <v>6054</v>
      </c>
      <c r="B1972" s="83" t="s">
        <v>6017</v>
      </c>
      <c r="C1972" s="83" t="s">
        <v>6054</v>
      </c>
      <c r="D1972" s="83" t="s">
        <v>6102</v>
      </c>
      <c r="E1972" s="84">
        <f>sch_health_nsw_overweight_g2_f</f>
        <v>2</v>
      </c>
      <c r="F1972" s="83" t="b">
        <v>1</v>
      </c>
      <c r="G1972" s="83"/>
      <c r="H1972" s="83"/>
    </row>
    <row r="1973" spans="1:8">
      <c r="A1973" s="83" t="s">
        <v>6055</v>
      </c>
      <c r="B1973" s="83" t="s">
        <v>6017</v>
      </c>
      <c r="C1973" s="83" t="s">
        <v>6055</v>
      </c>
      <c r="D1973" s="83" t="s">
        <v>6103</v>
      </c>
      <c r="E1973" s="84">
        <f>sch_health_nsw_overweight_g3_m</f>
        <v>3</v>
      </c>
      <c r="F1973" s="83" t="b">
        <v>1</v>
      </c>
      <c r="G1973" s="83"/>
      <c r="H1973" s="83"/>
    </row>
    <row r="1974" spans="1:8">
      <c r="A1974" s="83" t="s">
        <v>6056</v>
      </c>
      <c r="B1974" s="83" t="s">
        <v>6017</v>
      </c>
      <c r="C1974" s="83" t="s">
        <v>6056</v>
      </c>
      <c r="D1974" s="83" t="s">
        <v>6104</v>
      </c>
      <c r="E1974" s="84">
        <f>sch_health_nsw_overweight_g3_f</f>
        <v>3</v>
      </c>
      <c r="F1974" s="83" t="b">
        <v>1</v>
      </c>
      <c r="G1974" s="83"/>
      <c r="H1974" s="83"/>
    </row>
    <row r="1975" spans="1:8">
      <c r="A1975" s="83" t="s">
        <v>6057</v>
      </c>
      <c r="B1975" s="83" t="s">
        <v>6017</v>
      </c>
      <c r="C1975" s="83" t="s">
        <v>6057</v>
      </c>
      <c r="D1975" s="83" t="s">
        <v>6105</v>
      </c>
      <c r="E1975" s="84">
        <f>sch_health_nsw_overweight_g4_m</f>
        <v>8</v>
      </c>
      <c r="F1975" s="83" t="b">
        <v>1</v>
      </c>
      <c r="G1975" s="83"/>
      <c r="H1975" s="83"/>
    </row>
    <row r="1976" spans="1:8">
      <c r="A1976" s="83" t="s">
        <v>6058</v>
      </c>
      <c r="B1976" s="83" t="s">
        <v>6017</v>
      </c>
      <c r="C1976" s="83" t="s">
        <v>6058</v>
      </c>
      <c r="D1976" s="83" t="s">
        <v>6106</v>
      </c>
      <c r="E1976" s="84">
        <f>sch_health_nsw_overweight_g4_f</f>
        <v>4</v>
      </c>
      <c r="F1976" s="83" t="b">
        <v>1</v>
      </c>
      <c r="G1976" s="83"/>
      <c r="H1976" s="83"/>
    </row>
    <row r="1977" spans="1:8">
      <c r="A1977" s="83" t="s">
        <v>6059</v>
      </c>
      <c r="B1977" s="83" t="s">
        <v>6017</v>
      </c>
      <c r="C1977" s="83" t="s">
        <v>6059</v>
      </c>
      <c r="D1977" s="83" t="s">
        <v>6107</v>
      </c>
      <c r="E1977" s="84">
        <f>sch_health_nsw_overweight_g5_m</f>
        <v>3</v>
      </c>
      <c r="F1977" s="83" t="b">
        <v>1</v>
      </c>
      <c r="G1977" s="83"/>
      <c r="H1977" s="83"/>
    </row>
    <row r="1978" spans="1:8">
      <c r="A1978" s="83" t="s">
        <v>6060</v>
      </c>
      <c r="B1978" s="83" t="s">
        <v>6017</v>
      </c>
      <c r="C1978" s="83" t="s">
        <v>6060</v>
      </c>
      <c r="D1978" s="83" t="s">
        <v>6108</v>
      </c>
      <c r="E1978" s="84">
        <f>sch_health_nsw_overweight_g5_f</f>
        <v>2</v>
      </c>
      <c r="F1978" s="83" t="b">
        <v>1</v>
      </c>
      <c r="G1978" s="83"/>
      <c r="H1978" s="83"/>
    </row>
    <row r="1979" spans="1:8">
      <c r="A1979" s="83" t="s">
        <v>6061</v>
      </c>
      <c r="B1979" s="83" t="s">
        <v>6017</v>
      </c>
      <c r="C1979" s="83" t="s">
        <v>6061</v>
      </c>
      <c r="D1979" s="83" t="s">
        <v>6109</v>
      </c>
      <c r="E1979" s="84">
        <f>sch_health_nsw_overweight_g6_m</f>
        <v>4</v>
      </c>
      <c r="F1979" s="83" t="b">
        <v>1</v>
      </c>
      <c r="G1979" s="83"/>
      <c r="H1979" s="83"/>
    </row>
    <row r="1980" spans="1:8">
      <c r="A1980" s="83" t="s">
        <v>6062</v>
      </c>
      <c r="B1980" s="83" t="s">
        <v>6017</v>
      </c>
      <c r="C1980" s="83" t="s">
        <v>6062</v>
      </c>
      <c r="D1980" s="83" t="s">
        <v>6110</v>
      </c>
      <c r="E1980" s="84">
        <f>sch_health_nsw_overweight_g6_f</f>
        <v>2</v>
      </c>
      <c r="F1980" s="83" t="b">
        <v>1</v>
      </c>
      <c r="G1980" s="83"/>
      <c r="H1980" s="83"/>
    </row>
    <row r="1981" spans="1:8">
      <c r="A1981" s="83" t="s">
        <v>6063</v>
      </c>
      <c r="B1981" s="83" t="s">
        <v>6017</v>
      </c>
      <c r="C1981" s="83" t="s">
        <v>6063</v>
      </c>
      <c r="D1981" s="83" t="s">
        <v>6111</v>
      </c>
      <c r="E1981" s="84">
        <f>sch_health_nsw_overweight_ng_m</f>
        <v>0</v>
      </c>
      <c r="F1981" s="83" t="b">
        <v>1</v>
      </c>
      <c r="G1981" s="83"/>
      <c r="H1981" s="83"/>
    </row>
    <row r="1982" spans="1:8">
      <c r="A1982" s="83" t="s">
        <v>6064</v>
      </c>
      <c r="B1982" s="83" t="s">
        <v>6017</v>
      </c>
      <c r="C1982" s="83" t="s">
        <v>6064</v>
      </c>
      <c r="D1982" s="83" t="s">
        <v>6112</v>
      </c>
      <c r="E1982" s="84">
        <f>sch_health_nsw_overweight_ng_f</f>
        <v>0</v>
      </c>
      <c r="F1982" s="83" t="b">
        <v>1</v>
      </c>
      <c r="G1982" s="83"/>
      <c r="H1982" s="83"/>
    </row>
    <row r="1983" spans="1:8">
      <c r="A1983" s="83" t="s">
        <v>6065</v>
      </c>
      <c r="B1983" s="83" t="s">
        <v>6017</v>
      </c>
      <c r="C1983" s="83" t="s">
        <v>6065</v>
      </c>
      <c r="D1983" s="83" t="s">
        <v>6145</v>
      </c>
      <c r="E1983" s="84">
        <f>sch_health_nsw_severelywasted_k_m</f>
        <v>1</v>
      </c>
      <c r="F1983" s="83" t="b">
        <v>1</v>
      </c>
      <c r="G1983" s="83"/>
      <c r="H1983" s="83"/>
    </row>
    <row r="1984" spans="1:8">
      <c r="A1984" s="83" t="s">
        <v>6066</v>
      </c>
      <c r="B1984" s="83" t="s">
        <v>6017</v>
      </c>
      <c r="C1984" s="83" t="s">
        <v>6066</v>
      </c>
      <c r="D1984" s="83" t="s">
        <v>6146</v>
      </c>
      <c r="E1984" s="84">
        <f>sch_health_nsw_severelywasted_k_f</f>
        <v>0</v>
      </c>
      <c r="F1984" s="83" t="b">
        <v>1</v>
      </c>
      <c r="G1984" s="83"/>
      <c r="H1984" s="83"/>
    </row>
    <row r="1985" spans="1:8">
      <c r="A1985" s="83" t="s">
        <v>6067</v>
      </c>
      <c r="B1985" s="83" t="s">
        <v>6017</v>
      </c>
      <c r="C1985" s="83" t="s">
        <v>6067</v>
      </c>
      <c r="D1985" s="83" t="s">
        <v>6147</v>
      </c>
      <c r="E1985" s="84">
        <f>sch_health_nsw_severelywasted_g1_m</f>
        <v>2</v>
      </c>
      <c r="F1985" s="83" t="b">
        <v>1</v>
      </c>
      <c r="G1985" s="83"/>
      <c r="H1985" s="83"/>
    </row>
    <row r="1986" spans="1:8">
      <c r="A1986" s="83" t="s">
        <v>6068</v>
      </c>
      <c r="B1986" s="83" t="s">
        <v>6017</v>
      </c>
      <c r="C1986" s="83" t="s">
        <v>6068</v>
      </c>
      <c r="D1986" s="83" t="s">
        <v>6148</v>
      </c>
      <c r="E1986" s="84">
        <f>sch_health_nsw_severelywasted_g1_f</f>
        <v>1</v>
      </c>
      <c r="F1986" s="83" t="b">
        <v>1</v>
      </c>
      <c r="G1986" s="83"/>
      <c r="H1986" s="83"/>
    </row>
    <row r="1987" spans="1:8">
      <c r="A1987" s="83" t="s">
        <v>6069</v>
      </c>
      <c r="B1987" s="83" t="s">
        <v>6017</v>
      </c>
      <c r="C1987" s="83" t="s">
        <v>6069</v>
      </c>
      <c r="D1987" s="83" t="s">
        <v>6149</v>
      </c>
      <c r="E1987" s="84">
        <f>sch_health_nsw_severelywasted_g2_m</f>
        <v>2</v>
      </c>
      <c r="F1987" s="83" t="b">
        <v>1</v>
      </c>
      <c r="G1987" s="83"/>
      <c r="H1987" s="83"/>
    </row>
    <row r="1988" spans="1:8">
      <c r="A1988" s="83" t="s">
        <v>6070</v>
      </c>
      <c r="B1988" s="83" t="s">
        <v>6017</v>
      </c>
      <c r="C1988" s="83" t="s">
        <v>6070</v>
      </c>
      <c r="D1988" s="83" t="s">
        <v>6150</v>
      </c>
      <c r="E1988" s="84">
        <f>sch_health_nsw_severelywasted_g2_f</f>
        <v>0</v>
      </c>
      <c r="F1988" s="83" t="b">
        <v>1</v>
      </c>
      <c r="G1988" s="83"/>
      <c r="H1988" s="83"/>
    </row>
    <row r="1989" spans="1:8">
      <c r="A1989" s="83" t="s">
        <v>6071</v>
      </c>
      <c r="B1989" s="83" t="s">
        <v>6017</v>
      </c>
      <c r="C1989" s="83" t="s">
        <v>6071</v>
      </c>
      <c r="D1989" s="83" t="s">
        <v>6151</v>
      </c>
      <c r="E1989" s="84">
        <f>sch_health_nsw_severelywasted_g3_m</f>
        <v>0</v>
      </c>
      <c r="F1989" s="83" t="b">
        <v>1</v>
      </c>
      <c r="G1989" s="83"/>
      <c r="H1989" s="83"/>
    </row>
    <row r="1990" spans="1:8">
      <c r="A1990" s="83" t="s">
        <v>6072</v>
      </c>
      <c r="B1990" s="83" t="s">
        <v>6017</v>
      </c>
      <c r="C1990" s="83" t="s">
        <v>6072</v>
      </c>
      <c r="D1990" s="83" t="s">
        <v>6152</v>
      </c>
      <c r="E1990" s="84">
        <f>sch_health_nsw_severelywasted_g3_f</f>
        <v>0</v>
      </c>
      <c r="F1990" s="83" t="b">
        <v>1</v>
      </c>
      <c r="G1990" s="83"/>
      <c r="H1990" s="83"/>
    </row>
    <row r="1991" spans="1:8">
      <c r="A1991" s="83" t="s">
        <v>6073</v>
      </c>
      <c r="B1991" s="83" t="s">
        <v>6017</v>
      </c>
      <c r="C1991" s="83" t="s">
        <v>6073</v>
      </c>
      <c r="D1991" s="83" t="s">
        <v>6153</v>
      </c>
      <c r="E1991" s="84">
        <f>sch_health_nsw_severelywasted_g4_m</f>
        <v>3</v>
      </c>
      <c r="F1991" s="83" t="b">
        <v>1</v>
      </c>
      <c r="G1991" s="83"/>
      <c r="H1991" s="83"/>
    </row>
    <row r="1992" spans="1:8">
      <c r="A1992" s="83" t="s">
        <v>6074</v>
      </c>
      <c r="B1992" s="83" t="s">
        <v>6017</v>
      </c>
      <c r="C1992" s="83" t="s">
        <v>6074</v>
      </c>
      <c r="D1992" s="83" t="s">
        <v>6154</v>
      </c>
      <c r="E1992" s="84">
        <f>sch_health_nsw_severelywasted_g4_f</f>
        <v>1</v>
      </c>
      <c r="F1992" s="83" t="b">
        <v>1</v>
      </c>
      <c r="G1992" s="83"/>
      <c r="H1992" s="83"/>
    </row>
    <row r="1993" spans="1:8">
      <c r="A1993" s="83" t="s">
        <v>6075</v>
      </c>
      <c r="B1993" s="83" t="s">
        <v>6017</v>
      </c>
      <c r="C1993" s="83" t="s">
        <v>6075</v>
      </c>
      <c r="D1993" s="83" t="s">
        <v>6155</v>
      </c>
      <c r="E1993" s="84">
        <f>sch_health_nsw_severelywasted_g5_m</f>
        <v>1</v>
      </c>
      <c r="F1993" s="83" t="b">
        <v>1</v>
      </c>
      <c r="G1993" s="83"/>
      <c r="H1993" s="83"/>
    </row>
    <row r="1994" spans="1:8">
      <c r="A1994" s="83" t="s">
        <v>6076</v>
      </c>
      <c r="B1994" s="83" t="s">
        <v>6017</v>
      </c>
      <c r="C1994" s="83" t="s">
        <v>6076</v>
      </c>
      <c r="D1994" s="83" t="s">
        <v>6156</v>
      </c>
      <c r="E1994" s="84">
        <f>sch_health_nsw_severelywasted_g5_f</f>
        <v>1</v>
      </c>
      <c r="F1994" s="83" t="b">
        <v>1</v>
      </c>
      <c r="G1994" s="83"/>
      <c r="H1994" s="83"/>
    </row>
    <row r="1995" spans="1:8">
      <c r="A1995" s="83" t="s">
        <v>6077</v>
      </c>
      <c r="B1995" s="83" t="s">
        <v>6017</v>
      </c>
      <c r="C1995" s="83" t="s">
        <v>6077</v>
      </c>
      <c r="D1995" s="83" t="s">
        <v>6157</v>
      </c>
      <c r="E1995" s="84">
        <f>sch_health_nsw_severelywasted_g6_m</f>
        <v>1</v>
      </c>
      <c r="F1995" s="83" t="b">
        <v>1</v>
      </c>
      <c r="G1995" s="83"/>
      <c r="H1995" s="83"/>
    </row>
    <row r="1996" spans="1:8">
      <c r="A1996" s="83" t="s">
        <v>6078</v>
      </c>
      <c r="B1996" s="83" t="s">
        <v>6017</v>
      </c>
      <c r="C1996" s="83" t="s">
        <v>6078</v>
      </c>
      <c r="D1996" s="83" t="s">
        <v>6158</v>
      </c>
      <c r="E1996" s="84">
        <f>sch_health_nsw_severelywasted_g6_f</f>
        <v>0</v>
      </c>
      <c r="F1996" s="83" t="b">
        <v>1</v>
      </c>
      <c r="G1996" s="83"/>
      <c r="H1996" s="83"/>
    </row>
    <row r="1997" spans="1:8">
      <c r="A1997" s="83" t="s">
        <v>6079</v>
      </c>
      <c r="B1997" s="83" t="s">
        <v>6017</v>
      </c>
      <c r="C1997" s="83" t="s">
        <v>6079</v>
      </c>
      <c r="D1997" s="83" t="s">
        <v>6159</v>
      </c>
      <c r="E1997" s="84">
        <f>sch_health_nsw_severelywasted_ng_m</f>
        <v>0</v>
      </c>
      <c r="F1997" s="83" t="b">
        <v>1</v>
      </c>
      <c r="G1997" s="83"/>
      <c r="H1997" s="83"/>
    </row>
    <row r="1998" spans="1:8">
      <c r="A1998" s="83" t="s">
        <v>6080</v>
      </c>
      <c r="B1998" s="83" t="s">
        <v>6017</v>
      </c>
      <c r="C1998" s="83" t="s">
        <v>6080</v>
      </c>
      <c r="D1998" s="83" t="s">
        <v>6160</v>
      </c>
      <c r="E1998" s="84">
        <f>sch_health_nsw_severelywasted_ng_f</f>
        <v>0</v>
      </c>
      <c r="F1998" s="83" t="b">
        <v>1</v>
      </c>
      <c r="G1998" s="83"/>
      <c r="H1998" s="83"/>
    </row>
    <row r="1999" spans="1:8">
      <c r="A1999" s="83" t="s">
        <v>6081</v>
      </c>
      <c r="B1999" s="83" t="s">
        <v>6017</v>
      </c>
      <c r="C1999" s="83" t="s">
        <v>6081</v>
      </c>
      <c r="D1999" s="83" t="s">
        <v>6161</v>
      </c>
      <c r="E1999" s="84">
        <f>sch_health_nsw_wasted_k_m</f>
        <v>8</v>
      </c>
      <c r="F1999" s="83" t="b">
        <v>1</v>
      </c>
      <c r="G1999" s="83"/>
      <c r="H1999" s="83"/>
    </row>
    <row r="2000" spans="1:8">
      <c r="A2000" s="83" t="s">
        <v>6082</v>
      </c>
      <c r="B2000" s="83" t="s">
        <v>6017</v>
      </c>
      <c r="C2000" s="83" t="s">
        <v>6082</v>
      </c>
      <c r="D2000" s="83" t="s">
        <v>6162</v>
      </c>
      <c r="E2000" s="84">
        <f>sch_health_nsw_wasted_k_f</f>
        <v>9</v>
      </c>
      <c r="F2000" s="83" t="b">
        <v>1</v>
      </c>
      <c r="G2000" s="83"/>
      <c r="H2000" s="83"/>
    </row>
    <row r="2001" spans="1:8">
      <c r="A2001" s="83" t="s">
        <v>6083</v>
      </c>
      <c r="B2001" s="83" t="s">
        <v>6017</v>
      </c>
      <c r="C2001" s="83" t="s">
        <v>6083</v>
      </c>
      <c r="D2001" s="83" t="s">
        <v>6163</v>
      </c>
      <c r="E2001" s="84">
        <f>sch_health_nsw_wasted_g1_m</f>
        <v>5</v>
      </c>
      <c r="F2001" s="83" t="b">
        <v>1</v>
      </c>
      <c r="G2001" s="83"/>
      <c r="H2001" s="83"/>
    </row>
    <row r="2002" spans="1:8">
      <c r="A2002" s="83" t="s">
        <v>6084</v>
      </c>
      <c r="B2002" s="83" t="s">
        <v>6017</v>
      </c>
      <c r="C2002" s="83" t="s">
        <v>6084</v>
      </c>
      <c r="D2002" s="83" t="s">
        <v>6164</v>
      </c>
      <c r="E2002" s="84">
        <f>sch_health_nsw_wasted_g1_f</f>
        <v>7</v>
      </c>
      <c r="F2002" s="83" t="b">
        <v>1</v>
      </c>
      <c r="G2002" s="83"/>
      <c r="H2002" s="83"/>
    </row>
    <row r="2003" spans="1:8">
      <c r="A2003" s="83" t="s">
        <v>6085</v>
      </c>
      <c r="B2003" s="83" t="s">
        <v>6017</v>
      </c>
      <c r="C2003" s="83" t="s">
        <v>6085</v>
      </c>
      <c r="D2003" s="83" t="s">
        <v>6165</v>
      </c>
      <c r="E2003" s="84">
        <f>sch_health_nsw_wasted_g2_m</f>
        <v>0</v>
      </c>
      <c r="F2003" s="83" t="b">
        <v>1</v>
      </c>
      <c r="G2003" s="83"/>
      <c r="H2003" s="83"/>
    </row>
    <row r="2004" spans="1:8">
      <c r="A2004" s="83" t="s">
        <v>6086</v>
      </c>
      <c r="B2004" s="83" t="s">
        <v>6017</v>
      </c>
      <c r="C2004" s="83" t="s">
        <v>6086</v>
      </c>
      <c r="D2004" s="83" t="s">
        <v>6166</v>
      </c>
      <c r="E2004" s="84">
        <f>sch_health_nsw_wasted_g2_f</f>
        <v>3</v>
      </c>
      <c r="F2004" s="83" t="b">
        <v>1</v>
      </c>
      <c r="G2004" s="83"/>
      <c r="H2004" s="83"/>
    </row>
    <row r="2005" spans="1:8">
      <c r="A2005" s="83" t="s">
        <v>6087</v>
      </c>
      <c r="B2005" s="83" t="s">
        <v>6017</v>
      </c>
      <c r="C2005" s="83" t="s">
        <v>6087</v>
      </c>
      <c r="D2005" s="83" t="s">
        <v>6167</v>
      </c>
      <c r="E2005" s="84">
        <f>sch_health_nsw_wasted_g3_m</f>
        <v>7</v>
      </c>
      <c r="F2005" s="83" t="b">
        <v>1</v>
      </c>
      <c r="G2005" s="83"/>
      <c r="H2005" s="83"/>
    </row>
    <row r="2006" spans="1:8">
      <c r="A2006" s="83" t="s">
        <v>6088</v>
      </c>
      <c r="B2006" s="83" t="s">
        <v>6017</v>
      </c>
      <c r="C2006" s="83" t="s">
        <v>6088</v>
      </c>
      <c r="D2006" s="83" t="s">
        <v>6168</v>
      </c>
      <c r="E2006" s="84">
        <f>sch_health_nsw_wasted_g3_f</f>
        <v>1</v>
      </c>
      <c r="F2006" s="83" t="b">
        <v>1</v>
      </c>
      <c r="G2006" s="83"/>
      <c r="H2006" s="83"/>
    </row>
    <row r="2007" spans="1:8">
      <c r="A2007" s="83" t="s">
        <v>6089</v>
      </c>
      <c r="B2007" s="83" t="s">
        <v>6017</v>
      </c>
      <c r="C2007" s="83" t="s">
        <v>6089</v>
      </c>
      <c r="D2007" s="83" t="s">
        <v>6169</v>
      </c>
      <c r="E2007" s="84">
        <f>sch_health_nsw_wasted_g4_m</f>
        <v>3</v>
      </c>
      <c r="F2007" s="83" t="b">
        <v>1</v>
      </c>
      <c r="G2007" s="83"/>
      <c r="H2007" s="83"/>
    </row>
    <row r="2008" spans="1:8">
      <c r="A2008" s="83" t="s">
        <v>6090</v>
      </c>
      <c r="B2008" s="83" t="s">
        <v>6017</v>
      </c>
      <c r="C2008" s="83" t="s">
        <v>6090</v>
      </c>
      <c r="D2008" s="83" t="s">
        <v>6170</v>
      </c>
      <c r="E2008" s="84">
        <f>sch_health_nsw_wasted_g4_f</f>
        <v>3</v>
      </c>
      <c r="F2008" s="83" t="b">
        <v>1</v>
      </c>
      <c r="G2008" s="83"/>
      <c r="H2008" s="83"/>
    </row>
    <row r="2009" spans="1:8">
      <c r="A2009" s="83" t="s">
        <v>6091</v>
      </c>
      <c r="B2009" s="83" t="s">
        <v>6017</v>
      </c>
      <c r="C2009" s="83" t="s">
        <v>6091</v>
      </c>
      <c r="D2009" s="83" t="s">
        <v>6171</v>
      </c>
      <c r="E2009" s="84">
        <f>sch_health_nsw_wasted_g5_m</f>
        <v>6</v>
      </c>
      <c r="F2009" s="83" t="b">
        <v>1</v>
      </c>
      <c r="G2009" s="83"/>
      <c r="H2009" s="83"/>
    </row>
    <row r="2010" spans="1:8">
      <c r="A2010" s="83" t="s">
        <v>6092</v>
      </c>
      <c r="B2010" s="83" t="s">
        <v>6017</v>
      </c>
      <c r="C2010" s="83" t="s">
        <v>6092</v>
      </c>
      <c r="D2010" s="83" t="s">
        <v>6172</v>
      </c>
      <c r="E2010" s="84">
        <f>sch_health_nsw_wasted_g5_f</f>
        <v>5</v>
      </c>
      <c r="F2010" s="83" t="b">
        <v>1</v>
      </c>
      <c r="G2010" s="83"/>
      <c r="H2010" s="83"/>
    </row>
    <row r="2011" spans="1:8">
      <c r="A2011" s="83" t="s">
        <v>6093</v>
      </c>
      <c r="B2011" s="83" t="s">
        <v>6017</v>
      </c>
      <c r="C2011" s="83" t="s">
        <v>6093</v>
      </c>
      <c r="D2011" s="83" t="s">
        <v>6173</v>
      </c>
      <c r="E2011" s="84">
        <f>sch_health_nsw_wasted_g6_m</f>
        <v>0</v>
      </c>
      <c r="F2011" s="83" t="b">
        <v>1</v>
      </c>
      <c r="G2011" s="83"/>
      <c r="H2011" s="83"/>
    </row>
    <row r="2012" spans="1:8">
      <c r="A2012" s="83" t="s">
        <v>6094</v>
      </c>
      <c r="B2012" s="83" t="s">
        <v>6017</v>
      </c>
      <c r="C2012" s="83" t="s">
        <v>6094</v>
      </c>
      <c r="D2012" s="83" t="s">
        <v>6174</v>
      </c>
      <c r="E2012" s="84">
        <f>sch_health_nsw_wasted_g6_f</f>
        <v>1</v>
      </c>
      <c r="F2012" s="83" t="b">
        <v>1</v>
      </c>
      <c r="G2012" s="83"/>
      <c r="H2012" s="83"/>
    </row>
    <row r="2013" spans="1:8">
      <c r="A2013" s="83" t="s">
        <v>6095</v>
      </c>
      <c r="B2013" s="83" t="s">
        <v>6017</v>
      </c>
      <c r="C2013" s="83" t="s">
        <v>6095</v>
      </c>
      <c r="D2013" s="83" t="s">
        <v>6175</v>
      </c>
      <c r="E2013" s="84">
        <f>sch_health_nsw_wasted_ng_m</f>
        <v>0</v>
      </c>
      <c r="F2013" s="83" t="b">
        <v>1</v>
      </c>
      <c r="G2013" s="83"/>
      <c r="H2013" s="83"/>
    </row>
    <row r="2014" spans="1:8">
      <c r="A2014" s="83" t="s">
        <v>6096</v>
      </c>
      <c r="B2014" s="83" t="s">
        <v>6017</v>
      </c>
      <c r="C2014" s="83" t="s">
        <v>6096</v>
      </c>
      <c r="D2014" s="83" t="s">
        <v>6176</v>
      </c>
      <c r="E2014" s="84">
        <f>sch_health_nsw_wasted_ng_f</f>
        <v>0</v>
      </c>
      <c r="F2014" s="83" t="b">
        <v>1</v>
      </c>
      <c r="G2014" s="83"/>
      <c r="H2014" s="83"/>
    </row>
    <row r="2015" spans="1:8">
      <c r="A2015" s="83" t="s">
        <v>6177</v>
      </c>
      <c r="B2015" s="83" t="s">
        <v>6017</v>
      </c>
      <c r="C2015" s="83" t="s">
        <v>6177</v>
      </c>
      <c r="D2015" s="83" t="s">
        <v>6241</v>
      </c>
      <c r="E2015" s="84">
        <f>sch_health_nsh_severelystunted_k_m</f>
        <v>2</v>
      </c>
      <c r="F2015" s="83" t="b">
        <v>1</v>
      </c>
      <c r="G2015" s="83"/>
      <c r="H2015" s="83"/>
    </row>
    <row r="2016" spans="1:8">
      <c r="A2016" s="83" t="s">
        <v>6178</v>
      </c>
      <c r="B2016" s="83" t="s">
        <v>6017</v>
      </c>
      <c r="C2016" s="83" t="s">
        <v>6178</v>
      </c>
      <c r="D2016" s="83" t="s">
        <v>6242</v>
      </c>
      <c r="E2016" s="84">
        <f>sch_health_nsh_severelystunted_k_f</f>
        <v>1</v>
      </c>
      <c r="F2016" s="83" t="b">
        <v>1</v>
      </c>
      <c r="G2016" s="83"/>
      <c r="H2016" s="83"/>
    </row>
    <row r="2017" spans="1:8">
      <c r="A2017" s="83" t="s">
        <v>6179</v>
      </c>
      <c r="B2017" s="83" t="s">
        <v>6017</v>
      </c>
      <c r="C2017" s="83" t="s">
        <v>6179</v>
      </c>
      <c r="D2017" s="83" t="s">
        <v>6243</v>
      </c>
      <c r="E2017" s="84">
        <f>sch_health_nsh_severelystunted_g1_m</f>
        <v>4</v>
      </c>
      <c r="F2017" s="83" t="b">
        <v>1</v>
      </c>
      <c r="G2017" s="83"/>
      <c r="H2017" s="83"/>
    </row>
    <row r="2018" spans="1:8">
      <c r="A2018" s="83" t="s">
        <v>6180</v>
      </c>
      <c r="B2018" s="83" t="s">
        <v>6017</v>
      </c>
      <c r="C2018" s="83" t="s">
        <v>6180</v>
      </c>
      <c r="D2018" s="83" t="s">
        <v>6244</v>
      </c>
      <c r="E2018" s="84">
        <f>sch_health_nsh_severelystunted_g1_f</f>
        <v>0</v>
      </c>
      <c r="F2018" s="83" t="b">
        <v>1</v>
      </c>
      <c r="G2018" s="83"/>
      <c r="H2018" s="83"/>
    </row>
    <row r="2019" spans="1:8">
      <c r="A2019" s="83" t="s">
        <v>6181</v>
      </c>
      <c r="B2019" s="83" t="s">
        <v>6017</v>
      </c>
      <c r="C2019" s="83" t="s">
        <v>6181</v>
      </c>
      <c r="D2019" s="83" t="s">
        <v>6245</v>
      </c>
      <c r="E2019" s="84">
        <f>sch_health_nsh_severelystunted_g2_m</f>
        <v>3</v>
      </c>
      <c r="F2019" s="83" t="b">
        <v>1</v>
      </c>
      <c r="G2019" s="83"/>
      <c r="H2019" s="83"/>
    </row>
    <row r="2020" spans="1:8">
      <c r="A2020" s="83" t="s">
        <v>6182</v>
      </c>
      <c r="B2020" s="83" t="s">
        <v>6017</v>
      </c>
      <c r="C2020" s="83" t="s">
        <v>6182</v>
      </c>
      <c r="D2020" s="83" t="s">
        <v>6246</v>
      </c>
      <c r="E2020" s="84">
        <f>sch_health_nsh_severelystunted_g2_f</f>
        <v>1</v>
      </c>
      <c r="F2020" s="83" t="b">
        <v>1</v>
      </c>
      <c r="G2020" s="83"/>
      <c r="H2020" s="83"/>
    </row>
    <row r="2021" spans="1:8">
      <c r="A2021" s="83" t="s">
        <v>6183</v>
      </c>
      <c r="B2021" s="83" t="s">
        <v>6017</v>
      </c>
      <c r="C2021" s="83" t="s">
        <v>6183</v>
      </c>
      <c r="D2021" s="83" t="s">
        <v>6247</v>
      </c>
      <c r="E2021" s="84">
        <f>sch_health_nsh_severelystunted_g3_m</f>
        <v>0</v>
      </c>
      <c r="F2021" s="83" t="b">
        <v>1</v>
      </c>
      <c r="G2021" s="83"/>
      <c r="H2021" s="83"/>
    </row>
    <row r="2022" spans="1:8">
      <c r="A2022" s="83" t="s">
        <v>6184</v>
      </c>
      <c r="B2022" s="83" t="s">
        <v>6017</v>
      </c>
      <c r="C2022" s="83" t="s">
        <v>6184</v>
      </c>
      <c r="D2022" s="83" t="s">
        <v>6248</v>
      </c>
      <c r="E2022" s="84">
        <f>sch_health_nsh_severelystunted_g3_f</f>
        <v>0</v>
      </c>
      <c r="F2022" s="83" t="b">
        <v>1</v>
      </c>
      <c r="G2022" s="83"/>
      <c r="H2022" s="83"/>
    </row>
    <row r="2023" spans="1:8">
      <c r="A2023" s="83" t="s">
        <v>6185</v>
      </c>
      <c r="B2023" s="83" t="s">
        <v>6017</v>
      </c>
      <c r="C2023" s="83" t="s">
        <v>6185</v>
      </c>
      <c r="D2023" s="83" t="s">
        <v>6249</v>
      </c>
      <c r="E2023" s="84">
        <f>sch_health_nsh_severelystunted_g4_m</f>
        <v>1</v>
      </c>
      <c r="F2023" s="83" t="b">
        <v>1</v>
      </c>
      <c r="G2023" s="83"/>
      <c r="H2023" s="83"/>
    </row>
    <row r="2024" spans="1:8">
      <c r="A2024" s="83" t="s">
        <v>6186</v>
      </c>
      <c r="B2024" s="83" t="s">
        <v>6017</v>
      </c>
      <c r="C2024" s="83" t="s">
        <v>6186</v>
      </c>
      <c r="D2024" s="83" t="s">
        <v>6250</v>
      </c>
      <c r="E2024" s="84">
        <f>sch_health_nsh_severelystunted_g4_f</f>
        <v>4</v>
      </c>
      <c r="F2024" s="83" t="b">
        <v>1</v>
      </c>
      <c r="G2024" s="83"/>
      <c r="H2024" s="83"/>
    </row>
    <row r="2025" spans="1:8">
      <c r="A2025" s="83" t="s">
        <v>6187</v>
      </c>
      <c r="B2025" s="83" t="s">
        <v>6017</v>
      </c>
      <c r="C2025" s="83" t="s">
        <v>6187</v>
      </c>
      <c r="D2025" s="83" t="s">
        <v>6251</v>
      </c>
      <c r="E2025" s="84">
        <f>sch_health_nsh_severelystunted_g5_m</f>
        <v>3</v>
      </c>
      <c r="F2025" s="83" t="b">
        <v>1</v>
      </c>
      <c r="G2025" s="83"/>
      <c r="H2025" s="83"/>
    </row>
    <row r="2026" spans="1:8">
      <c r="A2026" s="83" t="s">
        <v>6188</v>
      </c>
      <c r="B2026" s="83" t="s">
        <v>6017</v>
      </c>
      <c r="C2026" s="83" t="s">
        <v>6188</v>
      </c>
      <c r="D2026" s="83" t="s">
        <v>6252</v>
      </c>
      <c r="E2026" s="84">
        <f>sch_health_nsh_severelystunted_g5_f</f>
        <v>0</v>
      </c>
      <c r="F2026" s="83" t="b">
        <v>1</v>
      </c>
      <c r="G2026" s="83"/>
      <c r="H2026" s="83"/>
    </row>
    <row r="2027" spans="1:8">
      <c r="A2027" s="83" t="s">
        <v>6189</v>
      </c>
      <c r="B2027" s="83" t="s">
        <v>6017</v>
      </c>
      <c r="C2027" s="83" t="s">
        <v>6189</v>
      </c>
      <c r="D2027" s="83" t="s">
        <v>6253</v>
      </c>
      <c r="E2027" s="84">
        <f>sch_health_nsh_severelystunted_g6_m</f>
        <v>4</v>
      </c>
      <c r="F2027" s="83" t="b">
        <v>1</v>
      </c>
      <c r="G2027" s="83"/>
      <c r="H2027" s="83"/>
    </row>
    <row r="2028" spans="1:8">
      <c r="A2028" s="83" t="s">
        <v>6190</v>
      </c>
      <c r="B2028" s="83" t="s">
        <v>6017</v>
      </c>
      <c r="C2028" s="83" t="s">
        <v>6190</v>
      </c>
      <c r="D2028" s="83" t="s">
        <v>6254</v>
      </c>
      <c r="E2028" s="84">
        <f>sch_health_nsh_severelystunted_g6_f</f>
        <v>1</v>
      </c>
      <c r="F2028" s="83" t="b">
        <v>1</v>
      </c>
      <c r="G2028" s="83"/>
      <c r="H2028" s="83"/>
    </row>
    <row r="2029" spans="1:8">
      <c r="A2029" s="83" t="s">
        <v>6191</v>
      </c>
      <c r="B2029" s="83" t="s">
        <v>6017</v>
      </c>
      <c r="C2029" s="83" t="s">
        <v>6191</v>
      </c>
      <c r="D2029" s="83" t="s">
        <v>6255</v>
      </c>
      <c r="E2029" s="84">
        <f>sch_health_nsh_severelystunted_ng_m</f>
        <v>0</v>
      </c>
      <c r="F2029" s="83" t="b">
        <v>1</v>
      </c>
      <c r="G2029" s="83"/>
      <c r="H2029" s="83"/>
    </row>
    <row r="2030" spans="1:8">
      <c r="A2030" s="83" t="s">
        <v>6192</v>
      </c>
      <c r="B2030" s="83" t="s">
        <v>6017</v>
      </c>
      <c r="C2030" s="83" t="s">
        <v>6192</v>
      </c>
      <c r="D2030" s="83" t="s">
        <v>6256</v>
      </c>
      <c r="E2030" s="84">
        <f>sch_health_nsh_severelystunted_ng_f</f>
        <v>0</v>
      </c>
      <c r="F2030" s="83" t="b">
        <v>1</v>
      </c>
      <c r="G2030" s="83"/>
      <c r="H2030" s="83"/>
    </row>
    <row r="2031" spans="1:8">
      <c r="A2031" s="83" t="s">
        <v>6193</v>
      </c>
      <c r="B2031" s="83" t="s">
        <v>6017</v>
      </c>
      <c r="C2031" s="83" t="s">
        <v>6193</v>
      </c>
      <c r="D2031" s="83" t="s">
        <v>6257</v>
      </c>
      <c r="E2031" s="84">
        <f>sch_health_nsh_stunted_k_m</f>
        <v>7</v>
      </c>
      <c r="F2031" s="83" t="b">
        <v>1</v>
      </c>
      <c r="G2031" s="83"/>
      <c r="H2031" s="83"/>
    </row>
    <row r="2032" spans="1:8">
      <c r="A2032" s="83" t="s">
        <v>6194</v>
      </c>
      <c r="B2032" s="83" t="s">
        <v>6017</v>
      </c>
      <c r="C2032" s="83" t="s">
        <v>6194</v>
      </c>
      <c r="D2032" s="83" t="s">
        <v>6258</v>
      </c>
      <c r="E2032" s="84">
        <f>sch_health_nsh_stunted_k_f</f>
        <v>5</v>
      </c>
      <c r="F2032" s="83" t="b">
        <v>1</v>
      </c>
      <c r="G2032" s="83"/>
      <c r="H2032" s="83"/>
    </row>
    <row r="2033" spans="1:8">
      <c r="A2033" s="83" t="s">
        <v>6195</v>
      </c>
      <c r="B2033" s="83" t="s">
        <v>6017</v>
      </c>
      <c r="C2033" s="83" t="s">
        <v>6195</v>
      </c>
      <c r="D2033" s="83" t="s">
        <v>6259</v>
      </c>
      <c r="E2033" s="84">
        <f>sch_health_nsh_stunted_g1_m</f>
        <v>7</v>
      </c>
      <c r="F2033" s="83" t="b">
        <v>1</v>
      </c>
      <c r="G2033" s="83"/>
      <c r="H2033" s="83"/>
    </row>
    <row r="2034" spans="1:8">
      <c r="A2034" s="83" t="s">
        <v>6196</v>
      </c>
      <c r="B2034" s="83" t="s">
        <v>6017</v>
      </c>
      <c r="C2034" s="83" t="s">
        <v>6196</v>
      </c>
      <c r="D2034" s="83" t="s">
        <v>6260</v>
      </c>
      <c r="E2034" s="84">
        <f>sch_health_nsh_stunted_g1_f</f>
        <v>9</v>
      </c>
      <c r="F2034" s="83" t="b">
        <v>1</v>
      </c>
      <c r="G2034" s="83"/>
      <c r="H2034" s="83"/>
    </row>
    <row r="2035" spans="1:8">
      <c r="A2035" s="83" t="s">
        <v>6197</v>
      </c>
      <c r="B2035" s="83" t="s">
        <v>6017</v>
      </c>
      <c r="C2035" s="83" t="s">
        <v>6197</v>
      </c>
      <c r="D2035" s="83" t="s">
        <v>6261</v>
      </c>
      <c r="E2035" s="84">
        <f>sch_health_nsh_stunted_g2_m</f>
        <v>12</v>
      </c>
      <c r="F2035" s="83" t="b">
        <v>1</v>
      </c>
      <c r="G2035" s="83"/>
      <c r="H2035" s="83"/>
    </row>
    <row r="2036" spans="1:8">
      <c r="A2036" s="83" t="s">
        <v>6198</v>
      </c>
      <c r="B2036" s="83" t="s">
        <v>6017</v>
      </c>
      <c r="C2036" s="83" t="s">
        <v>6198</v>
      </c>
      <c r="D2036" s="83" t="s">
        <v>6262</v>
      </c>
      <c r="E2036" s="84">
        <f>sch_health_nsh_stunted_g2_f</f>
        <v>3</v>
      </c>
      <c r="F2036" s="83" t="b">
        <v>1</v>
      </c>
      <c r="G2036" s="83"/>
      <c r="H2036" s="83"/>
    </row>
    <row r="2037" spans="1:8">
      <c r="A2037" s="83" t="s">
        <v>6199</v>
      </c>
      <c r="B2037" s="83" t="s">
        <v>6017</v>
      </c>
      <c r="C2037" s="83" t="s">
        <v>6199</v>
      </c>
      <c r="D2037" s="83" t="s">
        <v>6263</v>
      </c>
      <c r="E2037" s="84">
        <f>sch_health_nsh_stunted_g3_m</f>
        <v>8</v>
      </c>
      <c r="F2037" s="83" t="b">
        <v>1</v>
      </c>
      <c r="G2037" s="83"/>
      <c r="H2037" s="83"/>
    </row>
    <row r="2038" spans="1:8">
      <c r="A2038" s="83" t="s">
        <v>6200</v>
      </c>
      <c r="B2038" s="83" t="s">
        <v>6017</v>
      </c>
      <c r="C2038" s="83" t="s">
        <v>6200</v>
      </c>
      <c r="D2038" s="83" t="s">
        <v>6264</v>
      </c>
      <c r="E2038" s="84">
        <f>sch_health_nsh_stunted_g3_f</f>
        <v>4</v>
      </c>
      <c r="F2038" s="83" t="b">
        <v>1</v>
      </c>
      <c r="G2038" s="83"/>
      <c r="H2038" s="83"/>
    </row>
    <row r="2039" spans="1:8">
      <c r="A2039" s="83" t="s">
        <v>6201</v>
      </c>
      <c r="B2039" s="83" t="s">
        <v>6017</v>
      </c>
      <c r="C2039" s="83" t="s">
        <v>6201</v>
      </c>
      <c r="D2039" s="83" t="s">
        <v>6265</v>
      </c>
      <c r="E2039" s="84">
        <f>sch_health_nsh_stunted_g4_m</f>
        <v>11</v>
      </c>
      <c r="F2039" s="83" t="b">
        <v>1</v>
      </c>
      <c r="G2039" s="83"/>
      <c r="H2039" s="83"/>
    </row>
    <row r="2040" spans="1:8">
      <c r="A2040" s="83" t="s">
        <v>6202</v>
      </c>
      <c r="B2040" s="83" t="s">
        <v>6017</v>
      </c>
      <c r="C2040" s="83" t="s">
        <v>6202</v>
      </c>
      <c r="D2040" s="83" t="s">
        <v>6266</v>
      </c>
      <c r="E2040" s="84">
        <f>sch_health_nsh_stunted_g4_f</f>
        <v>8</v>
      </c>
      <c r="F2040" s="83" t="b">
        <v>1</v>
      </c>
      <c r="G2040" s="83"/>
      <c r="H2040" s="83"/>
    </row>
    <row r="2041" spans="1:8">
      <c r="A2041" s="83" t="s">
        <v>6203</v>
      </c>
      <c r="B2041" s="83" t="s">
        <v>6017</v>
      </c>
      <c r="C2041" s="83" t="s">
        <v>6203</v>
      </c>
      <c r="D2041" s="83" t="s">
        <v>6267</v>
      </c>
      <c r="E2041" s="84">
        <f>sch_health_nsh_stunted_g5_m</f>
        <v>15</v>
      </c>
      <c r="F2041" s="83" t="b">
        <v>1</v>
      </c>
      <c r="G2041" s="83"/>
      <c r="H2041" s="83"/>
    </row>
    <row r="2042" spans="1:8">
      <c r="A2042" s="83" t="s">
        <v>6204</v>
      </c>
      <c r="B2042" s="83" t="s">
        <v>6017</v>
      </c>
      <c r="C2042" s="83" t="s">
        <v>6204</v>
      </c>
      <c r="D2042" s="83" t="s">
        <v>6268</v>
      </c>
      <c r="E2042" s="84">
        <f>sch_health_nsh_stunted_g5_f</f>
        <v>6</v>
      </c>
      <c r="F2042" s="83" t="b">
        <v>1</v>
      </c>
      <c r="G2042" s="83"/>
      <c r="H2042" s="83"/>
    </row>
    <row r="2043" spans="1:8">
      <c r="A2043" s="83" t="s">
        <v>6205</v>
      </c>
      <c r="B2043" s="83" t="s">
        <v>6017</v>
      </c>
      <c r="C2043" s="83" t="s">
        <v>6205</v>
      </c>
      <c r="D2043" s="83" t="s">
        <v>6269</v>
      </c>
      <c r="E2043" s="84">
        <f>sch_health_nsh_stunted_g6_m</f>
        <v>15</v>
      </c>
      <c r="F2043" s="83" t="b">
        <v>1</v>
      </c>
      <c r="G2043" s="83"/>
      <c r="H2043" s="83"/>
    </row>
    <row r="2044" spans="1:8">
      <c r="A2044" s="83" t="s">
        <v>6206</v>
      </c>
      <c r="B2044" s="83" t="s">
        <v>6017</v>
      </c>
      <c r="C2044" s="83" t="s">
        <v>6206</v>
      </c>
      <c r="D2044" s="83" t="s">
        <v>6270</v>
      </c>
      <c r="E2044" s="84">
        <f>sch_health_nsh_stunted_g6_f</f>
        <v>12</v>
      </c>
      <c r="F2044" s="83" t="b">
        <v>1</v>
      </c>
      <c r="G2044" s="83"/>
      <c r="H2044" s="83"/>
    </row>
    <row r="2045" spans="1:8">
      <c r="A2045" s="83" t="s">
        <v>6207</v>
      </c>
      <c r="B2045" s="83" t="s">
        <v>6017</v>
      </c>
      <c r="C2045" s="83" t="s">
        <v>6207</v>
      </c>
      <c r="D2045" s="83" t="s">
        <v>6271</v>
      </c>
      <c r="E2045" s="84">
        <f>sch_health_nsh_stunted_ng_m</f>
        <v>0</v>
      </c>
      <c r="F2045" s="83" t="b">
        <v>1</v>
      </c>
      <c r="G2045" s="83"/>
      <c r="H2045" s="83"/>
    </row>
    <row r="2046" spans="1:8">
      <c r="A2046" s="83" t="s">
        <v>6208</v>
      </c>
      <c r="B2046" s="83" t="s">
        <v>6017</v>
      </c>
      <c r="C2046" s="83" t="s">
        <v>6208</v>
      </c>
      <c r="D2046" s="83" t="s">
        <v>6272</v>
      </c>
      <c r="E2046" s="84">
        <f>sch_health_nsh_stunted_ng_f</f>
        <v>0</v>
      </c>
      <c r="F2046" s="83" t="b">
        <v>1</v>
      </c>
      <c r="G2046" s="83"/>
      <c r="H2046" s="83"/>
    </row>
    <row r="2047" spans="1:8">
      <c r="A2047" s="83" t="s">
        <v>6209</v>
      </c>
      <c r="B2047" s="83" t="s">
        <v>6017</v>
      </c>
      <c r="C2047" s="83" t="s">
        <v>6209</v>
      </c>
      <c r="D2047" s="83" t="s">
        <v>6273</v>
      </c>
      <c r="E2047" s="84">
        <f>sch_health_nsh_normal_k_m</f>
        <v>48</v>
      </c>
      <c r="F2047" s="83" t="b">
        <v>1</v>
      </c>
      <c r="G2047" s="83"/>
      <c r="H2047" s="83"/>
    </row>
    <row r="2048" spans="1:8">
      <c r="A2048" s="83" t="s">
        <v>6210</v>
      </c>
      <c r="B2048" s="83" t="s">
        <v>6017</v>
      </c>
      <c r="C2048" s="83" t="s">
        <v>6210</v>
      </c>
      <c r="D2048" s="83" t="s">
        <v>6274</v>
      </c>
      <c r="E2048" s="84">
        <f>sch_health_nsh_normal_k_f</f>
        <v>40</v>
      </c>
      <c r="F2048" s="83" t="b">
        <v>1</v>
      </c>
      <c r="G2048" s="83"/>
      <c r="H2048" s="83"/>
    </row>
    <row r="2049" spans="1:8">
      <c r="A2049" s="83" t="s">
        <v>6211</v>
      </c>
      <c r="B2049" s="83" t="s">
        <v>6017</v>
      </c>
      <c r="C2049" s="83" t="s">
        <v>6211</v>
      </c>
      <c r="D2049" s="83" t="s">
        <v>6275</v>
      </c>
      <c r="E2049" s="84">
        <f>sch_health_nsh_normal_g1_m</f>
        <v>43</v>
      </c>
      <c r="F2049" s="83" t="b">
        <v>1</v>
      </c>
      <c r="G2049" s="83"/>
      <c r="H2049" s="83"/>
    </row>
    <row r="2050" spans="1:8">
      <c r="A2050" s="83" t="s">
        <v>6212</v>
      </c>
      <c r="B2050" s="83" t="s">
        <v>6017</v>
      </c>
      <c r="C2050" s="83" t="s">
        <v>6212</v>
      </c>
      <c r="D2050" s="83" t="s">
        <v>6276</v>
      </c>
      <c r="E2050" s="84">
        <f>sch_health_nsh_normal_g1_f</f>
        <v>45</v>
      </c>
      <c r="F2050" s="83" t="b">
        <v>1</v>
      </c>
      <c r="G2050" s="83"/>
      <c r="H2050" s="83"/>
    </row>
    <row r="2051" spans="1:8">
      <c r="A2051" s="83" t="s">
        <v>6213</v>
      </c>
      <c r="B2051" s="83" t="s">
        <v>6017</v>
      </c>
      <c r="C2051" s="83" t="s">
        <v>6213</v>
      </c>
      <c r="D2051" s="83" t="s">
        <v>6277</v>
      </c>
      <c r="E2051" s="84">
        <f>sch_health_nsh_normal_g2_m</f>
        <v>46</v>
      </c>
      <c r="F2051" s="83" t="b">
        <v>1</v>
      </c>
      <c r="G2051" s="83"/>
      <c r="H2051" s="83"/>
    </row>
    <row r="2052" spans="1:8">
      <c r="A2052" s="83" t="s">
        <v>6214</v>
      </c>
      <c r="B2052" s="83" t="s">
        <v>6017</v>
      </c>
      <c r="C2052" s="83" t="s">
        <v>6214</v>
      </c>
      <c r="D2052" s="83" t="s">
        <v>6278</v>
      </c>
      <c r="E2052" s="84">
        <f>sch_health_nsh_normal_g2_f</f>
        <v>40</v>
      </c>
      <c r="F2052" s="83" t="b">
        <v>1</v>
      </c>
      <c r="G2052" s="83"/>
      <c r="H2052" s="83"/>
    </row>
    <row r="2053" spans="1:8">
      <c r="A2053" s="83" t="s">
        <v>6215</v>
      </c>
      <c r="B2053" s="83" t="s">
        <v>6017</v>
      </c>
      <c r="C2053" s="83" t="s">
        <v>6215</v>
      </c>
      <c r="D2053" s="83" t="s">
        <v>6279</v>
      </c>
      <c r="E2053" s="84">
        <f>sch_health_nsh_normal_g3_m</f>
        <v>44</v>
      </c>
      <c r="F2053" s="83" t="b">
        <v>1</v>
      </c>
      <c r="G2053" s="83"/>
      <c r="H2053" s="83"/>
    </row>
    <row r="2054" spans="1:8">
      <c r="A2054" s="83" t="s">
        <v>6216</v>
      </c>
      <c r="B2054" s="83" t="s">
        <v>6017</v>
      </c>
      <c r="C2054" s="83" t="s">
        <v>6216</v>
      </c>
      <c r="D2054" s="83" t="s">
        <v>6280</v>
      </c>
      <c r="E2054" s="84">
        <f>sch_health_nsh_normal_g3_f</f>
        <v>53</v>
      </c>
      <c r="F2054" s="83" t="b">
        <v>1</v>
      </c>
      <c r="G2054" s="83"/>
      <c r="H2054" s="83"/>
    </row>
    <row r="2055" spans="1:8">
      <c r="A2055" s="83" t="s">
        <v>6217</v>
      </c>
      <c r="B2055" s="83" t="s">
        <v>6017</v>
      </c>
      <c r="C2055" s="83" t="s">
        <v>6217</v>
      </c>
      <c r="D2055" s="83" t="s">
        <v>6281</v>
      </c>
      <c r="E2055" s="84">
        <f>sch_health_nsh_normal_g4_m</f>
        <v>66</v>
      </c>
      <c r="F2055" s="83" t="b">
        <v>1</v>
      </c>
      <c r="G2055" s="83"/>
      <c r="H2055" s="83"/>
    </row>
    <row r="2056" spans="1:8">
      <c r="A2056" s="83" t="s">
        <v>6218</v>
      </c>
      <c r="B2056" s="83" t="s">
        <v>6017</v>
      </c>
      <c r="C2056" s="83" t="s">
        <v>6218</v>
      </c>
      <c r="D2056" s="83" t="s">
        <v>6282</v>
      </c>
      <c r="E2056" s="84">
        <f>sch_health_nsh_normal_g4_f</f>
        <v>50</v>
      </c>
      <c r="F2056" s="83" t="b">
        <v>1</v>
      </c>
      <c r="G2056" s="83"/>
      <c r="H2056" s="83"/>
    </row>
    <row r="2057" spans="1:8">
      <c r="A2057" s="83" t="s">
        <v>6219</v>
      </c>
      <c r="B2057" s="83" t="s">
        <v>6017</v>
      </c>
      <c r="C2057" s="83" t="s">
        <v>6219</v>
      </c>
      <c r="D2057" s="83" t="s">
        <v>6283</v>
      </c>
      <c r="E2057" s="84">
        <f>sch_health_nsh_normal_g5_m</f>
        <v>48</v>
      </c>
      <c r="F2057" s="83" t="b">
        <v>1</v>
      </c>
      <c r="G2057" s="83"/>
      <c r="H2057" s="83"/>
    </row>
    <row r="2058" spans="1:8">
      <c r="A2058" s="83" t="s">
        <v>6220</v>
      </c>
      <c r="B2058" s="83" t="s">
        <v>6017</v>
      </c>
      <c r="C2058" s="83" t="s">
        <v>6220</v>
      </c>
      <c r="D2058" s="83" t="s">
        <v>6284</v>
      </c>
      <c r="E2058" s="84">
        <f>sch_health_nsh_normal_g5_f</f>
        <v>52</v>
      </c>
      <c r="F2058" s="83" t="b">
        <v>1</v>
      </c>
      <c r="G2058" s="83"/>
      <c r="H2058" s="83"/>
    </row>
    <row r="2059" spans="1:8">
      <c r="A2059" s="83" t="s">
        <v>6221</v>
      </c>
      <c r="B2059" s="83" t="s">
        <v>6017</v>
      </c>
      <c r="C2059" s="83" t="s">
        <v>6221</v>
      </c>
      <c r="D2059" s="83" t="s">
        <v>6285</v>
      </c>
      <c r="E2059" s="84">
        <f>sch_health_nsh_normal_g6_m</f>
        <v>25</v>
      </c>
      <c r="F2059" s="83" t="b">
        <v>1</v>
      </c>
      <c r="G2059" s="83"/>
      <c r="H2059" s="83"/>
    </row>
    <row r="2060" spans="1:8">
      <c r="A2060" s="83" t="s">
        <v>6222</v>
      </c>
      <c r="B2060" s="83" t="s">
        <v>6017</v>
      </c>
      <c r="C2060" s="83" t="s">
        <v>6222</v>
      </c>
      <c r="D2060" s="83" t="s">
        <v>6286</v>
      </c>
      <c r="E2060" s="84">
        <f>sch_health_nsh_normal_g6_f</f>
        <v>18</v>
      </c>
      <c r="F2060" s="83" t="b">
        <v>1</v>
      </c>
      <c r="G2060" s="83"/>
      <c r="H2060" s="83"/>
    </row>
    <row r="2061" spans="1:8">
      <c r="A2061" s="83" t="s">
        <v>6223</v>
      </c>
      <c r="B2061" s="83" t="s">
        <v>6017</v>
      </c>
      <c r="C2061" s="83" t="s">
        <v>6223</v>
      </c>
      <c r="D2061" s="83" t="s">
        <v>6287</v>
      </c>
      <c r="E2061" s="84">
        <f>sch_health_nsh_normal_ng_m</f>
        <v>0</v>
      </c>
      <c r="F2061" s="83" t="b">
        <v>1</v>
      </c>
      <c r="G2061" s="83"/>
      <c r="H2061" s="83"/>
    </row>
    <row r="2062" spans="1:8">
      <c r="A2062" s="83" t="s">
        <v>6224</v>
      </c>
      <c r="B2062" s="83" t="s">
        <v>6017</v>
      </c>
      <c r="C2062" s="83" t="s">
        <v>6224</v>
      </c>
      <c r="D2062" s="83" t="s">
        <v>6288</v>
      </c>
      <c r="E2062" s="84">
        <f>sch_health_nsh_normal_ng_f</f>
        <v>0</v>
      </c>
      <c r="F2062" s="83" t="b">
        <v>1</v>
      </c>
      <c r="G2062" s="83"/>
      <c r="H2062" s="83"/>
    </row>
    <row r="2063" spans="1:8">
      <c r="A2063" s="83" t="s">
        <v>6225</v>
      </c>
      <c r="B2063" s="83" t="s">
        <v>6017</v>
      </c>
      <c r="C2063" s="83" t="s">
        <v>6225</v>
      </c>
      <c r="D2063" s="83" t="s">
        <v>6289</v>
      </c>
      <c r="E2063" s="84">
        <f>sch_health_nsh_tall_k_m</f>
        <v>0</v>
      </c>
      <c r="F2063" s="83" t="b">
        <v>1</v>
      </c>
      <c r="G2063" s="83"/>
      <c r="H2063" s="83"/>
    </row>
    <row r="2064" spans="1:8">
      <c r="A2064" s="83" t="s">
        <v>6226</v>
      </c>
      <c r="B2064" s="83" t="s">
        <v>6017</v>
      </c>
      <c r="C2064" s="83" t="s">
        <v>6226</v>
      </c>
      <c r="D2064" s="83" t="s">
        <v>6290</v>
      </c>
      <c r="E2064" s="84">
        <f>sch_health_nsh_tall_k_f</f>
        <v>0</v>
      </c>
      <c r="F2064" s="83" t="b">
        <v>1</v>
      </c>
      <c r="G2064" s="83"/>
      <c r="H2064" s="83"/>
    </row>
    <row r="2065" spans="1:8">
      <c r="A2065" s="83" t="s">
        <v>6227</v>
      </c>
      <c r="B2065" s="83" t="s">
        <v>6017</v>
      </c>
      <c r="C2065" s="83" t="s">
        <v>6227</v>
      </c>
      <c r="D2065" s="83" t="s">
        <v>6291</v>
      </c>
      <c r="E2065" s="84">
        <f>sch_health_nsh_tall_g1_m</f>
        <v>0</v>
      </c>
      <c r="F2065" s="83" t="b">
        <v>1</v>
      </c>
      <c r="G2065" s="83"/>
      <c r="H2065" s="83"/>
    </row>
    <row r="2066" spans="1:8">
      <c r="A2066" s="83" t="s">
        <v>6228</v>
      </c>
      <c r="B2066" s="83" t="s">
        <v>6017</v>
      </c>
      <c r="C2066" s="83" t="s">
        <v>6228</v>
      </c>
      <c r="D2066" s="83" t="s">
        <v>6292</v>
      </c>
      <c r="E2066" s="84">
        <f>sch_health_nsh_tall_g1_f</f>
        <v>0</v>
      </c>
      <c r="F2066" s="83" t="b">
        <v>1</v>
      </c>
      <c r="G2066" s="83"/>
      <c r="H2066" s="83"/>
    </row>
    <row r="2067" spans="1:8">
      <c r="A2067" s="83" t="s">
        <v>6229</v>
      </c>
      <c r="B2067" s="83" t="s">
        <v>6017</v>
      </c>
      <c r="C2067" s="83" t="s">
        <v>6229</v>
      </c>
      <c r="D2067" s="83" t="s">
        <v>6293</v>
      </c>
      <c r="E2067" s="84">
        <f>sch_health_nsh_tall_g2_m</f>
        <v>0</v>
      </c>
      <c r="F2067" s="83" t="b">
        <v>1</v>
      </c>
      <c r="G2067" s="83"/>
      <c r="H2067" s="83"/>
    </row>
    <row r="2068" spans="1:8">
      <c r="A2068" s="83" t="s">
        <v>6230</v>
      </c>
      <c r="B2068" s="83" t="s">
        <v>6017</v>
      </c>
      <c r="C2068" s="83" t="s">
        <v>6230</v>
      </c>
      <c r="D2068" s="83" t="s">
        <v>6294</v>
      </c>
      <c r="E2068" s="84">
        <f>sch_health_nsh_tall_g2_f</f>
        <v>0</v>
      </c>
      <c r="F2068" s="83" t="b">
        <v>1</v>
      </c>
      <c r="G2068" s="83"/>
      <c r="H2068" s="83"/>
    </row>
    <row r="2069" spans="1:8">
      <c r="A2069" s="83" t="s">
        <v>6231</v>
      </c>
      <c r="B2069" s="83" t="s">
        <v>6017</v>
      </c>
      <c r="C2069" s="83" t="s">
        <v>6231</v>
      </c>
      <c r="D2069" s="83" t="s">
        <v>6295</v>
      </c>
      <c r="E2069" s="84">
        <f>sch_health_nsh_tall_g3_m</f>
        <v>0</v>
      </c>
      <c r="F2069" s="83" t="b">
        <v>1</v>
      </c>
      <c r="G2069" s="83"/>
      <c r="H2069" s="83"/>
    </row>
    <row r="2070" spans="1:8">
      <c r="A2070" s="83" t="s">
        <v>6232</v>
      </c>
      <c r="B2070" s="83" t="s">
        <v>6017</v>
      </c>
      <c r="C2070" s="83" t="s">
        <v>6232</v>
      </c>
      <c r="D2070" s="83" t="s">
        <v>6296</v>
      </c>
      <c r="E2070" s="84">
        <f>sch_health_nsh_tall_g3_f</f>
        <v>0</v>
      </c>
      <c r="F2070" s="83" t="b">
        <v>1</v>
      </c>
      <c r="G2070" s="83"/>
      <c r="H2070" s="83"/>
    </row>
    <row r="2071" spans="1:8">
      <c r="A2071" s="83" t="s">
        <v>6233</v>
      </c>
      <c r="B2071" s="83" t="s">
        <v>6017</v>
      </c>
      <c r="C2071" s="83" t="s">
        <v>6233</v>
      </c>
      <c r="D2071" s="83" t="s">
        <v>6297</v>
      </c>
      <c r="E2071" s="84">
        <f>sch_health_nsh_tall_g4_m</f>
        <v>1</v>
      </c>
      <c r="F2071" s="83" t="b">
        <v>1</v>
      </c>
      <c r="G2071" s="83"/>
      <c r="H2071" s="83"/>
    </row>
    <row r="2072" spans="1:8">
      <c r="A2072" s="83" t="s">
        <v>6234</v>
      </c>
      <c r="B2072" s="83" t="s">
        <v>6017</v>
      </c>
      <c r="C2072" s="83" t="s">
        <v>6234</v>
      </c>
      <c r="D2072" s="83" t="s">
        <v>6298</v>
      </c>
      <c r="E2072" s="84">
        <f>sch_health_nsh_tall_g4_f</f>
        <v>0</v>
      </c>
      <c r="F2072" s="83" t="b">
        <v>1</v>
      </c>
      <c r="G2072" s="83"/>
      <c r="H2072" s="83"/>
    </row>
    <row r="2073" spans="1:8">
      <c r="A2073" s="83" t="s">
        <v>6235</v>
      </c>
      <c r="B2073" s="83" t="s">
        <v>6017</v>
      </c>
      <c r="C2073" s="83" t="s">
        <v>6235</v>
      </c>
      <c r="D2073" s="83" t="s">
        <v>6299</v>
      </c>
      <c r="E2073" s="84">
        <f>sch_health_nsh_tall_g5_m</f>
        <v>0</v>
      </c>
      <c r="F2073" s="83" t="b">
        <v>1</v>
      </c>
      <c r="G2073" s="83"/>
      <c r="H2073" s="83"/>
    </row>
    <row r="2074" spans="1:8">
      <c r="A2074" s="83" t="s">
        <v>6236</v>
      </c>
      <c r="B2074" s="83" t="s">
        <v>6017</v>
      </c>
      <c r="C2074" s="83" t="s">
        <v>6236</v>
      </c>
      <c r="D2074" s="83" t="s">
        <v>6300</v>
      </c>
      <c r="E2074" s="84">
        <f>sch_health_nsh_tall_g5_f</f>
        <v>0</v>
      </c>
      <c r="F2074" s="83" t="b">
        <v>1</v>
      </c>
      <c r="G2074" s="83"/>
      <c r="H2074" s="83"/>
    </row>
    <row r="2075" spans="1:8">
      <c r="A2075" s="83" t="s">
        <v>6237</v>
      </c>
      <c r="B2075" s="83" t="s">
        <v>6017</v>
      </c>
      <c r="C2075" s="83" t="s">
        <v>6237</v>
      </c>
      <c r="D2075" s="83" t="s">
        <v>6301</v>
      </c>
      <c r="E2075" s="84">
        <f>sch_health_nsh_tall_g6_m</f>
        <v>0</v>
      </c>
      <c r="F2075" s="83" t="b">
        <v>1</v>
      </c>
      <c r="G2075" s="83"/>
      <c r="H2075" s="83"/>
    </row>
    <row r="2076" spans="1:8">
      <c r="A2076" s="83" t="s">
        <v>6238</v>
      </c>
      <c r="B2076" s="83" t="s">
        <v>6017</v>
      </c>
      <c r="C2076" s="83" t="s">
        <v>6238</v>
      </c>
      <c r="D2076" s="83" t="s">
        <v>6302</v>
      </c>
      <c r="E2076" s="84">
        <f>sch_health_nsh_tall_g6_f</f>
        <v>0</v>
      </c>
      <c r="F2076" s="83" t="b">
        <v>1</v>
      </c>
      <c r="G2076" s="83"/>
      <c r="H2076" s="83"/>
    </row>
    <row r="2077" spans="1:8">
      <c r="A2077" s="83" t="s">
        <v>6239</v>
      </c>
      <c r="B2077" s="83" t="s">
        <v>6017</v>
      </c>
      <c r="C2077" s="83" t="s">
        <v>6239</v>
      </c>
      <c r="D2077" s="83" t="s">
        <v>6303</v>
      </c>
      <c r="E2077" s="84">
        <f>sch_health_nsh_tall_ng_m</f>
        <v>0</v>
      </c>
      <c r="F2077" s="83" t="b">
        <v>1</v>
      </c>
      <c r="G2077" s="83"/>
      <c r="H2077" s="83"/>
    </row>
    <row r="2078" spans="1:8">
      <c r="A2078" s="83" t="s">
        <v>6240</v>
      </c>
      <c r="B2078" s="83" t="s">
        <v>6017</v>
      </c>
      <c r="C2078" s="83" t="s">
        <v>6240</v>
      </c>
      <c r="D2078" s="83" t="s">
        <v>6304</v>
      </c>
      <c r="E2078" s="84">
        <f>sch_health_nsh_tall_ng_f</f>
        <v>0</v>
      </c>
      <c r="F2078" s="83" t="b">
        <v>1</v>
      </c>
      <c r="G2078" s="83"/>
      <c r="H2078" s="83"/>
    </row>
    <row r="2079" spans="1:8">
      <c r="A2079" s="83" t="s">
        <v>6305</v>
      </c>
      <c r="B2079" s="83" t="s">
        <v>6017</v>
      </c>
      <c r="C2079" s="83" t="s">
        <v>6305</v>
      </c>
      <c r="D2079" s="83" t="s">
        <v>6308</v>
      </c>
      <c r="E2079" s="84" t="str">
        <f>sch_health_coor_name</f>
        <v>RAQUEL N. ACOMPAŇADO</v>
      </c>
      <c r="F2079" s="83" t="b">
        <v>1</v>
      </c>
      <c r="G2079" s="83"/>
      <c r="H2079" s="83"/>
    </row>
    <row r="2080" spans="1:8" s="112" customFormat="1" ht="16" thickBot="1">
      <c r="A2080" s="85" t="s">
        <v>6307</v>
      </c>
      <c r="B2080" s="85" t="s">
        <v>6017</v>
      </c>
      <c r="C2080" s="85" t="s">
        <v>6307</v>
      </c>
      <c r="D2080" s="85" t="s">
        <v>6309</v>
      </c>
      <c r="E2080" s="86" t="str">
        <f>sch_health_coor_pos</f>
        <v>Nurse II</v>
      </c>
      <c r="F2080" s="85" t="b">
        <v>1</v>
      </c>
      <c r="G2080" s="85"/>
      <c r="H2080" s="85"/>
    </row>
    <row r="2081" spans="1:8">
      <c r="A2081" s="83" t="s">
        <v>6310</v>
      </c>
      <c r="B2081" s="83" t="s">
        <v>6017</v>
      </c>
      <c r="C2081" s="83" t="s">
        <v>6310</v>
      </c>
      <c r="D2081" s="83" t="s">
        <v>6342</v>
      </c>
      <c r="E2081" s="84">
        <f>sch_health_learners_dewormed_k_m</f>
        <v>0</v>
      </c>
      <c r="F2081" s="83" t="b">
        <v>1</v>
      </c>
      <c r="G2081" s="83"/>
      <c r="H2081" s="83"/>
    </row>
    <row r="2082" spans="1:8">
      <c r="A2082" s="83" t="s">
        <v>6311</v>
      </c>
      <c r="B2082" s="83" t="s">
        <v>6017</v>
      </c>
      <c r="C2082" s="83" t="s">
        <v>6311</v>
      </c>
      <c r="D2082" s="83" t="s">
        <v>6343</v>
      </c>
      <c r="E2082" s="84">
        <f>sch_health_learners_dewormed_k_f</f>
        <v>0</v>
      </c>
      <c r="F2082" s="83" t="b">
        <v>1</v>
      </c>
      <c r="G2082" s="83"/>
      <c r="H2082" s="83"/>
    </row>
    <row r="2083" spans="1:8">
      <c r="A2083" s="83" t="s">
        <v>6312</v>
      </c>
      <c r="B2083" s="83" t="s">
        <v>6017</v>
      </c>
      <c r="C2083" s="83" t="s">
        <v>6312</v>
      </c>
      <c r="D2083" s="83" t="s">
        <v>6344</v>
      </c>
      <c r="E2083" s="84">
        <f>sch_health_learners_dewormed_g1_m</f>
        <v>0</v>
      </c>
      <c r="F2083" s="83" t="b">
        <v>1</v>
      </c>
      <c r="G2083" s="83"/>
      <c r="H2083" s="83"/>
    </row>
    <row r="2084" spans="1:8">
      <c r="A2084" s="83" t="s">
        <v>6313</v>
      </c>
      <c r="B2084" s="83" t="s">
        <v>6017</v>
      </c>
      <c r="C2084" s="83" t="s">
        <v>6313</v>
      </c>
      <c r="D2084" s="83" t="s">
        <v>6345</v>
      </c>
      <c r="E2084" s="84">
        <f>sch_health_learners_dewormed_g1_f</f>
        <v>0</v>
      </c>
      <c r="F2084" s="83" t="b">
        <v>1</v>
      </c>
      <c r="G2084" s="83"/>
      <c r="H2084" s="83"/>
    </row>
    <row r="2085" spans="1:8">
      <c r="A2085" s="83" t="s">
        <v>6314</v>
      </c>
      <c r="B2085" s="83" t="s">
        <v>6017</v>
      </c>
      <c r="C2085" s="83" t="s">
        <v>6314</v>
      </c>
      <c r="D2085" s="83" t="s">
        <v>6346</v>
      </c>
      <c r="E2085" s="84">
        <f>sch_health_learners_dewormed_g2_m</f>
        <v>0</v>
      </c>
      <c r="F2085" s="83" t="b">
        <v>1</v>
      </c>
      <c r="G2085" s="83"/>
      <c r="H2085" s="83"/>
    </row>
    <row r="2086" spans="1:8">
      <c r="A2086" s="83" t="s">
        <v>6315</v>
      </c>
      <c r="B2086" s="83" t="s">
        <v>6017</v>
      </c>
      <c r="C2086" s="83" t="s">
        <v>6315</v>
      </c>
      <c r="D2086" s="83" t="s">
        <v>6347</v>
      </c>
      <c r="E2086" s="84">
        <f>sch_health_learners_dewormed_g2_f</f>
        <v>0</v>
      </c>
      <c r="F2086" s="83" t="b">
        <v>1</v>
      </c>
      <c r="G2086" s="83"/>
      <c r="H2086" s="83"/>
    </row>
    <row r="2087" spans="1:8">
      <c r="A2087" s="83" t="s">
        <v>6316</v>
      </c>
      <c r="B2087" s="83" t="s">
        <v>6017</v>
      </c>
      <c r="C2087" s="83" t="s">
        <v>6316</v>
      </c>
      <c r="D2087" s="83" t="s">
        <v>6348</v>
      </c>
      <c r="E2087" s="84">
        <f>sch_health_learners_dewormed_g3_m</f>
        <v>0</v>
      </c>
      <c r="F2087" s="83" t="b">
        <v>1</v>
      </c>
      <c r="G2087" s="83"/>
      <c r="H2087" s="83"/>
    </row>
    <row r="2088" spans="1:8">
      <c r="A2088" s="83" t="s">
        <v>6317</v>
      </c>
      <c r="B2088" s="83" t="s">
        <v>6017</v>
      </c>
      <c r="C2088" s="83" t="s">
        <v>6317</v>
      </c>
      <c r="D2088" s="83" t="s">
        <v>6349</v>
      </c>
      <c r="E2088" s="84">
        <f>sch_health_learners_dewormed_g3_f</f>
        <v>0</v>
      </c>
      <c r="F2088" s="83" t="b">
        <v>1</v>
      </c>
      <c r="G2088" s="83"/>
      <c r="H2088" s="83"/>
    </row>
    <row r="2089" spans="1:8">
      <c r="A2089" s="83" t="s">
        <v>6318</v>
      </c>
      <c r="B2089" s="83" t="s">
        <v>6017</v>
      </c>
      <c r="C2089" s="83" t="s">
        <v>6318</v>
      </c>
      <c r="D2089" s="83" t="s">
        <v>6350</v>
      </c>
      <c r="E2089" s="84">
        <f>sch_health_learners_dewormed_g4_m</f>
        <v>0</v>
      </c>
      <c r="F2089" s="83" t="b">
        <v>1</v>
      </c>
      <c r="G2089" s="83"/>
      <c r="H2089" s="83"/>
    </row>
    <row r="2090" spans="1:8">
      <c r="A2090" s="83" t="s">
        <v>6319</v>
      </c>
      <c r="B2090" s="83" t="s">
        <v>6017</v>
      </c>
      <c r="C2090" s="83" t="s">
        <v>6319</v>
      </c>
      <c r="D2090" s="83" t="s">
        <v>6351</v>
      </c>
      <c r="E2090" s="84">
        <f>sch_health_learners_dewormed_g4_f</f>
        <v>0</v>
      </c>
      <c r="F2090" s="83" t="b">
        <v>1</v>
      </c>
      <c r="G2090" s="83"/>
      <c r="H2090" s="83"/>
    </row>
    <row r="2091" spans="1:8">
      <c r="A2091" s="83" t="s">
        <v>6320</v>
      </c>
      <c r="B2091" s="83" t="s">
        <v>6017</v>
      </c>
      <c r="C2091" s="83" t="s">
        <v>6320</v>
      </c>
      <c r="D2091" s="83" t="s">
        <v>6352</v>
      </c>
      <c r="E2091" s="84">
        <f>sch_health_learners_dewormed_g5_m</f>
        <v>0</v>
      </c>
      <c r="F2091" s="83" t="b">
        <v>1</v>
      </c>
      <c r="G2091" s="83"/>
      <c r="H2091" s="83"/>
    </row>
    <row r="2092" spans="1:8">
      <c r="A2092" s="83" t="s">
        <v>6321</v>
      </c>
      <c r="B2092" s="83" t="s">
        <v>6017</v>
      </c>
      <c r="C2092" s="83" t="s">
        <v>6321</v>
      </c>
      <c r="D2092" s="83" t="s">
        <v>6353</v>
      </c>
      <c r="E2092" s="84">
        <f>sch_health_learners_dewormed_g5_f</f>
        <v>0</v>
      </c>
      <c r="F2092" s="83" t="b">
        <v>1</v>
      </c>
      <c r="G2092" s="83"/>
      <c r="H2092" s="83"/>
    </row>
    <row r="2093" spans="1:8">
      <c r="A2093" s="83" t="s">
        <v>6322</v>
      </c>
      <c r="B2093" s="83" t="s">
        <v>6017</v>
      </c>
      <c r="C2093" s="83" t="s">
        <v>6322</v>
      </c>
      <c r="D2093" s="83" t="s">
        <v>6354</v>
      </c>
      <c r="E2093" s="84">
        <f>sch_health_learners_dewormed_g6_m</f>
        <v>0</v>
      </c>
      <c r="F2093" s="83" t="b">
        <v>1</v>
      </c>
      <c r="G2093" s="83"/>
      <c r="H2093" s="83"/>
    </row>
    <row r="2094" spans="1:8">
      <c r="A2094" s="83" t="s">
        <v>6323</v>
      </c>
      <c r="B2094" s="83" t="s">
        <v>6017</v>
      </c>
      <c r="C2094" s="83" t="s">
        <v>6323</v>
      </c>
      <c r="D2094" s="83" t="s">
        <v>6355</v>
      </c>
      <c r="E2094" s="84">
        <f>sch_health_learners_dewormed_g6_f</f>
        <v>0</v>
      </c>
      <c r="F2094" s="83" t="b">
        <v>1</v>
      </c>
      <c r="G2094" s="83"/>
      <c r="H2094" s="83"/>
    </row>
    <row r="2095" spans="1:8">
      <c r="A2095" s="83" t="s">
        <v>6324</v>
      </c>
      <c r="B2095" s="83" t="s">
        <v>6017</v>
      </c>
      <c r="C2095" s="83" t="s">
        <v>6324</v>
      </c>
      <c r="D2095" s="83" t="s">
        <v>6356</v>
      </c>
      <c r="E2095" s="84">
        <f>sch_health_learners_dewormed_ng_m</f>
        <v>0</v>
      </c>
      <c r="F2095" s="83" t="b">
        <v>1</v>
      </c>
      <c r="G2095" s="83"/>
      <c r="H2095" s="83"/>
    </row>
    <row r="2096" spans="1:8" s="112" customFormat="1" ht="16" thickBot="1">
      <c r="A2096" s="85" t="s">
        <v>6325</v>
      </c>
      <c r="B2096" s="85" t="s">
        <v>6017</v>
      </c>
      <c r="C2096" s="85" t="s">
        <v>6325</v>
      </c>
      <c r="D2096" s="85" t="s">
        <v>6357</v>
      </c>
      <c r="E2096" s="86">
        <f>sch_health_learners_dewormed_ng_f</f>
        <v>0</v>
      </c>
      <c r="F2096" s="85" t="b">
        <v>1</v>
      </c>
      <c r="G2096" s="85"/>
      <c r="H2096" s="85"/>
    </row>
    <row r="2097" spans="1:8">
      <c r="A2097" s="83" t="s">
        <v>6326</v>
      </c>
      <c r="B2097" s="83" t="s">
        <v>6306</v>
      </c>
      <c r="C2097" s="83" t="s">
        <v>6326</v>
      </c>
      <c r="D2097" s="83" t="s">
        <v>6358</v>
      </c>
      <c r="E2097" s="84" t="b">
        <f>clinic_designated_yes</f>
        <v>1</v>
      </c>
      <c r="F2097" s="83" t="b">
        <f t="shared" ref="F2097:F2098" si="34">OR(E2097=TRUE, E2097=FALSE)</f>
        <v>1</v>
      </c>
      <c r="G2097" s="83" t="s">
        <v>2287</v>
      </c>
      <c r="H2097" s="83"/>
    </row>
    <row r="2098" spans="1:8">
      <c r="A2098" s="83" t="s">
        <v>6327</v>
      </c>
      <c r="B2098" s="83" t="s">
        <v>6306</v>
      </c>
      <c r="C2098" s="83" t="s">
        <v>6327</v>
      </c>
      <c r="D2098" s="83" t="s">
        <v>6359</v>
      </c>
      <c r="E2098" s="84" t="b">
        <f>clinic_designated_teacher_yes</f>
        <v>1</v>
      </c>
      <c r="F2098" s="83" t="b">
        <f t="shared" si="34"/>
        <v>1</v>
      </c>
      <c r="G2098" s="83" t="s">
        <v>2287</v>
      </c>
      <c r="H2098" s="83"/>
    </row>
    <row r="2099" spans="1:8">
      <c r="A2099" s="83" t="s">
        <v>6328</v>
      </c>
      <c r="B2099" s="83" t="s">
        <v>6306</v>
      </c>
      <c r="C2099" s="83" t="s">
        <v>6328</v>
      </c>
      <c r="D2099" s="83" t="s">
        <v>6360</v>
      </c>
      <c r="E2099" s="84">
        <f>clinic_weighing_bathroom_units</f>
        <v>0</v>
      </c>
      <c r="F2099" s="83" t="b">
        <v>1</v>
      </c>
      <c r="G2099" s="83"/>
      <c r="H2099" s="83"/>
    </row>
    <row r="2100" spans="1:8">
      <c r="A2100" s="83" t="s">
        <v>6329</v>
      </c>
      <c r="B2100" s="83" t="s">
        <v>6306</v>
      </c>
      <c r="C2100" s="83" t="s">
        <v>6329</v>
      </c>
      <c r="D2100" s="83" t="s">
        <v>6361</v>
      </c>
      <c r="E2100" s="84">
        <f>clinic_weighing_beambalance_units</f>
        <v>3</v>
      </c>
      <c r="F2100" s="83" t="b">
        <v>1</v>
      </c>
      <c r="G2100" s="83"/>
      <c r="H2100" s="83"/>
    </row>
    <row r="2101" spans="1:8">
      <c r="A2101" s="83" t="s">
        <v>6330</v>
      </c>
      <c r="B2101" s="83" t="s">
        <v>6306</v>
      </c>
      <c r="C2101" s="83" t="s">
        <v>6330</v>
      </c>
      <c r="D2101" s="83" t="s">
        <v>6363</v>
      </c>
      <c r="E2101" s="84">
        <f>clinic_weighing_other</f>
        <v>0</v>
      </c>
      <c r="F2101" s="83" t="b">
        <v>1</v>
      </c>
      <c r="G2101" s="83"/>
      <c r="H2101" s="83"/>
    </row>
    <row r="2102" spans="1:8">
      <c r="A2102" s="83" t="s">
        <v>6331</v>
      </c>
      <c r="B2102" s="83" t="s">
        <v>6306</v>
      </c>
      <c r="C2102" s="83" t="s">
        <v>6331</v>
      </c>
      <c r="D2102" s="83" t="s">
        <v>6362</v>
      </c>
      <c r="E2102" s="84">
        <f>clinic_weighing_other_units</f>
        <v>0</v>
      </c>
      <c r="F2102" s="83" t="b">
        <v>1</v>
      </c>
      <c r="G2102" s="83"/>
      <c r="H2102" s="83"/>
    </row>
    <row r="2103" spans="1:8">
      <c r="A2103" s="83" t="s">
        <v>6332</v>
      </c>
      <c r="B2103" s="83" t="s">
        <v>6306</v>
      </c>
      <c r="C2103" s="83" t="s">
        <v>6332</v>
      </c>
      <c r="D2103" s="83" t="s">
        <v>6364</v>
      </c>
      <c r="E2103" s="84" t="b">
        <f>clinic_tools_tapemeasure</f>
        <v>1</v>
      </c>
      <c r="F2103" s="83" t="b">
        <f t="shared" ref="F2103:F2107" si="35">OR(E2103=TRUE, E2103=FALSE)</f>
        <v>1</v>
      </c>
      <c r="G2103" s="83" t="s">
        <v>2287</v>
      </c>
      <c r="H2103" s="83"/>
    </row>
    <row r="2104" spans="1:8">
      <c r="A2104" s="83" t="s">
        <v>6333</v>
      </c>
      <c r="B2104" s="83" t="s">
        <v>6306</v>
      </c>
      <c r="C2104" s="83" t="s">
        <v>6333</v>
      </c>
      <c r="D2104" s="83" t="s">
        <v>6365</v>
      </c>
      <c r="E2104" s="84" t="b">
        <f>clinic_tools_steeltape</f>
        <v>0</v>
      </c>
      <c r="F2104" s="83" t="b">
        <f t="shared" si="35"/>
        <v>1</v>
      </c>
      <c r="G2104" s="83" t="s">
        <v>2287</v>
      </c>
      <c r="H2104" s="83"/>
    </row>
    <row r="2105" spans="1:8">
      <c r="A2105" s="83" t="s">
        <v>6334</v>
      </c>
      <c r="B2105" s="83" t="s">
        <v>6306</v>
      </c>
      <c r="C2105" s="83" t="s">
        <v>6334</v>
      </c>
      <c r="D2105" s="83" t="s">
        <v>6366</v>
      </c>
      <c r="E2105" s="84" t="b">
        <f>clinic_tools_microtoise</f>
        <v>0</v>
      </c>
      <c r="F2105" s="83" t="b">
        <f t="shared" si="35"/>
        <v>1</v>
      </c>
      <c r="G2105" s="83" t="s">
        <v>2287</v>
      </c>
      <c r="H2105" s="83"/>
    </row>
    <row r="2106" spans="1:8">
      <c r="A2106" s="83" t="s">
        <v>6335</v>
      </c>
      <c r="B2106" s="83" t="s">
        <v>6306</v>
      </c>
      <c r="C2106" s="83" t="s">
        <v>6335</v>
      </c>
      <c r="D2106" s="83" t="s">
        <v>6367</v>
      </c>
      <c r="E2106" s="84" t="b">
        <f>clinic_tools_stadiometer</f>
        <v>1</v>
      </c>
      <c r="F2106" s="83" t="b">
        <f t="shared" si="35"/>
        <v>1</v>
      </c>
      <c r="G2106" s="83" t="s">
        <v>2287</v>
      </c>
      <c r="H2106" s="83"/>
    </row>
    <row r="2107" spans="1:8">
      <c r="A2107" s="83" t="s">
        <v>6336</v>
      </c>
      <c r="B2107" s="83" t="s">
        <v>6306</v>
      </c>
      <c r="C2107" s="83" t="s">
        <v>6336</v>
      </c>
      <c r="D2107" s="83" t="s">
        <v>6368</v>
      </c>
      <c r="E2107" s="84" t="b">
        <f>clinic_tools_others</f>
        <v>0</v>
      </c>
      <c r="F2107" s="83" t="b">
        <f t="shared" si="35"/>
        <v>1</v>
      </c>
      <c r="G2107" s="83" t="s">
        <v>2287</v>
      </c>
      <c r="H2107" s="83"/>
    </row>
    <row r="2108" spans="1:8">
      <c r="A2108" s="83" t="s">
        <v>6337</v>
      </c>
      <c r="B2108" s="83" t="s">
        <v>6306</v>
      </c>
      <c r="C2108" s="83" t="s">
        <v>6337</v>
      </c>
      <c r="D2108" s="83" t="s">
        <v>6369</v>
      </c>
      <c r="E2108" s="84">
        <f>clinic_tools_others_value</f>
        <v>0</v>
      </c>
      <c r="F2108" s="83" t="b">
        <v>1</v>
      </c>
      <c r="G2108" s="83"/>
      <c r="H2108" s="83"/>
    </row>
    <row r="2109" spans="1:8">
      <c r="A2109" s="83" t="s">
        <v>6338</v>
      </c>
      <c r="B2109" s="83" t="s">
        <v>6306</v>
      </c>
      <c r="C2109" s="83" t="s">
        <v>6338</v>
      </c>
      <c r="D2109" s="83" t="s">
        <v>6370</v>
      </c>
      <c r="E2109" s="84">
        <f>clinic_firstaidkits_unit</f>
        <v>3</v>
      </c>
      <c r="F2109" s="83" t="b">
        <v>1</v>
      </c>
      <c r="G2109" s="83"/>
      <c r="H2109" s="83"/>
    </row>
    <row r="2110" spans="1:8">
      <c r="A2110" s="83" t="s">
        <v>6339</v>
      </c>
      <c r="B2110" s="83" t="s">
        <v>6306</v>
      </c>
      <c r="C2110" s="83" t="s">
        <v>6339</v>
      </c>
      <c r="D2110" s="83" t="s">
        <v>6371</v>
      </c>
      <c r="E2110" s="84">
        <f>clinic_thermometers_unit</f>
        <v>6</v>
      </c>
      <c r="F2110" s="83" t="b">
        <v>1</v>
      </c>
      <c r="G2110" s="83"/>
      <c r="H2110" s="83"/>
    </row>
    <row r="2111" spans="1:8">
      <c r="A2111" s="83" t="s">
        <v>6340</v>
      </c>
      <c r="B2111" s="83" t="s">
        <v>6306</v>
      </c>
      <c r="C2111" s="83" t="s">
        <v>6340</v>
      </c>
      <c r="D2111" s="83" t="s">
        <v>6372</v>
      </c>
      <c r="E2111" s="84">
        <f>clinic_bpapparatus_unit</f>
        <v>1</v>
      </c>
      <c r="F2111" s="83" t="b">
        <v>1</v>
      </c>
      <c r="G2111" s="83"/>
      <c r="H2111" s="83"/>
    </row>
    <row r="2112" spans="1:8" s="112" customFormat="1" ht="16" thickBot="1">
      <c r="A2112" s="85" t="s">
        <v>6341</v>
      </c>
      <c r="B2112" s="85" t="s">
        <v>6306</v>
      </c>
      <c r="C2112" s="85" t="s">
        <v>6341</v>
      </c>
      <c r="D2112" s="85" t="s">
        <v>6373</v>
      </c>
      <c r="E2112" s="86">
        <f>clinic_basiclifesupport_unit</f>
        <v>1</v>
      </c>
      <c r="F2112" s="85" t="b">
        <v>1</v>
      </c>
      <c r="G2112" s="85"/>
      <c r="H2112" s="85"/>
    </row>
    <row r="2113" spans="1:8">
      <c r="A2113" s="83" t="s">
        <v>6374</v>
      </c>
      <c r="B2113" s="83" t="s">
        <v>6375</v>
      </c>
      <c r="C2113" s="83" t="s">
        <v>6374</v>
      </c>
      <c r="D2113" s="83" t="s">
        <v>6406</v>
      </c>
      <c r="E2113" s="84" t="b">
        <f>sch_ws_wsource_yes</f>
        <v>1</v>
      </c>
      <c r="F2113" s="83" t="b">
        <f t="shared" ref="F2113:F2118" si="36">OR(E2113=TRUE, E2113=FALSE)</f>
        <v>1</v>
      </c>
      <c r="G2113" s="83" t="s">
        <v>2287</v>
      </c>
      <c r="H2113" s="83"/>
    </row>
    <row r="2114" spans="1:8">
      <c r="A2114" s="83" t="s">
        <v>6376</v>
      </c>
      <c r="B2114" s="83" t="s">
        <v>6375</v>
      </c>
      <c r="C2114" s="83" t="s">
        <v>6376</v>
      </c>
      <c r="D2114" s="83" t="s">
        <v>6407</v>
      </c>
      <c r="E2114" s="84" t="b">
        <f>sch_ws_ifyes_pipe</f>
        <v>1</v>
      </c>
      <c r="F2114" s="83" t="b">
        <f t="shared" si="36"/>
        <v>1</v>
      </c>
      <c r="G2114" s="83" t="s">
        <v>2287</v>
      </c>
      <c r="H2114" s="83"/>
    </row>
    <row r="2115" spans="1:8">
      <c r="A2115" s="83" t="s">
        <v>6377</v>
      </c>
      <c r="B2115" s="83" t="s">
        <v>6375</v>
      </c>
      <c r="C2115" s="83" t="s">
        <v>6377</v>
      </c>
      <c r="D2115" s="83" t="s">
        <v>6408</v>
      </c>
      <c r="E2115" s="84" t="b">
        <f>sch_ws_ifyes_well</f>
        <v>0</v>
      </c>
      <c r="F2115" s="83" t="b">
        <f t="shared" si="36"/>
        <v>1</v>
      </c>
      <c r="G2115" s="83" t="s">
        <v>2287</v>
      </c>
      <c r="H2115" s="83"/>
    </row>
    <row r="2116" spans="1:8">
      <c r="A2116" s="83" t="s">
        <v>6378</v>
      </c>
      <c r="B2116" s="83" t="s">
        <v>6375</v>
      </c>
      <c r="C2116" s="83" t="s">
        <v>6378</v>
      </c>
      <c r="D2116" s="83" t="s">
        <v>6409</v>
      </c>
      <c r="E2116" s="84" t="b">
        <f>es_sch_ws_ifyes_chk_natural</f>
        <v>0</v>
      </c>
      <c r="F2116" s="83" t="b">
        <f t="shared" si="36"/>
        <v>1</v>
      </c>
      <c r="G2116" s="83" t="s">
        <v>2287</v>
      </c>
      <c r="H2116" s="83"/>
    </row>
    <row r="2117" spans="1:8">
      <c r="A2117" s="83" t="s">
        <v>6379</v>
      </c>
      <c r="B2117" s="83" t="s">
        <v>6375</v>
      </c>
      <c r="C2117" s="83" t="s">
        <v>6379</v>
      </c>
      <c r="D2117" s="83" t="s">
        <v>6410</v>
      </c>
      <c r="E2117" s="84" t="b">
        <f>sch_ws_ifyes_rainwater</f>
        <v>0</v>
      </c>
      <c r="F2117" s="83" t="b">
        <f t="shared" si="36"/>
        <v>1</v>
      </c>
      <c r="G2117" s="83" t="s">
        <v>2287</v>
      </c>
      <c r="H2117" s="83"/>
    </row>
    <row r="2118" spans="1:8">
      <c r="A2118" s="83" t="s">
        <v>6380</v>
      </c>
      <c r="B2118" s="83" t="s">
        <v>6375</v>
      </c>
      <c r="C2118" s="83" t="s">
        <v>6380</v>
      </c>
      <c r="D2118" s="83" t="s">
        <v>6411</v>
      </c>
      <c r="E2118" s="84" t="b">
        <f>sch_ws_ifyes_others</f>
        <v>0</v>
      </c>
      <c r="F2118" s="83" t="b">
        <f t="shared" si="36"/>
        <v>1</v>
      </c>
      <c r="G2118" s="83" t="s">
        <v>2287</v>
      </c>
      <c r="H2118" s="83"/>
    </row>
    <row r="2119" spans="1:8">
      <c r="A2119" s="83" t="s">
        <v>6381</v>
      </c>
      <c r="B2119" s="83" t="s">
        <v>6375</v>
      </c>
      <c r="C2119" s="83" t="s">
        <v>6381</v>
      </c>
      <c r="D2119" s="83" t="s">
        <v>6412</v>
      </c>
      <c r="E2119" s="84">
        <f>sch_specify_watersupply</f>
        <v>0</v>
      </c>
      <c r="F2119" s="83" t="b">
        <v>1</v>
      </c>
      <c r="G2119" s="83"/>
      <c r="H2119" s="83"/>
    </row>
    <row r="2120" spans="1:8">
      <c r="A2120" s="83" t="s">
        <v>6382</v>
      </c>
      <c r="B2120" s="83" t="s">
        <v>6375</v>
      </c>
      <c r="C2120" s="83" t="s">
        <v>6382</v>
      </c>
      <c r="D2120" s="83" t="s">
        <v>6413</v>
      </c>
      <c r="E2120" s="117">
        <f>sch_ws_ifyes_cost_amount</f>
        <v>1100</v>
      </c>
      <c r="F2120" s="83" t="b">
        <v>1</v>
      </c>
      <c r="G2120" s="83"/>
      <c r="H2120" s="83"/>
    </row>
    <row r="2121" spans="1:8">
      <c r="A2121" s="83" t="s">
        <v>6383</v>
      </c>
      <c r="B2121" s="83" t="s">
        <v>6375</v>
      </c>
      <c r="C2121" s="83" t="s">
        <v>6383</v>
      </c>
      <c r="D2121" s="83" t="s">
        <v>6414</v>
      </c>
      <c r="E2121" s="84" t="b">
        <f>sch_ws_ifyes_fundsource_schmooe</f>
        <v>1</v>
      </c>
      <c r="F2121" s="83" t="b">
        <f t="shared" ref="F2121:F2126" si="37">OR(E2121=TRUE, E2121=FALSE)</f>
        <v>1</v>
      </c>
      <c r="G2121" s="83" t="s">
        <v>2287</v>
      </c>
      <c r="H2121" s="83"/>
    </row>
    <row r="2122" spans="1:8">
      <c r="A2122" s="83" t="s">
        <v>6384</v>
      </c>
      <c r="B2122" s="83" t="s">
        <v>6375</v>
      </c>
      <c r="C2122" s="83" t="s">
        <v>6384</v>
      </c>
      <c r="D2122" s="83" t="s">
        <v>6415</v>
      </c>
      <c r="E2122" s="84" t="b">
        <f>sch_ws_ifyes_fundsource_lgu</f>
        <v>0</v>
      </c>
      <c r="F2122" s="83" t="b">
        <f t="shared" si="37"/>
        <v>1</v>
      </c>
      <c r="G2122" s="83" t="s">
        <v>2287</v>
      </c>
      <c r="H2122" s="83"/>
    </row>
    <row r="2123" spans="1:8">
      <c r="A2123" s="83" t="s">
        <v>6385</v>
      </c>
      <c r="B2123" s="83" t="s">
        <v>6375</v>
      </c>
      <c r="C2123" s="83" t="s">
        <v>6385</v>
      </c>
      <c r="D2123" s="83" t="s">
        <v>6416</v>
      </c>
      <c r="E2123" s="84" t="b">
        <f>sch_ws_ifyes_fundsource_pta</f>
        <v>0</v>
      </c>
      <c r="F2123" s="83" t="b">
        <f t="shared" si="37"/>
        <v>1</v>
      </c>
      <c r="G2123" s="83" t="s">
        <v>2287</v>
      </c>
      <c r="H2123" s="83"/>
    </row>
    <row r="2124" spans="1:8">
      <c r="A2124" s="83" t="s">
        <v>6386</v>
      </c>
      <c r="B2124" s="83" t="s">
        <v>6375</v>
      </c>
      <c r="C2124" s="83" t="s">
        <v>6386</v>
      </c>
      <c r="D2124" s="83" t="s">
        <v>6417</v>
      </c>
      <c r="E2124" s="84" t="b">
        <f>sch_ws_ifyes_fundsource_schcanteen</f>
        <v>0</v>
      </c>
      <c r="F2124" s="83" t="b">
        <f t="shared" si="37"/>
        <v>1</v>
      </c>
      <c r="G2124" s="83" t="s">
        <v>2287</v>
      </c>
      <c r="H2124" s="83"/>
    </row>
    <row r="2125" spans="1:8">
      <c r="A2125" s="83" t="s">
        <v>6387</v>
      </c>
      <c r="B2125" s="83" t="s">
        <v>6375</v>
      </c>
      <c r="C2125" s="83" t="s">
        <v>6387</v>
      </c>
      <c r="D2125" s="83" t="s">
        <v>6418</v>
      </c>
      <c r="E2125" s="84" t="b">
        <f>sch_ws_ifyes_fundsource_private</f>
        <v>0</v>
      </c>
      <c r="F2125" s="83" t="b">
        <f t="shared" si="37"/>
        <v>1</v>
      </c>
      <c r="G2125" s="83" t="s">
        <v>2287</v>
      </c>
      <c r="H2125" s="83"/>
    </row>
    <row r="2126" spans="1:8">
      <c r="A2126" s="83" t="s">
        <v>6388</v>
      </c>
      <c r="B2126" s="83" t="s">
        <v>6375</v>
      </c>
      <c r="C2126" s="83" t="s">
        <v>6388</v>
      </c>
      <c r="D2126" s="83" t="s">
        <v>6419</v>
      </c>
      <c r="E2126" s="84" t="b">
        <f>sch_ws_ifyes_fundsource_others</f>
        <v>0</v>
      </c>
      <c r="F2126" s="83" t="b">
        <f t="shared" si="37"/>
        <v>1</v>
      </c>
      <c r="G2126" s="83" t="s">
        <v>2287</v>
      </c>
      <c r="H2126" s="83"/>
    </row>
    <row r="2127" spans="1:8">
      <c r="A2127" s="83" t="s">
        <v>6389</v>
      </c>
      <c r="B2127" s="83" t="s">
        <v>6375</v>
      </c>
      <c r="C2127" s="83" t="s">
        <v>6389</v>
      </c>
      <c r="D2127" s="83" t="s">
        <v>6420</v>
      </c>
      <c r="E2127" s="84">
        <f>sch_specify_fund</f>
        <v>0</v>
      </c>
      <c r="F2127" s="83" t="b">
        <v>1</v>
      </c>
      <c r="G2127" s="83"/>
      <c r="H2127" s="83"/>
    </row>
    <row r="2128" spans="1:8">
      <c r="A2128" s="83" t="s">
        <v>6390</v>
      </c>
      <c r="B2128" s="83" t="s">
        <v>6375</v>
      </c>
      <c r="C2128" s="83" t="s">
        <v>6390</v>
      </c>
      <c r="D2128" s="83" t="s">
        <v>6421</v>
      </c>
      <c r="E2128" s="84" t="b">
        <f>sch_ws_drinking_yes</f>
        <v>1</v>
      </c>
      <c r="F2128" s="83" t="b">
        <f t="shared" ref="F2128:F2134" si="38">OR(E2128=TRUE, E2128=FALSE)</f>
        <v>1</v>
      </c>
      <c r="G2128" s="83" t="s">
        <v>2287</v>
      </c>
      <c r="H2128" s="83"/>
    </row>
    <row r="2129" spans="1:8">
      <c r="A2129" s="83" t="s">
        <v>6391</v>
      </c>
      <c r="B2129" s="83" t="s">
        <v>6375</v>
      </c>
      <c r="C2129" s="83" t="s">
        <v>6391</v>
      </c>
      <c r="D2129" s="83" t="s">
        <v>6422</v>
      </c>
      <c r="E2129" s="84" t="b">
        <f>sch_ws_water_safety_yes</f>
        <v>1</v>
      </c>
      <c r="F2129" s="83" t="b">
        <f t="shared" si="38"/>
        <v>1</v>
      </c>
      <c r="G2129" s="83" t="s">
        <v>2287</v>
      </c>
      <c r="H2129" s="83"/>
    </row>
    <row r="2130" spans="1:8">
      <c r="A2130" s="83" t="s">
        <v>6392</v>
      </c>
      <c r="B2130" s="83" t="s">
        <v>6375</v>
      </c>
      <c r="C2130" s="83" t="s">
        <v>6392</v>
      </c>
      <c r="D2130" s="83" t="s">
        <v>6423</v>
      </c>
      <c r="E2130" s="84" t="b">
        <f>sch_ws_result_safe_yes</f>
        <v>1</v>
      </c>
      <c r="F2130" s="83" t="b">
        <f t="shared" si="38"/>
        <v>1</v>
      </c>
      <c r="G2130" s="83" t="s">
        <v>2287</v>
      </c>
      <c r="H2130" s="83"/>
    </row>
    <row r="2131" spans="1:8">
      <c r="A2131" s="83" t="s">
        <v>6393</v>
      </c>
      <c r="B2131" s="83" t="s">
        <v>6375</v>
      </c>
      <c r="C2131" s="83" t="s">
        <v>6393</v>
      </c>
      <c r="D2131" s="83" t="s">
        <v>6424</v>
      </c>
      <c r="E2131" s="84" t="b">
        <f>sch_ws_ifyes_test_frequency_monthly</f>
        <v>0</v>
      </c>
      <c r="F2131" s="83" t="b">
        <f t="shared" si="38"/>
        <v>1</v>
      </c>
      <c r="G2131" s="83" t="s">
        <v>2287</v>
      </c>
      <c r="H2131" s="83"/>
    </row>
    <row r="2132" spans="1:8">
      <c r="A2132" s="83" t="s">
        <v>6394</v>
      </c>
      <c r="B2132" s="83" t="s">
        <v>6375</v>
      </c>
      <c r="C2132" s="83" t="s">
        <v>6394</v>
      </c>
      <c r="D2132" s="83" t="s">
        <v>6425</v>
      </c>
      <c r="E2132" s="84" t="b">
        <f>sch_ws_ifyes_test_frequency_quarterly</f>
        <v>0</v>
      </c>
      <c r="F2132" s="83" t="b">
        <f t="shared" si="38"/>
        <v>1</v>
      </c>
      <c r="G2132" s="83" t="s">
        <v>2287</v>
      </c>
      <c r="H2132" s="83"/>
    </row>
    <row r="2133" spans="1:8">
      <c r="A2133" s="83" t="s">
        <v>6395</v>
      </c>
      <c r="B2133" s="83" t="s">
        <v>6375</v>
      </c>
      <c r="C2133" s="83" t="s">
        <v>6395</v>
      </c>
      <c r="D2133" s="83" t="s">
        <v>6426</v>
      </c>
      <c r="E2133" s="84" t="b">
        <f>sch_ws_ifyes_test_frequency_annually</f>
        <v>1</v>
      </c>
      <c r="F2133" s="83" t="b">
        <f t="shared" si="38"/>
        <v>1</v>
      </c>
      <c r="G2133" s="83" t="s">
        <v>2287</v>
      </c>
      <c r="H2133" s="83"/>
    </row>
    <row r="2134" spans="1:8">
      <c r="A2134" s="83" t="s">
        <v>6396</v>
      </c>
      <c r="B2134" s="83" t="s">
        <v>6375</v>
      </c>
      <c r="C2134" s="83" t="s">
        <v>6396</v>
      </c>
      <c r="D2134" s="83" t="s">
        <v>6427</v>
      </c>
      <c r="E2134" s="84" t="b">
        <f>sch_ws_ifyes_test_frequent_others</f>
        <v>0</v>
      </c>
      <c r="F2134" s="83" t="b">
        <f t="shared" si="38"/>
        <v>1</v>
      </c>
      <c r="G2134" s="83" t="s">
        <v>2287</v>
      </c>
      <c r="H2134" s="83"/>
    </row>
    <row r="2135" spans="1:8">
      <c r="A2135" s="83" t="s">
        <v>6397</v>
      </c>
      <c r="B2135" s="83" t="s">
        <v>6375</v>
      </c>
      <c r="C2135" s="83" t="s">
        <v>6397</v>
      </c>
      <c r="D2135" s="83" t="s">
        <v>6428</v>
      </c>
      <c r="E2135" s="84">
        <f>sch_specify_frequency</f>
        <v>0</v>
      </c>
      <c r="F2135" s="83" t="b">
        <v>1</v>
      </c>
      <c r="G2135" s="83"/>
      <c r="H2135" s="83"/>
    </row>
    <row r="2136" spans="1:8">
      <c r="A2136" s="83" t="s">
        <v>6398</v>
      </c>
      <c r="B2136" s="83" t="s">
        <v>6375</v>
      </c>
      <c r="C2136" s="83" t="s">
        <v>6398</v>
      </c>
      <c r="D2136" s="83" t="s">
        <v>6429</v>
      </c>
      <c r="E2136" s="84" t="str">
        <f>sch_ws_ifyes_water_last_tested</f>
        <v>December, 2021</v>
      </c>
      <c r="F2136" s="83" t="b">
        <v>1</v>
      </c>
      <c r="G2136" s="83"/>
      <c r="H2136" s="83"/>
    </row>
    <row r="2137" spans="1:8">
      <c r="A2137" s="83" t="s">
        <v>6399</v>
      </c>
      <c r="B2137" s="83" t="s">
        <v>6375</v>
      </c>
      <c r="C2137" s="83" t="s">
        <v>6399</v>
      </c>
      <c r="D2137" s="83" t="s">
        <v>6430</v>
      </c>
      <c r="E2137" s="84" t="b">
        <f>sch_ws_ifyes_water_unavailable_yes</f>
        <v>0</v>
      </c>
      <c r="F2137" s="83" t="b">
        <f t="shared" ref="F2137:F2142" si="39">OR(E2137=TRUE, E2137=FALSE)</f>
        <v>1</v>
      </c>
      <c r="G2137" s="83" t="s">
        <v>2287</v>
      </c>
      <c r="H2137" s="83"/>
    </row>
    <row r="2138" spans="1:8">
      <c r="A2138" s="83" t="s">
        <v>6400</v>
      </c>
      <c r="B2138" s="83" t="s">
        <v>6375</v>
      </c>
      <c r="C2138" s="83" t="s">
        <v>6400</v>
      </c>
      <c r="D2138" s="83" t="s">
        <v>6431</v>
      </c>
      <c r="E2138" s="84" t="b">
        <f>sch_ws_ifyes_mechanism_yes</f>
        <v>1</v>
      </c>
      <c r="F2138" s="83" t="b">
        <f t="shared" si="39"/>
        <v>1</v>
      </c>
      <c r="G2138" s="83" t="s">
        <v>2287</v>
      </c>
      <c r="H2138" s="83"/>
    </row>
    <row r="2139" spans="1:8">
      <c r="A2139" s="83" t="s">
        <v>6401</v>
      </c>
      <c r="B2139" s="83" t="s">
        <v>6375</v>
      </c>
      <c r="C2139" s="83" t="s">
        <v>6401</v>
      </c>
      <c r="D2139" s="83" t="s">
        <v>6432</v>
      </c>
      <c r="E2139" s="84" t="b">
        <f>sch_ws_mechanism_ifyes_bring_water</f>
        <v>1</v>
      </c>
      <c r="F2139" s="83" t="b">
        <f t="shared" si="39"/>
        <v>1</v>
      </c>
      <c r="G2139" s="83" t="s">
        <v>2287</v>
      </c>
      <c r="H2139" s="83"/>
    </row>
    <row r="2140" spans="1:8">
      <c r="A2140" s="83" t="s">
        <v>6402</v>
      </c>
      <c r="B2140" s="83" t="s">
        <v>6375</v>
      </c>
      <c r="C2140" s="83" t="s">
        <v>6402</v>
      </c>
      <c r="D2140" s="83" t="s">
        <v>6433</v>
      </c>
      <c r="E2140" s="84" t="b">
        <f>sch_ws_mechanism_ifyes_refillable_containers</f>
        <v>1</v>
      </c>
      <c r="F2140" s="83" t="b">
        <f t="shared" si="39"/>
        <v>1</v>
      </c>
      <c r="G2140" s="83" t="s">
        <v>2287</v>
      </c>
      <c r="H2140" s="83"/>
    </row>
    <row r="2141" spans="1:8">
      <c r="A2141" s="83" t="s">
        <v>6403</v>
      </c>
      <c r="B2141" s="83" t="s">
        <v>6375</v>
      </c>
      <c r="C2141" s="83" t="s">
        <v>6403</v>
      </c>
      <c r="D2141" s="83" t="s">
        <v>6434</v>
      </c>
      <c r="E2141" s="84" t="b">
        <f>sch_ws_mechanism_ifyes_accessible_water</f>
        <v>0</v>
      </c>
      <c r="F2141" s="83" t="b">
        <f t="shared" si="39"/>
        <v>1</v>
      </c>
      <c r="G2141" s="83" t="s">
        <v>2287</v>
      </c>
      <c r="H2141" s="83"/>
    </row>
    <row r="2142" spans="1:8">
      <c r="A2142" s="83" t="s">
        <v>6404</v>
      </c>
      <c r="B2142" s="83" t="s">
        <v>6375</v>
      </c>
      <c r="C2142" s="83" t="s">
        <v>6404</v>
      </c>
      <c r="D2142" s="83" t="s">
        <v>6435</v>
      </c>
      <c r="E2142" s="84" t="b">
        <f>sch_ws_mechanism_ifyes_others</f>
        <v>0</v>
      </c>
      <c r="F2142" s="83" t="b">
        <f t="shared" si="39"/>
        <v>1</v>
      </c>
      <c r="G2142" s="83" t="s">
        <v>2287</v>
      </c>
      <c r="H2142" s="83"/>
    </row>
    <row r="2143" spans="1:8" s="112" customFormat="1" ht="16" thickBot="1">
      <c r="A2143" s="85" t="s">
        <v>6405</v>
      </c>
      <c r="B2143" s="85" t="s">
        <v>6375</v>
      </c>
      <c r="C2143" s="85" t="s">
        <v>6405</v>
      </c>
      <c r="D2143" s="85" t="s">
        <v>6436</v>
      </c>
      <c r="E2143" s="86">
        <f>sch_specify_mechanism</f>
        <v>0</v>
      </c>
      <c r="F2143" s="85" t="b">
        <v>1</v>
      </c>
      <c r="G2143" s="85"/>
      <c r="H2143" s="85"/>
    </row>
    <row r="2144" spans="1:8">
      <c r="A2144" s="83" t="s">
        <v>6437</v>
      </c>
      <c r="B2144" s="83" t="s">
        <v>6375</v>
      </c>
      <c r="C2144" s="83" t="s">
        <v>6437</v>
      </c>
      <c r="D2144" s="83" t="s">
        <v>6445</v>
      </c>
      <c r="E2144" s="84">
        <f>sch_wf_group_hw_wsoap</f>
        <v>0</v>
      </c>
      <c r="F2144" s="83" t="b">
        <v>1</v>
      </c>
      <c r="G2144" s="83"/>
      <c r="H2144" s="83"/>
    </row>
    <row r="2145" spans="1:8">
      <c r="A2145" s="83" t="s">
        <v>6438</v>
      </c>
      <c r="B2145" s="83" t="s">
        <v>6375</v>
      </c>
      <c r="C2145" s="83" t="s">
        <v>6438</v>
      </c>
      <c r="D2145" s="83" t="s">
        <v>6446</v>
      </c>
      <c r="E2145" s="84">
        <f>sch_wf_group_hw_wosoap</f>
        <v>3</v>
      </c>
      <c r="F2145" s="83" t="b">
        <v>1</v>
      </c>
      <c r="G2145" s="83"/>
      <c r="H2145" s="83"/>
    </row>
    <row r="2146" spans="1:8">
      <c r="A2146" s="83" t="s">
        <v>6439</v>
      </c>
      <c r="B2146" s="83" t="s">
        <v>6375</v>
      </c>
      <c r="C2146" s="83" t="s">
        <v>6439</v>
      </c>
      <c r="D2146" s="83" t="s">
        <v>6447</v>
      </c>
      <c r="E2146" s="84">
        <f>sch_wf_group_hw_nonfunctional</f>
        <v>0</v>
      </c>
      <c r="F2146" s="83" t="b">
        <v>1</v>
      </c>
      <c r="G2146" s="83"/>
      <c r="H2146" s="83"/>
    </row>
    <row r="2147" spans="1:8">
      <c r="A2147" s="83" t="s">
        <v>6440</v>
      </c>
      <c r="B2147" s="83" t="s">
        <v>6375</v>
      </c>
      <c r="C2147" s="83" t="s">
        <v>6440</v>
      </c>
      <c r="D2147" s="83" t="s">
        <v>6448</v>
      </c>
      <c r="E2147" s="84">
        <f>sch_wf_group_hw_no_water_outlets</f>
        <v>6</v>
      </c>
      <c r="F2147" s="83" t="b">
        <v>1</v>
      </c>
      <c r="G2147" s="83"/>
      <c r="H2147" s="83"/>
    </row>
    <row r="2148" spans="1:8">
      <c r="A2148" s="83" t="s">
        <v>6441</v>
      </c>
      <c r="B2148" s="83" t="s">
        <v>6375</v>
      </c>
      <c r="C2148" s="83" t="s">
        <v>6441</v>
      </c>
      <c r="D2148" s="83" t="s">
        <v>6449</v>
      </c>
      <c r="E2148" s="84">
        <f>sch_wf_individual_hw_wsoap</f>
        <v>0</v>
      </c>
      <c r="F2148" s="83" t="b">
        <v>1</v>
      </c>
      <c r="G2148" s="83"/>
      <c r="H2148" s="83"/>
    </row>
    <row r="2149" spans="1:8">
      <c r="A2149" s="83" t="s">
        <v>6442</v>
      </c>
      <c r="B2149" s="83" t="s">
        <v>6375</v>
      </c>
      <c r="C2149" s="83" t="s">
        <v>6442</v>
      </c>
      <c r="D2149" s="83" t="s">
        <v>6450</v>
      </c>
      <c r="E2149" s="84">
        <f>sch_wf_individual_hw_wosoap</f>
        <v>21</v>
      </c>
      <c r="F2149" s="83" t="b">
        <v>1</v>
      </c>
      <c r="G2149" s="83"/>
      <c r="H2149" s="83"/>
    </row>
    <row r="2150" spans="1:8">
      <c r="A2150" s="83" t="s">
        <v>6443</v>
      </c>
      <c r="B2150" s="83" t="s">
        <v>6375</v>
      </c>
      <c r="C2150" s="83" t="s">
        <v>6443</v>
      </c>
      <c r="D2150" s="83" t="s">
        <v>6451</v>
      </c>
      <c r="E2150" s="84">
        <f>sch_wf_individual_hw_nonfunctional</f>
        <v>0</v>
      </c>
      <c r="F2150" s="83" t="b">
        <v>1</v>
      </c>
      <c r="G2150" s="83"/>
      <c r="H2150" s="83"/>
    </row>
    <row r="2151" spans="1:8" s="112" customFormat="1" ht="16" thickBot="1">
      <c r="A2151" s="85" t="s">
        <v>6444</v>
      </c>
      <c r="B2151" s="85" t="s">
        <v>6375</v>
      </c>
      <c r="C2151" s="85" t="s">
        <v>6444</v>
      </c>
      <c r="D2151" s="85" t="s">
        <v>6452</v>
      </c>
      <c r="E2151" s="86">
        <f>sch_wf_individual_hw_no_water_outlets</f>
        <v>21</v>
      </c>
      <c r="F2151" s="85" t="b">
        <v>1</v>
      </c>
      <c r="G2151" s="85"/>
      <c r="H2151" s="85"/>
    </row>
    <row r="2152" spans="1:8">
      <c r="A2152" s="83" t="s">
        <v>6453</v>
      </c>
      <c r="B2152" s="83" t="s">
        <v>6454</v>
      </c>
      <c r="C2152" s="83" t="s">
        <v>6453</v>
      </c>
      <c r="D2152" s="83" t="s">
        <v>6536</v>
      </c>
      <c r="E2152" s="84">
        <f>sch_oralh_details_num_lexamined_k</f>
        <v>0</v>
      </c>
      <c r="F2152" s="83" t="b">
        <v>1</v>
      </c>
      <c r="G2152" s="83"/>
      <c r="H2152" s="83"/>
    </row>
    <row r="2153" spans="1:8">
      <c r="A2153" s="83" t="s">
        <v>6455</v>
      </c>
      <c r="B2153" s="83" t="s">
        <v>6454</v>
      </c>
      <c r="C2153" s="83" t="s">
        <v>6455</v>
      </c>
      <c r="D2153" s="83" t="s">
        <v>6537</v>
      </c>
      <c r="E2153" s="84">
        <f>sch_oralh_details_num_lexamined_g1</f>
        <v>0</v>
      </c>
      <c r="F2153" s="83" t="b">
        <v>1</v>
      </c>
      <c r="G2153" s="83"/>
      <c r="H2153" s="83"/>
    </row>
    <row r="2154" spans="1:8">
      <c r="A2154" s="83" t="s">
        <v>6456</v>
      </c>
      <c r="B2154" s="83" t="s">
        <v>6454</v>
      </c>
      <c r="C2154" s="83" t="s">
        <v>6456</v>
      </c>
      <c r="D2154" s="83" t="s">
        <v>6538</v>
      </c>
      <c r="E2154" s="84">
        <f>sch_oralh_details_num_lexamined_g2</f>
        <v>0</v>
      </c>
      <c r="F2154" s="83" t="b">
        <v>1</v>
      </c>
      <c r="G2154" s="83"/>
      <c r="H2154" s="83"/>
    </row>
    <row r="2155" spans="1:8">
      <c r="A2155" s="83" t="s">
        <v>6457</v>
      </c>
      <c r="B2155" s="83" t="s">
        <v>6454</v>
      </c>
      <c r="C2155" s="83" t="s">
        <v>6457</v>
      </c>
      <c r="D2155" s="83" t="s">
        <v>6539</v>
      </c>
      <c r="E2155" s="84">
        <f>sch_oralh_details_num_lexamined_g3</f>
        <v>0</v>
      </c>
      <c r="F2155" s="83" t="b">
        <v>1</v>
      </c>
      <c r="G2155" s="83"/>
      <c r="H2155" s="83"/>
    </row>
    <row r="2156" spans="1:8">
      <c r="A2156" s="83" t="s">
        <v>6458</v>
      </c>
      <c r="B2156" s="83" t="s">
        <v>6454</v>
      </c>
      <c r="C2156" s="83" t="s">
        <v>6458</v>
      </c>
      <c r="D2156" s="83" t="s">
        <v>6540</v>
      </c>
      <c r="E2156" s="84">
        <f>sch_oralh_details_num_lexamined_g4</f>
        <v>0</v>
      </c>
      <c r="F2156" s="83" t="b">
        <v>1</v>
      </c>
      <c r="G2156" s="83"/>
      <c r="H2156" s="83"/>
    </row>
    <row r="2157" spans="1:8">
      <c r="A2157" s="83" t="s">
        <v>6459</v>
      </c>
      <c r="B2157" s="83" t="s">
        <v>6454</v>
      </c>
      <c r="C2157" s="83" t="s">
        <v>6459</v>
      </c>
      <c r="D2157" s="83" t="s">
        <v>6541</v>
      </c>
      <c r="E2157" s="84">
        <f>sch_oralh_details_num_lexamined_g5</f>
        <v>0</v>
      </c>
      <c r="F2157" s="83" t="b">
        <v>1</v>
      </c>
      <c r="G2157" s="83"/>
      <c r="H2157" s="83"/>
    </row>
    <row r="2158" spans="1:8">
      <c r="A2158" s="83" t="s">
        <v>6460</v>
      </c>
      <c r="B2158" s="83" t="s">
        <v>6454</v>
      </c>
      <c r="C2158" s="83" t="s">
        <v>6460</v>
      </c>
      <c r="D2158" s="83" t="s">
        <v>6542</v>
      </c>
      <c r="E2158" s="84">
        <f>sch_oralh_details_num_lexamined_g6</f>
        <v>0</v>
      </c>
      <c r="F2158" s="83" t="b">
        <v>1</v>
      </c>
      <c r="G2158" s="83"/>
      <c r="H2158" s="83"/>
    </row>
    <row r="2159" spans="1:8">
      <c r="A2159" s="83" t="s">
        <v>6461</v>
      </c>
      <c r="B2159" s="83" t="s">
        <v>6454</v>
      </c>
      <c r="C2159" s="83" t="s">
        <v>6461</v>
      </c>
      <c r="D2159" s="83" t="s">
        <v>6543</v>
      </c>
      <c r="E2159" s="84">
        <f>sch_oralh_details_num_learner_dmftpermatet_k</f>
        <v>0</v>
      </c>
      <c r="F2159" s="83" t="b">
        <v>1</v>
      </c>
      <c r="G2159" s="83"/>
      <c r="H2159" s="83"/>
    </row>
    <row r="2160" spans="1:8">
      <c r="A2160" s="83" t="s">
        <v>6462</v>
      </c>
      <c r="B2160" s="83" t="s">
        <v>6454</v>
      </c>
      <c r="C2160" s="83" t="s">
        <v>6462</v>
      </c>
      <c r="D2160" s="83" t="s">
        <v>6544</v>
      </c>
      <c r="E2160" s="84">
        <f>sch_oralh_details_num_learner_dmftpermatet_g1</f>
        <v>0</v>
      </c>
      <c r="F2160" s="83" t="b">
        <v>1</v>
      </c>
      <c r="G2160" s="83"/>
      <c r="H2160" s="83"/>
    </row>
    <row r="2161" spans="1:8">
      <c r="A2161" s="83" t="s">
        <v>6463</v>
      </c>
      <c r="B2161" s="83" t="s">
        <v>6454</v>
      </c>
      <c r="C2161" s="83" t="s">
        <v>6463</v>
      </c>
      <c r="D2161" s="83" t="s">
        <v>6545</v>
      </c>
      <c r="E2161" s="84">
        <f>sch_oralh_details_num_learner_dmftpermatet_g2</f>
        <v>0</v>
      </c>
      <c r="F2161" s="83" t="b">
        <v>1</v>
      </c>
      <c r="G2161" s="83"/>
      <c r="H2161" s="83"/>
    </row>
    <row r="2162" spans="1:8">
      <c r="A2162" s="83" t="s">
        <v>6464</v>
      </c>
      <c r="B2162" s="83" t="s">
        <v>6454</v>
      </c>
      <c r="C2162" s="83" t="s">
        <v>6464</v>
      </c>
      <c r="D2162" s="83" t="s">
        <v>6546</v>
      </c>
      <c r="E2162" s="84">
        <f>sch_oralh_details_num_learner_dmftpermatet_g3</f>
        <v>0</v>
      </c>
      <c r="F2162" s="83" t="b">
        <v>1</v>
      </c>
      <c r="G2162" s="83"/>
      <c r="H2162" s="83"/>
    </row>
    <row r="2163" spans="1:8">
      <c r="A2163" s="83" t="s">
        <v>6465</v>
      </c>
      <c r="B2163" s="83" t="s">
        <v>6454</v>
      </c>
      <c r="C2163" s="83" t="s">
        <v>6465</v>
      </c>
      <c r="D2163" s="83" t="s">
        <v>6547</v>
      </c>
      <c r="E2163" s="84">
        <f>sch_oralh_details_num_learner_dmftpermatet_g4</f>
        <v>0</v>
      </c>
      <c r="F2163" s="83" t="b">
        <v>1</v>
      </c>
      <c r="G2163" s="83"/>
      <c r="H2163" s="83"/>
    </row>
    <row r="2164" spans="1:8">
      <c r="A2164" s="83" t="s">
        <v>6466</v>
      </c>
      <c r="B2164" s="83" t="s">
        <v>6454</v>
      </c>
      <c r="C2164" s="83" t="s">
        <v>6466</v>
      </c>
      <c r="D2164" s="83" t="s">
        <v>6548</v>
      </c>
      <c r="E2164" s="84">
        <f>sch_oralh_details_num_learner_dmftpermatet_g5</f>
        <v>0</v>
      </c>
      <c r="F2164" s="83" t="b">
        <v>1</v>
      </c>
      <c r="G2164" s="83"/>
      <c r="H2164" s="83"/>
    </row>
    <row r="2165" spans="1:8">
      <c r="A2165" s="83" t="s">
        <v>6467</v>
      </c>
      <c r="B2165" s="83" t="s">
        <v>6454</v>
      </c>
      <c r="C2165" s="83" t="s">
        <v>6467</v>
      </c>
      <c r="D2165" s="83" t="s">
        <v>6549</v>
      </c>
      <c r="E2165" s="84">
        <f>sch_oralh_details_num_learner_dmftpermatet_g6</f>
        <v>0</v>
      </c>
      <c r="F2165" s="83" t="b">
        <v>1</v>
      </c>
      <c r="G2165" s="83"/>
      <c r="H2165" s="83"/>
    </row>
    <row r="2166" spans="1:8">
      <c r="A2166" s="83" t="s">
        <v>6468</v>
      </c>
      <c r="B2166" s="83" t="s">
        <v>6454</v>
      </c>
      <c r="C2166" s="83" t="s">
        <v>6468</v>
      </c>
      <c r="D2166" s="83" t="s">
        <v>6550</v>
      </c>
      <c r="E2166" s="84">
        <f>sch_oralh_details_num_dmftpermatet_k</f>
        <v>0</v>
      </c>
      <c r="F2166" s="83" t="b">
        <v>1</v>
      </c>
      <c r="G2166" s="83"/>
      <c r="H2166" s="83"/>
    </row>
    <row r="2167" spans="1:8">
      <c r="A2167" s="83" t="s">
        <v>6469</v>
      </c>
      <c r="B2167" s="83" t="s">
        <v>6454</v>
      </c>
      <c r="C2167" s="83" t="s">
        <v>6469</v>
      </c>
      <c r="D2167" s="83" t="s">
        <v>6551</v>
      </c>
      <c r="E2167" s="84">
        <f>sch_oralh_details_num_dmftpermatet_g1</f>
        <v>0</v>
      </c>
      <c r="F2167" s="83" t="b">
        <v>1</v>
      </c>
      <c r="G2167" s="83"/>
      <c r="H2167" s="83"/>
    </row>
    <row r="2168" spans="1:8">
      <c r="A2168" s="83" t="s">
        <v>6470</v>
      </c>
      <c r="B2168" s="83" t="s">
        <v>6454</v>
      </c>
      <c r="C2168" s="83" t="s">
        <v>6470</v>
      </c>
      <c r="D2168" s="83" t="s">
        <v>6552</v>
      </c>
      <c r="E2168" s="84">
        <f>sch_oralh_details_num_dmftpermatet_g2</f>
        <v>0</v>
      </c>
      <c r="F2168" s="83" t="b">
        <v>1</v>
      </c>
      <c r="G2168" s="83"/>
      <c r="H2168" s="83"/>
    </row>
    <row r="2169" spans="1:8">
      <c r="A2169" s="83" t="s">
        <v>6471</v>
      </c>
      <c r="B2169" s="83" t="s">
        <v>6454</v>
      </c>
      <c r="C2169" s="83" t="s">
        <v>6471</v>
      </c>
      <c r="D2169" s="83" t="s">
        <v>6553</v>
      </c>
      <c r="E2169" s="84">
        <f>sch_oralh_details_num_dmftpermatet_g3</f>
        <v>0</v>
      </c>
      <c r="F2169" s="83" t="b">
        <v>1</v>
      </c>
      <c r="G2169" s="83"/>
      <c r="H2169" s="83"/>
    </row>
    <row r="2170" spans="1:8">
      <c r="A2170" s="83" t="s">
        <v>6472</v>
      </c>
      <c r="B2170" s="83" t="s">
        <v>6454</v>
      </c>
      <c r="C2170" s="83" t="s">
        <v>6472</v>
      </c>
      <c r="D2170" s="83" t="s">
        <v>6554</v>
      </c>
      <c r="E2170" s="84">
        <f>sch_oralh_details_num_dmftpermatet_g4</f>
        <v>0</v>
      </c>
      <c r="F2170" s="83" t="b">
        <v>1</v>
      </c>
      <c r="G2170" s="83"/>
      <c r="H2170" s="83"/>
    </row>
    <row r="2171" spans="1:8">
      <c r="A2171" s="83" t="s">
        <v>6473</v>
      </c>
      <c r="B2171" s="83" t="s">
        <v>6454</v>
      </c>
      <c r="C2171" s="83" t="s">
        <v>6473</v>
      </c>
      <c r="D2171" s="83" t="s">
        <v>6555</v>
      </c>
      <c r="E2171" s="84">
        <f>sch_oralh_details_num_dmftpermatet_g5</f>
        <v>0</v>
      </c>
      <c r="F2171" s="83" t="b">
        <v>1</v>
      </c>
      <c r="G2171" s="83"/>
      <c r="H2171" s="83"/>
    </row>
    <row r="2172" spans="1:8">
      <c r="A2172" s="83" t="s">
        <v>6474</v>
      </c>
      <c r="B2172" s="83" t="s">
        <v>6454</v>
      </c>
      <c r="C2172" s="83" t="s">
        <v>6474</v>
      </c>
      <c r="D2172" s="83" t="s">
        <v>6556</v>
      </c>
      <c r="E2172" s="84">
        <f>sch_oralh_details_num_dmftpermatet_g6</f>
        <v>0</v>
      </c>
      <c r="F2172" s="83" t="b">
        <v>1</v>
      </c>
      <c r="G2172" s="83"/>
      <c r="H2172" s="83"/>
    </row>
    <row r="2173" spans="1:8">
      <c r="A2173" s="83" t="s">
        <v>6475</v>
      </c>
      <c r="B2173" s="83" t="s">
        <v>6454</v>
      </c>
      <c r="C2173" s="83" t="s">
        <v>6475</v>
      </c>
      <c r="D2173" s="83" t="s">
        <v>6557</v>
      </c>
      <c r="E2173" s="84">
        <f>sch_oralh_details_num_learner_dmfttempotet_k</f>
        <v>0</v>
      </c>
      <c r="F2173" s="83" t="b">
        <v>1</v>
      </c>
      <c r="G2173" s="83"/>
      <c r="H2173" s="83"/>
    </row>
    <row r="2174" spans="1:8">
      <c r="A2174" s="83" t="s">
        <v>6476</v>
      </c>
      <c r="B2174" s="83" t="s">
        <v>6454</v>
      </c>
      <c r="C2174" s="83" t="s">
        <v>6476</v>
      </c>
      <c r="D2174" s="83" t="s">
        <v>6558</v>
      </c>
      <c r="E2174" s="84">
        <f>sch_oralh_details_num_learner_dmfttempotet_g1</f>
        <v>0</v>
      </c>
      <c r="F2174" s="83" t="b">
        <v>1</v>
      </c>
      <c r="G2174" s="83"/>
      <c r="H2174" s="83"/>
    </row>
    <row r="2175" spans="1:8">
      <c r="A2175" s="83" t="s">
        <v>6477</v>
      </c>
      <c r="B2175" s="83" t="s">
        <v>6454</v>
      </c>
      <c r="C2175" s="83" t="s">
        <v>6477</v>
      </c>
      <c r="D2175" s="83" t="s">
        <v>6559</v>
      </c>
      <c r="E2175" s="84">
        <f>sch_oralh_details_num_learner_dmfttempotet_g2</f>
        <v>0</v>
      </c>
      <c r="F2175" s="83" t="b">
        <v>1</v>
      </c>
      <c r="G2175" s="83"/>
      <c r="H2175" s="83"/>
    </row>
    <row r="2176" spans="1:8">
      <c r="A2176" s="83" t="s">
        <v>6478</v>
      </c>
      <c r="B2176" s="83" t="s">
        <v>6454</v>
      </c>
      <c r="C2176" s="83" t="s">
        <v>6478</v>
      </c>
      <c r="D2176" s="83" t="s">
        <v>6560</v>
      </c>
      <c r="E2176" s="84">
        <f>sch_oralh_details_num_learner_dmfttempotet_g3</f>
        <v>0</v>
      </c>
      <c r="F2176" s="83" t="b">
        <v>1</v>
      </c>
      <c r="G2176" s="83"/>
      <c r="H2176" s="83"/>
    </row>
    <row r="2177" spans="1:8">
      <c r="A2177" s="83" t="s">
        <v>6479</v>
      </c>
      <c r="B2177" s="83" t="s">
        <v>6454</v>
      </c>
      <c r="C2177" s="83" t="s">
        <v>6479</v>
      </c>
      <c r="D2177" s="83" t="s">
        <v>6561</v>
      </c>
      <c r="E2177" s="84">
        <f>sch_oralh_details_num_learner_dmfttempotet_g4</f>
        <v>0</v>
      </c>
      <c r="F2177" s="83" t="b">
        <v>1</v>
      </c>
      <c r="G2177" s="83"/>
      <c r="H2177" s="83"/>
    </row>
    <row r="2178" spans="1:8">
      <c r="A2178" s="83" t="s">
        <v>6480</v>
      </c>
      <c r="B2178" s="83" t="s">
        <v>6454</v>
      </c>
      <c r="C2178" s="83" t="s">
        <v>6480</v>
      </c>
      <c r="D2178" s="83" t="s">
        <v>6562</v>
      </c>
      <c r="E2178" s="84">
        <f>sch_oralh_details_num_learner_dmfttempotet_g5</f>
        <v>0</v>
      </c>
      <c r="F2178" s="83" t="b">
        <v>1</v>
      </c>
      <c r="G2178" s="83"/>
      <c r="H2178" s="83"/>
    </row>
    <row r="2179" spans="1:8">
      <c r="A2179" s="83" t="s">
        <v>6481</v>
      </c>
      <c r="B2179" s="83" t="s">
        <v>6454</v>
      </c>
      <c r="C2179" s="83" t="s">
        <v>6481</v>
      </c>
      <c r="D2179" s="83" t="s">
        <v>6563</v>
      </c>
      <c r="E2179" s="84">
        <f>sch_oralh_details_num_learner_dmfttempotet_g6</f>
        <v>0</v>
      </c>
      <c r="F2179" s="83" t="b">
        <v>1</v>
      </c>
      <c r="G2179" s="83"/>
      <c r="H2179" s="83"/>
    </row>
    <row r="2180" spans="1:8">
      <c r="A2180" s="83" t="s">
        <v>6482</v>
      </c>
      <c r="B2180" s="83" t="s">
        <v>6454</v>
      </c>
      <c r="C2180" s="83" t="s">
        <v>6482</v>
      </c>
      <c r="D2180" s="83" t="s">
        <v>6564</v>
      </c>
      <c r="E2180" s="84">
        <f>sch_oralh_details_num_dmfttempotet_k</f>
        <v>0</v>
      </c>
      <c r="F2180" s="83" t="b">
        <v>1</v>
      </c>
      <c r="G2180" s="83"/>
      <c r="H2180" s="83"/>
    </row>
    <row r="2181" spans="1:8">
      <c r="A2181" s="83" t="s">
        <v>6483</v>
      </c>
      <c r="B2181" s="83" t="s">
        <v>6454</v>
      </c>
      <c r="C2181" s="83" t="s">
        <v>6483</v>
      </c>
      <c r="D2181" s="83" t="s">
        <v>6565</v>
      </c>
      <c r="E2181" s="84">
        <f>sch_oralh_details_num_dmfttempotet_g1</f>
        <v>0</v>
      </c>
      <c r="F2181" s="83" t="b">
        <v>1</v>
      </c>
      <c r="G2181" s="83"/>
      <c r="H2181" s="83"/>
    </row>
    <row r="2182" spans="1:8">
      <c r="A2182" s="83" t="s">
        <v>6484</v>
      </c>
      <c r="B2182" s="83" t="s">
        <v>6454</v>
      </c>
      <c r="C2182" s="83" t="s">
        <v>6484</v>
      </c>
      <c r="D2182" s="83" t="s">
        <v>6566</v>
      </c>
      <c r="E2182" s="84">
        <f>sch_oralh_details_num_dmfttempotet_g2</f>
        <v>0</v>
      </c>
      <c r="F2182" s="83" t="b">
        <v>1</v>
      </c>
      <c r="G2182" s="83"/>
      <c r="H2182" s="83"/>
    </row>
    <row r="2183" spans="1:8">
      <c r="A2183" s="83" t="s">
        <v>6485</v>
      </c>
      <c r="B2183" s="83" t="s">
        <v>6454</v>
      </c>
      <c r="C2183" s="83" t="s">
        <v>6485</v>
      </c>
      <c r="D2183" s="83" t="s">
        <v>6567</v>
      </c>
      <c r="E2183" s="84">
        <f>sch_oralh_details_num_dmfttempotet_g3</f>
        <v>0</v>
      </c>
      <c r="F2183" s="83" t="b">
        <v>1</v>
      </c>
      <c r="G2183" s="83"/>
      <c r="H2183" s="83"/>
    </row>
    <row r="2184" spans="1:8">
      <c r="A2184" s="83" t="s">
        <v>6486</v>
      </c>
      <c r="B2184" s="83" t="s">
        <v>6454</v>
      </c>
      <c r="C2184" s="83" t="s">
        <v>6486</v>
      </c>
      <c r="D2184" s="83" t="s">
        <v>6568</v>
      </c>
      <c r="E2184" s="84">
        <f>sch_oralh_details_num_dmfttempotet_g4</f>
        <v>0</v>
      </c>
      <c r="F2184" s="83" t="b">
        <v>1</v>
      </c>
      <c r="G2184" s="83"/>
      <c r="H2184" s="83"/>
    </row>
    <row r="2185" spans="1:8">
      <c r="A2185" s="83" t="s">
        <v>6487</v>
      </c>
      <c r="B2185" s="83" t="s">
        <v>6454</v>
      </c>
      <c r="C2185" s="83" t="s">
        <v>6487</v>
      </c>
      <c r="D2185" s="83" t="s">
        <v>6569</v>
      </c>
      <c r="E2185" s="84">
        <f>sch_oralh_details_num_dmfttempotet_g5</f>
        <v>0</v>
      </c>
      <c r="F2185" s="83" t="b">
        <v>1</v>
      </c>
      <c r="G2185" s="83"/>
      <c r="H2185" s="83"/>
    </row>
    <row r="2186" spans="1:8">
      <c r="A2186" s="83" t="s">
        <v>6488</v>
      </c>
      <c r="B2186" s="83" t="s">
        <v>6454</v>
      </c>
      <c r="C2186" s="83" t="s">
        <v>6488</v>
      </c>
      <c r="D2186" s="83" t="s">
        <v>6570</v>
      </c>
      <c r="E2186" s="84">
        <f>sch_oralh_details_num_dmfttempotet_g6</f>
        <v>0</v>
      </c>
      <c r="F2186" s="83" t="b">
        <v>1</v>
      </c>
      <c r="G2186" s="83"/>
      <c r="H2186" s="83"/>
    </row>
    <row r="2187" spans="1:8">
      <c r="A2187" s="83" t="s">
        <v>6489</v>
      </c>
      <c r="B2187" s="83" t="s">
        <v>6454</v>
      </c>
      <c r="C2187" s="83" t="s">
        <v>6489</v>
      </c>
      <c r="D2187" s="83" t="s">
        <v>6571</v>
      </c>
      <c r="E2187" s="84">
        <f>sch_oralh_details_num_learner_fthgumdisease_k</f>
        <v>0</v>
      </c>
      <c r="F2187" s="83" t="b">
        <v>1</v>
      </c>
      <c r="G2187" s="83"/>
      <c r="H2187" s="83"/>
    </row>
    <row r="2188" spans="1:8">
      <c r="A2188" s="83" t="s">
        <v>6490</v>
      </c>
      <c r="B2188" s="83" t="s">
        <v>6454</v>
      </c>
      <c r="C2188" s="83" t="s">
        <v>6490</v>
      </c>
      <c r="D2188" s="83" t="s">
        <v>6572</v>
      </c>
      <c r="E2188" s="84">
        <f>sch_oralh_details_num_learner_fthgumdisease_g1</f>
        <v>0</v>
      </c>
      <c r="F2188" s="83" t="b">
        <v>1</v>
      </c>
      <c r="G2188" s="83"/>
      <c r="H2188" s="83"/>
    </row>
    <row r="2189" spans="1:8">
      <c r="A2189" s="83" t="s">
        <v>6491</v>
      </c>
      <c r="B2189" s="83" t="s">
        <v>6454</v>
      </c>
      <c r="C2189" s="83" t="s">
        <v>6491</v>
      </c>
      <c r="D2189" s="83" t="s">
        <v>6573</v>
      </c>
      <c r="E2189" s="84">
        <f>sch_oralh_details_num_learner_fthgumdisease_g2</f>
        <v>0</v>
      </c>
      <c r="F2189" s="83" t="b">
        <v>1</v>
      </c>
      <c r="G2189" s="83"/>
      <c r="H2189" s="83"/>
    </row>
    <row r="2190" spans="1:8">
      <c r="A2190" s="83" t="s">
        <v>6492</v>
      </c>
      <c r="B2190" s="83" t="s">
        <v>6454</v>
      </c>
      <c r="C2190" s="83" t="s">
        <v>6492</v>
      </c>
      <c r="D2190" s="83" t="s">
        <v>6574</v>
      </c>
      <c r="E2190" s="84">
        <f>sch_oralh_details_num_learner_fthgumdisease_g3</f>
        <v>0</v>
      </c>
      <c r="F2190" s="83" t="b">
        <v>1</v>
      </c>
      <c r="G2190" s="83"/>
      <c r="H2190" s="83"/>
    </row>
    <row r="2191" spans="1:8">
      <c r="A2191" s="83" t="s">
        <v>6493</v>
      </c>
      <c r="B2191" s="83" t="s">
        <v>6454</v>
      </c>
      <c r="C2191" s="83" t="s">
        <v>6493</v>
      </c>
      <c r="D2191" s="83" t="s">
        <v>6575</v>
      </c>
      <c r="E2191" s="84">
        <f>sch_oralh_details_num_learner_fthgumdisease_g4</f>
        <v>0</v>
      </c>
      <c r="F2191" s="83" t="b">
        <v>1</v>
      </c>
      <c r="G2191" s="83"/>
      <c r="H2191" s="83"/>
    </row>
    <row r="2192" spans="1:8">
      <c r="A2192" s="83" t="s">
        <v>6494</v>
      </c>
      <c r="B2192" s="83" t="s">
        <v>6454</v>
      </c>
      <c r="C2192" s="83" t="s">
        <v>6494</v>
      </c>
      <c r="D2192" s="83" t="s">
        <v>6576</v>
      </c>
      <c r="E2192" s="84">
        <f>sch_oralh_details_num_learner_fthgumdisease_g5</f>
        <v>0</v>
      </c>
      <c r="F2192" s="83" t="b">
        <v>1</v>
      </c>
      <c r="G2192" s="83"/>
      <c r="H2192" s="83"/>
    </row>
    <row r="2193" spans="1:8">
      <c r="A2193" s="83" t="s">
        <v>6495</v>
      </c>
      <c r="B2193" s="83" t="s">
        <v>6454</v>
      </c>
      <c r="C2193" s="83" t="s">
        <v>6495</v>
      </c>
      <c r="D2193" s="83" t="s">
        <v>6577</v>
      </c>
      <c r="E2193" s="84">
        <f>sch_oralh_details_num_learner_fthgumdisease_g6</f>
        <v>0</v>
      </c>
      <c r="F2193" s="83" t="b">
        <v>1</v>
      </c>
      <c r="G2193" s="83"/>
      <c r="H2193" s="83"/>
    </row>
    <row r="2194" spans="1:8">
      <c r="A2194" s="83" t="s">
        <v>6496</v>
      </c>
      <c r="B2194" s="83" t="s">
        <v>6454</v>
      </c>
      <c r="C2194" s="83" t="s">
        <v>6496</v>
      </c>
      <c r="D2194" s="83" t="s">
        <v>6578</v>
      </c>
      <c r="E2194" s="84">
        <f>sch_oralh_details_num_learner_wosigdentalanom_k</f>
        <v>0</v>
      </c>
      <c r="F2194" s="83" t="b">
        <v>1</v>
      </c>
      <c r="G2194" s="83"/>
      <c r="H2194" s="83"/>
    </row>
    <row r="2195" spans="1:8">
      <c r="A2195" s="83" t="s">
        <v>6497</v>
      </c>
      <c r="B2195" s="83" t="s">
        <v>6454</v>
      </c>
      <c r="C2195" s="83" t="s">
        <v>6497</v>
      </c>
      <c r="D2195" s="83" t="s">
        <v>6579</v>
      </c>
      <c r="E2195" s="84">
        <f>sch_oralh_details_num_learner_wosigdentalanom_g1</f>
        <v>0</v>
      </c>
      <c r="F2195" s="83" t="b">
        <v>1</v>
      </c>
      <c r="G2195" s="83"/>
      <c r="H2195" s="83"/>
    </row>
    <row r="2196" spans="1:8">
      <c r="A2196" s="83" t="s">
        <v>6498</v>
      </c>
      <c r="B2196" s="83" t="s">
        <v>6454</v>
      </c>
      <c r="C2196" s="83" t="s">
        <v>6498</v>
      </c>
      <c r="D2196" s="83" t="s">
        <v>6580</v>
      </c>
      <c r="E2196" s="84">
        <f>sch_oralh_details_num_learner_wosigdentalanom_g2</f>
        <v>0</v>
      </c>
      <c r="F2196" s="83" t="b">
        <v>1</v>
      </c>
      <c r="G2196" s="83"/>
      <c r="H2196" s="83"/>
    </row>
    <row r="2197" spans="1:8">
      <c r="A2197" s="83" t="s">
        <v>6499</v>
      </c>
      <c r="B2197" s="83" t="s">
        <v>6454</v>
      </c>
      <c r="C2197" s="83" t="s">
        <v>6499</v>
      </c>
      <c r="D2197" s="83" t="s">
        <v>6581</v>
      </c>
      <c r="E2197" s="84">
        <f>sch_oralh_details_num_learner_wosigdentalanom_g3</f>
        <v>0</v>
      </c>
      <c r="F2197" s="83" t="b">
        <v>1</v>
      </c>
      <c r="G2197" s="83"/>
      <c r="H2197" s="83"/>
    </row>
    <row r="2198" spans="1:8">
      <c r="A2198" s="83" t="s">
        <v>6500</v>
      </c>
      <c r="B2198" s="83" t="s">
        <v>6454</v>
      </c>
      <c r="C2198" s="83" t="s">
        <v>6500</v>
      </c>
      <c r="D2198" s="83" t="s">
        <v>6582</v>
      </c>
      <c r="E2198" s="84">
        <f>sch_oralh_details_num_learner_wosigdentalanom_g4</f>
        <v>0</v>
      </c>
      <c r="F2198" s="83" t="b">
        <v>1</v>
      </c>
      <c r="G2198" s="83"/>
      <c r="H2198" s="83"/>
    </row>
    <row r="2199" spans="1:8">
      <c r="A2199" s="83" t="s">
        <v>6501</v>
      </c>
      <c r="B2199" s="83" t="s">
        <v>6454</v>
      </c>
      <c r="C2199" s="83" t="s">
        <v>6501</v>
      </c>
      <c r="D2199" s="83" t="s">
        <v>6583</v>
      </c>
      <c r="E2199" s="84">
        <f>sch_oralh_details_num_learner_wosigdentalanom_g5</f>
        <v>0</v>
      </c>
      <c r="F2199" s="83" t="b">
        <v>1</v>
      </c>
      <c r="G2199" s="83"/>
      <c r="H2199" s="83"/>
    </row>
    <row r="2200" spans="1:8">
      <c r="A2200" s="83" t="s">
        <v>6502</v>
      </c>
      <c r="B2200" s="83" t="s">
        <v>6454</v>
      </c>
      <c r="C2200" s="83" t="s">
        <v>6502</v>
      </c>
      <c r="D2200" s="83" t="s">
        <v>6584</v>
      </c>
      <c r="E2200" s="84">
        <f>sch_oralh_details_num_learner_wosigdentalanom_g6</f>
        <v>0</v>
      </c>
      <c r="F2200" s="83" t="b">
        <v>1</v>
      </c>
      <c r="G2200" s="83"/>
      <c r="H2200" s="83"/>
    </row>
    <row r="2201" spans="1:8">
      <c r="A2201" s="83" t="s">
        <v>6503</v>
      </c>
      <c r="B2201" s="83" t="s">
        <v>6454</v>
      </c>
      <c r="C2201" s="83" t="s">
        <v>6503</v>
      </c>
      <c r="D2201" s="83" t="s">
        <v>6585</v>
      </c>
      <c r="E2201" s="84">
        <f>sch_oralh_details_num_learner_underwflourid_k</f>
        <v>0</v>
      </c>
      <c r="F2201" s="83" t="b">
        <v>1</v>
      </c>
      <c r="G2201" s="83"/>
      <c r="H2201" s="83"/>
    </row>
    <row r="2202" spans="1:8">
      <c r="A2202" s="83" t="s">
        <v>6504</v>
      </c>
      <c r="B2202" s="83" t="s">
        <v>6454</v>
      </c>
      <c r="C2202" s="83" t="s">
        <v>6504</v>
      </c>
      <c r="D2202" s="83" t="s">
        <v>6586</v>
      </c>
      <c r="E2202" s="84">
        <f>sch_oralh_details_num_learner_underwflourid_g1</f>
        <v>0</v>
      </c>
      <c r="F2202" s="83" t="b">
        <v>1</v>
      </c>
      <c r="G2202" s="83"/>
      <c r="H2202" s="83"/>
    </row>
    <row r="2203" spans="1:8">
      <c r="A2203" s="83" t="s">
        <v>6505</v>
      </c>
      <c r="B2203" s="83" t="s">
        <v>6454</v>
      </c>
      <c r="C2203" s="83" t="s">
        <v>6505</v>
      </c>
      <c r="D2203" s="83" t="s">
        <v>6587</v>
      </c>
      <c r="E2203" s="84">
        <f>sch_oralh_details_num_learner_underwflourid_g2</f>
        <v>0</v>
      </c>
      <c r="F2203" s="83" t="b">
        <v>1</v>
      </c>
      <c r="G2203" s="83"/>
      <c r="H2203" s="83"/>
    </row>
    <row r="2204" spans="1:8" s="112" customFormat="1" ht="16" thickBot="1">
      <c r="A2204" s="85" t="s">
        <v>6506</v>
      </c>
      <c r="B2204" s="85" t="s">
        <v>6454</v>
      </c>
      <c r="C2204" s="85" t="s">
        <v>6506</v>
      </c>
      <c r="D2204" s="85" t="s">
        <v>6588</v>
      </c>
      <c r="E2204" s="86">
        <f>sch_oralh_details_num_learner_underwflourid_g3</f>
        <v>0</v>
      </c>
      <c r="F2204" s="85" t="b">
        <v>1</v>
      </c>
      <c r="G2204" s="85"/>
      <c r="H2204" s="85"/>
    </row>
    <row r="2205" spans="1:8">
      <c r="A2205" s="83" t="s">
        <v>6507</v>
      </c>
      <c r="B2205" s="83" t="s">
        <v>6508</v>
      </c>
      <c r="C2205" s="83" t="s">
        <v>6507</v>
      </c>
      <c r="D2205" s="83" t="s">
        <v>6589</v>
      </c>
      <c r="E2205" s="84">
        <f>sch_mednurservc_details_num_lexamined_k</f>
        <v>0</v>
      </c>
      <c r="F2205" s="83" t="b">
        <v>1</v>
      </c>
      <c r="G2205" s="83"/>
      <c r="H2205" s="83"/>
    </row>
    <row r="2206" spans="1:8">
      <c r="A2206" s="83" t="s">
        <v>6509</v>
      </c>
      <c r="B2206" s="83" t="s">
        <v>6508</v>
      </c>
      <c r="C2206" s="83" t="s">
        <v>6509</v>
      </c>
      <c r="D2206" s="83" t="s">
        <v>6590</v>
      </c>
      <c r="E2206" s="84">
        <f>sch_mednurservc_details_num_lexamined_g1</f>
        <v>0</v>
      </c>
      <c r="F2206" s="83" t="b">
        <v>1</v>
      </c>
      <c r="G2206" s="83"/>
      <c r="H2206" s="83"/>
    </row>
    <row r="2207" spans="1:8">
      <c r="A2207" s="83" t="s">
        <v>6510</v>
      </c>
      <c r="B2207" s="83" t="s">
        <v>6508</v>
      </c>
      <c r="C2207" s="83" t="s">
        <v>6510</v>
      </c>
      <c r="D2207" s="83" t="s">
        <v>6591</v>
      </c>
      <c r="E2207" s="84">
        <f>sch_mednurservc_details_num_lexamined_g2</f>
        <v>0</v>
      </c>
      <c r="F2207" s="83" t="b">
        <v>1</v>
      </c>
      <c r="G2207" s="83"/>
      <c r="H2207" s="83"/>
    </row>
    <row r="2208" spans="1:8">
      <c r="A2208" s="83" t="s">
        <v>6511</v>
      </c>
      <c r="B2208" s="83" t="s">
        <v>6508</v>
      </c>
      <c r="C2208" s="83" t="s">
        <v>6511</v>
      </c>
      <c r="D2208" s="83" t="s">
        <v>6592</v>
      </c>
      <c r="E2208" s="84">
        <f>sch_mednurservc_details_num_lexamined_g3</f>
        <v>0</v>
      </c>
      <c r="F2208" s="83" t="b">
        <v>1</v>
      </c>
      <c r="G2208" s="83"/>
      <c r="H2208" s="83"/>
    </row>
    <row r="2209" spans="1:8">
      <c r="A2209" s="83" t="s">
        <v>6512</v>
      </c>
      <c r="B2209" s="83" t="s">
        <v>6508</v>
      </c>
      <c r="C2209" s="83" t="s">
        <v>6512</v>
      </c>
      <c r="D2209" s="83" t="s">
        <v>6593</v>
      </c>
      <c r="E2209" s="84">
        <f>sch_mednurservc_details_num_lexamined_g4</f>
        <v>0</v>
      </c>
      <c r="F2209" s="83" t="b">
        <v>1</v>
      </c>
      <c r="G2209" s="83"/>
      <c r="H2209" s="83"/>
    </row>
    <row r="2210" spans="1:8">
      <c r="A2210" s="83" t="s">
        <v>6513</v>
      </c>
      <c r="B2210" s="83" t="s">
        <v>6508</v>
      </c>
      <c r="C2210" s="83" t="s">
        <v>6513</v>
      </c>
      <c r="D2210" s="83" t="s">
        <v>6594</v>
      </c>
      <c r="E2210" s="84">
        <f>sch_mednurservc_details_num_lexamined_g5</f>
        <v>0</v>
      </c>
      <c r="F2210" s="83" t="b">
        <v>1</v>
      </c>
      <c r="G2210" s="83"/>
      <c r="H2210" s="83"/>
    </row>
    <row r="2211" spans="1:8">
      <c r="A2211" s="83" t="s">
        <v>6514</v>
      </c>
      <c r="B2211" s="83" t="s">
        <v>6508</v>
      </c>
      <c r="C2211" s="83" t="s">
        <v>6514</v>
      </c>
      <c r="D2211" s="83" t="s">
        <v>6595</v>
      </c>
      <c r="E2211" s="84">
        <f>sch_mednurservc_details_num_lexamined_g6</f>
        <v>0</v>
      </c>
      <c r="F2211" s="83" t="b">
        <v>1</v>
      </c>
      <c r="G2211" s="83"/>
      <c r="H2211" s="83"/>
    </row>
    <row r="2212" spans="1:8">
      <c r="A2212" s="83" t="s">
        <v>6515</v>
      </c>
      <c r="B2212" s="83" t="s">
        <v>6508</v>
      </c>
      <c r="C2212" s="83" t="s">
        <v>6515</v>
      </c>
      <c r="D2212" s="83" t="s">
        <v>6596</v>
      </c>
      <c r="E2212" s="84">
        <f>sch_mednurservc_details_num_lwfindings_k</f>
        <v>0</v>
      </c>
      <c r="F2212" s="83" t="b">
        <v>1</v>
      </c>
      <c r="G2212" s="83"/>
      <c r="H2212" s="83"/>
    </row>
    <row r="2213" spans="1:8">
      <c r="A2213" s="83" t="s">
        <v>6516</v>
      </c>
      <c r="B2213" s="83" t="s">
        <v>6508</v>
      </c>
      <c r="C2213" s="83" t="s">
        <v>6516</v>
      </c>
      <c r="D2213" s="83" t="s">
        <v>6597</v>
      </c>
      <c r="E2213" s="84">
        <f>sch_mednurservc_details_num_lwfindings_g1</f>
        <v>0</v>
      </c>
      <c r="F2213" s="83" t="b">
        <v>1</v>
      </c>
      <c r="G2213" s="83"/>
      <c r="H2213" s="83"/>
    </row>
    <row r="2214" spans="1:8">
      <c r="A2214" s="83" t="s">
        <v>6517</v>
      </c>
      <c r="B2214" s="83" t="s">
        <v>6508</v>
      </c>
      <c r="C2214" s="83" t="s">
        <v>6517</v>
      </c>
      <c r="D2214" s="83" t="s">
        <v>6598</v>
      </c>
      <c r="E2214" s="84">
        <f>sch_mednurservc_details_num_lwfindings_g2</f>
        <v>0</v>
      </c>
      <c r="F2214" s="83" t="b">
        <v>1</v>
      </c>
      <c r="G2214" s="83"/>
      <c r="H2214" s="83"/>
    </row>
    <row r="2215" spans="1:8">
      <c r="A2215" s="83" t="s">
        <v>6518</v>
      </c>
      <c r="B2215" s="83" t="s">
        <v>6508</v>
      </c>
      <c r="C2215" s="83" t="s">
        <v>6518</v>
      </c>
      <c r="D2215" s="83" t="s">
        <v>6599</v>
      </c>
      <c r="E2215" s="84">
        <f>sch_mednurservc_details_num_lwfindings_g3</f>
        <v>0</v>
      </c>
      <c r="F2215" s="83" t="b">
        <v>1</v>
      </c>
      <c r="G2215" s="83"/>
      <c r="H2215" s="83"/>
    </row>
    <row r="2216" spans="1:8">
      <c r="A2216" s="83" t="s">
        <v>6519</v>
      </c>
      <c r="B2216" s="83" t="s">
        <v>6508</v>
      </c>
      <c r="C2216" s="83" t="s">
        <v>6519</v>
      </c>
      <c r="D2216" s="83" t="s">
        <v>6600</v>
      </c>
      <c r="E2216" s="84">
        <f>sch_mednurservc_details_num_lwfindings_g4</f>
        <v>0</v>
      </c>
      <c r="F2216" s="83" t="b">
        <v>1</v>
      </c>
      <c r="G2216" s="83"/>
      <c r="H2216" s="83"/>
    </row>
    <row r="2217" spans="1:8">
      <c r="A2217" s="83" t="s">
        <v>6520</v>
      </c>
      <c r="B2217" s="83" t="s">
        <v>6508</v>
      </c>
      <c r="C2217" s="83" t="s">
        <v>6520</v>
      </c>
      <c r="D2217" s="83" t="s">
        <v>6601</v>
      </c>
      <c r="E2217" s="84">
        <f>sch_mednurservc_details_num_lwfindings_g5</f>
        <v>0</v>
      </c>
      <c r="F2217" s="83" t="b">
        <v>1</v>
      </c>
      <c r="G2217" s="83"/>
      <c r="H2217" s="83"/>
    </row>
    <row r="2218" spans="1:8">
      <c r="A2218" s="83" t="s">
        <v>6521</v>
      </c>
      <c r="B2218" s="83" t="s">
        <v>6508</v>
      </c>
      <c r="C2218" s="83" t="s">
        <v>6521</v>
      </c>
      <c r="D2218" s="83" t="s">
        <v>6602</v>
      </c>
      <c r="E2218" s="84">
        <f>sch_mednurservc_details_num_lwfindings_g6</f>
        <v>0</v>
      </c>
      <c r="F2218" s="83" t="b">
        <v>1</v>
      </c>
      <c r="G2218" s="83"/>
      <c r="H2218" s="83"/>
    </row>
    <row r="2219" spans="1:8">
      <c r="A2219" s="83" t="s">
        <v>6522</v>
      </c>
      <c r="B2219" s="83" t="s">
        <v>6508</v>
      </c>
      <c r="C2219" s="83" t="s">
        <v>6522</v>
      </c>
      <c r="D2219" s="83" t="s">
        <v>6603</v>
      </c>
      <c r="E2219" s="84">
        <f>sch_mednurservc_details_num_lgiclindepedhealthp_k</f>
        <v>0</v>
      </c>
      <c r="F2219" s="83" t="b">
        <v>1</v>
      </c>
      <c r="G2219" s="83"/>
      <c r="H2219" s="83"/>
    </row>
    <row r="2220" spans="1:8">
      <c r="A2220" s="83" t="s">
        <v>6523</v>
      </c>
      <c r="B2220" s="83" t="s">
        <v>6508</v>
      </c>
      <c r="C2220" s="83" t="s">
        <v>6523</v>
      </c>
      <c r="D2220" s="83" t="s">
        <v>6604</v>
      </c>
      <c r="E2220" s="84">
        <f>sch_mednurservc_details_num_lgiclindepedhealthp_g1</f>
        <v>0</v>
      </c>
      <c r="F2220" s="83" t="b">
        <v>1</v>
      </c>
      <c r="G2220" s="83"/>
      <c r="H2220" s="83"/>
    </row>
    <row r="2221" spans="1:8">
      <c r="A2221" s="83" t="s">
        <v>6524</v>
      </c>
      <c r="B2221" s="83" t="s">
        <v>6508</v>
      </c>
      <c r="C2221" s="83" t="s">
        <v>6524</v>
      </c>
      <c r="D2221" s="83" t="s">
        <v>6605</v>
      </c>
      <c r="E2221" s="84">
        <f>sch_mednurservc_details_num_lgiclindepedhealthp_g2</f>
        <v>0</v>
      </c>
      <c r="F2221" s="83" t="b">
        <v>1</v>
      </c>
      <c r="G2221" s="83"/>
      <c r="H2221" s="83"/>
    </row>
    <row r="2222" spans="1:8">
      <c r="A2222" s="83" t="s">
        <v>6525</v>
      </c>
      <c r="B2222" s="83" t="s">
        <v>6508</v>
      </c>
      <c r="C2222" s="83" t="s">
        <v>6525</v>
      </c>
      <c r="D2222" s="83" t="s">
        <v>6606</v>
      </c>
      <c r="E2222" s="84">
        <f>sch_mednurservc_details_num_lgiclindepedhealthp_g3</f>
        <v>0</v>
      </c>
      <c r="F2222" s="83" t="b">
        <v>1</v>
      </c>
      <c r="G2222" s="83"/>
      <c r="H2222" s="83"/>
    </row>
    <row r="2223" spans="1:8">
      <c r="A2223" s="83" t="s">
        <v>6526</v>
      </c>
      <c r="B2223" s="83" t="s">
        <v>6508</v>
      </c>
      <c r="C2223" s="83" t="s">
        <v>6526</v>
      </c>
      <c r="D2223" s="83" t="s">
        <v>6607</v>
      </c>
      <c r="E2223" s="84">
        <f>sch_mednurservc_details_num_lgiclindepedhealthp_g4</f>
        <v>0</v>
      </c>
      <c r="F2223" s="83" t="b">
        <v>1</v>
      </c>
      <c r="G2223" s="83"/>
      <c r="H2223" s="83"/>
    </row>
    <row r="2224" spans="1:8">
      <c r="A2224" s="83" t="s">
        <v>6527</v>
      </c>
      <c r="B2224" s="83" t="s">
        <v>6508</v>
      </c>
      <c r="C2224" s="83" t="s">
        <v>6527</v>
      </c>
      <c r="D2224" s="83" t="s">
        <v>6608</v>
      </c>
      <c r="E2224" s="84">
        <f>sch_mednurservc_details_num_lgiclindepedhealthp_g5</f>
        <v>0</v>
      </c>
      <c r="F2224" s="83" t="b">
        <v>1</v>
      </c>
      <c r="G2224" s="83"/>
      <c r="H2224" s="83"/>
    </row>
    <row r="2225" spans="1:16380">
      <c r="A2225" s="83" t="s">
        <v>6528</v>
      </c>
      <c r="B2225" s="83" t="s">
        <v>6508</v>
      </c>
      <c r="C2225" s="83" t="s">
        <v>6528</v>
      </c>
      <c r="D2225" s="83" t="s">
        <v>6609</v>
      </c>
      <c r="E2225" s="84">
        <f>sch_mednurservc_details_num_lgiclindepedhealthp_g6</f>
        <v>0</v>
      </c>
      <c r="F2225" s="83" t="b">
        <v>1</v>
      </c>
      <c r="G2225" s="83"/>
      <c r="H2225" s="83"/>
    </row>
    <row r="2226" spans="1:16380">
      <c r="A2226" s="83" t="s">
        <v>6529</v>
      </c>
      <c r="B2226" s="83" t="s">
        <v>6508</v>
      </c>
      <c r="C2226" s="83" t="s">
        <v>6529</v>
      </c>
      <c r="D2226" s="83" t="s">
        <v>6610</v>
      </c>
      <c r="E2226" s="84">
        <f>sch_mednurservc_details_num_lrefercityrurauotherphp_k</f>
        <v>0</v>
      </c>
      <c r="F2226" s="83" t="b">
        <v>1</v>
      </c>
      <c r="G2226" s="83"/>
      <c r="H2226" s="83"/>
    </row>
    <row r="2227" spans="1:16380">
      <c r="A2227" s="83" t="s">
        <v>6530</v>
      </c>
      <c r="B2227" s="83" t="s">
        <v>6508</v>
      </c>
      <c r="C2227" s="83" t="s">
        <v>6530</v>
      </c>
      <c r="D2227" s="83" t="s">
        <v>6611</v>
      </c>
      <c r="E2227" s="84">
        <f>sch_mednurservc_details_num_lrefercityrurauotherphp_g1</f>
        <v>0</v>
      </c>
      <c r="F2227" s="83" t="b">
        <v>1</v>
      </c>
      <c r="G2227" s="83"/>
      <c r="H2227" s="83"/>
    </row>
    <row r="2228" spans="1:16380">
      <c r="A2228" s="83" t="s">
        <v>6531</v>
      </c>
      <c r="B2228" s="83" t="s">
        <v>6508</v>
      </c>
      <c r="C2228" s="83" t="s">
        <v>6531</v>
      </c>
      <c r="D2228" s="83" t="s">
        <v>6612</v>
      </c>
      <c r="E2228" s="84">
        <f>sch_mednurservc_details_num_lrefercityrurauotherphp_g2</f>
        <v>0</v>
      </c>
      <c r="F2228" s="83" t="b">
        <v>1</v>
      </c>
      <c r="G2228" s="83"/>
      <c r="H2228" s="83"/>
    </row>
    <row r="2229" spans="1:16380">
      <c r="A2229" s="83" t="s">
        <v>6532</v>
      </c>
      <c r="B2229" s="83" t="s">
        <v>6508</v>
      </c>
      <c r="C2229" s="83" t="s">
        <v>6532</v>
      </c>
      <c r="D2229" s="83" t="s">
        <v>6613</v>
      </c>
      <c r="E2229" s="84">
        <f>sch_mednurservc_details_num_lrefercityrurauotherphp_g3</f>
        <v>0</v>
      </c>
      <c r="F2229" s="83" t="b">
        <v>1</v>
      </c>
      <c r="G2229" s="83"/>
      <c r="H2229" s="83"/>
    </row>
    <row r="2230" spans="1:16380">
      <c r="A2230" s="83" t="s">
        <v>6533</v>
      </c>
      <c r="B2230" s="83" t="s">
        <v>6508</v>
      </c>
      <c r="C2230" s="83" t="s">
        <v>6533</v>
      </c>
      <c r="D2230" s="83" t="s">
        <v>6614</v>
      </c>
      <c r="E2230" s="84">
        <f>sch_mednurservc_details_num_lrefercityrurauotherphp_g4</f>
        <v>0</v>
      </c>
      <c r="F2230" s="83" t="b">
        <v>1</v>
      </c>
      <c r="G2230" s="83"/>
      <c r="H2230" s="83"/>
    </row>
    <row r="2231" spans="1:16380">
      <c r="A2231" s="83" t="s">
        <v>6534</v>
      </c>
      <c r="B2231" s="83" t="s">
        <v>6508</v>
      </c>
      <c r="C2231" s="83" t="s">
        <v>6534</v>
      </c>
      <c r="D2231" s="83" t="s">
        <v>6615</v>
      </c>
      <c r="E2231" s="84">
        <f>sch_mednurservc_details_num_lrefercityrurauotherphp_g5</f>
        <v>0</v>
      </c>
      <c r="F2231" s="83" t="b">
        <v>1</v>
      </c>
      <c r="G2231" s="83"/>
      <c r="H2231" s="83"/>
    </row>
    <row r="2232" spans="1:16380" s="112" customFormat="1" ht="16" thickBot="1">
      <c r="A2232" s="85" t="s">
        <v>6535</v>
      </c>
      <c r="B2232" s="85" t="s">
        <v>6508</v>
      </c>
      <c r="C2232" s="85" t="s">
        <v>6535</v>
      </c>
      <c r="D2232" s="85" t="s">
        <v>6616</v>
      </c>
      <c r="E2232" s="86">
        <f>sch_mednurservc_details_num_lrefercityrurauotherphp_g6</f>
        <v>0</v>
      </c>
      <c r="F2232" s="85" t="b">
        <v>1</v>
      </c>
      <c r="G2232" s="85"/>
      <c r="H2232" s="85"/>
    </row>
    <row r="2233" spans="1:16380">
      <c r="A2233" s="83" t="s">
        <v>11696</v>
      </c>
      <c r="B2233" s="83" t="s">
        <v>6617</v>
      </c>
      <c r="C2233" s="83" t="s">
        <v>11696</v>
      </c>
      <c r="D2233" s="83" t="s">
        <v>6618</v>
      </c>
      <c r="E2233" s="83" cm="1">
        <f t="array" ref="E2233">mental_cases_suicide_learners_lastsy_dec</f>
        <v>0</v>
      </c>
      <c r="F2233" s="83" t="b">
        <v>1</v>
      </c>
      <c r="G2233" s="83"/>
      <c r="H2233" s="83"/>
    </row>
    <row r="2234" spans="1:16380">
      <c r="A2234" s="83" t="s">
        <v>11697</v>
      </c>
      <c r="B2234" s="83" t="s">
        <v>6617</v>
      </c>
      <c r="C2234" s="83" t="s">
        <v>11697</v>
      </c>
      <c r="D2234" s="83" t="s">
        <v>6619</v>
      </c>
      <c r="E2234" s="83" cm="1">
        <f t="array" ref="E2234">mental_cases_suicide_learners_lastsy_jan</f>
        <v>0</v>
      </c>
      <c r="F2234" s="83" t="b">
        <v>1</v>
      </c>
      <c r="G2234" s="83"/>
      <c r="H2234" s="83"/>
    </row>
    <row r="2235" spans="1:16380">
      <c r="A2235" s="83" t="s">
        <v>11698</v>
      </c>
      <c r="B2235" s="83" t="s">
        <v>6617</v>
      </c>
      <c r="C2235" s="83" t="s">
        <v>11698</v>
      </c>
      <c r="D2235" s="83" t="s">
        <v>6620</v>
      </c>
      <c r="E2235" s="83" cm="1">
        <f t="array" ref="E2235">mental_cases_suicide_learners_lastsy_feb</f>
        <v>0</v>
      </c>
      <c r="F2235" s="83" t="b">
        <v>1</v>
      </c>
      <c r="G2235" s="83"/>
      <c r="H2235" s="83"/>
    </row>
    <row r="2236" spans="1:16380">
      <c r="A2236" s="83" t="s">
        <v>11699</v>
      </c>
      <c r="B2236" s="83" t="s">
        <v>6617</v>
      </c>
      <c r="C2236" s="83" t="s">
        <v>11699</v>
      </c>
      <c r="D2236" s="83" t="s">
        <v>6621</v>
      </c>
      <c r="E2236" s="83" cm="1">
        <f t="array" ref="E2236">mental_cases_suicide_learners_lastsy_mar</f>
        <v>0</v>
      </c>
      <c r="F2236" s="83" t="b">
        <v>1</v>
      </c>
      <c r="G2236" s="83"/>
      <c r="H2236" s="83"/>
    </row>
    <row r="2237" spans="1:16380">
      <c r="A2237" s="83" t="s">
        <v>11700</v>
      </c>
      <c r="B2237" s="83" t="s">
        <v>6617</v>
      </c>
      <c r="C2237" s="83" t="s">
        <v>11700</v>
      </c>
      <c r="D2237" s="83" t="s">
        <v>6622</v>
      </c>
      <c r="E2237" s="83" cm="1">
        <f t="array" ref="E2237">mental_cases_suicide_learners_lastsy_apr</f>
        <v>0</v>
      </c>
      <c r="F2237" s="83" t="b">
        <v>1</v>
      </c>
      <c r="G2237" s="83"/>
      <c r="H2237" s="83"/>
    </row>
    <row r="2238" spans="1:16380">
      <c r="A2238" s="83" t="s">
        <v>11701</v>
      </c>
      <c r="B2238" s="83" t="s">
        <v>6617</v>
      </c>
      <c r="C2238" s="83" t="s">
        <v>11701</v>
      </c>
      <c r="D2238" s="83" t="s">
        <v>6623</v>
      </c>
      <c r="E2238" s="83" cm="1">
        <f t="array" ref="E2238">mental_cases_suicide_learners_lastsy_may</f>
        <v>0</v>
      </c>
      <c r="F2238" s="83" t="b">
        <v>1</v>
      </c>
      <c r="G2238" s="83"/>
      <c r="H2238" s="83"/>
    </row>
    <row r="2239" spans="1:16380">
      <c r="A2239" s="83" t="s">
        <v>11702</v>
      </c>
      <c r="B2239" s="83" t="s">
        <v>6617</v>
      </c>
      <c r="C2239" s="83" t="s">
        <v>11702</v>
      </c>
      <c r="D2239" s="83" t="s">
        <v>6624</v>
      </c>
      <c r="E2239" s="83" cm="1">
        <f t="array" ref="E2239">mental_cases_suicide_learners_lastsy_jun</f>
        <v>0</v>
      </c>
      <c r="F2239" s="83" t="b">
        <v>1</v>
      </c>
      <c r="G2239" s="83"/>
      <c r="H2239" s="83"/>
    </row>
    <row r="2240" spans="1:16380">
      <c r="A2240" s="1734" t="s">
        <v>11842</v>
      </c>
      <c r="B2240" s="1734" t="s">
        <v>6617</v>
      </c>
      <c r="C2240" s="1734" t="s">
        <v>11842</v>
      </c>
      <c r="D2240" s="1734" t="s">
        <v>6625</v>
      </c>
      <c r="E2240" s="1734" cm="1">
        <f t="array" ref="E2240">mental_cases_suicide_learners_after_lastsy_jun</f>
        <v>0</v>
      </c>
      <c r="F2240" s="1734" t="b">
        <v>1</v>
      </c>
      <c r="G2240" s="1734"/>
      <c r="H2240" s="1731"/>
      <c r="I2240" s="1731"/>
      <c r="J2240" s="1731"/>
      <c r="K2240" s="1731"/>
      <c r="L2240" s="1735" t="s">
        <v>11841</v>
      </c>
      <c r="M2240" s="1733"/>
      <c r="N2240" s="1733"/>
      <c r="O2240" s="1733"/>
      <c r="P2240" s="1733"/>
      <c r="Q2240" s="1733"/>
      <c r="R2240" s="1733"/>
      <c r="S2240" s="1733"/>
      <c r="T2240" s="1733"/>
      <c r="U2240" s="1733"/>
      <c r="V2240" s="1733"/>
      <c r="W2240" s="1733"/>
      <c r="X2240" s="1733"/>
      <c r="Y2240" s="1733"/>
      <c r="Z2240" s="1733"/>
      <c r="AA2240" s="1733"/>
      <c r="AB2240" s="1733"/>
      <c r="AC2240" s="1733"/>
      <c r="AD2240" s="1733"/>
      <c r="AE2240" s="1733"/>
      <c r="AF2240" s="1733"/>
      <c r="AG2240" s="1733"/>
      <c r="AH2240" s="1733"/>
      <c r="AI2240" s="1733"/>
      <c r="AJ2240" s="1733"/>
      <c r="AK2240" s="1733"/>
      <c r="AL2240" s="1733"/>
      <c r="AM2240" s="1733"/>
      <c r="AN2240" s="1733"/>
      <c r="AO2240" s="1733"/>
      <c r="AP2240" s="1733"/>
      <c r="AQ2240" s="1733"/>
      <c r="AR2240" s="1733"/>
      <c r="AS2240" s="1733"/>
      <c r="AT2240" s="1733"/>
      <c r="AU2240" s="1733"/>
      <c r="AV2240" s="1733"/>
      <c r="AW2240" s="1733"/>
      <c r="AX2240" s="1733"/>
      <c r="AY2240" s="1733"/>
      <c r="AZ2240" s="1733"/>
      <c r="BA2240" s="1733"/>
      <c r="BB2240" s="1733"/>
      <c r="BC2240" s="1733"/>
      <c r="BD2240" s="1733"/>
      <c r="BE2240" s="1733"/>
      <c r="BF2240" s="1733"/>
      <c r="BG2240" s="1733"/>
      <c r="BH2240" s="1733"/>
      <c r="BI2240" s="1733"/>
      <c r="BJ2240" s="1733"/>
      <c r="BK2240" s="1733"/>
      <c r="BL2240" s="1733"/>
      <c r="BM2240" s="1733"/>
      <c r="BN2240" s="1733"/>
      <c r="BO2240" s="1733"/>
      <c r="BP2240" s="1733"/>
      <c r="BQ2240" s="1733"/>
      <c r="BR2240" s="1733"/>
      <c r="BS2240" s="1733"/>
      <c r="BT2240" s="1733"/>
      <c r="BU2240" s="1733"/>
      <c r="BV2240" s="1733"/>
      <c r="BW2240" s="1733"/>
      <c r="BX2240" s="1733"/>
      <c r="BY2240" s="1733"/>
      <c r="BZ2240" s="1733"/>
      <c r="CA2240" s="1733"/>
      <c r="CB2240" s="1733"/>
      <c r="CC2240" s="1733"/>
      <c r="CD2240" s="1733"/>
      <c r="CE2240" s="1733"/>
      <c r="CF2240" s="1733"/>
      <c r="CG2240" s="1733"/>
      <c r="CH2240" s="1733"/>
      <c r="CI2240" s="1733"/>
      <c r="CJ2240" s="1733"/>
      <c r="CK2240" s="1733"/>
      <c r="CL2240" s="1733"/>
      <c r="CM2240" s="1733"/>
      <c r="CN2240" s="1733"/>
      <c r="CO2240" s="1733"/>
      <c r="CP2240" s="1733"/>
      <c r="CQ2240" s="1733"/>
      <c r="CR2240" s="1733"/>
      <c r="CS2240" s="1733"/>
      <c r="CT2240" s="1733"/>
      <c r="CU2240" s="1733"/>
      <c r="CV2240" s="1733"/>
      <c r="CW2240" s="1733"/>
      <c r="CX2240" s="1733"/>
      <c r="CY2240" s="1733"/>
      <c r="CZ2240" s="1733"/>
      <c r="DA2240" s="1733"/>
      <c r="DB2240" s="1733"/>
      <c r="DC2240" s="1733"/>
      <c r="DD2240" s="1733"/>
      <c r="DE2240" s="1733"/>
      <c r="DF2240" s="1733"/>
      <c r="DG2240" s="1733"/>
      <c r="DH2240" s="1733"/>
      <c r="DI2240" s="1733"/>
      <c r="DJ2240" s="1733"/>
      <c r="DK2240" s="1733"/>
      <c r="DL2240" s="1733"/>
      <c r="DM2240" s="1733"/>
      <c r="DN2240" s="1733"/>
      <c r="DO2240" s="1733"/>
      <c r="DP2240" s="1733"/>
      <c r="DQ2240" s="1733"/>
      <c r="DR2240" s="1733"/>
      <c r="DS2240" s="1733"/>
      <c r="DT2240" s="1733"/>
      <c r="DU2240" s="1733"/>
      <c r="DV2240" s="1733"/>
      <c r="DW2240" s="1733"/>
      <c r="DX2240" s="1733"/>
      <c r="DY2240" s="1733"/>
      <c r="DZ2240" s="1733"/>
      <c r="EA2240" s="1733"/>
      <c r="EB2240" s="1733"/>
      <c r="EC2240" s="1733"/>
      <c r="ED2240" s="1733"/>
      <c r="EE2240" s="1733"/>
      <c r="EF2240" s="1733"/>
      <c r="EG2240" s="1733"/>
      <c r="EH2240" s="1733"/>
      <c r="EI2240" s="1733"/>
      <c r="EJ2240" s="1733"/>
      <c r="EK2240" s="1733"/>
      <c r="EL2240" s="1733"/>
      <c r="EM2240" s="1733"/>
      <c r="EN2240" s="1733"/>
      <c r="EO2240" s="1733"/>
      <c r="EP2240" s="1733"/>
      <c r="EQ2240" s="1733"/>
      <c r="ER2240" s="1733"/>
      <c r="ES2240" s="1733"/>
      <c r="ET2240" s="1733"/>
      <c r="EU2240" s="1733"/>
      <c r="EV2240" s="1733"/>
      <c r="EW2240" s="1733"/>
      <c r="EX2240" s="1733"/>
      <c r="EY2240" s="1733"/>
      <c r="EZ2240" s="1733"/>
      <c r="FA2240" s="1733"/>
      <c r="FB2240" s="1733"/>
      <c r="FC2240" s="1733"/>
      <c r="FD2240" s="1733"/>
      <c r="FE2240" s="1733"/>
      <c r="FF2240" s="1733"/>
      <c r="FG2240" s="1733"/>
      <c r="FH2240" s="1733"/>
      <c r="FI2240" s="1733"/>
      <c r="FJ2240" s="1733"/>
      <c r="FK2240" s="1733"/>
      <c r="FL2240" s="1733"/>
      <c r="FM2240" s="1733"/>
      <c r="FN2240" s="1733"/>
      <c r="FO2240" s="1733"/>
      <c r="FP2240" s="1733"/>
      <c r="FQ2240" s="1733"/>
      <c r="FR2240" s="1733"/>
      <c r="FS2240" s="1733"/>
      <c r="FT2240" s="1733"/>
      <c r="FU2240" s="1733"/>
      <c r="FV2240" s="1733"/>
      <c r="FW2240" s="1733"/>
      <c r="FX2240" s="1733"/>
      <c r="FY2240" s="1733"/>
      <c r="FZ2240" s="1733"/>
      <c r="GA2240" s="1733"/>
      <c r="GB2240" s="1733"/>
      <c r="GC2240" s="1733"/>
      <c r="GD2240" s="1733"/>
      <c r="GE2240" s="1733"/>
      <c r="GF2240" s="1733"/>
      <c r="GG2240" s="1733"/>
      <c r="GH2240" s="1733"/>
      <c r="GI2240" s="1733"/>
      <c r="GJ2240" s="1733"/>
      <c r="GK2240" s="1733"/>
      <c r="GL2240" s="1733"/>
      <c r="GM2240" s="1733"/>
      <c r="GN2240" s="1733"/>
      <c r="GO2240" s="1733"/>
      <c r="GP2240" s="1733"/>
      <c r="GQ2240" s="1733"/>
      <c r="GR2240" s="1733"/>
      <c r="GS2240" s="1733"/>
      <c r="GT2240" s="1733"/>
      <c r="GU2240" s="1733"/>
      <c r="GV2240" s="1733"/>
      <c r="GW2240" s="1733"/>
      <c r="GX2240" s="1733"/>
      <c r="GY2240" s="1733"/>
      <c r="GZ2240" s="1733"/>
      <c r="HA2240" s="1733"/>
      <c r="HB2240" s="1733"/>
      <c r="HC2240" s="1733"/>
      <c r="HD2240" s="1733"/>
      <c r="HE2240" s="1733"/>
      <c r="HF2240" s="1733"/>
      <c r="HG2240" s="1733"/>
      <c r="HH2240" s="1733"/>
      <c r="HI2240" s="1733"/>
      <c r="HJ2240" s="1733"/>
      <c r="HK2240" s="1733"/>
      <c r="HL2240" s="1733"/>
      <c r="HM2240" s="1733"/>
      <c r="HN2240" s="1733"/>
      <c r="HO2240" s="1733"/>
      <c r="HP2240" s="1733"/>
      <c r="HQ2240" s="1733"/>
      <c r="HR2240" s="1733"/>
      <c r="HS2240" s="1733"/>
      <c r="HT2240" s="1733"/>
      <c r="HU2240" s="1733"/>
      <c r="HV2240" s="1733"/>
      <c r="HW2240" s="1733"/>
      <c r="HX2240" s="1733"/>
      <c r="HY2240" s="1733"/>
      <c r="HZ2240" s="1733"/>
      <c r="IA2240" s="1733"/>
      <c r="IB2240" s="1733"/>
      <c r="IC2240" s="1733"/>
      <c r="ID2240" s="1733"/>
      <c r="IE2240" s="1733"/>
      <c r="IF2240" s="1733"/>
      <c r="IG2240" s="1733"/>
      <c r="IH2240" s="1733"/>
      <c r="II2240" s="1733"/>
      <c r="IJ2240" s="1733"/>
      <c r="IK2240" s="1733"/>
      <c r="IL2240" s="1733"/>
      <c r="IM2240" s="1733"/>
      <c r="IN2240" s="1733"/>
      <c r="IO2240" s="1733"/>
      <c r="IP2240" s="1733"/>
      <c r="IQ2240" s="1733"/>
      <c r="IR2240" s="1733"/>
      <c r="IS2240" s="1733"/>
      <c r="IT2240" s="1733"/>
      <c r="IU2240" s="1733"/>
      <c r="IV2240" s="1733"/>
      <c r="IW2240" s="1733"/>
      <c r="IX2240" s="1733"/>
      <c r="IY2240" s="1733"/>
      <c r="IZ2240" s="1733"/>
      <c r="JA2240" s="1733"/>
      <c r="JB2240" s="1733"/>
      <c r="JC2240" s="1733"/>
      <c r="JD2240" s="1733"/>
      <c r="JE2240" s="1733"/>
      <c r="JF2240" s="1733"/>
      <c r="JG2240" s="1733"/>
      <c r="JH2240" s="1733"/>
      <c r="JI2240" s="1733"/>
      <c r="JJ2240" s="1733"/>
      <c r="JK2240" s="1733"/>
      <c r="JL2240" s="1733"/>
      <c r="JM2240" s="1733"/>
      <c r="JN2240" s="1733"/>
      <c r="JO2240" s="1733"/>
      <c r="JP2240" s="1733"/>
      <c r="JQ2240" s="1733"/>
      <c r="JR2240" s="1733"/>
      <c r="JS2240" s="1733"/>
      <c r="JT2240" s="1733"/>
      <c r="JU2240" s="1733"/>
      <c r="JV2240" s="1733"/>
      <c r="JW2240" s="1733"/>
      <c r="JX2240" s="1733"/>
      <c r="JY2240" s="1733"/>
      <c r="JZ2240" s="1733"/>
      <c r="KA2240" s="1733"/>
      <c r="KB2240" s="1733"/>
      <c r="KC2240" s="1733"/>
      <c r="KD2240" s="1733"/>
      <c r="KE2240" s="1733"/>
      <c r="KF2240" s="1733"/>
      <c r="KG2240" s="1733"/>
      <c r="KH2240" s="1733"/>
      <c r="KI2240" s="1733"/>
      <c r="KJ2240" s="1733"/>
      <c r="KK2240" s="1733"/>
      <c r="KL2240" s="1733"/>
      <c r="KM2240" s="1733"/>
      <c r="KN2240" s="1733"/>
      <c r="KO2240" s="1733"/>
      <c r="KP2240" s="1733"/>
      <c r="KQ2240" s="1733"/>
      <c r="KR2240" s="1733"/>
      <c r="KS2240" s="1733"/>
      <c r="KT2240" s="1733"/>
      <c r="KU2240" s="1733"/>
      <c r="KV2240" s="1733"/>
      <c r="KW2240" s="1733"/>
      <c r="KX2240" s="1733"/>
      <c r="KY2240" s="1733"/>
      <c r="KZ2240" s="1733"/>
      <c r="LA2240" s="1733"/>
      <c r="LB2240" s="1733"/>
      <c r="LC2240" s="1733"/>
      <c r="LD2240" s="1733"/>
      <c r="LE2240" s="1733"/>
      <c r="LF2240" s="1733"/>
      <c r="LG2240" s="1733"/>
      <c r="LH2240" s="1733"/>
      <c r="LI2240" s="1733"/>
      <c r="LJ2240" s="1733"/>
      <c r="LK2240" s="1733"/>
      <c r="LL2240" s="1733"/>
      <c r="LM2240" s="1733"/>
      <c r="LN2240" s="1733"/>
      <c r="LO2240" s="1733"/>
      <c r="LP2240" s="1733"/>
      <c r="LQ2240" s="1733"/>
      <c r="LR2240" s="1733"/>
      <c r="LS2240" s="1733"/>
      <c r="LT2240" s="1733"/>
      <c r="LU2240" s="1733"/>
      <c r="LV2240" s="1733"/>
      <c r="LW2240" s="1733"/>
      <c r="LX2240" s="1733"/>
      <c r="LY2240" s="1733"/>
      <c r="LZ2240" s="1733"/>
      <c r="MA2240" s="1733"/>
      <c r="MB2240" s="1733"/>
      <c r="MC2240" s="1733"/>
      <c r="MD2240" s="1733"/>
      <c r="ME2240" s="1733"/>
      <c r="MF2240" s="1733"/>
      <c r="MG2240" s="1733"/>
      <c r="MH2240" s="1733"/>
      <c r="MI2240" s="1733"/>
      <c r="MJ2240" s="1733"/>
      <c r="MK2240" s="1733"/>
      <c r="ML2240" s="1733"/>
      <c r="MM2240" s="1733"/>
      <c r="MN2240" s="1733"/>
      <c r="MO2240" s="1733"/>
      <c r="MP2240" s="1733"/>
      <c r="MQ2240" s="1733"/>
      <c r="MR2240" s="1733"/>
      <c r="MS2240" s="1733"/>
      <c r="MT2240" s="1733"/>
      <c r="MU2240" s="1733"/>
      <c r="MV2240" s="1733"/>
      <c r="MW2240" s="1733"/>
      <c r="MX2240" s="1733"/>
      <c r="MY2240" s="1733"/>
      <c r="MZ2240" s="1733"/>
      <c r="NA2240" s="1733"/>
      <c r="NB2240" s="1733"/>
      <c r="NC2240" s="1733"/>
      <c r="ND2240" s="1733"/>
      <c r="NE2240" s="1733"/>
      <c r="NF2240" s="1733"/>
      <c r="NG2240" s="1733"/>
      <c r="NH2240" s="1733"/>
      <c r="NI2240" s="1733"/>
      <c r="NJ2240" s="1733"/>
      <c r="NK2240" s="1733"/>
      <c r="NL2240" s="1733"/>
      <c r="NM2240" s="1733"/>
      <c r="NN2240" s="1733"/>
      <c r="NO2240" s="1733"/>
      <c r="NP2240" s="1733"/>
      <c r="NQ2240" s="1733"/>
      <c r="NR2240" s="1733"/>
      <c r="NS2240" s="1733"/>
      <c r="NT2240" s="1733"/>
      <c r="NU2240" s="1733"/>
      <c r="NV2240" s="1733"/>
      <c r="NW2240" s="1733"/>
      <c r="NX2240" s="1733"/>
      <c r="NY2240" s="1733"/>
      <c r="NZ2240" s="1733"/>
      <c r="OA2240" s="1733"/>
      <c r="OB2240" s="1733"/>
      <c r="OC2240" s="1733"/>
      <c r="OD2240" s="1733"/>
      <c r="OE2240" s="1733"/>
      <c r="OF2240" s="1733"/>
      <c r="OG2240" s="1733"/>
      <c r="OH2240" s="1733"/>
      <c r="OI2240" s="1733"/>
      <c r="OJ2240" s="1733"/>
      <c r="OK2240" s="1733"/>
      <c r="OL2240" s="1733"/>
      <c r="OM2240" s="1733"/>
      <c r="ON2240" s="1733"/>
      <c r="OO2240" s="1733"/>
      <c r="OP2240" s="1733"/>
      <c r="OQ2240" s="1733"/>
      <c r="OR2240" s="1733"/>
      <c r="OS2240" s="1733"/>
      <c r="OT2240" s="1733"/>
      <c r="OU2240" s="1733"/>
      <c r="OV2240" s="1733"/>
      <c r="OW2240" s="1733"/>
      <c r="OX2240" s="1733"/>
      <c r="OY2240" s="1733"/>
      <c r="OZ2240" s="1733"/>
      <c r="PA2240" s="1733"/>
      <c r="PB2240" s="1733"/>
      <c r="PC2240" s="1733"/>
      <c r="PD2240" s="1733"/>
      <c r="PE2240" s="1733"/>
      <c r="PF2240" s="1733"/>
      <c r="PG2240" s="1733"/>
      <c r="PH2240" s="1733"/>
      <c r="PI2240" s="1733"/>
      <c r="PJ2240" s="1733"/>
      <c r="PK2240" s="1733"/>
      <c r="PL2240" s="1733"/>
      <c r="PM2240" s="1733"/>
      <c r="PN2240" s="1733"/>
      <c r="PO2240" s="1733"/>
      <c r="PP2240" s="1733"/>
      <c r="PQ2240" s="1733"/>
      <c r="PR2240" s="1733"/>
      <c r="PS2240" s="1733"/>
      <c r="PT2240" s="1733"/>
      <c r="PU2240" s="1733"/>
      <c r="PV2240" s="1733"/>
      <c r="PW2240" s="1733"/>
      <c r="PX2240" s="1733"/>
      <c r="PY2240" s="1733"/>
      <c r="PZ2240" s="1733"/>
      <c r="QA2240" s="1733"/>
      <c r="QB2240" s="1733"/>
      <c r="QC2240" s="1733"/>
      <c r="QD2240" s="1733"/>
      <c r="QE2240" s="1733"/>
      <c r="QF2240" s="1733"/>
      <c r="QG2240" s="1733"/>
      <c r="QH2240" s="1733"/>
      <c r="QI2240" s="1733"/>
      <c r="QJ2240" s="1733"/>
      <c r="QK2240" s="1733"/>
      <c r="QL2240" s="1733"/>
      <c r="QM2240" s="1733"/>
      <c r="QN2240" s="1733"/>
      <c r="QO2240" s="1733"/>
      <c r="QP2240" s="1733"/>
      <c r="QQ2240" s="1733"/>
      <c r="QR2240" s="1733"/>
      <c r="QS2240" s="1733"/>
      <c r="QT2240" s="1733"/>
      <c r="QU2240" s="1733"/>
      <c r="QV2240" s="1733"/>
      <c r="QW2240" s="1733"/>
      <c r="QX2240" s="1733"/>
      <c r="QY2240" s="1733"/>
      <c r="QZ2240" s="1733"/>
      <c r="RA2240" s="1733"/>
      <c r="RB2240" s="1733"/>
      <c r="RC2240" s="1733"/>
      <c r="RD2240" s="1733"/>
      <c r="RE2240" s="1733"/>
      <c r="RF2240" s="1733"/>
      <c r="RG2240" s="1733"/>
      <c r="RH2240" s="1733"/>
      <c r="RI2240" s="1733"/>
      <c r="RJ2240" s="1733"/>
      <c r="RK2240" s="1733"/>
      <c r="RL2240" s="1733"/>
      <c r="RM2240" s="1733"/>
      <c r="RN2240" s="1733"/>
      <c r="RO2240" s="1733"/>
      <c r="RP2240" s="1733"/>
      <c r="RQ2240" s="1733"/>
      <c r="RR2240" s="1733"/>
      <c r="RS2240" s="1733"/>
      <c r="RT2240" s="1733"/>
      <c r="RU2240" s="1733"/>
      <c r="RV2240" s="1733"/>
      <c r="RW2240" s="1733"/>
      <c r="RX2240" s="1733"/>
      <c r="RY2240" s="1733"/>
      <c r="RZ2240" s="1733"/>
      <c r="SA2240" s="1733"/>
      <c r="SB2240" s="1733"/>
      <c r="SC2240" s="1733"/>
      <c r="SD2240" s="1733"/>
      <c r="SE2240" s="1733"/>
      <c r="SF2240" s="1733"/>
      <c r="SG2240" s="1733"/>
      <c r="SH2240" s="1733"/>
      <c r="SI2240" s="1733"/>
      <c r="SJ2240" s="1733"/>
      <c r="SK2240" s="1733"/>
      <c r="SL2240" s="1733"/>
      <c r="SM2240" s="1733"/>
      <c r="SN2240" s="1733"/>
      <c r="SO2240" s="1733"/>
      <c r="SP2240" s="1733"/>
      <c r="SQ2240" s="1733"/>
      <c r="SR2240" s="1733"/>
      <c r="SS2240" s="1733"/>
      <c r="ST2240" s="1733"/>
      <c r="SU2240" s="1733"/>
      <c r="SV2240" s="1733"/>
      <c r="SW2240" s="1733"/>
      <c r="SX2240" s="1733"/>
      <c r="SY2240" s="1733"/>
      <c r="SZ2240" s="1733"/>
      <c r="TA2240" s="1733"/>
      <c r="TB2240" s="1733"/>
      <c r="TC2240" s="1733"/>
      <c r="TD2240" s="1733"/>
      <c r="TE2240" s="1733"/>
      <c r="TF2240" s="1733"/>
      <c r="TG2240" s="1733"/>
      <c r="TH2240" s="1733"/>
      <c r="TI2240" s="1733"/>
      <c r="TJ2240" s="1733"/>
      <c r="TK2240" s="1733"/>
      <c r="TL2240" s="1733"/>
      <c r="TM2240" s="1733"/>
      <c r="TN2240" s="1733"/>
      <c r="TO2240" s="1733"/>
      <c r="TP2240" s="1733"/>
      <c r="TQ2240" s="1733"/>
      <c r="TR2240" s="1733"/>
      <c r="TS2240" s="1733"/>
      <c r="TT2240" s="1733"/>
      <c r="TU2240" s="1733"/>
      <c r="TV2240" s="1733"/>
      <c r="TW2240" s="1733"/>
      <c r="TX2240" s="1733"/>
      <c r="TY2240" s="1733"/>
      <c r="TZ2240" s="1733"/>
      <c r="UA2240" s="1733"/>
      <c r="UB2240" s="1733"/>
      <c r="UC2240" s="1733"/>
      <c r="UD2240" s="1733"/>
      <c r="UE2240" s="1733"/>
      <c r="UF2240" s="1733"/>
      <c r="UG2240" s="1733"/>
      <c r="UH2240" s="1733"/>
      <c r="UI2240" s="1733"/>
      <c r="UJ2240" s="1733"/>
      <c r="UK2240" s="1733"/>
      <c r="UL2240" s="1733"/>
      <c r="UM2240" s="1733"/>
      <c r="UN2240" s="1733"/>
      <c r="UO2240" s="1733"/>
      <c r="UP2240" s="1733"/>
      <c r="UQ2240" s="1733"/>
      <c r="UR2240" s="1733"/>
      <c r="US2240" s="1733"/>
      <c r="UT2240" s="1733"/>
      <c r="UU2240" s="1733"/>
      <c r="UV2240" s="1733"/>
      <c r="UW2240" s="1733"/>
      <c r="UX2240" s="1733"/>
      <c r="UY2240" s="1733"/>
      <c r="UZ2240" s="1733"/>
      <c r="VA2240" s="1733"/>
      <c r="VB2240" s="1733"/>
      <c r="VC2240" s="1733"/>
      <c r="VD2240" s="1733"/>
      <c r="VE2240" s="1733"/>
      <c r="VF2240" s="1733"/>
      <c r="VG2240" s="1733"/>
      <c r="VH2240" s="1733"/>
      <c r="VI2240" s="1733"/>
      <c r="VJ2240" s="1733"/>
      <c r="VK2240" s="1733"/>
      <c r="VL2240" s="1733"/>
      <c r="VM2240" s="1733"/>
      <c r="VN2240" s="1733"/>
      <c r="VO2240" s="1733"/>
      <c r="VP2240" s="1733"/>
      <c r="VQ2240" s="1733"/>
      <c r="VR2240" s="1733"/>
      <c r="VS2240" s="1733"/>
      <c r="VT2240" s="1733"/>
      <c r="VU2240" s="1733"/>
      <c r="VV2240" s="1733"/>
      <c r="VW2240" s="1733"/>
      <c r="VX2240" s="1733"/>
      <c r="VY2240" s="1733"/>
      <c r="VZ2240" s="1733"/>
      <c r="WA2240" s="1733"/>
      <c r="WB2240" s="1733"/>
      <c r="WC2240" s="1733"/>
      <c r="WD2240" s="1733"/>
      <c r="WE2240" s="1733"/>
      <c r="WF2240" s="1733"/>
      <c r="WG2240" s="1733"/>
      <c r="WH2240" s="1733"/>
      <c r="WI2240" s="1733"/>
      <c r="WJ2240" s="1733"/>
      <c r="WK2240" s="1733"/>
      <c r="WL2240" s="1733"/>
      <c r="WM2240" s="1733"/>
      <c r="WN2240" s="1733"/>
      <c r="WO2240" s="1733"/>
      <c r="WP2240" s="1733"/>
      <c r="WQ2240" s="1733"/>
      <c r="WR2240" s="1733"/>
      <c r="WS2240" s="1733"/>
      <c r="WT2240" s="1733"/>
      <c r="WU2240" s="1733"/>
      <c r="WV2240" s="1733"/>
      <c r="WW2240" s="1733"/>
      <c r="WX2240" s="1733"/>
      <c r="WY2240" s="1733"/>
      <c r="WZ2240" s="1733"/>
      <c r="XA2240" s="1733"/>
      <c r="XB2240" s="1733"/>
      <c r="XC2240" s="1733"/>
      <c r="XD2240" s="1733"/>
      <c r="XE2240" s="1733"/>
      <c r="XF2240" s="1733"/>
      <c r="XG2240" s="1733"/>
      <c r="XH2240" s="1733"/>
      <c r="XI2240" s="1733"/>
      <c r="XJ2240" s="1733"/>
      <c r="XK2240" s="1733"/>
      <c r="XL2240" s="1733"/>
      <c r="XM2240" s="1733"/>
      <c r="XN2240" s="1733"/>
      <c r="XO2240" s="1733"/>
      <c r="XP2240" s="1733"/>
      <c r="XQ2240" s="1733"/>
      <c r="XR2240" s="1733"/>
      <c r="XS2240" s="1733"/>
      <c r="XT2240" s="1733"/>
      <c r="XU2240" s="1733"/>
      <c r="XV2240" s="1733"/>
      <c r="XW2240" s="1733"/>
      <c r="XX2240" s="1733"/>
      <c r="XY2240" s="1733"/>
      <c r="XZ2240" s="1733"/>
      <c r="YA2240" s="1733"/>
      <c r="YB2240" s="1733"/>
      <c r="YC2240" s="1733"/>
      <c r="YD2240" s="1733"/>
      <c r="YE2240" s="1733"/>
      <c r="YF2240" s="1733"/>
      <c r="YG2240" s="1733"/>
      <c r="YH2240" s="1733"/>
      <c r="YI2240" s="1733"/>
      <c r="YJ2240" s="1733"/>
      <c r="YK2240" s="1733"/>
      <c r="YL2240" s="1733"/>
      <c r="YM2240" s="1733"/>
      <c r="YN2240" s="1733"/>
      <c r="YO2240" s="1733"/>
      <c r="YP2240" s="1733"/>
      <c r="YQ2240" s="1733"/>
      <c r="YR2240" s="1733"/>
      <c r="YS2240" s="1733"/>
      <c r="YT2240" s="1733"/>
      <c r="YU2240" s="1733"/>
      <c r="YV2240" s="1733"/>
      <c r="YW2240" s="1733"/>
      <c r="YX2240" s="1733"/>
      <c r="YY2240" s="1733"/>
      <c r="YZ2240" s="1733"/>
      <c r="ZA2240" s="1733"/>
      <c r="ZB2240" s="1733"/>
      <c r="ZC2240" s="1733"/>
      <c r="ZD2240" s="1733"/>
      <c r="ZE2240" s="1733"/>
      <c r="ZF2240" s="1733"/>
      <c r="ZG2240" s="1733"/>
      <c r="ZH2240" s="1733"/>
      <c r="ZI2240" s="1733"/>
      <c r="ZJ2240" s="1733"/>
      <c r="ZK2240" s="1733"/>
      <c r="ZL2240" s="1733"/>
      <c r="ZM2240" s="1733"/>
      <c r="ZN2240" s="1733"/>
      <c r="ZO2240" s="1733"/>
      <c r="ZP2240" s="1733"/>
      <c r="ZQ2240" s="1733"/>
      <c r="ZR2240" s="1733"/>
      <c r="ZS2240" s="1733"/>
      <c r="ZT2240" s="1733"/>
      <c r="ZU2240" s="1733"/>
      <c r="ZV2240" s="1733"/>
      <c r="ZW2240" s="1733"/>
      <c r="ZX2240" s="1733"/>
      <c r="ZY2240" s="1733"/>
      <c r="ZZ2240" s="1733"/>
      <c r="AAA2240" s="1733"/>
      <c r="AAB2240" s="1733"/>
      <c r="AAC2240" s="1733"/>
      <c r="AAD2240" s="1733"/>
      <c r="AAE2240" s="1733"/>
      <c r="AAF2240" s="1733"/>
      <c r="AAG2240" s="1733"/>
      <c r="AAH2240" s="1733"/>
      <c r="AAI2240" s="1733"/>
      <c r="AAJ2240" s="1733"/>
      <c r="AAK2240" s="1733"/>
      <c r="AAL2240" s="1733"/>
      <c r="AAM2240" s="1733"/>
      <c r="AAN2240" s="1733"/>
      <c r="AAO2240" s="1733"/>
      <c r="AAP2240" s="1733"/>
      <c r="AAQ2240" s="1733"/>
      <c r="AAR2240" s="1733"/>
      <c r="AAS2240" s="1733"/>
      <c r="AAT2240" s="1733"/>
      <c r="AAU2240" s="1733"/>
      <c r="AAV2240" s="1733"/>
      <c r="AAW2240" s="1733"/>
      <c r="AAX2240" s="1733"/>
      <c r="AAY2240" s="1733"/>
      <c r="AAZ2240" s="1733"/>
      <c r="ABA2240" s="1733"/>
      <c r="ABB2240" s="1733"/>
      <c r="ABC2240" s="1733"/>
      <c r="ABD2240" s="1733"/>
      <c r="ABE2240" s="1733"/>
      <c r="ABF2240" s="1733"/>
      <c r="ABG2240" s="1733"/>
      <c r="ABH2240" s="1733"/>
      <c r="ABI2240" s="1733"/>
      <c r="ABJ2240" s="1733"/>
      <c r="ABK2240" s="1733"/>
      <c r="ABL2240" s="1733"/>
      <c r="ABM2240" s="1733"/>
      <c r="ABN2240" s="1733"/>
      <c r="ABO2240" s="1733"/>
      <c r="ABP2240" s="1733"/>
      <c r="ABQ2240" s="1733"/>
      <c r="ABR2240" s="1733"/>
      <c r="ABS2240" s="1733"/>
      <c r="ABT2240" s="1733"/>
      <c r="ABU2240" s="1733"/>
      <c r="ABV2240" s="1733"/>
      <c r="ABW2240" s="1733"/>
      <c r="ABX2240" s="1733"/>
      <c r="ABY2240" s="1733"/>
      <c r="ABZ2240" s="1733"/>
      <c r="ACA2240" s="1733"/>
      <c r="ACB2240" s="1733"/>
      <c r="ACC2240" s="1733"/>
      <c r="ACD2240" s="1733"/>
      <c r="ACE2240" s="1733"/>
      <c r="ACF2240" s="1733"/>
      <c r="ACG2240" s="1733"/>
      <c r="ACH2240" s="1733"/>
      <c r="ACI2240" s="1733"/>
      <c r="ACJ2240" s="1733"/>
      <c r="ACK2240" s="1733"/>
      <c r="ACL2240" s="1733"/>
      <c r="ACM2240" s="1733"/>
      <c r="ACN2240" s="1733"/>
      <c r="ACO2240" s="1733"/>
      <c r="ACP2240" s="1733"/>
      <c r="ACQ2240" s="1733"/>
      <c r="ACR2240" s="1733"/>
      <c r="ACS2240" s="1733"/>
      <c r="ACT2240" s="1733"/>
      <c r="ACU2240" s="1733"/>
      <c r="ACV2240" s="1733"/>
      <c r="ACW2240" s="1733"/>
      <c r="ACX2240" s="1733"/>
      <c r="ACY2240" s="1733"/>
      <c r="ACZ2240" s="1733"/>
      <c r="ADA2240" s="1733"/>
      <c r="ADB2240" s="1733"/>
      <c r="ADC2240" s="1733"/>
      <c r="ADD2240" s="1733"/>
      <c r="ADE2240" s="1733"/>
      <c r="ADF2240" s="1733"/>
      <c r="ADG2240" s="1733"/>
      <c r="ADH2240" s="1733"/>
      <c r="ADI2240" s="1733"/>
      <c r="ADJ2240" s="1733"/>
      <c r="ADK2240" s="1733"/>
      <c r="ADL2240" s="1733"/>
      <c r="ADM2240" s="1733"/>
      <c r="ADN2240" s="1733"/>
      <c r="ADO2240" s="1733"/>
      <c r="ADP2240" s="1733"/>
      <c r="ADQ2240" s="1733"/>
      <c r="ADR2240" s="1733"/>
      <c r="ADS2240" s="1733"/>
      <c r="ADT2240" s="1733"/>
      <c r="ADU2240" s="1733"/>
      <c r="ADV2240" s="1733"/>
      <c r="ADW2240" s="1733"/>
      <c r="ADX2240" s="1733"/>
      <c r="ADY2240" s="1733"/>
      <c r="ADZ2240" s="1733"/>
      <c r="AEA2240" s="1733"/>
      <c r="AEB2240" s="1733"/>
      <c r="AEC2240" s="1733"/>
      <c r="AED2240" s="1733"/>
      <c r="AEE2240" s="1733"/>
      <c r="AEF2240" s="1733"/>
      <c r="AEG2240" s="1733"/>
      <c r="AEH2240" s="1733"/>
      <c r="AEI2240" s="1733"/>
      <c r="AEJ2240" s="1733"/>
      <c r="AEK2240" s="1733"/>
      <c r="AEL2240" s="1733"/>
      <c r="AEM2240" s="1733"/>
      <c r="AEN2240" s="1733"/>
      <c r="AEO2240" s="1733"/>
      <c r="AEP2240" s="1733"/>
      <c r="AEQ2240" s="1733"/>
      <c r="AER2240" s="1733"/>
      <c r="AES2240" s="1733"/>
      <c r="AET2240" s="1733"/>
      <c r="AEU2240" s="1733"/>
      <c r="AEV2240" s="1733"/>
      <c r="AEW2240" s="1733"/>
      <c r="AEX2240" s="1733"/>
      <c r="AEY2240" s="1733"/>
      <c r="AEZ2240" s="1733"/>
      <c r="AFA2240" s="1733"/>
      <c r="AFB2240" s="1733"/>
      <c r="AFC2240" s="1733"/>
      <c r="AFD2240" s="1733"/>
      <c r="AFE2240" s="1733"/>
      <c r="AFF2240" s="1733"/>
      <c r="AFG2240" s="1733"/>
      <c r="AFH2240" s="1733"/>
      <c r="AFI2240" s="1733"/>
      <c r="AFJ2240" s="1733"/>
      <c r="AFK2240" s="1733"/>
      <c r="AFL2240" s="1733"/>
      <c r="AFM2240" s="1733"/>
      <c r="AFN2240" s="1733"/>
      <c r="AFO2240" s="1733"/>
      <c r="AFP2240" s="1733"/>
      <c r="AFQ2240" s="1733"/>
      <c r="AFR2240" s="1733"/>
      <c r="AFS2240" s="1733"/>
      <c r="AFT2240" s="1733"/>
      <c r="AFU2240" s="1733"/>
      <c r="AFV2240" s="1733"/>
      <c r="AFW2240" s="1733"/>
      <c r="AFX2240" s="1733"/>
      <c r="AFY2240" s="1733"/>
      <c r="AFZ2240" s="1733"/>
      <c r="AGA2240" s="1733"/>
      <c r="AGB2240" s="1733"/>
      <c r="AGC2240" s="1733"/>
      <c r="AGD2240" s="1733"/>
      <c r="AGE2240" s="1733"/>
      <c r="AGF2240" s="1733"/>
      <c r="AGG2240" s="1733"/>
      <c r="AGH2240" s="1733"/>
      <c r="AGI2240" s="1733"/>
      <c r="AGJ2240" s="1733"/>
      <c r="AGK2240" s="1733"/>
      <c r="AGL2240" s="1733"/>
      <c r="AGM2240" s="1733"/>
      <c r="AGN2240" s="1733"/>
      <c r="AGO2240" s="1733"/>
      <c r="AGP2240" s="1733"/>
      <c r="AGQ2240" s="1733"/>
      <c r="AGR2240" s="1733"/>
      <c r="AGS2240" s="1733"/>
      <c r="AGT2240" s="1733"/>
      <c r="AGU2240" s="1733"/>
      <c r="AGV2240" s="1733"/>
      <c r="AGW2240" s="1733"/>
      <c r="AGX2240" s="1733"/>
      <c r="AGY2240" s="1733"/>
      <c r="AGZ2240" s="1733"/>
      <c r="AHA2240" s="1733"/>
      <c r="AHB2240" s="1733"/>
      <c r="AHC2240" s="1733"/>
      <c r="AHD2240" s="1733"/>
      <c r="AHE2240" s="1733"/>
      <c r="AHF2240" s="1733"/>
      <c r="AHG2240" s="1733"/>
      <c r="AHH2240" s="1733"/>
      <c r="AHI2240" s="1733"/>
      <c r="AHJ2240" s="1733"/>
      <c r="AHK2240" s="1733"/>
      <c r="AHL2240" s="1733"/>
      <c r="AHM2240" s="1733"/>
      <c r="AHN2240" s="1733"/>
      <c r="AHO2240" s="1733"/>
      <c r="AHP2240" s="1733"/>
      <c r="AHQ2240" s="1733"/>
      <c r="AHR2240" s="1733"/>
      <c r="AHS2240" s="1733"/>
      <c r="AHT2240" s="1733"/>
      <c r="AHU2240" s="1733"/>
      <c r="AHV2240" s="1733"/>
      <c r="AHW2240" s="1733"/>
      <c r="AHX2240" s="1733"/>
      <c r="AHY2240" s="1733"/>
      <c r="AHZ2240" s="1733"/>
      <c r="AIA2240" s="1733"/>
      <c r="AIB2240" s="1733"/>
      <c r="AIC2240" s="1733"/>
      <c r="AID2240" s="1733"/>
      <c r="AIE2240" s="1733"/>
      <c r="AIF2240" s="1733"/>
      <c r="AIG2240" s="1733"/>
      <c r="AIH2240" s="1733"/>
      <c r="AII2240" s="1733"/>
      <c r="AIJ2240" s="1733"/>
      <c r="AIK2240" s="1733"/>
      <c r="AIL2240" s="1733"/>
      <c r="AIM2240" s="1733"/>
      <c r="AIN2240" s="1733"/>
      <c r="AIO2240" s="1733"/>
      <c r="AIP2240" s="1733"/>
      <c r="AIQ2240" s="1733"/>
      <c r="AIR2240" s="1733"/>
      <c r="AIS2240" s="1733"/>
      <c r="AIT2240" s="1733"/>
      <c r="AIU2240" s="1733"/>
      <c r="AIV2240" s="1733"/>
      <c r="AIW2240" s="1733"/>
      <c r="AIX2240" s="1733"/>
      <c r="AIY2240" s="1733"/>
      <c r="AIZ2240" s="1733"/>
      <c r="AJA2240" s="1733"/>
      <c r="AJB2240" s="1733"/>
      <c r="AJC2240" s="1733"/>
      <c r="AJD2240" s="1733"/>
      <c r="AJE2240" s="1733"/>
      <c r="AJF2240" s="1733"/>
      <c r="AJG2240" s="1733"/>
      <c r="AJH2240" s="1733"/>
      <c r="AJI2240" s="1733"/>
      <c r="AJJ2240" s="1733"/>
      <c r="AJK2240" s="1733"/>
      <c r="AJL2240" s="1733"/>
      <c r="AJM2240" s="1733"/>
      <c r="AJN2240" s="1733"/>
      <c r="AJO2240" s="1733"/>
      <c r="AJP2240" s="1733"/>
      <c r="AJQ2240" s="1733"/>
      <c r="AJR2240" s="1733"/>
      <c r="AJS2240" s="1733"/>
      <c r="AJT2240" s="1733"/>
      <c r="AJU2240" s="1733"/>
      <c r="AJV2240" s="1733"/>
      <c r="AJW2240" s="1733"/>
      <c r="AJX2240" s="1733"/>
      <c r="AJY2240" s="1733"/>
      <c r="AJZ2240" s="1733"/>
      <c r="AKA2240" s="1733"/>
      <c r="AKB2240" s="1733"/>
      <c r="AKC2240" s="1733"/>
      <c r="AKD2240" s="1733"/>
      <c r="AKE2240" s="1733"/>
      <c r="AKF2240" s="1733"/>
      <c r="AKG2240" s="1733"/>
      <c r="AKH2240" s="1733"/>
      <c r="AKI2240" s="1733"/>
      <c r="AKJ2240" s="1733"/>
      <c r="AKK2240" s="1733"/>
      <c r="AKL2240" s="1733"/>
      <c r="AKM2240" s="1733"/>
      <c r="AKN2240" s="1733"/>
      <c r="AKO2240" s="1733"/>
      <c r="AKP2240" s="1733"/>
      <c r="AKQ2240" s="1733"/>
      <c r="AKR2240" s="1733"/>
      <c r="AKS2240" s="1733"/>
      <c r="AKT2240" s="1733"/>
      <c r="AKU2240" s="1733"/>
      <c r="AKV2240" s="1733"/>
      <c r="AKW2240" s="1733"/>
      <c r="AKX2240" s="1733"/>
      <c r="AKY2240" s="1733"/>
      <c r="AKZ2240" s="1733"/>
      <c r="ALA2240" s="1733"/>
      <c r="ALB2240" s="1733"/>
      <c r="ALC2240" s="1733"/>
      <c r="ALD2240" s="1733"/>
      <c r="ALE2240" s="1733"/>
      <c r="ALF2240" s="1733"/>
      <c r="ALG2240" s="1733"/>
      <c r="ALH2240" s="1733"/>
      <c r="ALI2240" s="1733"/>
      <c r="ALJ2240" s="1733"/>
      <c r="ALK2240" s="1733"/>
      <c r="ALL2240" s="1733"/>
      <c r="ALM2240" s="1733"/>
      <c r="ALN2240" s="1733"/>
      <c r="ALO2240" s="1733"/>
      <c r="ALP2240" s="1733"/>
      <c r="ALQ2240" s="1733"/>
      <c r="ALR2240" s="1733"/>
      <c r="ALS2240" s="1733"/>
      <c r="ALT2240" s="1733"/>
      <c r="ALU2240" s="1733"/>
      <c r="ALV2240" s="1733"/>
      <c r="ALW2240" s="1733"/>
      <c r="ALX2240" s="1733"/>
      <c r="ALY2240" s="1733"/>
      <c r="ALZ2240" s="1733"/>
      <c r="AMA2240" s="1733"/>
      <c r="AMB2240" s="1733"/>
      <c r="AMC2240" s="1733"/>
      <c r="AMD2240" s="1733"/>
      <c r="AME2240" s="1733"/>
      <c r="AMF2240" s="1733"/>
      <c r="AMG2240" s="1733"/>
      <c r="AMH2240" s="1733"/>
      <c r="AMI2240" s="1733"/>
      <c r="AMJ2240" s="1733"/>
      <c r="AMK2240" s="1733"/>
      <c r="AML2240" s="1733"/>
      <c r="AMM2240" s="1733"/>
      <c r="AMN2240" s="1733"/>
      <c r="AMO2240" s="1733"/>
      <c r="AMP2240" s="1733"/>
      <c r="AMQ2240" s="1733"/>
      <c r="AMR2240" s="1733"/>
      <c r="AMS2240" s="1733"/>
      <c r="AMT2240" s="1733"/>
      <c r="AMU2240" s="1733"/>
      <c r="AMV2240" s="1733"/>
      <c r="AMW2240" s="1733"/>
      <c r="AMX2240" s="1733"/>
      <c r="AMY2240" s="1733"/>
      <c r="AMZ2240" s="1733"/>
      <c r="ANA2240" s="1733"/>
      <c r="ANB2240" s="1733"/>
      <c r="ANC2240" s="1733"/>
      <c r="AND2240" s="1733"/>
      <c r="ANE2240" s="1733"/>
      <c r="ANF2240" s="1733"/>
      <c r="ANG2240" s="1733"/>
      <c r="ANH2240" s="1733"/>
      <c r="ANI2240" s="1733"/>
      <c r="ANJ2240" s="1733"/>
      <c r="ANK2240" s="1733"/>
      <c r="ANL2240" s="1733"/>
      <c r="ANM2240" s="1733"/>
      <c r="ANN2240" s="1733"/>
      <c r="ANO2240" s="1733"/>
      <c r="ANP2240" s="1733"/>
      <c r="ANQ2240" s="1733"/>
      <c r="ANR2240" s="1733"/>
      <c r="ANS2240" s="1733"/>
      <c r="ANT2240" s="1733"/>
      <c r="ANU2240" s="1733"/>
      <c r="ANV2240" s="1733"/>
      <c r="ANW2240" s="1733"/>
      <c r="ANX2240" s="1733"/>
      <c r="ANY2240" s="1733"/>
      <c r="ANZ2240" s="1733"/>
      <c r="AOA2240" s="1733"/>
      <c r="AOB2240" s="1733"/>
      <c r="AOC2240" s="1733"/>
      <c r="AOD2240" s="1733"/>
      <c r="AOE2240" s="1733"/>
      <c r="AOF2240" s="1733"/>
      <c r="AOG2240" s="1733"/>
      <c r="AOH2240" s="1733"/>
      <c r="AOI2240" s="1733"/>
      <c r="AOJ2240" s="1733"/>
      <c r="AOK2240" s="1733"/>
      <c r="AOL2240" s="1733"/>
      <c r="AOM2240" s="1733"/>
      <c r="AON2240" s="1733"/>
      <c r="AOO2240" s="1733"/>
      <c r="AOP2240" s="1733"/>
      <c r="AOQ2240" s="1733"/>
      <c r="AOR2240" s="1733"/>
      <c r="AOS2240" s="1733"/>
      <c r="AOT2240" s="1733"/>
      <c r="AOU2240" s="1733"/>
      <c r="AOV2240" s="1733"/>
      <c r="AOW2240" s="1733"/>
      <c r="AOX2240" s="1733"/>
      <c r="AOY2240" s="1733"/>
      <c r="AOZ2240" s="1733"/>
      <c r="APA2240" s="1733"/>
      <c r="APB2240" s="1733"/>
      <c r="APC2240" s="1733"/>
      <c r="APD2240" s="1733"/>
      <c r="APE2240" s="1733"/>
      <c r="APF2240" s="1733"/>
      <c r="APG2240" s="1733"/>
      <c r="APH2240" s="1733"/>
      <c r="API2240" s="1733"/>
      <c r="APJ2240" s="1733"/>
      <c r="APK2240" s="1733"/>
      <c r="APL2240" s="1733"/>
      <c r="APM2240" s="1733"/>
      <c r="APN2240" s="1733"/>
      <c r="APO2240" s="1733"/>
      <c r="APP2240" s="1733"/>
      <c r="APQ2240" s="1733"/>
      <c r="APR2240" s="1733"/>
      <c r="APS2240" s="1733"/>
      <c r="APT2240" s="1733"/>
      <c r="APU2240" s="1733"/>
      <c r="APV2240" s="1733"/>
      <c r="APW2240" s="1733"/>
      <c r="APX2240" s="1733"/>
      <c r="APY2240" s="1733"/>
      <c r="APZ2240" s="1733"/>
      <c r="AQA2240" s="1733"/>
      <c r="AQB2240" s="1733"/>
      <c r="AQC2240" s="1733"/>
      <c r="AQD2240" s="1733"/>
      <c r="AQE2240" s="1733"/>
      <c r="AQF2240" s="1733"/>
      <c r="AQG2240" s="1733"/>
      <c r="AQH2240" s="1733"/>
      <c r="AQI2240" s="1733"/>
      <c r="AQJ2240" s="1733"/>
      <c r="AQK2240" s="1733"/>
      <c r="AQL2240" s="1733"/>
      <c r="AQM2240" s="1733"/>
      <c r="AQN2240" s="1733"/>
      <c r="AQO2240" s="1733"/>
      <c r="AQP2240" s="1733"/>
      <c r="AQQ2240" s="1733"/>
      <c r="AQR2240" s="1733"/>
      <c r="AQS2240" s="1733"/>
      <c r="AQT2240" s="1733"/>
      <c r="AQU2240" s="1733"/>
      <c r="AQV2240" s="1733"/>
      <c r="AQW2240" s="1733"/>
      <c r="AQX2240" s="1733"/>
      <c r="AQY2240" s="1733"/>
      <c r="AQZ2240" s="1733"/>
      <c r="ARA2240" s="1733"/>
      <c r="ARB2240" s="1733"/>
      <c r="ARC2240" s="1733"/>
      <c r="ARD2240" s="1733"/>
      <c r="ARE2240" s="1733"/>
      <c r="ARF2240" s="1733"/>
      <c r="ARG2240" s="1733"/>
      <c r="ARH2240" s="1733"/>
      <c r="ARI2240" s="1733"/>
      <c r="ARJ2240" s="1733"/>
      <c r="ARK2240" s="1733"/>
      <c r="ARL2240" s="1733"/>
      <c r="ARM2240" s="1733"/>
      <c r="ARN2240" s="1733"/>
      <c r="ARO2240" s="1733"/>
      <c r="ARP2240" s="1733"/>
      <c r="ARQ2240" s="1733"/>
      <c r="ARR2240" s="1733"/>
      <c r="ARS2240" s="1733"/>
      <c r="ART2240" s="1733"/>
      <c r="ARU2240" s="1733"/>
      <c r="ARV2240" s="1733"/>
      <c r="ARW2240" s="1733"/>
      <c r="ARX2240" s="1733"/>
      <c r="ARY2240" s="1733"/>
      <c r="ARZ2240" s="1733"/>
      <c r="ASA2240" s="1733"/>
      <c r="ASB2240" s="1733"/>
      <c r="ASC2240" s="1733"/>
      <c r="ASD2240" s="1733"/>
      <c r="ASE2240" s="1733"/>
      <c r="ASF2240" s="1733"/>
      <c r="ASG2240" s="1733"/>
      <c r="ASH2240" s="1733"/>
      <c r="ASI2240" s="1733"/>
      <c r="ASJ2240" s="1733"/>
      <c r="ASK2240" s="1733"/>
      <c r="ASL2240" s="1733"/>
      <c r="ASM2240" s="1733"/>
      <c r="ASN2240" s="1733"/>
      <c r="ASO2240" s="1733"/>
      <c r="ASP2240" s="1733"/>
      <c r="ASQ2240" s="1733"/>
      <c r="ASR2240" s="1733"/>
      <c r="ASS2240" s="1733"/>
      <c r="AST2240" s="1733"/>
      <c r="ASU2240" s="1733"/>
      <c r="ASV2240" s="1733"/>
      <c r="ASW2240" s="1733"/>
      <c r="ASX2240" s="1733"/>
      <c r="ASY2240" s="1733"/>
      <c r="ASZ2240" s="1733"/>
      <c r="ATA2240" s="1733"/>
      <c r="ATB2240" s="1733"/>
      <c r="ATC2240" s="1733"/>
      <c r="ATD2240" s="1733"/>
      <c r="ATE2240" s="1733"/>
      <c r="ATF2240" s="1733"/>
      <c r="ATG2240" s="1733"/>
      <c r="ATH2240" s="1733"/>
      <c r="ATI2240" s="1733"/>
      <c r="ATJ2240" s="1733"/>
      <c r="ATK2240" s="1733"/>
      <c r="ATL2240" s="1733"/>
      <c r="ATM2240" s="1733"/>
      <c r="ATN2240" s="1733"/>
      <c r="ATO2240" s="1733"/>
      <c r="ATP2240" s="1733"/>
      <c r="ATQ2240" s="1733"/>
      <c r="ATR2240" s="1733"/>
      <c r="ATS2240" s="1733"/>
      <c r="ATT2240" s="1733"/>
      <c r="ATU2240" s="1733"/>
      <c r="ATV2240" s="1733"/>
      <c r="ATW2240" s="1733"/>
      <c r="ATX2240" s="1733"/>
      <c r="ATY2240" s="1733"/>
      <c r="ATZ2240" s="1733"/>
      <c r="AUA2240" s="1733"/>
      <c r="AUB2240" s="1733"/>
      <c r="AUC2240" s="1733"/>
      <c r="AUD2240" s="1733"/>
      <c r="AUE2240" s="1733"/>
      <c r="AUF2240" s="1733"/>
      <c r="AUG2240" s="1733"/>
      <c r="AUH2240" s="1733"/>
      <c r="AUI2240" s="1733"/>
      <c r="AUJ2240" s="1733"/>
      <c r="AUK2240" s="1733"/>
      <c r="AUL2240" s="1733"/>
      <c r="AUM2240" s="1733"/>
      <c r="AUN2240" s="1733"/>
      <c r="AUO2240" s="1733"/>
      <c r="AUP2240" s="1733"/>
      <c r="AUQ2240" s="1733"/>
      <c r="AUR2240" s="1733"/>
      <c r="AUS2240" s="1733"/>
      <c r="AUT2240" s="1733"/>
      <c r="AUU2240" s="1733"/>
      <c r="AUV2240" s="1733"/>
      <c r="AUW2240" s="1733"/>
      <c r="AUX2240" s="1733"/>
      <c r="AUY2240" s="1733"/>
      <c r="AUZ2240" s="1733"/>
      <c r="AVA2240" s="1733"/>
      <c r="AVB2240" s="1733"/>
      <c r="AVC2240" s="1733"/>
      <c r="AVD2240" s="1733"/>
      <c r="AVE2240" s="1733"/>
      <c r="AVF2240" s="1733"/>
      <c r="AVG2240" s="1733"/>
      <c r="AVH2240" s="1733"/>
      <c r="AVI2240" s="1733"/>
      <c r="AVJ2240" s="1733"/>
      <c r="AVK2240" s="1733"/>
      <c r="AVL2240" s="1733"/>
      <c r="AVM2240" s="1733"/>
      <c r="AVN2240" s="1733"/>
      <c r="AVO2240" s="1733"/>
      <c r="AVP2240" s="1733"/>
      <c r="AVQ2240" s="1733"/>
      <c r="AVR2240" s="1733"/>
      <c r="AVS2240" s="1733"/>
      <c r="AVT2240" s="1733"/>
      <c r="AVU2240" s="1733"/>
      <c r="AVV2240" s="1733"/>
      <c r="AVW2240" s="1733"/>
      <c r="AVX2240" s="1733"/>
      <c r="AVY2240" s="1733"/>
      <c r="AVZ2240" s="1733"/>
      <c r="AWA2240" s="1733"/>
      <c r="AWB2240" s="1733"/>
      <c r="AWC2240" s="1733"/>
      <c r="AWD2240" s="1733"/>
      <c r="AWE2240" s="1733"/>
      <c r="AWF2240" s="1733"/>
      <c r="AWG2240" s="1733"/>
      <c r="AWH2240" s="1733"/>
      <c r="AWI2240" s="1733"/>
      <c r="AWJ2240" s="1733"/>
      <c r="AWK2240" s="1733"/>
      <c r="AWL2240" s="1733"/>
      <c r="AWM2240" s="1733"/>
      <c r="AWN2240" s="1733"/>
      <c r="AWO2240" s="1733"/>
      <c r="AWP2240" s="1733"/>
      <c r="AWQ2240" s="1733"/>
      <c r="AWR2240" s="1733"/>
      <c r="AWS2240" s="1733"/>
      <c r="AWT2240" s="1733"/>
      <c r="AWU2240" s="1733"/>
      <c r="AWV2240" s="1733"/>
      <c r="AWW2240" s="1733"/>
      <c r="AWX2240" s="1733"/>
      <c r="AWY2240" s="1733"/>
      <c r="AWZ2240" s="1733"/>
      <c r="AXA2240" s="1733"/>
      <c r="AXB2240" s="1733"/>
      <c r="AXC2240" s="1733"/>
      <c r="AXD2240" s="1733"/>
      <c r="AXE2240" s="1733"/>
      <c r="AXF2240" s="1733"/>
      <c r="AXG2240" s="1733"/>
      <c r="AXH2240" s="1733"/>
      <c r="AXI2240" s="1733"/>
      <c r="AXJ2240" s="1733"/>
      <c r="AXK2240" s="1733"/>
      <c r="AXL2240" s="1733"/>
      <c r="AXM2240" s="1733"/>
      <c r="AXN2240" s="1733"/>
      <c r="AXO2240" s="1733"/>
      <c r="AXP2240" s="1733"/>
      <c r="AXQ2240" s="1733"/>
      <c r="AXR2240" s="1733"/>
      <c r="AXS2240" s="1733"/>
      <c r="AXT2240" s="1733"/>
      <c r="AXU2240" s="1733"/>
      <c r="AXV2240" s="1733"/>
      <c r="AXW2240" s="1733"/>
      <c r="AXX2240" s="1733"/>
      <c r="AXY2240" s="1733"/>
      <c r="AXZ2240" s="1733"/>
      <c r="AYA2240" s="1733"/>
      <c r="AYB2240" s="1733"/>
      <c r="AYC2240" s="1733"/>
      <c r="AYD2240" s="1733"/>
      <c r="AYE2240" s="1733"/>
      <c r="AYF2240" s="1733"/>
      <c r="AYG2240" s="1733"/>
      <c r="AYH2240" s="1733"/>
      <c r="AYI2240" s="1733"/>
      <c r="AYJ2240" s="1733"/>
      <c r="AYK2240" s="1733"/>
      <c r="AYL2240" s="1733"/>
      <c r="AYM2240" s="1733"/>
      <c r="AYN2240" s="1733"/>
      <c r="AYO2240" s="1733"/>
      <c r="AYP2240" s="1733"/>
      <c r="AYQ2240" s="1733"/>
      <c r="AYR2240" s="1733"/>
      <c r="AYS2240" s="1733"/>
      <c r="AYT2240" s="1733"/>
      <c r="AYU2240" s="1733"/>
      <c r="AYV2240" s="1733"/>
      <c r="AYW2240" s="1733"/>
      <c r="AYX2240" s="1733"/>
      <c r="AYY2240" s="1733"/>
      <c r="AYZ2240" s="1733"/>
      <c r="AZA2240" s="1733"/>
      <c r="AZB2240" s="1733"/>
      <c r="AZC2240" s="1733"/>
      <c r="AZD2240" s="1733"/>
      <c r="AZE2240" s="1733"/>
      <c r="AZF2240" s="1733"/>
      <c r="AZG2240" s="1733"/>
      <c r="AZH2240" s="1733"/>
      <c r="AZI2240" s="1733"/>
      <c r="AZJ2240" s="1733"/>
      <c r="AZK2240" s="1733"/>
      <c r="AZL2240" s="1733"/>
      <c r="AZM2240" s="1733"/>
      <c r="AZN2240" s="1733"/>
      <c r="AZO2240" s="1733"/>
      <c r="AZP2240" s="1733"/>
      <c r="AZQ2240" s="1733"/>
      <c r="AZR2240" s="1733"/>
      <c r="AZS2240" s="1733"/>
      <c r="AZT2240" s="1733"/>
      <c r="AZU2240" s="1733"/>
      <c r="AZV2240" s="1733"/>
      <c r="AZW2240" s="1733"/>
      <c r="AZX2240" s="1733"/>
      <c r="AZY2240" s="1733"/>
      <c r="AZZ2240" s="1733"/>
      <c r="BAA2240" s="1733"/>
      <c r="BAB2240" s="1733"/>
      <c r="BAC2240" s="1733"/>
      <c r="BAD2240" s="1733"/>
      <c r="BAE2240" s="1733"/>
      <c r="BAF2240" s="1733"/>
      <c r="BAG2240" s="1733"/>
      <c r="BAH2240" s="1733"/>
      <c r="BAI2240" s="1733"/>
      <c r="BAJ2240" s="1733"/>
      <c r="BAK2240" s="1733"/>
      <c r="BAL2240" s="1733"/>
      <c r="BAM2240" s="1733"/>
      <c r="BAN2240" s="1733"/>
      <c r="BAO2240" s="1733"/>
      <c r="BAP2240" s="1733"/>
      <c r="BAQ2240" s="1733"/>
      <c r="BAR2240" s="1733"/>
      <c r="BAS2240" s="1733"/>
      <c r="BAT2240" s="1733"/>
      <c r="BAU2240" s="1733"/>
      <c r="BAV2240" s="1733"/>
      <c r="BAW2240" s="1733"/>
      <c r="BAX2240" s="1733"/>
      <c r="BAY2240" s="1733"/>
      <c r="BAZ2240" s="1733"/>
      <c r="BBA2240" s="1733"/>
      <c r="BBB2240" s="1733"/>
      <c r="BBC2240" s="1733"/>
      <c r="BBD2240" s="1733"/>
      <c r="BBE2240" s="1733"/>
      <c r="BBF2240" s="1733"/>
      <c r="BBG2240" s="1733"/>
      <c r="BBH2240" s="1733"/>
      <c r="BBI2240" s="1733"/>
      <c r="BBJ2240" s="1733"/>
      <c r="BBK2240" s="1733"/>
      <c r="BBL2240" s="1733"/>
      <c r="BBM2240" s="1733"/>
      <c r="BBN2240" s="1733"/>
      <c r="BBO2240" s="1733"/>
      <c r="BBP2240" s="1733"/>
      <c r="BBQ2240" s="1733"/>
      <c r="BBR2240" s="1733"/>
      <c r="BBS2240" s="1733"/>
      <c r="BBT2240" s="1733"/>
      <c r="BBU2240" s="1733"/>
      <c r="BBV2240" s="1733"/>
      <c r="BBW2240" s="1733"/>
      <c r="BBX2240" s="1733"/>
      <c r="BBY2240" s="1733"/>
      <c r="BBZ2240" s="1733"/>
      <c r="BCA2240" s="1733"/>
      <c r="BCB2240" s="1733"/>
      <c r="BCC2240" s="1733"/>
      <c r="BCD2240" s="1733"/>
      <c r="BCE2240" s="1733"/>
      <c r="BCF2240" s="1733"/>
      <c r="BCG2240" s="1733"/>
      <c r="BCH2240" s="1733"/>
      <c r="BCI2240" s="1733"/>
      <c r="BCJ2240" s="1733"/>
      <c r="BCK2240" s="1733"/>
      <c r="BCL2240" s="1733"/>
      <c r="BCM2240" s="1733"/>
      <c r="BCN2240" s="1733"/>
      <c r="BCO2240" s="1733"/>
      <c r="BCP2240" s="1733"/>
      <c r="BCQ2240" s="1733"/>
      <c r="BCR2240" s="1733"/>
      <c r="BCS2240" s="1733"/>
      <c r="BCT2240" s="1733"/>
      <c r="BCU2240" s="1733"/>
      <c r="BCV2240" s="1733"/>
      <c r="BCW2240" s="1733"/>
      <c r="BCX2240" s="1733"/>
      <c r="BCY2240" s="1733"/>
      <c r="BCZ2240" s="1733"/>
      <c r="BDA2240" s="1733"/>
      <c r="BDB2240" s="1733"/>
      <c r="BDC2240" s="1733"/>
      <c r="BDD2240" s="1733"/>
      <c r="BDE2240" s="1733"/>
      <c r="BDF2240" s="1733"/>
      <c r="BDG2240" s="1733"/>
      <c r="BDH2240" s="1733"/>
      <c r="BDI2240" s="1733"/>
      <c r="BDJ2240" s="1733"/>
      <c r="BDK2240" s="1733"/>
      <c r="BDL2240" s="1733"/>
      <c r="BDM2240" s="1733"/>
      <c r="BDN2240" s="1733"/>
      <c r="BDO2240" s="1733"/>
      <c r="BDP2240" s="1733"/>
      <c r="BDQ2240" s="1733"/>
      <c r="BDR2240" s="1733"/>
      <c r="BDS2240" s="1733"/>
      <c r="BDT2240" s="1733"/>
      <c r="BDU2240" s="1733"/>
      <c r="BDV2240" s="1733"/>
      <c r="BDW2240" s="1733"/>
      <c r="BDX2240" s="1733"/>
      <c r="BDY2240" s="1733"/>
      <c r="BDZ2240" s="1733"/>
      <c r="BEA2240" s="1733"/>
      <c r="BEB2240" s="1733"/>
      <c r="BEC2240" s="1733"/>
      <c r="BED2240" s="1733"/>
      <c r="BEE2240" s="1733"/>
      <c r="BEF2240" s="1733"/>
      <c r="BEG2240" s="1733"/>
      <c r="BEH2240" s="1733"/>
      <c r="BEI2240" s="1733"/>
      <c r="BEJ2240" s="1733"/>
      <c r="BEK2240" s="1733"/>
      <c r="BEL2240" s="1733"/>
      <c r="BEM2240" s="1733"/>
      <c r="BEN2240" s="1733"/>
      <c r="BEO2240" s="1733"/>
      <c r="BEP2240" s="1733"/>
      <c r="BEQ2240" s="1733"/>
      <c r="BER2240" s="1733"/>
      <c r="BES2240" s="1733"/>
      <c r="BET2240" s="1733"/>
      <c r="BEU2240" s="1733"/>
      <c r="BEV2240" s="1733"/>
      <c r="BEW2240" s="1733"/>
      <c r="BEX2240" s="1733"/>
      <c r="BEY2240" s="1733"/>
      <c r="BEZ2240" s="1733"/>
      <c r="BFA2240" s="1733"/>
      <c r="BFB2240" s="1733"/>
      <c r="BFC2240" s="1733"/>
      <c r="BFD2240" s="1733"/>
      <c r="BFE2240" s="1733"/>
      <c r="BFF2240" s="1733"/>
      <c r="BFG2240" s="1733"/>
      <c r="BFH2240" s="1733"/>
      <c r="BFI2240" s="1733"/>
      <c r="BFJ2240" s="1733"/>
      <c r="BFK2240" s="1733"/>
      <c r="BFL2240" s="1733"/>
      <c r="BFM2240" s="1733"/>
      <c r="BFN2240" s="1733"/>
      <c r="BFO2240" s="1733"/>
      <c r="BFP2240" s="1733"/>
      <c r="BFQ2240" s="1733"/>
      <c r="BFR2240" s="1733"/>
      <c r="BFS2240" s="1733"/>
      <c r="BFT2240" s="1733"/>
      <c r="BFU2240" s="1733"/>
      <c r="BFV2240" s="1733"/>
      <c r="BFW2240" s="1733"/>
      <c r="BFX2240" s="1733"/>
      <c r="BFY2240" s="1733"/>
      <c r="BFZ2240" s="1733"/>
      <c r="BGA2240" s="1733"/>
      <c r="BGB2240" s="1733"/>
      <c r="BGC2240" s="1733"/>
      <c r="BGD2240" s="1733"/>
      <c r="BGE2240" s="1733"/>
      <c r="BGF2240" s="1733"/>
      <c r="BGG2240" s="1733"/>
      <c r="BGH2240" s="1733"/>
      <c r="BGI2240" s="1733"/>
      <c r="BGJ2240" s="1733"/>
      <c r="BGK2240" s="1733"/>
      <c r="BGL2240" s="1733"/>
      <c r="BGM2240" s="1733"/>
      <c r="BGN2240" s="1733"/>
      <c r="BGO2240" s="1733"/>
      <c r="BGP2240" s="1733"/>
      <c r="BGQ2240" s="1733"/>
      <c r="BGR2240" s="1733"/>
      <c r="BGS2240" s="1733"/>
      <c r="BGT2240" s="1733"/>
      <c r="BGU2240" s="1733"/>
      <c r="BGV2240" s="1733"/>
      <c r="BGW2240" s="1733"/>
      <c r="BGX2240" s="1733"/>
      <c r="BGY2240" s="1733"/>
      <c r="BGZ2240" s="1733"/>
      <c r="BHA2240" s="1733"/>
      <c r="BHB2240" s="1733"/>
      <c r="BHC2240" s="1733"/>
      <c r="BHD2240" s="1733"/>
      <c r="BHE2240" s="1733"/>
      <c r="BHF2240" s="1733"/>
      <c r="BHG2240" s="1733"/>
      <c r="BHH2240" s="1733"/>
      <c r="BHI2240" s="1733"/>
      <c r="BHJ2240" s="1733"/>
      <c r="BHK2240" s="1733"/>
      <c r="BHL2240" s="1733"/>
      <c r="BHM2240" s="1733"/>
      <c r="BHN2240" s="1733"/>
      <c r="BHO2240" s="1733"/>
      <c r="BHP2240" s="1733"/>
      <c r="BHQ2240" s="1733"/>
      <c r="BHR2240" s="1733"/>
      <c r="BHS2240" s="1733"/>
      <c r="BHT2240" s="1733"/>
      <c r="BHU2240" s="1733"/>
      <c r="BHV2240" s="1733"/>
      <c r="BHW2240" s="1733"/>
      <c r="BHX2240" s="1733"/>
      <c r="BHY2240" s="1733"/>
      <c r="BHZ2240" s="1733"/>
      <c r="BIA2240" s="1733"/>
      <c r="BIB2240" s="1733"/>
      <c r="BIC2240" s="1733"/>
      <c r="BID2240" s="1733"/>
      <c r="BIE2240" s="1733"/>
      <c r="BIF2240" s="1733"/>
      <c r="BIG2240" s="1733"/>
      <c r="BIH2240" s="1733"/>
      <c r="BII2240" s="1733"/>
      <c r="BIJ2240" s="1733"/>
      <c r="BIK2240" s="1733"/>
      <c r="BIL2240" s="1733"/>
      <c r="BIM2240" s="1733"/>
      <c r="BIN2240" s="1733"/>
      <c r="BIO2240" s="1733"/>
      <c r="BIP2240" s="1733"/>
      <c r="BIQ2240" s="1733"/>
      <c r="BIR2240" s="1733"/>
      <c r="BIS2240" s="1733"/>
      <c r="BIT2240" s="1733"/>
      <c r="BIU2240" s="1733"/>
      <c r="BIV2240" s="1733"/>
      <c r="BIW2240" s="1733"/>
      <c r="BIX2240" s="1733"/>
      <c r="BIY2240" s="1733"/>
      <c r="BIZ2240" s="1733"/>
      <c r="BJA2240" s="1733"/>
      <c r="BJB2240" s="1733"/>
      <c r="BJC2240" s="1733"/>
      <c r="BJD2240" s="1733"/>
      <c r="BJE2240" s="1733"/>
      <c r="BJF2240" s="1733"/>
      <c r="BJG2240" s="1733"/>
      <c r="BJH2240" s="1733"/>
      <c r="BJI2240" s="1733"/>
      <c r="BJJ2240" s="1733"/>
      <c r="BJK2240" s="1733"/>
      <c r="BJL2240" s="1733"/>
      <c r="BJM2240" s="1733"/>
      <c r="BJN2240" s="1733"/>
      <c r="BJO2240" s="1733"/>
      <c r="BJP2240" s="1733"/>
      <c r="BJQ2240" s="1733"/>
      <c r="BJR2240" s="1733"/>
      <c r="BJS2240" s="1733"/>
      <c r="BJT2240" s="1733"/>
      <c r="BJU2240" s="1733"/>
      <c r="BJV2240" s="1733"/>
      <c r="BJW2240" s="1733"/>
      <c r="BJX2240" s="1733"/>
      <c r="BJY2240" s="1733"/>
      <c r="BJZ2240" s="1733"/>
      <c r="BKA2240" s="1733"/>
      <c r="BKB2240" s="1733"/>
      <c r="BKC2240" s="1733"/>
      <c r="BKD2240" s="1733"/>
      <c r="BKE2240" s="1733"/>
      <c r="BKF2240" s="1733"/>
      <c r="BKG2240" s="1733"/>
      <c r="BKH2240" s="1733"/>
      <c r="BKI2240" s="1733"/>
      <c r="BKJ2240" s="1733"/>
      <c r="BKK2240" s="1733"/>
      <c r="BKL2240" s="1733"/>
      <c r="BKM2240" s="1733"/>
      <c r="BKN2240" s="1733"/>
      <c r="BKO2240" s="1733"/>
      <c r="BKP2240" s="1733"/>
      <c r="BKQ2240" s="1733"/>
      <c r="BKR2240" s="1733"/>
      <c r="BKS2240" s="1733"/>
      <c r="BKT2240" s="1733"/>
      <c r="BKU2240" s="1733"/>
      <c r="BKV2240" s="1733"/>
      <c r="BKW2240" s="1733"/>
      <c r="BKX2240" s="1733"/>
      <c r="BKY2240" s="1733"/>
      <c r="BKZ2240" s="1733"/>
      <c r="BLA2240" s="1733"/>
      <c r="BLB2240" s="1733"/>
      <c r="BLC2240" s="1733"/>
      <c r="BLD2240" s="1733"/>
      <c r="BLE2240" s="1733"/>
      <c r="BLF2240" s="1733"/>
      <c r="BLG2240" s="1733"/>
      <c r="BLH2240" s="1733"/>
      <c r="BLI2240" s="1733"/>
      <c r="BLJ2240" s="1733"/>
      <c r="BLK2240" s="1733"/>
      <c r="BLL2240" s="1733"/>
      <c r="BLM2240" s="1733"/>
      <c r="BLN2240" s="1733"/>
      <c r="BLO2240" s="1733"/>
      <c r="BLP2240" s="1733"/>
      <c r="BLQ2240" s="1733"/>
      <c r="BLR2240" s="1733"/>
      <c r="BLS2240" s="1733"/>
      <c r="BLT2240" s="1733"/>
      <c r="BLU2240" s="1733"/>
      <c r="BLV2240" s="1733"/>
      <c r="BLW2240" s="1733"/>
      <c r="BLX2240" s="1733"/>
      <c r="BLY2240" s="1733"/>
      <c r="BLZ2240" s="1733"/>
      <c r="BMA2240" s="1733"/>
      <c r="BMB2240" s="1733"/>
      <c r="BMC2240" s="1733"/>
      <c r="BMD2240" s="1733"/>
      <c r="BME2240" s="1733"/>
      <c r="BMF2240" s="1733"/>
      <c r="BMG2240" s="1733"/>
      <c r="BMH2240" s="1733"/>
      <c r="BMI2240" s="1733"/>
      <c r="BMJ2240" s="1733"/>
      <c r="BMK2240" s="1733"/>
      <c r="BML2240" s="1733"/>
      <c r="BMM2240" s="1733"/>
      <c r="BMN2240" s="1733"/>
      <c r="BMO2240" s="1733"/>
      <c r="BMP2240" s="1733"/>
      <c r="BMQ2240" s="1733"/>
      <c r="BMR2240" s="1733"/>
      <c r="BMS2240" s="1733"/>
      <c r="BMT2240" s="1733"/>
      <c r="BMU2240" s="1733"/>
      <c r="BMV2240" s="1733"/>
      <c r="BMW2240" s="1733"/>
      <c r="BMX2240" s="1733"/>
      <c r="BMY2240" s="1733"/>
      <c r="BMZ2240" s="1733"/>
      <c r="BNA2240" s="1733"/>
      <c r="BNB2240" s="1733"/>
      <c r="BNC2240" s="1733"/>
      <c r="BND2240" s="1733"/>
      <c r="BNE2240" s="1733"/>
      <c r="BNF2240" s="1733"/>
      <c r="BNG2240" s="1733"/>
      <c r="BNH2240" s="1733"/>
      <c r="BNI2240" s="1733"/>
      <c r="BNJ2240" s="1733"/>
      <c r="BNK2240" s="1733"/>
      <c r="BNL2240" s="1733"/>
      <c r="BNM2240" s="1733"/>
      <c r="BNN2240" s="1733"/>
      <c r="BNO2240" s="1733"/>
      <c r="BNP2240" s="1733"/>
      <c r="BNQ2240" s="1733"/>
      <c r="BNR2240" s="1733"/>
      <c r="BNS2240" s="1733"/>
      <c r="BNT2240" s="1733"/>
      <c r="BNU2240" s="1733"/>
      <c r="BNV2240" s="1733"/>
      <c r="BNW2240" s="1733"/>
      <c r="BNX2240" s="1733"/>
      <c r="BNY2240" s="1733"/>
      <c r="BNZ2240" s="1733"/>
      <c r="BOA2240" s="1733"/>
      <c r="BOB2240" s="1733"/>
      <c r="BOC2240" s="1733"/>
      <c r="BOD2240" s="1733"/>
      <c r="BOE2240" s="1733"/>
      <c r="BOF2240" s="1733"/>
      <c r="BOG2240" s="1733"/>
      <c r="BOH2240" s="1733"/>
      <c r="BOI2240" s="1733"/>
      <c r="BOJ2240" s="1733"/>
      <c r="BOK2240" s="1733"/>
      <c r="BOL2240" s="1733"/>
      <c r="BOM2240" s="1733"/>
      <c r="BON2240" s="1733"/>
      <c r="BOO2240" s="1733"/>
      <c r="BOP2240" s="1733"/>
      <c r="BOQ2240" s="1733"/>
      <c r="BOR2240" s="1733"/>
      <c r="BOS2240" s="1733"/>
      <c r="BOT2240" s="1733"/>
      <c r="BOU2240" s="1733"/>
      <c r="BOV2240" s="1733"/>
      <c r="BOW2240" s="1733"/>
      <c r="BOX2240" s="1733"/>
      <c r="BOY2240" s="1733"/>
      <c r="BOZ2240" s="1733"/>
      <c r="BPA2240" s="1733"/>
      <c r="BPB2240" s="1733"/>
      <c r="BPC2240" s="1733"/>
      <c r="BPD2240" s="1733"/>
      <c r="BPE2240" s="1733"/>
      <c r="BPF2240" s="1733"/>
      <c r="BPG2240" s="1733"/>
      <c r="BPH2240" s="1733"/>
      <c r="BPI2240" s="1733"/>
      <c r="BPJ2240" s="1733"/>
      <c r="BPK2240" s="1733"/>
      <c r="BPL2240" s="1733"/>
      <c r="BPM2240" s="1733"/>
      <c r="BPN2240" s="1733"/>
      <c r="BPO2240" s="1733"/>
      <c r="BPP2240" s="1733"/>
      <c r="BPQ2240" s="1733"/>
      <c r="BPR2240" s="1733"/>
      <c r="BPS2240" s="1733"/>
      <c r="BPT2240" s="1733"/>
      <c r="BPU2240" s="1733"/>
      <c r="BPV2240" s="1733"/>
      <c r="BPW2240" s="1733"/>
      <c r="BPX2240" s="1733"/>
      <c r="BPY2240" s="1733"/>
      <c r="BPZ2240" s="1733"/>
      <c r="BQA2240" s="1733"/>
      <c r="BQB2240" s="1733"/>
      <c r="BQC2240" s="1733"/>
      <c r="BQD2240" s="1733"/>
      <c r="BQE2240" s="1733"/>
      <c r="BQF2240" s="1733"/>
      <c r="BQG2240" s="1733"/>
      <c r="BQH2240" s="1733"/>
      <c r="BQI2240" s="1733"/>
      <c r="BQJ2240" s="1733"/>
      <c r="BQK2240" s="1733"/>
      <c r="BQL2240" s="1733"/>
      <c r="BQM2240" s="1733"/>
      <c r="BQN2240" s="1733"/>
      <c r="BQO2240" s="1733"/>
      <c r="BQP2240" s="1733"/>
      <c r="BQQ2240" s="1733"/>
      <c r="BQR2240" s="1733"/>
      <c r="BQS2240" s="1733"/>
      <c r="BQT2240" s="1733"/>
      <c r="BQU2240" s="1733"/>
      <c r="BQV2240" s="1733"/>
      <c r="BQW2240" s="1733"/>
      <c r="BQX2240" s="1733"/>
      <c r="BQY2240" s="1733"/>
      <c r="BQZ2240" s="1733"/>
      <c r="BRA2240" s="1733"/>
      <c r="BRB2240" s="1733"/>
      <c r="BRC2240" s="1733"/>
      <c r="BRD2240" s="1733"/>
      <c r="BRE2240" s="1733"/>
      <c r="BRF2240" s="1733"/>
      <c r="BRG2240" s="1733"/>
      <c r="BRH2240" s="1733"/>
      <c r="BRI2240" s="1733"/>
      <c r="BRJ2240" s="1733"/>
      <c r="BRK2240" s="1733"/>
      <c r="BRL2240" s="1733"/>
      <c r="BRM2240" s="1733"/>
      <c r="BRN2240" s="1733"/>
      <c r="BRO2240" s="1733"/>
      <c r="BRP2240" s="1733"/>
      <c r="BRQ2240" s="1733"/>
      <c r="BRR2240" s="1733"/>
      <c r="BRS2240" s="1733"/>
      <c r="BRT2240" s="1733"/>
      <c r="BRU2240" s="1733"/>
      <c r="BRV2240" s="1733"/>
      <c r="BRW2240" s="1733"/>
      <c r="BRX2240" s="1733"/>
      <c r="BRY2240" s="1733"/>
      <c r="BRZ2240" s="1733"/>
      <c r="BSA2240" s="1733"/>
      <c r="BSB2240" s="1733"/>
      <c r="BSC2240" s="1733"/>
      <c r="BSD2240" s="1733"/>
      <c r="BSE2240" s="1733"/>
      <c r="BSF2240" s="1733"/>
      <c r="BSG2240" s="1733"/>
      <c r="BSH2240" s="1733"/>
      <c r="BSI2240" s="1733"/>
      <c r="BSJ2240" s="1733"/>
      <c r="BSK2240" s="1733"/>
      <c r="BSL2240" s="1733"/>
      <c r="BSM2240" s="1733"/>
      <c r="BSN2240" s="1733"/>
      <c r="BSO2240" s="1733"/>
      <c r="BSP2240" s="1733"/>
      <c r="BSQ2240" s="1733"/>
      <c r="BSR2240" s="1733"/>
      <c r="BSS2240" s="1733"/>
      <c r="BST2240" s="1733"/>
      <c r="BSU2240" s="1733"/>
      <c r="BSV2240" s="1733"/>
      <c r="BSW2240" s="1733"/>
      <c r="BSX2240" s="1733"/>
      <c r="BSY2240" s="1733"/>
      <c r="BSZ2240" s="1733"/>
      <c r="BTA2240" s="1733"/>
      <c r="BTB2240" s="1733"/>
      <c r="BTC2240" s="1733"/>
      <c r="BTD2240" s="1733"/>
      <c r="BTE2240" s="1733"/>
      <c r="BTF2240" s="1733"/>
      <c r="BTG2240" s="1733"/>
      <c r="BTH2240" s="1733"/>
      <c r="BTI2240" s="1733"/>
      <c r="BTJ2240" s="1733"/>
      <c r="BTK2240" s="1733"/>
      <c r="BTL2240" s="1733"/>
      <c r="BTM2240" s="1733"/>
      <c r="BTN2240" s="1733"/>
      <c r="BTO2240" s="1733"/>
      <c r="BTP2240" s="1733"/>
      <c r="BTQ2240" s="1733"/>
      <c r="BTR2240" s="1733"/>
      <c r="BTS2240" s="1733"/>
      <c r="BTT2240" s="1733"/>
      <c r="BTU2240" s="1733"/>
      <c r="BTV2240" s="1733"/>
      <c r="BTW2240" s="1733"/>
      <c r="BTX2240" s="1733"/>
      <c r="BTY2240" s="1733"/>
      <c r="BTZ2240" s="1733"/>
      <c r="BUA2240" s="1733"/>
      <c r="BUB2240" s="1733"/>
      <c r="BUC2240" s="1733"/>
      <c r="BUD2240" s="1733"/>
      <c r="BUE2240" s="1733"/>
      <c r="BUF2240" s="1733"/>
      <c r="BUG2240" s="1733"/>
      <c r="BUH2240" s="1733"/>
      <c r="BUI2240" s="1733"/>
      <c r="BUJ2240" s="1733"/>
      <c r="BUK2240" s="1733"/>
      <c r="BUL2240" s="1733"/>
      <c r="BUM2240" s="1733"/>
      <c r="BUN2240" s="1733"/>
      <c r="BUO2240" s="1733"/>
      <c r="BUP2240" s="1733"/>
      <c r="BUQ2240" s="1733"/>
      <c r="BUR2240" s="1733"/>
      <c r="BUS2240" s="1733"/>
      <c r="BUT2240" s="1733"/>
      <c r="BUU2240" s="1733"/>
      <c r="BUV2240" s="1733"/>
      <c r="BUW2240" s="1733"/>
      <c r="BUX2240" s="1733"/>
      <c r="BUY2240" s="1733"/>
      <c r="BUZ2240" s="1733"/>
      <c r="BVA2240" s="1733"/>
      <c r="BVB2240" s="1733"/>
      <c r="BVC2240" s="1733"/>
      <c r="BVD2240" s="1733"/>
      <c r="BVE2240" s="1733"/>
      <c r="BVF2240" s="1733"/>
      <c r="BVG2240" s="1733"/>
      <c r="BVH2240" s="1733"/>
      <c r="BVI2240" s="1733"/>
      <c r="BVJ2240" s="1733"/>
      <c r="BVK2240" s="1733"/>
      <c r="BVL2240" s="1733"/>
      <c r="BVM2240" s="1733"/>
      <c r="BVN2240" s="1733"/>
      <c r="BVO2240" s="1733"/>
      <c r="BVP2240" s="1733"/>
      <c r="BVQ2240" s="1733"/>
      <c r="BVR2240" s="1733"/>
      <c r="BVS2240" s="1733"/>
      <c r="BVT2240" s="1733"/>
      <c r="BVU2240" s="1733"/>
      <c r="BVV2240" s="1733"/>
      <c r="BVW2240" s="1733"/>
      <c r="BVX2240" s="1733"/>
      <c r="BVY2240" s="1733"/>
      <c r="BVZ2240" s="1733"/>
      <c r="BWA2240" s="1733"/>
      <c r="BWB2240" s="1733"/>
      <c r="BWC2240" s="1733"/>
      <c r="BWD2240" s="1733"/>
      <c r="BWE2240" s="1733"/>
      <c r="BWF2240" s="1733"/>
      <c r="BWG2240" s="1733"/>
      <c r="BWH2240" s="1733"/>
      <c r="BWI2240" s="1733"/>
      <c r="BWJ2240" s="1733"/>
      <c r="BWK2240" s="1733"/>
      <c r="BWL2240" s="1733"/>
      <c r="BWM2240" s="1733"/>
      <c r="BWN2240" s="1733"/>
      <c r="BWO2240" s="1733"/>
      <c r="BWP2240" s="1733"/>
      <c r="BWQ2240" s="1733"/>
      <c r="BWR2240" s="1733"/>
      <c r="BWS2240" s="1733"/>
      <c r="BWT2240" s="1733"/>
      <c r="BWU2240" s="1733"/>
      <c r="BWV2240" s="1733"/>
      <c r="BWW2240" s="1733"/>
      <c r="BWX2240" s="1733"/>
      <c r="BWY2240" s="1733"/>
      <c r="BWZ2240" s="1733"/>
      <c r="BXA2240" s="1733"/>
      <c r="BXB2240" s="1733"/>
      <c r="BXC2240" s="1733"/>
      <c r="BXD2240" s="1733"/>
      <c r="BXE2240" s="1733"/>
      <c r="BXF2240" s="1733"/>
      <c r="BXG2240" s="1733"/>
      <c r="BXH2240" s="1733"/>
      <c r="BXI2240" s="1733"/>
      <c r="BXJ2240" s="1733"/>
      <c r="BXK2240" s="1733"/>
      <c r="BXL2240" s="1733"/>
      <c r="BXM2240" s="1733"/>
      <c r="BXN2240" s="1733"/>
      <c r="BXO2240" s="1733"/>
      <c r="BXP2240" s="1733"/>
      <c r="BXQ2240" s="1733"/>
      <c r="BXR2240" s="1733"/>
      <c r="BXS2240" s="1733"/>
      <c r="BXT2240" s="1733"/>
      <c r="BXU2240" s="1733"/>
      <c r="BXV2240" s="1733"/>
      <c r="BXW2240" s="1733"/>
      <c r="BXX2240" s="1733"/>
      <c r="BXY2240" s="1733"/>
      <c r="BXZ2240" s="1733"/>
      <c r="BYA2240" s="1733"/>
      <c r="BYB2240" s="1733"/>
      <c r="BYC2240" s="1733"/>
      <c r="BYD2240" s="1733"/>
      <c r="BYE2240" s="1733"/>
      <c r="BYF2240" s="1733"/>
      <c r="BYG2240" s="1733"/>
      <c r="BYH2240" s="1733"/>
      <c r="BYI2240" s="1733"/>
      <c r="BYJ2240" s="1733"/>
      <c r="BYK2240" s="1733"/>
      <c r="BYL2240" s="1733"/>
      <c r="BYM2240" s="1733"/>
      <c r="BYN2240" s="1733"/>
      <c r="BYO2240" s="1733"/>
      <c r="BYP2240" s="1733"/>
      <c r="BYQ2240" s="1733"/>
      <c r="BYR2240" s="1733"/>
      <c r="BYS2240" s="1733"/>
      <c r="BYT2240" s="1733"/>
      <c r="BYU2240" s="1733"/>
      <c r="BYV2240" s="1733"/>
      <c r="BYW2240" s="1733"/>
      <c r="BYX2240" s="1733"/>
      <c r="BYY2240" s="1733"/>
      <c r="BYZ2240" s="1733"/>
      <c r="BZA2240" s="1733"/>
      <c r="BZB2240" s="1733"/>
      <c r="BZC2240" s="1733"/>
      <c r="BZD2240" s="1733"/>
      <c r="BZE2240" s="1733"/>
      <c r="BZF2240" s="1733"/>
      <c r="BZG2240" s="1733"/>
      <c r="BZH2240" s="1733"/>
      <c r="BZI2240" s="1733"/>
      <c r="BZJ2240" s="1733"/>
      <c r="BZK2240" s="1733"/>
      <c r="BZL2240" s="1733"/>
      <c r="BZM2240" s="1733"/>
      <c r="BZN2240" s="1733"/>
      <c r="BZO2240" s="1733"/>
      <c r="BZP2240" s="1733"/>
      <c r="BZQ2240" s="1733"/>
      <c r="BZR2240" s="1733"/>
      <c r="BZS2240" s="1733"/>
      <c r="BZT2240" s="1733"/>
      <c r="BZU2240" s="1733"/>
      <c r="BZV2240" s="1733"/>
      <c r="BZW2240" s="1733"/>
      <c r="BZX2240" s="1733"/>
      <c r="BZY2240" s="1733"/>
      <c r="BZZ2240" s="1733"/>
      <c r="CAA2240" s="1733"/>
      <c r="CAB2240" s="1733"/>
      <c r="CAC2240" s="1733"/>
      <c r="CAD2240" s="1733"/>
      <c r="CAE2240" s="1733"/>
      <c r="CAF2240" s="1733"/>
      <c r="CAG2240" s="1733"/>
      <c r="CAH2240" s="1733"/>
      <c r="CAI2240" s="1733"/>
      <c r="CAJ2240" s="1733"/>
      <c r="CAK2240" s="1733"/>
      <c r="CAL2240" s="1733"/>
      <c r="CAM2240" s="1733"/>
      <c r="CAN2240" s="1733"/>
      <c r="CAO2240" s="1733"/>
      <c r="CAP2240" s="1733"/>
      <c r="CAQ2240" s="1733"/>
      <c r="CAR2240" s="1733"/>
      <c r="CAS2240" s="1733"/>
      <c r="CAT2240" s="1733"/>
      <c r="CAU2240" s="1733"/>
      <c r="CAV2240" s="1733"/>
      <c r="CAW2240" s="1733"/>
      <c r="CAX2240" s="1733"/>
      <c r="CAY2240" s="1733"/>
      <c r="CAZ2240" s="1733"/>
      <c r="CBA2240" s="1733"/>
      <c r="CBB2240" s="1733"/>
      <c r="CBC2240" s="1733"/>
      <c r="CBD2240" s="1733"/>
      <c r="CBE2240" s="1733"/>
      <c r="CBF2240" s="1733"/>
      <c r="CBG2240" s="1733"/>
      <c r="CBH2240" s="1733"/>
      <c r="CBI2240" s="1733"/>
      <c r="CBJ2240" s="1733"/>
      <c r="CBK2240" s="1733"/>
      <c r="CBL2240" s="1733"/>
      <c r="CBM2240" s="1733"/>
      <c r="CBN2240" s="1733"/>
      <c r="CBO2240" s="1733"/>
      <c r="CBP2240" s="1733"/>
      <c r="CBQ2240" s="1733"/>
      <c r="CBR2240" s="1733"/>
      <c r="CBS2240" s="1733"/>
      <c r="CBT2240" s="1733"/>
      <c r="CBU2240" s="1733"/>
      <c r="CBV2240" s="1733"/>
      <c r="CBW2240" s="1733"/>
      <c r="CBX2240" s="1733"/>
      <c r="CBY2240" s="1733"/>
      <c r="CBZ2240" s="1733"/>
      <c r="CCA2240" s="1733"/>
      <c r="CCB2240" s="1733"/>
      <c r="CCC2240" s="1733"/>
      <c r="CCD2240" s="1733"/>
      <c r="CCE2240" s="1733"/>
      <c r="CCF2240" s="1733"/>
      <c r="CCG2240" s="1733"/>
      <c r="CCH2240" s="1733"/>
      <c r="CCI2240" s="1733"/>
      <c r="CCJ2240" s="1733"/>
      <c r="CCK2240" s="1733"/>
      <c r="CCL2240" s="1733"/>
      <c r="CCM2240" s="1733"/>
      <c r="CCN2240" s="1733"/>
      <c r="CCO2240" s="1733"/>
      <c r="CCP2240" s="1733"/>
      <c r="CCQ2240" s="1733"/>
      <c r="CCR2240" s="1733"/>
      <c r="CCS2240" s="1733"/>
      <c r="CCT2240" s="1733"/>
      <c r="CCU2240" s="1733"/>
      <c r="CCV2240" s="1733"/>
      <c r="CCW2240" s="1733"/>
      <c r="CCX2240" s="1733"/>
      <c r="CCY2240" s="1733"/>
      <c r="CCZ2240" s="1733"/>
      <c r="CDA2240" s="1733"/>
      <c r="CDB2240" s="1733"/>
      <c r="CDC2240" s="1733"/>
      <c r="CDD2240" s="1733"/>
      <c r="CDE2240" s="1733"/>
      <c r="CDF2240" s="1733"/>
      <c r="CDG2240" s="1733"/>
      <c r="CDH2240" s="1733"/>
      <c r="CDI2240" s="1733"/>
      <c r="CDJ2240" s="1733"/>
      <c r="CDK2240" s="1733"/>
      <c r="CDL2240" s="1733"/>
      <c r="CDM2240" s="1733"/>
      <c r="CDN2240" s="1733"/>
      <c r="CDO2240" s="1733"/>
      <c r="CDP2240" s="1733"/>
      <c r="CDQ2240" s="1733"/>
      <c r="CDR2240" s="1733"/>
      <c r="CDS2240" s="1733"/>
      <c r="CDT2240" s="1733"/>
      <c r="CDU2240" s="1733"/>
      <c r="CDV2240" s="1733"/>
      <c r="CDW2240" s="1733"/>
      <c r="CDX2240" s="1733"/>
      <c r="CDY2240" s="1733"/>
      <c r="CDZ2240" s="1733"/>
      <c r="CEA2240" s="1733"/>
      <c r="CEB2240" s="1733"/>
      <c r="CEC2240" s="1733"/>
      <c r="CED2240" s="1733"/>
      <c r="CEE2240" s="1733"/>
      <c r="CEF2240" s="1733"/>
      <c r="CEG2240" s="1733"/>
      <c r="CEH2240" s="1733"/>
      <c r="CEI2240" s="1733"/>
      <c r="CEJ2240" s="1733"/>
      <c r="CEK2240" s="1733"/>
      <c r="CEL2240" s="1733"/>
      <c r="CEM2240" s="1733"/>
      <c r="CEN2240" s="1733"/>
      <c r="CEO2240" s="1733"/>
      <c r="CEP2240" s="1733"/>
      <c r="CEQ2240" s="1733"/>
      <c r="CER2240" s="1733"/>
      <c r="CES2240" s="1733"/>
      <c r="CET2240" s="1733"/>
      <c r="CEU2240" s="1733"/>
      <c r="CEV2240" s="1733"/>
      <c r="CEW2240" s="1733"/>
      <c r="CEX2240" s="1733"/>
      <c r="CEY2240" s="1733"/>
      <c r="CEZ2240" s="1733"/>
      <c r="CFA2240" s="1733"/>
      <c r="CFB2240" s="1733"/>
      <c r="CFC2240" s="1733"/>
      <c r="CFD2240" s="1733"/>
      <c r="CFE2240" s="1733"/>
      <c r="CFF2240" s="1733"/>
      <c r="CFG2240" s="1733"/>
      <c r="CFH2240" s="1733"/>
      <c r="CFI2240" s="1733"/>
      <c r="CFJ2240" s="1733"/>
      <c r="CFK2240" s="1733"/>
      <c r="CFL2240" s="1733"/>
      <c r="CFM2240" s="1733"/>
      <c r="CFN2240" s="1733"/>
      <c r="CFO2240" s="1733"/>
      <c r="CFP2240" s="1733"/>
      <c r="CFQ2240" s="1733"/>
      <c r="CFR2240" s="1733"/>
      <c r="CFS2240" s="1733"/>
      <c r="CFT2240" s="1733"/>
      <c r="CFU2240" s="1733"/>
      <c r="CFV2240" s="1733"/>
      <c r="CFW2240" s="1733"/>
      <c r="CFX2240" s="1733"/>
      <c r="CFY2240" s="1733"/>
      <c r="CFZ2240" s="1733"/>
      <c r="CGA2240" s="1733"/>
      <c r="CGB2240" s="1733"/>
      <c r="CGC2240" s="1733"/>
      <c r="CGD2240" s="1733"/>
      <c r="CGE2240" s="1733"/>
      <c r="CGF2240" s="1733"/>
      <c r="CGG2240" s="1733"/>
      <c r="CGH2240" s="1733"/>
      <c r="CGI2240" s="1733"/>
      <c r="CGJ2240" s="1733"/>
      <c r="CGK2240" s="1733"/>
      <c r="CGL2240" s="1733"/>
      <c r="CGM2240" s="1733"/>
      <c r="CGN2240" s="1733"/>
      <c r="CGO2240" s="1733"/>
      <c r="CGP2240" s="1733"/>
      <c r="CGQ2240" s="1733"/>
      <c r="CGR2240" s="1733"/>
      <c r="CGS2240" s="1733"/>
      <c r="CGT2240" s="1733"/>
      <c r="CGU2240" s="1733"/>
      <c r="CGV2240" s="1733"/>
      <c r="CGW2240" s="1733"/>
      <c r="CGX2240" s="1733"/>
      <c r="CGY2240" s="1733"/>
      <c r="CGZ2240" s="1733"/>
      <c r="CHA2240" s="1733"/>
      <c r="CHB2240" s="1733"/>
      <c r="CHC2240" s="1733"/>
      <c r="CHD2240" s="1733"/>
      <c r="CHE2240" s="1733"/>
      <c r="CHF2240" s="1733"/>
      <c r="CHG2240" s="1733"/>
      <c r="CHH2240" s="1733"/>
      <c r="CHI2240" s="1733"/>
      <c r="CHJ2240" s="1733"/>
      <c r="CHK2240" s="1733"/>
      <c r="CHL2240" s="1733"/>
      <c r="CHM2240" s="1733"/>
      <c r="CHN2240" s="1733"/>
      <c r="CHO2240" s="1733"/>
      <c r="CHP2240" s="1733"/>
      <c r="CHQ2240" s="1733"/>
      <c r="CHR2240" s="1733"/>
      <c r="CHS2240" s="1733"/>
      <c r="CHT2240" s="1733"/>
      <c r="CHU2240" s="1733"/>
      <c r="CHV2240" s="1733"/>
      <c r="CHW2240" s="1733"/>
      <c r="CHX2240" s="1733"/>
      <c r="CHY2240" s="1733"/>
      <c r="CHZ2240" s="1733"/>
      <c r="CIA2240" s="1733"/>
      <c r="CIB2240" s="1733"/>
      <c r="CIC2240" s="1733"/>
      <c r="CID2240" s="1733"/>
      <c r="CIE2240" s="1733"/>
      <c r="CIF2240" s="1733"/>
      <c r="CIG2240" s="1733"/>
      <c r="CIH2240" s="1733"/>
      <c r="CII2240" s="1733"/>
      <c r="CIJ2240" s="1733"/>
      <c r="CIK2240" s="1733"/>
      <c r="CIL2240" s="1733"/>
      <c r="CIM2240" s="1733"/>
      <c r="CIN2240" s="1733"/>
      <c r="CIO2240" s="1733"/>
      <c r="CIP2240" s="1733"/>
      <c r="CIQ2240" s="1733"/>
      <c r="CIR2240" s="1733"/>
      <c r="CIS2240" s="1733"/>
      <c r="CIT2240" s="1733"/>
      <c r="CIU2240" s="1733"/>
      <c r="CIV2240" s="1733"/>
      <c r="CIW2240" s="1733"/>
      <c r="CIX2240" s="1733"/>
      <c r="CIY2240" s="1733"/>
      <c r="CIZ2240" s="1733"/>
      <c r="CJA2240" s="1733"/>
      <c r="CJB2240" s="1733"/>
      <c r="CJC2240" s="1733"/>
      <c r="CJD2240" s="1733"/>
      <c r="CJE2240" s="1733"/>
      <c r="CJF2240" s="1733"/>
      <c r="CJG2240" s="1733"/>
      <c r="CJH2240" s="1733"/>
      <c r="CJI2240" s="1733"/>
      <c r="CJJ2240" s="1733"/>
      <c r="CJK2240" s="1733"/>
      <c r="CJL2240" s="1733"/>
      <c r="CJM2240" s="1733"/>
      <c r="CJN2240" s="1733"/>
      <c r="CJO2240" s="1733"/>
      <c r="CJP2240" s="1733"/>
      <c r="CJQ2240" s="1733"/>
      <c r="CJR2240" s="1733"/>
      <c r="CJS2240" s="1733"/>
      <c r="CJT2240" s="1733"/>
      <c r="CJU2240" s="1733"/>
      <c r="CJV2240" s="1733"/>
      <c r="CJW2240" s="1733"/>
      <c r="CJX2240" s="1733"/>
      <c r="CJY2240" s="1733"/>
      <c r="CJZ2240" s="1733"/>
      <c r="CKA2240" s="1733"/>
      <c r="CKB2240" s="1733"/>
      <c r="CKC2240" s="1733"/>
      <c r="CKD2240" s="1733"/>
      <c r="CKE2240" s="1733"/>
      <c r="CKF2240" s="1733"/>
      <c r="CKG2240" s="1733"/>
      <c r="CKH2240" s="1733"/>
      <c r="CKI2240" s="1733"/>
      <c r="CKJ2240" s="1733"/>
      <c r="CKK2240" s="1733"/>
      <c r="CKL2240" s="1733"/>
      <c r="CKM2240" s="1733"/>
      <c r="CKN2240" s="1733"/>
      <c r="CKO2240" s="1733"/>
      <c r="CKP2240" s="1733"/>
      <c r="CKQ2240" s="1733"/>
      <c r="CKR2240" s="1733"/>
      <c r="CKS2240" s="1733"/>
      <c r="CKT2240" s="1733"/>
      <c r="CKU2240" s="1733"/>
      <c r="CKV2240" s="1733"/>
      <c r="CKW2240" s="1733"/>
      <c r="CKX2240" s="1733"/>
      <c r="CKY2240" s="1733"/>
      <c r="CKZ2240" s="1733"/>
      <c r="CLA2240" s="1733"/>
      <c r="CLB2240" s="1733"/>
      <c r="CLC2240" s="1733"/>
      <c r="CLD2240" s="1733"/>
      <c r="CLE2240" s="1733"/>
      <c r="CLF2240" s="1733"/>
      <c r="CLG2240" s="1733"/>
      <c r="CLH2240" s="1733"/>
      <c r="CLI2240" s="1733"/>
      <c r="CLJ2240" s="1733"/>
      <c r="CLK2240" s="1733"/>
      <c r="CLL2240" s="1733"/>
      <c r="CLM2240" s="1733"/>
      <c r="CLN2240" s="1733"/>
      <c r="CLO2240" s="1733"/>
      <c r="CLP2240" s="1733"/>
      <c r="CLQ2240" s="1733"/>
      <c r="CLR2240" s="1733"/>
      <c r="CLS2240" s="1733"/>
      <c r="CLT2240" s="1733"/>
      <c r="CLU2240" s="1733"/>
      <c r="CLV2240" s="1733"/>
      <c r="CLW2240" s="1733"/>
      <c r="CLX2240" s="1733"/>
      <c r="CLY2240" s="1733"/>
      <c r="CLZ2240" s="1733"/>
      <c r="CMA2240" s="1733"/>
      <c r="CMB2240" s="1733"/>
      <c r="CMC2240" s="1733"/>
      <c r="CMD2240" s="1733"/>
      <c r="CME2240" s="1733"/>
      <c r="CMF2240" s="1733"/>
      <c r="CMG2240" s="1733"/>
      <c r="CMH2240" s="1733"/>
      <c r="CMI2240" s="1733"/>
      <c r="CMJ2240" s="1733"/>
      <c r="CMK2240" s="1733"/>
      <c r="CML2240" s="1733"/>
      <c r="CMM2240" s="1733"/>
      <c r="CMN2240" s="1733"/>
      <c r="CMO2240" s="1733"/>
      <c r="CMP2240" s="1733"/>
      <c r="CMQ2240" s="1733"/>
      <c r="CMR2240" s="1733"/>
      <c r="CMS2240" s="1733"/>
      <c r="CMT2240" s="1733"/>
      <c r="CMU2240" s="1733"/>
      <c r="CMV2240" s="1733"/>
      <c r="CMW2240" s="1733"/>
      <c r="CMX2240" s="1733"/>
      <c r="CMY2240" s="1733"/>
      <c r="CMZ2240" s="1733"/>
      <c r="CNA2240" s="1733"/>
      <c r="CNB2240" s="1733"/>
      <c r="CNC2240" s="1733"/>
      <c r="CND2240" s="1733"/>
      <c r="CNE2240" s="1733"/>
      <c r="CNF2240" s="1733"/>
      <c r="CNG2240" s="1733"/>
      <c r="CNH2240" s="1733"/>
      <c r="CNI2240" s="1733"/>
      <c r="CNJ2240" s="1733"/>
      <c r="CNK2240" s="1733"/>
      <c r="CNL2240" s="1733"/>
      <c r="CNM2240" s="1733"/>
      <c r="CNN2240" s="1733"/>
      <c r="CNO2240" s="1733"/>
      <c r="CNP2240" s="1733"/>
      <c r="CNQ2240" s="1733"/>
      <c r="CNR2240" s="1733"/>
      <c r="CNS2240" s="1733"/>
      <c r="CNT2240" s="1733"/>
      <c r="CNU2240" s="1733"/>
      <c r="CNV2240" s="1733"/>
      <c r="CNW2240" s="1733"/>
      <c r="CNX2240" s="1733"/>
      <c r="CNY2240" s="1733"/>
      <c r="CNZ2240" s="1733"/>
      <c r="COA2240" s="1733"/>
      <c r="COB2240" s="1733"/>
      <c r="COC2240" s="1733"/>
      <c r="COD2240" s="1733"/>
      <c r="COE2240" s="1733"/>
      <c r="COF2240" s="1733"/>
      <c r="COG2240" s="1733"/>
      <c r="COH2240" s="1733"/>
      <c r="COI2240" s="1733"/>
      <c r="COJ2240" s="1733"/>
      <c r="COK2240" s="1733"/>
      <c r="COL2240" s="1733"/>
      <c r="COM2240" s="1733"/>
      <c r="CON2240" s="1733"/>
      <c r="COO2240" s="1733"/>
      <c r="COP2240" s="1733"/>
      <c r="COQ2240" s="1733"/>
      <c r="COR2240" s="1733"/>
      <c r="COS2240" s="1733"/>
      <c r="COT2240" s="1733"/>
      <c r="COU2240" s="1733"/>
      <c r="COV2240" s="1733"/>
      <c r="COW2240" s="1733"/>
      <c r="COX2240" s="1733"/>
      <c r="COY2240" s="1733"/>
      <c r="COZ2240" s="1733"/>
      <c r="CPA2240" s="1733"/>
      <c r="CPB2240" s="1733"/>
      <c r="CPC2240" s="1733"/>
      <c r="CPD2240" s="1733"/>
      <c r="CPE2240" s="1733"/>
      <c r="CPF2240" s="1733"/>
      <c r="CPG2240" s="1733"/>
      <c r="CPH2240" s="1733"/>
      <c r="CPI2240" s="1733"/>
      <c r="CPJ2240" s="1733"/>
      <c r="CPK2240" s="1733"/>
      <c r="CPL2240" s="1733"/>
      <c r="CPM2240" s="1733"/>
      <c r="CPN2240" s="1733"/>
      <c r="CPO2240" s="1733"/>
      <c r="CPP2240" s="1733"/>
      <c r="CPQ2240" s="1733"/>
      <c r="CPR2240" s="1733"/>
      <c r="CPS2240" s="1733"/>
      <c r="CPT2240" s="1733"/>
      <c r="CPU2240" s="1733"/>
      <c r="CPV2240" s="1733"/>
      <c r="CPW2240" s="1733"/>
      <c r="CPX2240" s="1733"/>
      <c r="CPY2240" s="1733"/>
      <c r="CPZ2240" s="1733"/>
      <c r="CQA2240" s="1733"/>
      <c r="CQB2240" s="1733"/>
      <c r="CQC2240" s="1733"/>
      <c r="CQD2240" s="1733"/>
      <c r="CQE2240" s="1733"/>
      <c r="CQF2240" s="1733"/>
      <c r="CQG2240" s="1733"/>
      <c r="CQH2240" s="1733"/>
      <c r="CQI2240" s="1733"/>
      <c r="CQJ2240" s="1733"/>
      <c r="CQK2240" s="1733"/>
      <c r="CQL2240" s="1733"/>
      <c r="CQM2240" s="1733"/>
      <c r="CQN2240" s="1733"/>
      <c r="CQO2240" s="1733"/>
      <c r="CQP2240" s="1733"/>
      <c r="CQQ2240" s="1733"/>
      <c r="CQR2240" s="1733"/>
      <c r="CQS2240" s="1733"/>
      <c r="CQT2240" s="1733"/>
      <c r="CQU2240" s="1733"/>
      <c r="CQV2240" s="1733"/>
      <c r="CQW2240" s="1733"/>
      <c r="CQX2240" s="1733"/>
      <c r="CQY2240" s="1733"/>
      <c r="CQZ2240" s="1733"/>
      <c r="CRA2240" s="1733"/>
      <c r="CRB2240" s="1733"/>
      <c r="CRC2240" s="1733"/>
      <c r="CRD2240" s="1733"/>
      <c r="CRE2240" s="1733"/>
      <c r="CRF2240" s="1733"/>
      <c r="CRG2240" s="1733"/>
      <c r="CRH2240" s="1733"/>
      <c r="CRI2240" s="1733"/>
      <c r="CRJ2240" s="1733"/>
      <c r="CRK2240" s="1733"/>
      <c r="CRL2240" s="1733"/>
      <c r="CRM2240" s="1733"/>
      <c r="CRN2240" s="1733"/>
      <c r="CRO2240" s="1733"/>
      <c r="CRP2240" s="1733"/>
      <c r="CRQ2240" s="1733"/>
      <c r="CRR2240" s="1733"/>
      <c r="CRS2240" s="1733"/>
      <c r="CRT2240" s="1733"/>
      <c r="CRU2240" s="1733"/>
      <c r="CRV2240" s="1733"/>
      <c r="CRW2240" s="1733"/>
      <c r="CRX2240" s="1733"/>
      <c r="CRY2240" s="1733"/>
      <c r="CRZ2240" s="1733"/>
      <c r="CSA2240" s="1733"/>
      <c r="CSB2240" s="1733"/>
      <c r="CSC2240" s="1733"/>
      <c r="CSD2240" s="1733"/>
      <c r="CSE2240" s="1733"/>
      <c r="CSF2240" s="1733"/>
      <c r="CSG2240" s="1733"/>
      <c r="CSH2240" s="1733"/>
      <c r="CSI2240" s="1733"/>
      <c r="CSJ2240" s="1733"/>
      <c r="CSK2240" s="1733"/>
      <c r="CSL2240" s="1733"/>
      <c r="CSM2240" s="1733"/>
      <c r="CSN2240" s="1733"/>
      <c r="CSO2240" s="1733"/>
      <c r="CSP2240" s="1733"/>
      <c r="CSQ2240" s="1733"/>
      <c r="CSR2240" s="1733"/>
      <c r="CSS2240" s="1733"/>
      <c r="CST2240" s="1733"/>
      <c r="CSU2240" s="1733"/>
      <c r="CSV2240" s="1733"/>
      <c r="CSW2240" s="1733"/>
      <c r="CSX2240" s="1733"/>
      <c r="CSY2240" s="1733"/>
      <c r="CSZ2240" s="1733"/>
      <c r="CTA2240" s="1733"/>
      <c r="CTB2240" s="1733"/>
      <c r="CTC2240" s="1733"/>
      <c r="CTD2240" s="1733"/>
      <c r="CTE2240" s="1733"/>
      <c r="CTF2240" s="1733"/>
      <c r="CTG2240" s="1733"/>
      <c r="CTH2240" s="1733"/>
      <c r="CTI2240" s="1733"/>
      <c r="CTJ2240" s="1733"/>
      <c r="CTK2240" s="1733"/>
      <c r="CTL2240" s="1733"/>
      <c r="CTM2240" s="1733"/>
      <c r="CTN2240" s="1733"/>
      <c r="CTO2240" s="1733"/>
      <c r="CTP2240" s="1733"/>
      <c r="CTQ2240" s="1733"/>
      <c r="CTR2240" s="1733"/>
      <c r="CTS2240" s="1733"/>
      <c r="CTT2240" s="1733"/>
      <c r="CTU2240" s="1733"/>
      <c r="CTV2240" s="1733"/>
      <c r="CTW2240" s="1733"/>
      <c r="CTX2240" s="1733"/>
      <c r="CTY2240" s="1733"/>
      <c r="CTZ2240" s="1733"/>
      <c r="CUA2240" s="1733"/>
      <c r="CUB2240" s="1733"/>
      <c r="CUC2240" s="1733"/>
      <c r="CUD2240" s="1733"/>
      <c r="CUE2240" s="1733"/>
      <c r="CUF2240" s="1733"/>
      <c r="CUG2240" s="1733"/>
      <c r="CUH2240" s="1733"/>
      <c r="CUI2240" s="1733"/>
      <c r="CUJ2240" s="1733"/>
      <c r="CUK2240" s="1733"/>
      <c r="CUL2240" s="1733"/>
      <c r="CUM2240" s="1733"/>
      <c r="CUN2240" s="1733"/>
      <c r="CUO2240" s="1733"/>
      <c r="CUP2240" s="1733"/>
      <c r="CUQ2240" s="1733"/>
      <c r="CUR2240" s="1733"/>
      <c r="CUS2240" s="1733"/>
      <c r="CUT2240" s="1733"/>
      <c r="CUU2240" s="1733"/>
      <c r="CUV2240" s="1733"/>
      <c r="CUW2240" s="1733"/>
      <c r="CUX2240" s="1733"/>
      <c r="CUY2240" s="1733"/>
      <c r="CUZ2240" s="1733"/>
      <c r="CVA2240" s="1733"/>
      <c r="CVB2240" s="1733"/>
      <c r="CVC2240" s="1733"/>
      <c r="CVD2240" s="1733"/>
      <c r="CVE2240" s="1733"/>
      <c r="CVF2240" s="1733"/>
      <c r="CVG2240" s="1733"/>
      <c r="CVH2240" s="1733"/>
      <c r="CVI2240" s="1733"/>
      <c r="CVJ2240" s="1733"/>
      <c r="CVK2240" s="1733"/>
      <c r="CVL2240" s="1733"/>
      <c r="CVM2240" s="1733"/>
      <c r="CVN2240" s="1733"/>
      <c r="CVO2240" s="1733"/>
      <c r="CVP2240" s="1733"/>
      <c r="CVQ2240" s="1733"/>
      <c r="CVR2240" s="1733"/>
      <c r="CVS2240" s="1733"/>
      <c r="CVT2240" s="1733"/>
      <c r="CVU2240" s="1733"/>
      <c r="CVV2240" s="1733"/>
      <c r="CVW2240" s="1733"/>
      <c r="CVX2240" s="1733"/>
      <c r="CVY2240" s="1733"/>
      <c r="CVZ2240" s="1733"/>
      <c r="CWA2240" s="1733"/>
      <c r="CWB2240" s="1733"/>
      <c r="CWC2240" s="1733"/>
      <c r="CWD2240" s="1733"/>
      <c r="CWE2240" s="1733"/>
      <c r="CWF2240" s="1733"/>
      <c r="CWG2240" s="1733"/>
      <c r="CWH2240" s="1733"/>
      <c r="CWI2240" s="1733"/>
      <c r="CWJ2240" s="1733"/>
      <c r="CWK2240" s="1733"/>
      <c r="CWL2240" s="1733"/>
      <c r="CWM2240" s="1733"/>
      <c r="CWN2240" s="1733"/>
      <c r="CWO2240" s="1733"/>
      <c r="CWP2240" s="1733"/>
      <c r="CWQ2240" s="1733"/>
      <c r="CWR2240" s="1733"/>
      <c r="CWS2240" s="1733"/>
      <c r="CWT2240" s="1733"/>
      <c r="CWU2240" s="1733"/>
      <c r="CWV2240" s="1733"/>
      <c r="CWW2240" s="1733"/>
      <c r="CWX2240" s="1733"/>
      <c r="CWY2240" s="1733"/>
      <c r="CWZ2240" s="1733"/>
      <c r="CXA2240" s="1733"/>
      <c r="CXB2240" s="1733"/>
      <c r="CXC2240" s="1733"/>
      <c r="CXD2240" s="1733"/>
      <c r="CXE2240" s="1733"/>
      <c r="CXF2240" s="1733"/>
      <c r="CXG2240" s="1733"/>
      <c r="CXH2240" s="1733"/>
      <c r="CXI2240" s="1733"/>
      <c r="CXJ2240" s="1733"/>
      <c r="CXK2240" s="1733"/>
      <c r="CXL2240" s="1733"/>
      <c r="CXM2240" s="1733"/>
      <c r="CXN2240" s="1733"/>
      <c r="CXO2240" s="1733"/>
      <c r="CXP2240" s="1733"/>
      <c r="CXQ2240" s="1733"/>
      <c r="CXR2240" s="1733"/>
      <c r="CXS2240" s="1733"/>
      <c r="CXT2240" s="1733"/>
      <c r="CXU2240" s="1733"/>
      <c r="CXV2240" s="1733"/>
      <c r="CXW2240" s="1733"/>
      <c r="CXX2240" s="1733"/>
      <c r="CXY2240" s="1733"/>
      <c r="CXZ2240" s="1733"/>
      <c r="CYA2240" s="1733"/>
      <c r="CYB2240" s="1733"/>
      <c r="CYC2240" s="1733"/>
      <c r="CYD2240" s="1733"/>
      <c r="CYE2240" s="1733"/>
      <c r="CYF2240" s="1733"/>
      <c r="CYG2240" s="1733"/>
      <c r="CYH2240" s="1733"/>
      <c r="CYI2240" s="1733"/>
      <c r="CYJ2240" s="1733"/>
      <c r="CYK2240" s="1733"/>
      <c r="CYL2240" s="1733"/>
      <c r="CYM2240" s="1733"/>
      <c r="CYN2240" s="1733"/>
      <c r="CYO2240" s="1733"/>
      <c r="CYP2240" s="1733"/>
      <c r="CYQ2240" s="1733"/>
      <c r="CYR2240" s="1733"/>
      <c r="CYS2240" s="1733"/>
      <c r="CYT2240" s="1733"/>
      <c r="CYU2240" s="1733"/>
      <c r="CYV2240" s="1733"/>
      <c r="CYW2240" s="1733"/>
      <c r="CYX2240" s="1733"/>
      <c r="CYY2240" s="1733"/>
      <c r="CYZ2240" s="1733"/>
      <c r="CZA2240" s="1733"/>
      <c r="CZB2240" s="1733"/>
      <c r="CZC2240" s="1733"/>
      <c r="CZD2240" s="1733"/>
      <c r="CZE2240" s="1733"/>
      <c r="CZF2240" s="1733"/>
      <c r="CZG2240" s="1733"/>
      <c r="CZH2240" s="1733"/>
      <c r="CZI2240" s="1733"/>
      <c r="CZJ2240" s="1733"/>
      <c r="CZK2240" s="1733"/>
      <c r="CZL2240" s="1733"/>
      <c r="CZM2240" s="1733"/>
      <c r="CZN2240" s="1733"/>
      <c r="CZO2240" s="1733"/>
      <c r="CZP2240" s="1733"/>
      <c r="CZQ2240" s="1733"/>
      <c r="CZR2240" s="1733"/>
      <c r="CZS2240" s="1733"/>
      <c r="CZT2240" s="1733"/>
      <c r="CZU2240" s="1733"/>
      <c r="CZV2240" s="1733"/>
      <c r="CZW2240" s="1733"/>
      <c r="CZX2240" s="1733"/>
      <c r="CZY2240" s="1733"/>
      <c r="CZZ2240" s="1733"/>
      <c r="DAA2240" s="1733"/>
      <c r="DAB2240" s="1733"/>
      <c r="DAC2240" s="1733"/>
      <c r="DAD2240" s="1733"/>
      <c r="DAE2240" s="1733"/>
      <c r="DAF2240" s="1733"/>
      <c r="DAG2240" s="1733"/>
      <c r="DAH2240" s="1733"/>
      <c r="DAI2240" s="1733"/>
      <c r="DAJ2240" s="1733"/>
      <c r="DAK2240" s="1733"/>
      <c r="DAL2240" s="1733"/>
      <c r="DAM2240" s="1733"/>
      <c r="DAN2240" s="1733"/>
      <c r="DAO2240" s="1733"/>
      <c r="DAP2240" s="1733"/>
      <c r="DAQ2240" s="1733"/>
      <c r="DAR2240" s="1733"/>
      <c r="DAS2240" s="1733"/>
      <c r="DAT2240" s="1733"/>
      <c r="DAU2240" s="1733"/>
      <c r="DAV2240" s="1733"/>
      <c r="DAW2240" s="1733"/>
      <c r="DAX2240" s="1733"/>
      <c r="DAY2240" s="1733"/>
      <c r="DAZ2240" s="1733"/>
      <c r="DBA2240" s="1733"/>
      <c r="DBB2240" s="1733"/>
      <c r="DBC2240" s="1733"/>
      <c r="DBD2240" s="1733"/>
      <c r="DBE2240" s="1733"/>
      <c r="DBF2240" s="1733"/>
      <c r="DBG2240" s="1733"/>
      <c r="DBH2240" s="1733"/>
      <c r="DBI2240" s="1733"/>
      <c r="DBJ2240" s="1733"/>
      <c r="DBK2240" s="1733"/>
      <c r="DBL2240" s="1733"/>
      <c r="DBM2240" s="1733"/>
      <c r="DBN2240" s="1733"/>
      <c r="DBO2240" s="1733"/>
      <c r="DBP2240" s="1733"/>
      <c r="DBQ2240" s="1733"/>
      <c r="DBR2240" s="1733"/>
      <c r="DBS2240" s="1733"/>
      <c r="DBT2240" s="1733"/>
      <c r="DBU2240" s="1733"/>
      <c r="DBV2240" s="1733"/>
      <c r="DBW2240" s="1733"/>
      <c r="DBX2240" s="1733"/>
      <c r="DBY2240" s="1733"/>
      <c r="DBZ2240" s="1733"/>
      <c r="DCA2240" s="1733"/>
      <c r="DCB2240" s="1733"/>
      <c r="DCC2240" s="1733"/>
      <c r="DCD2240" s="1733"/>
      <c r="DCE2240" s="1733"/>
      <c r="DCF2240" s="1733"/>
      <c r="DCG2240" s="1733"/>
      <c r="DCH2240" s="1733"/>
      <c r="DCI2240" s="1733"/>
      <c r="DCJ2240" s="1733"/>
      <c r="DCK2240" s="1733"/>
      <c r="DCL2240" s="1733"/>
      <c r="DCM2240" s="1733"/>
      <c r="DCN2240" s="1733"/>
      <c r="DCO2240" s="1733"/>
      <c r="DCP2240" s="1733"/>
      <c r="DCQ2240" s="1733"/>
      <c r="DCR2240" s="1733"/>
      <c r="DCS2240" s="1733"/>
      <c r="DCT2240" s="1733"/>
      <c r="DCU2240" s="1733"/>
      <c r="DCV2240" s="1733"/>
      <c r="DCW2240" s="1733"/>
      <c r="DCX2240" s="1733"/>
      <c r="DCY2240" s="1733"/>
      <c r="DCZ2240" s="1733"/>
      <c r="DDA2240" s="1733"/>
      <c r="DDB2240" s="1733"/>
      <c r="DDC2240" s="1733"/>
      <c r="DDD2240" s="1733"/>
      <c r="DDE2240" s="1733"/>
      <c r="DDF2240" s="1733"/>
      <c r="DDG2240" s="1733"/>
      <c r="DDH2240" s="1733"/>
      <c r="DDI2240" s="1733"/>
      <c r="DDJ2240" s="1733"/>
      <c r="DDK2240" s="1733"/>
      <c r="DDL2240" s="1733"/>
      <c r="DDM2240" s="1733"/>
      <c r="DDN2240" s="1733"/>
      <c r="DDO2240" s="1733"/>
      <c r="DDP2240" s="1733"/>
      <c r="DDQ2240" s="1733"/>
      <c r="DDR2240" s="1733"/>
      <c r="DDS2240" s="1733"/>
      <c r="DDT2240" s="1733"/>
      <c r="DDU2240" s="1733"/>
      <c r="DDV2240" s="1733"/>
      <c r="DDW2240" s="1733"/>
      <c r="DDX2240" s="1733"/>
      <c r="DDY2240" s="1733"/>
      <c r="DDZ2240" s="1733"/>
      <c r="DEA2240" s="1733"/>
      <c r="DEB2240" s="1733"/>
      <c r="DEC2240" s="1733"/>
      <c r="DED2240" s="1733"/>
      <c r="DEE2240" s="1733"/>
      <c r="DEF2240" s="1733"/>
      <c r="DEG2240" s="1733"/>
      <c r="DEH2240" s="1733"/>
      <c r="DEI2240" s="1733"/>
      <c r="DEJ2240" s="1733"/>
      <c r="DEK2240" s="1733"/>
      <c r="DEL2240" s="1733"/>
      <c r="DEM2240" s="1733"/>
      <c r="DEN2240" s="1733"/>
      <c r="DEO2240" s="1733"/>
      <c r="DEP2240" s="1733"/>
      <c r="DEQ2240" s="1733"/>
      <c r="DER2240" s="1733"/>
      <c r="DES2240" s="1733"/>
      <c r="DET2240" s="1733"/>
      <c r="DEU2240" s="1733"/>
      <c r="DEV2240" s="1733"/>
      <c r="DEW2240" s="1733"/>
      <c r="DEX2240" s="1733"/>
      <c r="DEY2240" s="1733"/>
      <c r="DEZ2240" s="1733"/>
      <c r="DFA2240" s="1733"/>
      <c r="DFB2240" s="1733"/>
      <c r="DFC2240" s="1733"/>
      <c r="DFD2240" s="1733"/>
      <c r="DFE2240" s="1733"/>
      <c r="DFF2240" s="1733"/>
      <c r="DFG2240" s="1733"/>
      <c r="DFH2240" s="1733"/>
      <c r="DFI2240" s="1733"/>
      <c r="DFJ2240" s="1733"/>
      <c r="DFK2240" s="1733"/>
      <c r="DFL2240" s="1733"/>
      <c r="DFM2240" s="1733"/>
      <c r="DFN2240" s="1733"/>
      <c r="DFO2240" s="1733"/>
      <c r="DFP2240" s="1733"/>
      <c r="DFQ2240" s="1733"/>
      <c r="DFR2240" s="1733"/>
      <c r="DFS2240" s="1733"/>
      <c r="DFT2240" s="1733"/>
      <c r="DFU2240" s="1733"/>
      <c r="DFV2240" s="1733"/>
      <c r="DFW2240" s="1733"/>
      <c r="DFX2240" s="1733"/>
      <c r="DFY2240" s="1733"/>
      <c r="DFZ2240" s="1733"/>
      <c r="DGA2240" s="1733"/>
      <c r="DGB2240" s="1733"/>
      <c r="DGC2240" s="1733"/>
      <c r="DGD2240" s="1733"/>
      <c r="DGE2240" s="1733"/>
      <c r="DGF2240" s="1733"/>
      <c r="DGG2240" s="1733"/>
      <c r="DGH2240" s="1733"/>
      <c r="DGI2240" s="1733"/>
      <c r="DGJ2240" s="1733"/>
      <c r="DGK2240" s="1733"/>
      <c r="DGL2240" s="1733"/>
      <c r="DGM2240" s="1733"/>
      <c r="DGN2240" s="1733"/>
      <c r="DGO2240" s="1733"/>
      <c r="DGP2240" s="1733"/>
      <c r="DGQ2240" s="1733"/>
      <c r="DGR2240" s="1733"/>
      <c r="DGS2240" s="1733"/>
      <c r="DGT2240" s="1733"/>
      <c r="DGU2240" s="1733"/>
      <c r="DGV2240" s="1733"/>
      <c r="DGW2240" s="1733"/>
      <c r="DGX2240" s="1733"/>
      <c r="DGY2240" s="1733"/>
      <c r="DGZ2240" s="1733"/>
      <c r="DHA2240" s="1733"/>
      <c r="DHB2240" s="1733"/>
      <c r="DHC2240" s="1733"/>
      <c r="DHD2240" s="1733"/>
      <c r="DHE2240" s="1733"/>
      <c r="DHF2240" s="1733"/>
      <c r="DHG2240" s="1733"/>
      <c r="DHH2240" s="1733"/>
      <c r="DHI2240" s="1733"/>
      <c r="DHJ2240" s="1733"/>
      <c r="DHK2240" s="1733"/>
      <c r="DHL2240" s="1733"/>
      <c r="DHM2240" s="1733"/>
      <c r="DHN2240" s="1733"/>
      <c r="DHO2240" s="1733"/>
      <c r="DHP2240" s="1733"/>
      <c r="DHQ2240" s="1733"/>
      <c r="DHR2240" s="1733"/>
      <c r="DHS2240" s="1733"/>
      <c r="DHT2240" s="1733"/>
      <c r="DHU2240" s="1733"/>
      <c r="DHV2240" s="1733"/>
      <c r="DHW2240" s="1733"/>
      <c r="DHX2240" s="1733"/>
      <c r="DHY2240" s="1733"/>
      <c r="DHZ2240" s="1733"/>
      <c r="DIA2240" s="1733"/>
      <c r="DIB2240" s="1733"/>
      <c r="DIC2240" s="1733"/>
      <c r="DID2240" s="1733"/>
      <c r="DIE2240" s="1733"/>
      <c r="DIF2240" s="1733"/>
      <c r="DIG2240" s="1733"/>
      <c r="DIH2240" s="1733"/>
      <c r="DII2240" s="1733"/>
      <c r="DIJ2240" s="1733"/>
      <c r="DIK2240" s="1733"/>
      <c r="DIL2240" s="1733"/>
      <c r="DIM2240" s="1733"/>
      <c r="DIN2240" s="1733"/>
      <c r="DIO2240" s="1733"/>
      <c r="DIP2240" s="1733"/>
      <c r="DIQ2240" s="1733"/>
      <c r="DIR2240" s="1733"/>
      <c r="DIS2240" s="1733"/>
      <c r="DIT2240" s="1733"/>
      <c r="DIU2240" s="1733"/>
      <c r="DIV2240" s="1733"/>
      <c r="DIW2240" s="1733"/>
      <c r="DIX2240" s="1733"/>
      <c r="DIY2240" s="1733"/>
      <c r="DIZ2240" s="1733"/>
      <c r="DJA2240" s="1733"/>
      <c r="DJB2240" s="1733"/>
      <c r="DJC2240" s="1733"/>
      <c r="DJD2240" s="1733"/>
      <c r="DJE2240" s="1733"/>
      <c r="DJF2240" s="1733"/>
      <c r="DJG2240" s="1733"/>
      <c r="DJH2240" s="1733"/>
      <c r="DJI2240" s="1733"/>
      <c r="DJJ2240" s="1733"/>
      <c r="DJK2240" s="1733"/>
      <c r="DJL2240" s="1733"/>
      <c r="DJM2240" s="1733"/>
      <c r="DJN2240" s="1733"/>
      <c r="DJO2240" s="1733"/>
      <c r="DJP2240" s="1733"/>
      <c r="DJQ2240" s="1733"/>
      <c r="DJR2240" s="1733"/>
      <c r="DJS2240" s="1733"/>
      <c r="DJT2240" s="1733"/>
      <c r="DJU2240" s="1733"/>
      <c r="DJV2240" s="1733"/>
      <c r="DJW2240" s="1733"/>
      <c r="DJX2240" s="1733"/>
      <c r="DJY2240" s="1733"/>
      <c r="DJZ2240" s="1733"/>
      <c r="DKA2240" s="1733"/>
      <c r="DKB2240" s="1733"/>
      <c r="DKC2240" s="1733"/>
      <c r="DKD2240" s="1733"/>
      <c r="DKE2240" s="1733"/>
      <c r="DKF2240" s="1733"/>
      <c r="DKG2240" s="1733"/>
      <c r="DKH2240" s="1733"/>
      <c r="DKI2240" s="1733"/>
      <c r="DKJ2240" s="1733"/>
      <c r="DKK2240" s="1733"/>
      <c r="DKL2240" s="1733"/>
      <c r="DKM2240" s="1733"/>
      <c r="DKN2240" s="1733"/>
      <c r="DKO2240" s="1733"/>
      <c r="DKP2240" s="1733"/>
      <c r="DKQ2240" s="1733"/>
      <c r="DKR2240" s="1733"/>
      <c r="DKS2240" s="1733"/>
      <c r="DKT2240" s="1733"/>
      <c r="DKU2240" s="1733"/>
      <c r="DKV2240" s="1733"/>
      <c r="DKW2240" s="1733"/>
      <c r="DKX2240" s="1733"/>
      <c r="DKY2240" s="1733"/>
      <c r="DKZ2240" s="1733"/>
      <c r="DLA2240" s="1733"/>
      <c r="DLB2240" s="1733"/>
      <c r="DLC2240" s="1733"/>
      <c r="DLD2240" s="1733"/>
      <c r="DLE2240" s="1733"/>
      <c r="DLF2240" s="1733"/>
      <c r="DLG2240" s="1733"/>
      <c r="DLH2240" s="1733"/>
      <c r="DLI2240" s="1733"/>
      <c r="DLJ2240" s="1733"/>
      <c r="DLK2240" s="1733"/>
      <c r="DLL2240" s="1733"/>
      <c r="DLM2240" s="1733"/>
      <c r="DLN2240" s="1733"/>
      <c r="DLO2240" s="1733"/>
      <c r="DLP2240" s="1733"/>
      <c r="DLQ2240" s="1733"/>
      <c r="DLR2240" s="1733"/>
      <c r="DLS2240" s="1733"/>
      <c r="DLT2240" s="1733"/>
      <c r="DLU2240" s="1733"/>
      <c r="DLV2240" s="1733"/>
      <c r="DLW2240" s="1733"/>
      <c r="DLX2240" s="1733"/>
      <c r="DLY2240" s="1733"/>
      <c r="DLZ2240" s="1733"/>
      <c r="DMA2240" s="1733"/>
      <c r="DMB2240" s="1733"/>
      <c r="DMC2240" s="1733"/>
      <c r="DMD2240" s="1733"/>
      <c r="DME2240" s="1733"/>
      <c r="DMF2240" s="1733"/>
      <c r="DMG2240" s="1733"/>
      <c r="DMH2240" s="1733"/>
      <c r="DMI2240" s="1733"/>
      <c r="DMJ2240" s="1733"/>
      <c r="DMK2240" s="1733"/>
      <c r="DML2240" s="1733"/>
      <c r="DMM2240" s="1733"/>
      <c r="DMN2240" s="1733"/>
      <c r="DMO2240" s="1733"/>
      <c r="DMP2240" s="1733"/>
      <c r="DMQ2240" s="1733"/>
      <c r="DMR2240" s="1733"/>
      <c r="DMS2240" s="1733"/>
      <c r="DMT2240" s="1733"/>
      <c r="DMU2240" s="1733"/>
      <c r="DMV2240" s="1733"/>
      <c r="DMW2240" s="1733"/>
      <c r="DMX2240" s="1733"/>
      <c r="DMY2240" s="1733"/>
      <c r="DMZ2240" s="1733"/>
      <c r="DNA2240" s="1733"/>
      <c r="DNB2240" s="1733"/>
      <c r="DNC2240" s="1733"/>
      <c r="DND2240" s="1733"/>
      <c r="DNE2240" s="1733"/>
      <c r="DNF2240" s="1733"/>
      <c r="DNG2240" s="1733"/>
      <c r="DNH2240" s="1733"/>
      <c r="DNI2240" s="1733"/>
      <c r="DNJ2240" s="1733"/>
      <c r="DNK2240" s="1733"/>
      <c r="DNL2240" s="1733"/>
      <c r="DNM2240" s="1733"/>
      <c r="DNN2240" s="1733"/>
      <c r="DNO2240" s="1733"/>
      <c r="DNP2240" s="1733"/>
      <c r="DNQ2240" s="1733"/>
      <c r="DNR2240" s="1733"/>
      <c r="DNS2240" s="1733"/>
      <c r="DNT2240" s="1733"/>
      <c r="DNU2240" s="1733"/>
      <c r="DNV2240" s="1733"/>
      <c r="DNW2240" s="1733"/>
      <c r="DNX2240" s="1733"/>
      <c r="DNY2240" s="1733"/>
      <c r="DNZ2240" s="1733"/>
      <c r="DOA2240" s="1733"/>
      <c r="DOB2240" s="1733"/>
      <c r="DOC2240" s="1733"/>
      <c r="DOD2240" s="1733"/>
      <c r="DOE2240" s="1733"/>
      <c r="DOF2240" s="1733"/>
      <c r="DOG2240" s="1733"/>
      <c r="DOH2240" s="1733"/>
      <c r="DOI2240" s="1733"/>
      <c r="DOJ2240" s="1733"/>
      <c r="DOK2240" s="1733"/>
      <c r="DOL2240" s="1733"/>
      <c r="DOM2240" s="1733"/>
      <c r="DON2240" s="1733"/>
      <c r="DOO2240" s="1733"/>
      <c r="DOP2240" s="1733"/>
      <c r="DOQ2240" s="1733"/>
      <c r="DOR2240" s="1733"/>
      <c r="DOS2240" s="1733"/>
      <c r="DOT2240" s="1733"/>
      <c r="DOU2240" s="1733"/>
      <c r="DOV2240" s="1733"/>
      <c r="DOW2240" s="1733"/>
      <c r="DOX2240" s="1733"/>
      <c r="DOY2240" s="1733"/>
      <c r="DOZ2240" s="1733"/>
      <c r="DPA2240" s="1733"/>
      <c r="DPB2240" s="1733"/>
      <c r="DPC2240" s="1733"/>
      <c r="DPD2240" s="1733"/>
      <c r="DPE2240" s="1733"/>
      <c r="DPF2240" s="1733"/>
      <c r="DPG2240" s="1733"/>
      <c r="DPH2240" s="1733"/>
      <c r="DPI2240" s="1733"/>
      <c r="DPJ2240" s="1733"/>
      <c r="DPK2240" s="1733"/>
      <c r="DPL2240" s="1733"/>
      <c r="DPM2240" s="1733"/>
      <c r="DPN2240" s="1733"/>
      <c r="DPO2240" s="1733"/>
      <c r="DPP2240" s="1733"/>
      <c r="DPQ2240" s="1733"/>
      <c r="DPR2240" s="1733"/>
      <c r="DPS2240" s="1733"/>
      <c r="DPT2240" s="1733"/>
      <c r="DPU2240" s="1733"/>
      <c r="DPV2240" s="1733"/>
      <c r="DPW2240" s="1733"/>
      <c r="DPX2240" s="1733"/>
      <c r="DPY2240" s="1733"/>
      <c r="DPZ2240" s="1733"/>
      <c r="DQA2240" s="1733"/>
      <c r="DQB2240" s="1733"/>
      <c r="DQC2240" s="1733"/>
      <c r="DQD2240" s="1733"/>
      <c r="DQE2240" s="1733"/>
      <c r="DQF2240" s="1733"/>
      <c r="DQG2240" s="1733"/>
      <c r="DQH2240" s="1733"/>
      <c r="DQI2240" s="1733"/>
      <c r="DQJ2240" s="1733"/>
      <c r="DQK2240" s="1733"/>
      <c r="DQL2240" s="1733"/>
      <c r="DQM2240" s="1733"/>
      <c r="DQN2240" s="1733"/>
      <c r="DQO2240" s="1733"/>
      <c r="DQP2240" s="1733"/>
      <c r="DQQ2240" s="1733"/>
      <c r="DQR2240" s="1733"/>
      <c r="DQS2240" s="1733"/>
      <c r="DQT2240" s="1733"/>
      <c r="DQU2240" s="1733"/>
      <c r="DQV2240" s="1733"/>
      <c r="DQW2240" s="1733"/>
      <c r="DQX2240" s="1733"/>
      <c r="DQY2240" s="1733"/>
      <c r="DQZ2240" s="1733"/>
      <c r="DRA2240" s="1733"/>
      <c r="DRB2240" s="1733"/>
      <c r="DRC2240" s="1733"/>
      <c r="DRD2240" s="1733"/>
      <c r="DRE2240" s="1733"/>
      <c r="DRF2240" s="1733"/>
      <c r="DRG2240" s="1733"/>
      <c r="DRH2240" s="1733"/>
      <c r="DRI2240" s="1733"/>
      <c r="DRJ2240" s="1733"/>
      <c r="DRK2240" s="1733"/>
      <c r="DRL2240" s="1733"/>
      <c r="DRM2240" s="1733"/>
      <c r="DRN2240" s="1733"/>
      <c r="DRO2240" s="1733"/>
      <c r="DRP2240" s="1733"/>
      <c r="DRQ2240" s="1733"/>
      <c r="DRR2240" s="1733"/>
      <c r="DRS2240" s="1733"/>
      <c r="DRT2240" s="1733"/>
      <c r="DRU2240" s="1733"/>
      <c r="DRV2240" s="1733"/>
      <c r="DRW2240" s="1733"/>
      <c r="DRX2240" s="1733"/>
      <c r="DRY2240" s="1733"/>
      <c r="DRZ2240" s="1733"/>
      <c r="DSA2240" s="1733"/>
      <c r="DSB2240" s="1733"/>
      <c r="DSC2240" s="1733"/>
      <c r="DSD2240" s="1733"/>
      <c r="DSE2240" s="1733"/>
      <c r="DSF2240" s="1733"/>
      <c r="DSG2240" s="1733"/>
      <c r="DSH2240" s="1733"/>
      <c r="DSI2240" s="1733"/>
      <c r="DSJ2240" s="1733"/>
      <c r="DSK2240" s="1733"/>
      <c r="DSL2240" s="1733"/>
      <c r="DSM2240" s="1733"/>
      <c r="DSN2240" s="1733"/>
      <c r="DSO2240" s="1733"/>
      <c r="DSP2240" s="1733"/>
      <c r="DSQ2240" s="1733"/>
      <c r="DSR2240" s="1733"/>
      <c r="DSS2240" s="1733"/>
      <c r="DST2240" s="1733"/>
      <c r="DSU2240" s="1733"/>
      <c r="DSV2240" s="1733"/>
      <c r="DSW2240" s="1733"/>
      <c r="DSX2240" s="1733"/>
      <c r="DSY2240" s="1733"/>
      <c r="DSZ2240" s="1733"/>
      <c r="DTA2240" s="1733"/>
      <c r="DTB2240" s="1733"/>
      <c r="DTC2240" s="1733"/>
      <c r="DTD2240" s="1733"/>
      <c r="DTE2240" s="1733"/>
      <c r="DTF2240" s="1733"/>
      <c r="DTG2240" s="1733"/>
      <c r="DTH2240" s="1733"/>
      <c r="DTI2240" s="1733"/>
      <c r="DTJ2240" s="1733"/>
      <c r="DTK2240" s="1733"/>
      <c r="DTL2240" s="1733"/>
      <c r="DTM2240" s="1733"/>
      <c r="DTN2240" s="1733"/>
      <c r="DTO2240" s="1733"/>
      <c r="DTP2240" s="1733"/>
      <c r="DTQ2240" s="1733"/>
      <c r="DTR2240" s="1733"/>
      <c r="DTS2240" s="1733"/>
      <c r="DTT2240" s="1733"/>
      <c r="DTU2240" s="1733"/>
      <c r="DTV2240" s="1733"/>
      <c r="DTW2240" s="1733"/>
      <c r="DTX2240" s="1733"/>
      <c r="DTY2240" s="1733"/>
      <c r="DTZ2240" s="1733"/>
      <c r="DUA2240" s="1733"/>
      <c r="DUB2240" s="1733"/>
      <c r="DUC2240" s="1733"/>
      <c r="DUD2240" s="1733"/>
      <c r="DUE2240" s="1733"/>
      <c r="DUF2240" s="1733"/>
      <c r="DUG2240" s="1733"/>
      <c r="DUH2240" s="1733"/>
      <c r="DUI2240" s="1733"/>
      <c r="DUJ2240" s="1733"/>
      <c r="DUK2240" s="1733"/>
      <c r="DUL2240" s="1733"/>
      <c r="DUM2240" s="1733"/>
      <c r="DUN2240" s="1733"/>
      <c r="DUO2240" s="1733"/>
      <c r="DUP2240" s="1733"/>
      <c r="DUQ2240" s="1733"/>
      <c r="DUR2240" s="1733"/>
      <c r="DUS2240" s="1733"/>
      <c r="DUT2240" s="1733"/>
      <c r="DUU2240" s="1733"/>
      <c r="DUV2240" s="1733"/>
      <c r="DUW2240" s="1733"/>
      <c r="DUX2240" s="1733"/>
      <c r="DUY2240" s="1733"/>
      <c r="DUZ2240" s="1733"/>
      <c r="DVA2240" s="1733"/>
      <c r="DVB2240" s="1733"/>
      <c r="DVC2240" s="1733"/>
      <c r="DVD2240" s="1733"/>
      <c r="DVE2240" s="1733"/>
      <c r="DVF2240" s="1733"/>
      <c r="DVG2240" s="1733"/>
      <c r="DVH2240" s="1733"/>
      <c r="DVI2240" s="1733"/>
      <c r="DVJ2240" s="1733"/>
      <c r="DVK2240" s="1733"/>
      <c r="DVL2240" s="1733"/>
      <c r="DVM2240" s="1733"/>
      <c r="DVN2240" s="1733"/>
      <c r="DVO2240" s="1733"/>
      <c r="DVP2240" s="1733"/>
      <c r="DVQ2240" s="1733"/>
      <c r="DVR2240" s="1733"/>
      <c r="DVS2240" s="1733"/>
      <c r="DVT2240" s="1733"/>
      <c r="DVU2240" s="1733"/>
      <c r="DVV2240" s="1733"/>
      <c r="DVW2240" s="1733"/>
      <c r="DVX2240" s="1733"/>
      <c r="DVY2240" s="1733"/>
      <c r="DVZ2240" s="1733"/>
      <c r="DWA2240" s="1733"/>
      <c r="DWB2240" s="1733"/>
      <c r="DWC2240" s="1733"/>
      <c r="DWD2240" s="1733"/>
      <c r="DWE2240" s="1733"/>
      <c r="DWF2240" s="1733"/>
      <c r="DWG2240" s="1733"/>
      <c r="DWH2240" s="1733"/>
      <c r="DWI2240" s="1733"/>
      <c r="DWJ2240" s="1733"/>
      <c r="DWK2240" s="1733"/>
      <c r="DWL2240" s="1733"/>
      <c r="DWM2240" s="1733"/>
      <c r="DWN2240" s="1733"/>
      <c r="DWO2240" s="1733"/>
      <c r="DWP2240" s="1733"/>
      <c r="DWQ2240" s="1733"/>
      <c r="DWR2240" s="1733"/>
      <c r="DWS2240" s="1733"/>
      <c r="DWT2240" s="1733"/>
      <c r="DWU2240" s="1733"/>
      <c r="DWV2240" s="1733"/>
      <c r="DWW2240" s="1733"/>
      <c r="DWX2240" s="1733"/>
      <c r="DWY2240" s="1733"/>
      <c r="DWZ2240" s="1733"/>
      <c r="DXA2240" s="1733"/>
      <c r="DXB2240" s="1733"/>
      <c r="DXC2240" s="1733"/>
      <c r="DXD2240" s="1733"/>
      <c r="DXE2240" s="1733"/>
      <c r="DXF2240" s="1733"/>
      <c r="DXG2240" s="1733"/>
      <c r="DXH2240" s="1733"/>
      <c r="DXI2240" s="1733"/>
      <c r="DXJ2240" s="1733"/>
      <c r="DXK2240" s="1733"/>
      <c r="DXL2240" s="1733"/>
      <c r="DXM2240" s="1733"/>
      <c r="DXN2240" s="1733"/>
      <c r="DXO2240" s="1733"/>
      <c r="DXP2240" s="1733"/>
      <c r="DXQ2240" s="1733"/>
      <c r="DXR2240" s="1733"/>
      <c r="DXS2240" s="1733"/>
      <c r="DXT2240" s="1733"/>
      <c r="DXU2240" s="1733"/>
      <c r="DXV2240" s="1733"/>
      <c r="DXW2240" s="1733"/>
      <c r="DXX2240" s="1733"/>
      <c r="DXY2240" s="1733"/>
      <c r="DXZ2240" s="1733"/>
      <c r="DYA2240" s="1733"/>
      <c r="DYB2240" s="1733"/>
      <c r="DYC2240" s="1733"/>
      <c r="DYD2240" s="1733"/>
      <c r="DYE2240" s="1733"/>
      <c r="DYF2240" s="1733"/>
      <c r="DYG2240" s="1733"/>
      <c r="DYH2240" s="1733"/>
      <c r="DYI2240" s="1733"/>
      <c r="DYJ2240" s="1733"/>
      <c r="DYK2240" s="1733"/>
      <c r="DYL2240" s="1733"/>
      <c r="DYM2240" s="1733"/>
      <c r="DYN2240" s="1733"/>
      <c r="DYO2240" s="1733"/>
      <c r="DYP2240" s="1733"/>
      <c r="DYQ2240" s="1733"/>
      <c r="DYR2240" s="1733"/>
      <c r="DYS2240" s="1733"/>
      <c r="DYT2240" s="1733"/>
      <c r="DYU2240" s="1733"/>
      <c r="DYV2240" s="1733"/>
      <c r="DYW2240" s="1733"/>
      <c r="DYX2240" s="1733"/>
      <c r="DYY2240" s="1733"/>
      <c r="DYZ2240" s="1733"/>
      <c r="DZA2240" s="1733"/>
      <c r="DZB2240" s="1733"/>
      <c r="DZC2240" s="1733"/>
      <c r="DZD2240" s="1733"/>
      <c r="DZE2240" s="1733"/>
      <c r="DZF2240" s="1733"/>
      <c r="DZG2240" s="1733"/>
      <c r="DZH2240" s="1733"/>
      <c r="DZI2240" s="1733"/>
      <c r="DZJ2240" s="1733"/>
      <c r="DZK2240" s="1733"/>
      <c r="DZL2240" s="1733"/>
      <c r="DZM2240" s="1733"/>
      <c r="DZN2240" s="1733"/>
      <c r="DZO2240" s="1733"/>
      <c r="DZP2240" s="1733"/>
      <c r="DZQ2240" s="1733"/>
      <c r="DZR2240" s="1733"/>
      <c r="DZS2240" s="1733"/>
      <c r="DZT2240" s="1733"/>
      <c r="DZU2240" s="1733"/>
      <c r="DZV2240" s="1733"/>
      <c r="DZW2240" s="1733"/>
      <c r="DZX2240" s="1733"/>
      <c r="DZY2240" s="1733"/>
      <c r="DZZ2240" s="1733"/>
      <c r="EAA2240" s="1733"/>
      <c r="EAB2240" s="1733"/>
      <c r="EAC2240" s="1733"/>
      <c r="EAD2240" s="1733"/>
      <c r="EAE2240" s="1733"/>
      <c r="EAF2240" s="1733"/>
      <c r="EAG2240" s="1733"/>
      <c r="EAH2240" s="1733"/>
      <c r="EAI2240" s="1733"/>
      <c r="EAJ2240" s="1733"/>
      <c r="EAK2240" s="1733"/>
      <c r="EAL2240" s="1733"/>
      <c r="EAM2240" s="1733"/>
      <c r="EAN2240" s="1733"/>
      <c r="EAO2240" s="1733"/>
      <c r="EAP2240" s="1733"/>
      <c r="EAQ2240" s="1733"/>
      <c r="EAR2240" s="1733"/>
      <c r="EAS2240" s="1733"/>
      <c r="EAT2240" s="1733"/>
      <c r="EAU2240" s="1733"/>
      <c r="EAV2240" s="1733"/>
      <c r="EAW2240" s="1733"/>
      <c r="EAX2240" s="1733"/>
      <c r="EAY2240" s="1733"/>
      <c r="EAZ2240" s="1733"/>
      <c r="EBA2240" s="1733"/>
      <c r="EBB2240" s="1733"/>
      <c r="EBC2240" s="1733"/>
      <c r="EBD2240" s="1733"/>
      <c r="EBE2240" s="1733"/>
      <c r="EBF2240" s="1733"/>
      <c r="EBG2240" s="1733"/>
      <c r="EBH2240" s="1733"/>
      <c r="EBI2240" s="1733"/>
      <c r="EBJ2240" s="1733"/>
      <c r="EBK2240" s="1733"/>
      <c r="EBL2240" s="1733"/>
      <c r="EBM2240" s="1733"/>
      <c r="EBN2240" s="1733"/>
      <c r="EBO2240" s="1733"/>
      <c r="EBP2240" s="1733"/>
      <c r="EBQ2240" s="1733"/>
      <c r="EBR2240" s="1733"/>
      <c r="EBS2240" s="1733"/>
      <c r="EBT2240" s="1733"/>
      <c r="EBU2240" s="1733"/>
      <c r="EBV2240" s="1733"/>
      <c r="EBW2240" s="1733"/>
      <c r="EBX2240" s="1733"/>
      <c r="EBY2240" s="1733"/>
      <c r="EBZ2240" s="1733"/>
      <c r="ECA2240" s="1733"/>
      <c r="ECB2240" s="1733"/>
      <c r="ECC2240" s="1733"/>
      <c r="ECD2240" s="1733"/>
      <c r="ECE2240" s="1733"/>
      <c r="ECF2240" s="1733"/>
      <c r="ECG2240" s="1733"/>
      <c r="ECH2240" s="1733"/>
      <c r="ECI2240" s="1733"/>
      <c r="ECJ2240" s="1733"/>
      <c r="ECK2240" s="1733"/>
      <c r="ECL2240" s="1733"/>
      <c r="ECM2240" s="1733"/>
      <c r="ECN2240" s="1733"/>
      <c r="ECO2240" s="1733"/>
      <c r="ECP2240" s="1733"/>
      <c r="ECQ2240" s="1733"/>
      <c r="ECR2240" s="1733"/>
      <c r="ECS2240" s="1733"/>
      <c r="ECT2240" s="1733"/>
      <c r="ECU2240" s="1733"/>
      <c r="ECV2240" s="1733"/>
      <c r="ECW2240" s="1733"/>
      <c r="ECX2240" s="1733"/>
      <c r="ECY2240" s="1733"/>
      <c r="ECZ2240" s="1733"/>
      <c r="EDA2240" s="1733"/>
      <c r="EDB2240" s="1733"/>
      <c r="EDC2240" s="1733"/>
      <c r="EDD2240" s="1733"/>
      <c r="EDE2240" s="1733"/>
      <c r="EDF2240" s="1733"/>
      <c r="EDG2240" s="1733"/>
      <c r="EDH2240" s="1733"/>
      <c r="EDI2240" s="1733"/>
      <c r="EDJ2240" s="1733"/>
      <c r="EDK2240" s="1733"/>
      <c r="EDL2240" s="1733"/>
      <c r="EDM2240" s="1733"/>
      <c r="EDN2240" s="1733"/>
      <c r="EDO2240" s="1733"/>
      <c r="EDP2240" s="1733"/>
      <c r="EDQ2240" s="1733"/>
      <c r="EDR2240" s="1733"/>
      <c r="EDS2240" s="1733"/>
      <c r="EDT2240" s="1733"/>
      <c r="EDU2240" s="1733"/>
      <c r="EDV2240" s="1733"/>
      <c r="EDW2240" s="1733"/>
      <c r="EDX2240" s="1733"/>
      <c r="EDY2240" s="1733"/>
      <c r="EDZ2240" s="1733"/>
      <c r="EEA2240" s="1733"/>
      <c r="EEB2240" s="1733"/>
      <c r="EEC2240" s="1733"/>
      <c r="EED2240" s="1733"/>
      <c r="EEE2240" s="1733"/>
      <c r="EEF2240" s="1733"/>
      <c r="EEG2240" s="1733"/>
      <c r="EEH2240" s="1733"/>
      <c r="EEI2240" s="1733"/>
      <c r="EEJ2240" s="1733"/>
      <c r="EEK2240" s="1733"/>
      <c r="EEL2240" s="1733"/>
      <c r="EEM2240" s="1733"/>
      <c r="EEN2240" s="1733"/>
      <c r="EEO2240" s="1733"/>
      <c r="EEP2240" s="1733"/>
      <c r="EEQ2240" s="1733"/>
      <c r="EER2240" s="1733"/>
      <c r="EES2240" s="1733"/>
      <c r="EET2240" s="1733"/>
      <c r="EEU2240" s="1733"/>
      <c r="EEV2240" s="1733"/>
      <c r="EEW2240" s="1733"/>
      <c r="EEX2240" s="1733"/>
      <c r="EEY2240" s="1733"/>
      <c r="EEZ2240" s="1733"/>
      <c r="EFA2240" s="1733"/>
      <c r="EFB2240" s="1733"/>
      <c r="EFC2240" s="1733"/>
      <c r="EFD2240" s="1733"/>
      <c r="EFE2240" s="1733"/>
      <c r="EFF2240" s="1733"/>
      <c r="EFG2240" s="1733"/>
      <c r="EFH2240" s="1733"/>
      <c r="EFI2240" s="1733"/>
      <c r="EFJ2240" s="1733"/>
      <c r="EFK2240" s="1733"/>
      <c r="EFL2240" s="1733"/>
      <c r="EFM2240" s="1733"/>
      <c r="EFN2240" s="1733"/>
      <c r="EFO2240" s="1733"/>
      <c r="EFP2240" s="1733"/>
      <c r="EFQ2240" s="1733"/>
      <c r="EFR2240" s="1733"/>
      <c r="EFS2240" s="1733"/>
      <c r="EFT2240" s="1733"/>
      <c r="EFU2240" s="1733"/>
      <c r="EFV2240" s="1733"/>
      <c r="EFW2240" s="1733"/>
      <c r="EFX2240" s="1733"/>
      <c r="EFY2240" s="1733"/>
      <c r="EFZ2240" s="1733"/>
      <c r="EGA2240" s="1733"/>
      <c r="EGB2240" s="1733"/>
      <c r="EGC2240" s="1733"/>
      <c r="EGD2240" s="1733"/>
      <c r="EGE2240" s="1733"/>
      <c r="EGF2240" s="1733"/>
      <c r="EGG2240" s="1733"/>
      <c r="EGH2240" s="1733"/>
      <c r="EGI2240" s="1733"/>
      <c r="EGJ2240" s="1733"/>
      <c r="EGK2240" s="1733"/>
      <c r="EGL2240" s="1733"/>
      <c r="EGM2240" s="1733"/>
      <c r="EGN2240" s="1733"/>
      <c r="EGO2240" s="1733"/>
      <c r="EGP2240" s="1733"/>
      <c r="EGQ2240" s="1733"/>
      <c r="EGR2240" s="1733"/>
      <c r="EGS2240" s="1733"/>
      <c r="EGT2240" s="1733"/>
      <c r="EGU2240" s="1733"/>
      <c r="EGV2240" s="1733"/>
      <c r="EGW2240" s="1733"/>
      <c r="EGX2240" s="1733"/>
      <c r="EGY2240" s="1733"/>
      <c r="EGZ2240" s="1733"/>
      <c r="EHA2240" s="1733"/>
      <c r="EHB2240" s="1733"/>
      <c r="EHC2240" s="1733"/>
      <c r="EHD2240" s="1733"/>
      <c r="EHE2240" s="1733"/>
      <c r="EHF2240" s="1733"/>
      <c r="EHG2240" s="1733"/>
      <c r="EHH2240" s="1733"/>
      <c r="EHI2240" s="1733"/>
      <c r="EHJ2240" s="1733"/>
      <c r="EHK2240" s="1733"/>
      <c r="EHL2240" s="1733"/>
      <c r="EHM2240" s="1733"/>
      <c r="EHN2240" s="1733"/>
      <c r="EHO2240" s="1733"/>
      <c r="EHP2240" s="1733"/>
      <c r="EHQ2240" s="1733"/>
      <c r="EHR2240" s="1733"/>
      <c r="EHS2240" s="1733"/>
      <c r="EHT2240" s="1733"/>
      <c r="EHU2240" s="1733"/>
      <c r="EHV2240" s="1733"/>
      <c r="EHW2240" s="1733"/>
      <c r="EHX2240" s="1733"/>
      <c r="EHY2240" s="1733"/>
      <c r="EHZ2240" s="1733"/>
      <c r="EIA2240" s="1733"/>
      <c r="EIB2240" s="1733"/>
      <c r="EIC2240" s="1733"/>
      <c r="EID2240" s="1733"/>
      <c r="EIE2240" s="1733"/>
      <c r="EIF2240" s="1733"/>
      <c r="EIG2240" s="1733"/>
      <c r="EIH2240" s="1733"/>
      <c r="EII2240" s="1733"/>
      <c r="EIJ2240" s="1733"/>
      <c r="EIK2240" s="1733"/>
      <c r="EIL2240" s="1733"/>
      <c r="EIM2240" s="1733"/>
      <c r="EIN2240" s="1733"/>
      <c r="EIO2240" s="1733"/>
      <c r="EIP2240" s="1733"/>
      <c r="EIQ2240" s="1733"/>
      <c r="EIR2240" s="1733"/>
      <c r="EIS2240" s="1733"/>
      <c r="EIT2240" s="1733"/>
      <c r="EIU2240" s="1733"/>
      <c r="EIV2240" s="1733"/>
      <c r="EIW2240" s="1733"/>
      <c r="EIX2240" s="1733"/>
      <c r="EIY2240" s="1733"/>
      <c r="EIZ2240" s="1733"/>
      <c r="EJA2240" s="1733"/>
      <c r="EJB2240" s="1733"/>
      <c r="EJC2240" s="1733"/>
      <c r="EJD2240" s="1733"/>
      <c r="EJE2240" s="1733"/>
      <c r="EJF2240" s="1733"/>
      <c r="EJG2240" s="1733"/>
      <c r="EJH2240" s="1733"/>
      <c r="EJI2240" s="1733"/>
      <c r="EJJ2240" s="1733"/>
      <c r="EJK2240" s="1733"/>
      <c r="EJL2240" s="1733"/>
      <c r="EJM2240" s="1733"/>
      <c r="EJN2240" s="1733"/>
      <c r="EJO2240" s="1733"/>
      <c r="EJP2240" s="1733"/>
      <c r="EJQ2240" s="1733"/>
      <c r="EJR2240" s="1733"/>
      <c r="EJS2240" s="1733"/>
      <c r="EJT2240" s="1733"/>
      <c r="EJU2240" s="1733"/>
      <c r="EJV2240" s="1733"/>
      <c r="EJW2240" s="1733"/>
      <c r="EJX2240" s="1733"/>
      <c r="EJY2240" s="1733"/>
      <c r="EJZ2240" s="1733"/>
      <c r="EKA2240" s="1733"/>
      <c r="EKB2240" s="1733"/>
      <c r="EKC2240" s="1733"/>
      <c r="EKD2240" s="1733"/>
      <c r="EKE2240" s="1733"/>
      <c r="EKF2240" s="1733"/>
      <c r="EKG2240" s="1733"/>
      <c r="EKH2240" s="1733"/>
      <c r="EKI2240" s="1733"/>
      <c r="EKJ2240" s="1733"/>
      <c r="EKK2240" s="1733"/>
      <c r="EKL2240" s="1733"/>
      <c r="EKM2240" s="1733"/>
      <c r="EKN2240" s="1733"/>
      <c r="EKO2240" s="1733"/>
      <c r="EKP2240" s="1733"/>
      <c r="EKQ2240" s="1733"/>
      <c r="EKR2240" s="1733"/>
      <c r="EKS2240" s="1733"/>
      <c r="EKT2240" s="1733"/>
      <c r="EKU2240" s="1733"/>
      <c r="EKV2240" s="1733"/>
      <c r="EKW2240" s="1733"/>
      <c r="EKX2240" s="1733"/>
      <c r="EKY2240" s="1733"/>
      <c r="EKZ2240" s="1733"/>
      <c r="ELA2240" s="1733"/>
      <c r="ELB2240" s="1733"/>
      <c r="ELC2240" s="1733"/>
      <c r="ELD2240" s="1733"/>
      <c r="ELE2240" s="1733"/>
      <c r="ELF2240" s="1733"/>
      <c r="ELG2240" s="1733"/>
      <c r="ELH2240" s="1733"/>
      <c r="ELI2240" s="1733"/>
      <c r="ELJ2240" s="1733"/>
      <c r="ELK2240" s="1733"/>
      <c r="ELL2240" s="1733"/>
      <c r="ELM2240" s="1733"/>
      <c r="ELN2240" s="1733"/>
      <c r="ELO2240" s="1733"/>
      <c r="ELP2240" s="1733"/>
      <c r="ELQ2240" s="1733"/>
      <c r="ELR2240" s="1733"/>
      <c r="ELS2240" s="1733"/>
      <c r="ELT2240" s="1733"/>
      <c r="ELU2240" s="1733"/>
      <c r="ELV2240" s="1733"/>
      <c r="ELW2240" s="1733"/>
      <c r="ELX2240" s="1733"/>
      <c r="ELY2240" s="1733"/>
      <c r="ELZ2240" s="1733"/>
      <c r="EMA2240" s="1733"/>
      <c r="EMB2240" s="1733"/>
      <c r="EMC2240" s="1733"/>
      <c r="EMD2240" s="1733"/>
      <c r="EME2240" s="1733"/>
      <c r="EMF2240" s="1733"/>
      <c r="EMG2240" s="1733"/>
      <c r="EMH2240" s="1733"/>
      <c r="EMI2240" s="1733"/>
      <c r="EMJ2240" s="1733"/>
      <c r="EMK2240" s="1733"/>
      <c r="EML2240" s="1733"/>
      <c r="EMM2240" s="1733"/>
      <c r="EMN2240" s="1733"/>
      <c r="EMO2240" s="1733"/>
      <c r="EMP2240" s="1733"/>
      <c r="EMQ2240" s="1733"/>
      <c r="EMR2240" s="1733"/>
      <c r="EMS2240" s="1733"/>
      <c r="EMT2240" s="1733"/>
      <c r="EMU2240" s="1733"/>
      <c r="EMV2240" s="1733"/>
      <c r="EMW2240" s="1733"/>
      <c r="EMX2240" s="1733"/>
      <c r="EMY2240" s="1733"/>
      <c r="EMZ2240" s="1733"/>
      <c r="ENA2240" s="1733"/>
      <c r="ENB2240" s="1733"/>
      <c r="ENC2240" s="1733"/>
      <c r="END2240" s="1733"/>
      <c r="ENE2240" s="1733"/>
      <c r="ENF2240" s="1733"/>
      <c r="ENG2240" s="1733"/>
      <c r="ENH2240" s="1733"/>
      <c r="ENI2240" s="1733"/>
      <c r="ENJ2240" s="1733"/>
      <c r="ENK2240" s="1733"/>
      <c r="ENL2240" s="1733"/>
      <c r="ENM2240" s="1733"/>
      <c r="ENN2240" s="1733"/>
      <c r="ENO2240" s="1733"/>
      <c r="ENP2240" s="1733"/>
      <c r="ENQ2240" s="1733"/>
      <c r="ENR2240" s="1733"/>
      <c r="ENS2240" s="1733"/>
      <c r="ENT2240" s="1733"/>
      <c r="ENU2240" s="1733"/>
      <c r="ENV2240" s="1733"/>
      <c r="ENW2240" s="1733"/>
      <c r="ENX2240" s="1733"/>
      <c r="ENY2240" s="1733"/>
      <c r="ENZ2240" s="1733"/>
      <c r="EOA2240" s="1733"/>
      <c r="EOB2240" s="1733"/>
      <c r="EOC2240" s="1733"/>
      <c r="EOD2240" s="1733"/>
      <c r="EOE2240" s="1733"/>
      <c r="EOF2240" s="1733"/>
      <c r="EOG2240" s="1733"/>
      <c r="EOH2240" s="1733"/>
      <c r="EOI2240" s="1733"/>
      <c r="EOJ2240" s="1733"/>
      <c r="EOK2240" s="1733"/>
      <c r="EOL2240" s="1733"/>
      <c r="EOM2240" s="1733"/>
      <c r="EON2240" s="1733"/>
      <c r="EOO2240" s="1733"/>
      <c r="EOP2240" s="1733"/>
      <c r="EOQ2240" s="1733"/>
      <c r="EOR2240" s="1733"/>
      <c r="EOS2240" s="1733"/>
      <c r="EOT2240" s="1733"/>
      <c r="EOU2240" s="1733"/>
      <c r="EOV2240" s="1733"/>
      <c r="EOW2240" s="1733"/>
      <c r="EOX2240" s="1733"/>
      <c r="EOY2240" s="1733"/>
      <c r="EOZ2240" s="1733"/>
      <c r="EPA2240" s="1733"/>
      <c r="EPB2240" s="1733"/>
      <c r="EPC2240" s="1733"/>
      <c r="EPD2240" s="1733"/>
      <c r="EPE2240" s="1733"/>
      <c r="EPF2240" s="1733"/>
      <c r="EPG2240" s="1733"/>
      <c r="EPH2240" s="1733"/>
      <c r="EPI2240" s="1733"/>
      <c r="EPJ2240" s="1733"/>
      <c r="EPK2240" s="1733"/>
      <c r="EPL2240" s="1733"/>
      <c r="EPM2240" s="1733"/>
      <c r="EPN2240" s="1733"/>
      <c r="EPO2240" s="1733"/>
      <c r="EPP2240" s="1733"/>
      <c r="EPQ2240" s="1733"/>
      <c r="EPR2240" s="1733"/>
      <c r="EPS2240" s="1733"/>
      <c r="EPT2240" s="1733"/>
      <c r="EPU2240" s="1733"/>
      <c r="EPV2240" s="1733"/>
      <c r="EPW2240" s="1733"/>
      <c r="EPX2240" s="1733"/>
      <c r="EPY2240" s="1733"/>
      <c r="EPZ2240" s="1733"/>
      <c r="EQA2240" s="1733"/>
      <c r="EQB2240" s="1733"/>
      <c r="EQC2240" s="1733"/>
      <c r="EQD2240" s="1733"/>
      <c r="EQE2240" s="1733"/>
      <c r="EQF2240" s="1733"/>
      <c r="EQG2240" s="1733"/>
      <c r="EQH2240" s="1733"/>
      <c r="EQI2240" s="1733"/>
      <c r="EQJ2240" s="1733"/>
      <c r="EQK2240" s="1733"/>
      <c r="EQL2240" s="1733"/>
      <c r="EQM2240" s="1733"/>
      <c r="EQN2240" s="1733"/>
      <c r="EQO2240" s="1733"/>
      <c r="EQP2240" s="1733"/>
      <c r="EQQ2240" s="1733"/>
      <c r="EQR2240" s="1733"/>
      <c r="EQS2240" s="1733"/>
      <c r="EQT2240" s="1733"/>
      <c r="EQU2240" s="1733"/>
      <c r="EQV2240" s="1733"/>
      <c r="EQW2240" s="1733"/>
      <c r="EQX2240" s="1733"/>
      <c r="EQY2240" s="1733"/>
      <c r="EQZ2240" s="1733"/>
      <c r="ERA2240" s="1733"/>
      <c r="ERB2240" s="1733"/>
      <c r="ERC2240" s="1733"/>
      <c r="ERD2240" s="1733"/>
      <c r="ERE2240" s="1733"/>
      <c r="ERF2240" s="1733"/>
      <c r="ERG2240" s="1733"/>
      <c r="ERH2240" s="1733"/>
      <c r="ERI2240" s="1733"/>
      <c r="ERJ2240" s="1733"/>
      <c r="ERK2240" s="1733"/>
      <c r="ERL2240" s="1733"/>
      <c r="ERM2240" s="1733"/>
      <c r="ERN2240" s="1733"/>
      <c r="ERO2240" s="1733"/>
      <c r="ERP2240" s="1733"/>
      <c r="ERQ2240" s="1733"/>
      <c r="ERR2240" s="1733"/>
      <c r="ERS2240" s="1733"/>
      <c r="ERT2240" s="1733"/>
      <c r="ERU2240" s="1733"/>
      <c r="ERV2240" s="1733"/>
      <c r="ERW2240" s="1733"/>
      <c r="ERX2240" s="1733"/>
      <c r="ERY2240" s="1733"/>
      <c r="ERZ2240" s="1733"/>
      <c r="ESA2240" s="1733"/>
      <c r="ESB2240" s="1733"/>
      <c r="ESC2240" s="1733"/>
      <c r="ESD2240" s="1733"/>
      <c r="ESE2240" s="1733"/>
      <c r="ESF2240" s="1733"/>
      <c r="ESG2240" s="1733"/>
      <c r="ESH2240" s="1733"/>
      <c r="ESI2240" s="1733"/>
      <c r="ESJ2240" s="1733"/>
      <c r="ESK2240" s="1733"/>
      <c r="ESL2240" s="1733"/>
      <c r="ESM2240" s="1733"/>
      <c r="ESN2240" s="1733"/>
      <c r="ESO2240" s="1733"/>
      <c r="ESP2240" s="1733"/>
      <c r="ESQ2240" s="1733"/>
      <c r="ESR2240" s="1733"/>
      <c r="ESS2240" s="1733"/>
      <c r="EST2240" s="1733"/>
      <c r="ESU2240" s="1733"/>
      <c r="ESV2240" s="1733"/>
      <c r="ESW2240" s="1733"/>
      <c r="ESX2240" s="1733"/>
      <c r="ESY2240" s="1733"/>
      <c r="ESZ2240" s="1733"/>
      <c r="ETA2240" s="1733"/>
      <c r="ETB2240" s="1733"/>
      <c r="ETC2240" s="1733"/>
      <c r="ETD2240" s="1733"/>
      <c r="ETE2240" s="1733"/>
      <c r="ETF2240" s="1733"/>
      <c r="ETG2240" s="1733"/>
      <c r="ETH2240" s="1733"/>
      <c r="ETI2240" s="1733"/>
      <c r="ETJ2240" s="1733"/>
      <c r="ETK2240" s="1733"/>
      <c r="ETL2240" s="1733"/>
      <c r="ETM2240" s="1733"/>
      <c r="ETN2240" s="1733"/>
      <c r="ETO2240" s="1733"/>
      <c r="ETP2240" s="1733"/>
      <c r="ETQ2240" s="1733"/>
      <c r="ETR2240" s="1733"/>
      <c r="ETS2240" s="1733"/>
      <c r="ETT2240" s="1733"/>
      <c r="ETU2240" s="1733"/>
      <c r="ETV2240" s="1733"/>
      <c r="ETW2240" s="1733"/>
      <c r="ETX2240" s="1733"/>
      <c r="ETY2240" s="1733"/>
      <c r="ETZ2240" s="1733"/>
      <c r="EUA2240" s="1733"/>
      <c r="EUB2240" s="1733"/>
      <c r="EUC2240" s="1733"/>
      <c r="EUD2240" s="1733"/>
      <c r="EUE2240" s="1733"/>
      <c r="EUF2240" s="1733"/>
      <c r="EUG2240" s="1733"/>
      <c r="EUH2240" s="1733"/>
      <c r="EUI2240" s="1733"/>
      <c r="EUJ2240" s="1733"/>
      <c r="EUK2240" s="1733"/>
      <c r="EUL2240" s="1733"/>
      <c r="EUM2240" s="1733"/>
      <c r="EUN2240" s="1733"/>
      <c r="EUO2240" s="1733"/>
      <c r="EUP2240" s="1733"/>
      <c r="EUQ2240" s="1733"/>
      <c r="EUR2240" s="1733"/>
      <c r="EUS2240" s="1733"/>
      <c r="EUT2240" s="1733"/>
      <c r="EUU2240" s="1733"/>
      <c r="EUV2240" s="1733"/>
      <c r="EUW2240" s="1733"/>
      <c r="EUX2240" s="1733"/>
      <c r="EUY2240" s="1733"/>
      <c r="EUZ2240" s="1733"/>
      <c r="EVA2240" s="1733"/>
      <c r="EVB2240" s="1733"/>
      <c r="EVC2240" s="1733"/>
      <c r="EVD2240" s="1733"/>
      <c r="EVE2240" s="1733"/>
      <c r="EVF2240" s="1733"/>
      <c r="EVG2240" s="1733"/>
      <c r="EVH2240" s="1733"/>
      <c r="EVI2240" s="1733"/>
      <c r="EVJ2240" s="1733"/>
      <c r="EVK2240" s="1733"/>
      <c r="EVL2240" s="1733"/>
      <c r="EVM2240" s="1733"/>
      <c r="EVN2240" s="1733"/>
      <c r="EVO2240" s="1733"/>
      <c r="EVP2240" s="1733"/>
      <c r="EVQ2240" s="1733"/>
      <c r="EVR2240" s="1733"/>
      <c r="EVS2240" s="1733"/>
      <c r="EVT2240" s="1733"/>
      <c r="EVU2240" s="1733"/>
      <c r="EVV2240" s="1733"/>
      <c r="EVW2240" s="1733"/>
      <c r="EVX2240" s="1733"/>
      <c r="EVY2240" s="1733"/>
      <c r="EVZ2240" s="1733"/>
      <c r="EWA2240" s="1733"/>
      <c r="EWB2240" s="1733"/>
      <c r="EWC2240" s="1733"/>
      <c r="EWD2240" s="1733"/>
      <c r="EWE2240" s="1733"/>
      <c r="EWF2240" s="1733"/>
      <c r="EWG2240" s="1733"/>
      <c r="EWH2240" s="1733"/>
      <c r="EWI2240" s="1733"/>
      <c r="EWJ2240" s="1733"/>
      <c r="EWK2240" s="1733"/>
      <c r="EWL2240" s="1733"/>
      <c r="EWM2240" s="1733"/>
      <c r="EWN2240" s="1733"/>
      <c r="EWO2240" s="1733"/>
      <c r="EWP2240" s="1733"/>
      <c r="EWQ2240" s="1733"/>
      <c r="EWR2240" s="1733"/>
      <c r="EWS2240" s="1733"/>
      <c r="EWT2240" s="1733"/>
      <c r="EWU2240" s="1733"/>
      <c r="EWV2240" s="1733"/>
      <c r="EWW2240" s="1733"/>
      <c r="EWX2240" s="1733"/>
      <c r="EWY2240" s="1733"/>
      <c r="EWZ2240" s="1733"/>
      <c r="EXA2240" s="1733"/>
      <c r="EXB2240" s="1733"/>
      <c r="EXC2240" s="1733"/>
      <c r="EXD2240" s="1733"/>
      <c r="EXE2240" s="1733"/>
      <c r="EXF2240" s="1733"/>
      <c r="EXG2240" s="1733"/>
      <c r="EXH2240" s="1733"/>
      <c r="EXI2240" s="1733"/>
      <c r="EXJ2240" s="1733"/>
      <c r="EXK2240" s="1733"/>
      <c r="EXL2240" s="1733"/>
      <c r="EXM2240" s="1733"/>
      <c r="EXN2240" s="1733"/>
      <c r="EXO2240" s="1733"/>
      <c r="EXP2240" s="1733"/>
      <c r="EXQ2240" s="1733"/>
      <c r="EXR2240" s="1733"/>
      <c r="EXS2240" s="1733"/>
      <c r="EXT2240" s="1733"/>
      <c r="EXU2240" s="1733"/>
      <c r="EXV2240" s="1733"/>
      <c r="EXW2240" s="1733"/>
      <c r="EXX2240" s="1733"/>
      <c r="EXY2240" s="1733"/>
      <c r="EXZ2240" s="1733"/>
      <c r="EYA2240" s="1733"/>
      <c r="EYB2240" s="1733"/>
      <c r="EYC2240" s="1733"/>
      <c r="EYD2240" s="1733"/>
      <c r="EYE2240" s="1733"/>
      <c r="EYF2240" s="1733"/>
      <c r="EYG2240" s="1733"/>
      <c r="EYH2240" s="1733"/>
      <c r="EYI2240" s="1733"/>
      <c r="EYJ2240" s="1733"/>
      <c r="EYK2240" s="1733"/>
      <c r="EYL2240" s="1733"/>
      <c r="EYM2240" s="1733"/>
      <c r="EYN2240" s="1733"/>
      <c r="EYO2240" s="1733"/>
      <c r="EYP2240" s="1733"/>
      <c r="EYQ2240" s="1733"/>
      <c r="EYR2240" s="1733"/>
      <c r="EYS2240" s="1733"/>
      <c r="EYT2240" s="1733"/>
      <c r="EYU2240" s="1733"/>
      <c r="EYV2240" s="1733"/>
      <c r="EYW2240" s="1733"/>
      <c r="EYX2240" s="1733"/>
      <c r="EYY2240" s="1733"/>
      <c r="EYZ2240" s="1733"/>
      <c r="EZA2240" s="1733"/>
      <c r="EZB2240" s="1733"/>
      <c r="EZC2240" s="1733"/>
      <c r="EZD2240" s="1733"/>
      <c r="EZE2240" s="1733"/>
      <c r="EZF2240" s="1733"/>
      <c r="EZG2240" s="1733"/>
      <c r="EZH2240" s="1733"/>
      <c r="EZI2240" s="1733"/>
      <c r="EZJ2240" s="1733"/>
      <c r="EZK2240" s="1733"/>
      <c r="EZL2240" s="1733"/>
      <c r="EZM2240" s="1733"/>
      <c r="EZN2240" s="1733"/>
      <c r="EZO2240" s="1733"/>
      <c r="EZP2240" s="1733"/>
      <c r="EZQ2240" s="1733"/>
      <c r="EZR2240" s="1733"/>
      <c r="EZS2240" s="1733"/>
      <c r="EZT2240" s="1733"/>
      <c r="EZU2240" s="1733"/>
      <c r="EZV2240" s="1733"/>
      <c r="EZW2240" s="1733"/>
      <c r="EZX2240" s="1733"/>
      <c r="EZY2240" s="1733"/>
      <c r="EZZ2240" s="1733"/>
      <c r="FAA2240" s="1733"/>
      <c r="FAB2240" s="1733"/>
      <c r="FAC2240" s="1733"/>
      <c r="FAD2240" s="1733"/>
      <c r="FAE2240" s="1733"/>
      <c r="FAF2240" s="1733"/>
      <c r="FAG2240" s="1733"/>
      <c r="FAH2240" s="1733"/>
      <c r="FAI2240" s="1733"/>
      <c r="FAJ2240" s="1733"/>
      <c r="FAK2240" s="1733"/>
      <c r="FAL2240" s="1733"/>
      <c r="FAM2240" s="1733"/>
      <c r="FAN2240" s="1733"/>
      <c r="FAO2240" s="1733"/>
      <c r="FAP2240" s="1733"/>
      <c r="FAQ2240" s="1733"/>
      <c r="FAR2240" s="1733"/>
      <c r="FAS2240" s="1733"/>
      <c r="FAT2240" s="1733"/>
      <c r="FAU2240" s="1733"/>
      <c r="FAV2240" s="1733"/>
      <c r="FAW2240" s="1733"/>
      <c r="FAX2240" s="1733"/>
      <c r="FAY2240" s="1733"/>
      <c r="FAZ2240" s="1733"/>
      <c r="FBA2240" s="1733"/>
      <c r="FBB2240" s="1733"/>
      <c r="FBC2240" s="1733"/>
      <c r="FBD2240" s="1733"/>
      <c r="FBE2240" s="1733"/>
      <c r="FBF2240" s="1733"/>
      <c r="FBG2240" s="1733"/>
      <c r="FBH2240" s="1733"/>
      <c r="FBI2240" s="1733"/>
      <c r="FBJ2240" s="1733"/>
      <c r="FBK2240" s="1733"/>
      <c r="FBL2240" s="1733"/>
      <c r="FBM2240" s="1733"/>
      <c r="FBN2240" s="1733"/>
      <c r="FBO2240" s="1733"/>
      <c r="FBP2240" s="1733"/>
      <c r="FBQ2240" s="1733"/>
      <c r="FBR2240" s="1733"/>
      <c r="FBS2240" s="1733"/>
      <c r="FBT2240" s="1733"/>
      <c r="FBU2240" s="1733"/>
      <c r="FBV2240" s="1733"/>
      <c r="FBW2240" s="1733"/>
      <c r="FBX2240" s="1733"/>
      <c r="FBY2240" s="1733"/>
      <c r="FBZ2240" s="1733"/>
      <c r="FCA2240" s="1733"/>
      <c r="FCB2240" s="1733"/>
      <c r="FCC2240" s="1733"/>
      <c r="FCD2240" s="1733"/>
      <c r="FCE2240" s="1733"/>
      <c r="FCF2240" s="1733"/>
      <c r="FCG2240" s="1733"/>
      <c r="FCH2240" s="1733"/>
      <c r="FCI2240" s="1733"/>
      <c r="FCJ2240" s="1733"/>
      <c r="FCK2240" s="1733"/>
      <c r="FCL2240" s="1733"/>
      <c r="FCM2240" s="1733"/>
      <c r="FCN2240" s="1733"/>
      <c r="FCO2240" s="1733"/>
      <c r="FCP2240" s="1733"/>
      <c r="FCQ2240" s="1733"/>
      <c r="FCR2240" s="1733"/>
      <c r="FCS2240" s="1733"/>
      <c r="FCT2240" s="1733"/>
      <c r="FCU2240" s="1733"/>
      <c r="FCV2240" s="1733"/>
      <c r="FCW2240" s="1733"/>
      <c r="FCX2240" s="1733"/>
      <c r="FCY2240" s="1733"/>
      <c r="FCZ2240" s="1733"/>
      <c r="FDA2240" s="1733"/>
      <c r="FDB2240" s="1733"/>
      <c r="FDC2240" s="1733"/>
      <c r="FDD2240" s="1733"/>
      <c r="FDE2240" s="1733"/>
      <c r="FDF2240" s="1733"/>
      <c r="FDG2240" s="1733"/>
      <c r="FDH2240" s="1733"/>
      <c r="FDI2240" s="1733"/>
      <c r="FDJ2240" s="1733"/>
      <c r="FDK2240" s="1733"/>
      <c r="FDL2240" s="1733"/>
      <c r="FDM2240" s="1733"/>
      <c r="FDN2240" s="1733"/>
      <c r="FDO2240" s="1733"/>
      <c r="FDP2240" s="1733"/>
      <c r="FDQ2240" s="1733"/>
      <c r="FDR2240" s="1733"/>
      <c r="FDS2240" s="1733"/>
      <c r="FDT2240" s="1733"/>
      <c r="FDU2240" s="1733"/>
      <c r="FDV2240" s="1733"/>
      <c r="FDW2240" s="1733"/>
      <c r="FDX2240" s="1733"/>
      <c r="FDY2240" s="1733"/>
      <c r="FDZ2240" s="1733"/>
      <c r="FEA2240" s="1733"/>
      <c r="FEB2240" s="1733"/>
      <c r="FEC2240" s="1733"/>
      <c r="FED2240" s="1733"/>
      <c r="FEE2240" s="1733"/>
      <c r="FEF2240" s="1733"/>
      <c r="FEG2240" s="1733"/>
      <c r="FEH2240" s="1733"/>
      <c r="FEI2240" s="1733"/>
      <c r="FEJ2240" s="1733"/>
      <c r="FEK2240" s="1733"/>
      <c r="FEL2240" s="1733"/>
      <c r="FEM2240" s="1733"/>
      <c r="FEN2240" s="1733"/>
      <c r="FEO2240" s="1733"/>
      <c r="FEP2240" s="1733"/>
      <c r="FEQ2240" s="1733"/>
      <c r="FER2240" s="1733"/>
      <c r="FES2240" s="1733"/>
      <c r="FET2240" s="1733"/>
      <c r="FEU2240" s="1733"/>
      <c r="FEV2240" s="1733"/>
      <c r="FEW2240" s="1733"/>
      <c r="FEX2240" s="1733"/>
      <c r="FEY2240" s="1733"/>
      <c r="FEZ2240" s="1733"/>
      <c r="FFA2240" s="1733"/>
      <c r="FFB2240" s="1733"/>
      <c r="FFC2240" s="1733"/>
      <c r="FFD2240" s="1733"/>
      <c r="FFE2240" s="1733"/>
      <c r="FFF2240" s="1733"/>
      <c r="FFG2240" s="1733"/>
      <c r="FFH2240" s="1733"/>
      <c r="FFI2240" s="1733"/>
      <c r="FFJ2240" s="1733"/>
      <c r="FFK2240" s="1733"/>
      <c r="FFL2240" s="1733"/>
      <c r="FFM2240" s="1733"/>
      <c r="FFN2240" s="1733"/>
      <c r="FFO2240" s="1733"/>
      <c r="FFP2240" s="1733"/>
      <c r="FFQ2240" s="1733"/>
      <c r="FFR2240" s="1733"/>
      <c r="FFS2240" s="1733"/>
      <c r="FFT2240" s="1733"/>
      <c r="FFU2240" s="1733"/>
      <c r="FFV2240" s="1733"/>
      <c r="FFW2240" s="1733"/>
      <c r="FFX2240" s="1733"/>
      <c r="FFY2240" s="1733"/>
      <c r="FFZ2240" s="1733"/>
      <c r="FGA2240" s="1733"/>
      <c r="FGB2240" s="1733"/>
      <c r="FGC2240" s="1733"/>
      <c r="FGD2240" s="1733"/>
      <c r="FGE2240" s="1733"/>
      <c r="FGF2240" s="1733"/>
      <c r="FGG2240" s="1733"/>
      <c r="FGH2240" s="1733"/>
      <c r="FGI2240" s="1733"/>
      <c r="FGJ2240" s="1733"/>
      <c r="FGK2240" s="1733"/>
      <c r="FGL2240" s="1733"/>
      <c r="FGM2240" s="1733"/>
      <c r="FGN2240" s="1733"/>
      <c r="FGO2240" s="1733"/>
      <c r="FGP2240" s="1733"/>
      <c r="FGQ2240" s="1733"/>
      <c r="FGR2240" s="1733"/>
      <c r="FGS2240" s="1733"/>
      <c r="FGT2240" s="1733"/>
      <c r="FGU2240" s="1733"/>
      <c r="FGV2240" s="1733"/>
      <c r="FGW2240" s="1733"/>
      <c r="FGX2240" s="1733"/>
      <c r="FGY2240" s="1733"/>
      <c r="FGZ2240" s="1733"/>
      <c r="FHA2240" s="1733"/>
      <c r="FHB2240" s="1733"/>
      <c r="FHC2240" s="1733"/>
      <c r="FHD2240" s="1733"/>
      <c r="FHE2240" s="1733"/>
      <c r="FHF2240" s="1733"/>
      <c r="FHG2240" s="1733"/>
      <c r="FHH2240" s="1733"/>
      <c r="FHI2240" s="1733"/>
      <c r="FHJ2240" s="1733"/>
      <c r="FHK2240" s="1733"/>
      <c r="FHL2240" s="1733"/>
      <c r="FHM2240" s="1733"/>
      <c r="FHN2240" s="1733"/>
      <c r="FHO2240" s="1733"/>
      <c r="FHP2240" s="1733"/>
      <c r="FHQ2240" s="1733"/>
      <c r="FHR2240" s="1733"/>
      <c r="FHS2240" s="1733"/>
      <c r="FHT2240" s="1733"/>
      <c r="FHU2240" s="1733"/>
      <c r="FHV2240" s="1733"/>
      <c r="FHW2240" s="1733"/>
      <c r="FHX2240" s="1733"/>
      <c r="FHY2240" s="1733"/>
      <c r="FHZ2240" s="1733"/>
      <c r="FIA2240" s="1733"/>
      <c r="FIB2240" s="1733"/>
      <c r="FIC2240" s="1733"/>
      <c r="FID2240" s="1733"/>
      <c r="FIE2240" s="1733"/>
      <c r="FIF2240" s="1733"/>
      <c r="FIG2240" s="1733"/>
      <c r="FIH2240" s="1733"/>
      <c r="FII2240" s="1733"/>
      <c r="FIJ2240" s="1733"/>
      <c r="FIK2240" s="1733"/>
      <c r="FIL2240" s="1733"/>
      <c r="FIM2240" s="1733"/>
      <c r="FIN2240" s="1733"/>
      <c r="FIO2240" s="1733"/>
      <c r="FIP2240" s="1733"/>
      <c r="FIQ2240" s="1733"/>
      <c r="FIR2240" s="1733"/>
      <c r="FIS2240" s="1733"/>
      <c r="FIT2240" s="1733"/>
      <c r="FIU2240" s="1733"/>
      <c r="FIV2240" s="1733"/>
      <c r="FIW2240" s="1733"/>
      <c r="FIX2240" s="1733"/>
      <c r="FIY2240" s="1733"/>
      <c r="FIZ2240" s="1733"/>
      <c r="FJA2240" s="1733"/>
      <c r="FJB2240" s="1733"/>
      <c r="FJC2240" s="1733"/>
      <c r="FJD2240" s="1733"/>
      <c r="FJE2240" s="1733"/>
      <c r="FJF2240" s="1733"/>
      <c r="FJG2240" s="1733"/>
      <c r="FJH2240" s="1733"/>
      <c r="FJI2240" s="1733"/>
      <c r="FJJ2240" s="1733"/>
      <c r="FJK2240" s="1733"/>
      <c r="FJL2240" s="1733"/>
      <c r="FJM2240" s="1733"/>
      <c r="FJN2240" s="1733"/>
      <c r="FJO2240" s="1733"/>
      <c r="FJP2240" s="1733"/>
      <c r="FJQ2240" s="1733"/>
      <c r="FJR2240" s="1733"/>
      <c r="FJS2240" s="1733"/>
      <c r="FJT2240" s="1733"/>
      <c r="FJU2240" s="1733"/>
      <c r="FJV2240" s="1733"/>
      <c r="FJW2240" s="1733"/>
      <c r="FJX2240" s="1733"/>
      <c r="FJY2240" s="1733"/>
      <c r="FJZ2240" s="1733"/>
      <c r="FKA2240" s="1733"/>
      <c r="FKB2240" s="1733"/>
      <c r="FKC2240" s="1733"/>
      <c r="FKD2240" s="1733"/>
      <c r="FKE2240" s="1733"/>
      <c r="FKF2240" s="1733"/>
      <c r="FKG2240" s="1733"/>
      <c r="FKH2240" s="1733"/>
      <c r="FKI2240" s="1733"/>
      <c r="FKJ2240" s="1733"/>
      <c r="FKK2240" s="1733"/>
      <c r="FKL2240" s="1733"/>
      <c r="FKM2240" s="1733"/>
      <c r="FKN2240" s="1733"/>
      <c r="FKO2240" s="1733"/>
      <c r="FKP2240" s="1733"/>
      <c r="FKQ2240" s="1733"/>
      <c r="FKR2240" s="1733"/>
      <c r="FKS2240" s="1733"/>
      <c r="FKT2240" s="1733"/>
      <c r="FKU2240" s="1733"/>
      <c r="FKV2240" s="1733"/>
      <c r="FKW2240" s="1733"/>
      <c r="FKX2240" s="1733"/>
      <c r="FKY2240" s="1733"/>
      <c r="FKZ2240" s="1733"/>
      <c r="FLA2240" s="1733"/>
      <c r="FLB2240" s="1733"/>
      <c r="FLC2240" s="1733"/>
      <c r="FLD2240" s="1733"/>
      <c r="FLE2240" s="1733"/>
      <c r="FLF2240" s="1733"/>
      <c r="FLG2240" s="1733"/>
      <c r="FLH2240" s="1733"/>
      <c r="FLI2240" s="1733"/>
      <c r="FLJ2240" s="1733"/>
      <c r="FLK2240" s="1733"/>
      <c r="FLL2240" s="1733"/>
      <c r="FLM2240" s="1733"/>
      <c r="FLN2240" s="1733"/>
      <c r="FLO2240" s="1733"/>
      <c r="FLP2240" s="1733"/>
      <c r="FLQ2240" s="1733"/>
      <c r="FLR2240" s="1733"/>
      <c r="FLS2240" s="1733"/>
      <c r="FLT2240" s="1733"/>
      <c r="FLU2240" s="1733"/>
      <c r="FLV2240" s="1733"/>
      <c r="FLW2240" s="1733"/>
      <c r="FLX2240" s="1733"/>
      <c r="FLY2240" s="1733"/>
      <c r="FLZ2240" s="1733"/>
      <c r="FMA2240" s="1733"/>
      <c r="FMB2240" s="1733"/>
      <c r="FMC2240" s="1733"/>
      <c r="FMD2240" s="1733"/>
      <c r="FME2240" s="1733"/>
      <c r="FMF2240" s="1733"/>
      <c r="FMG2240" s="1733"/>
      <c r="FMH2240" s="1733"/>
      <c r="FMI2240" s="1733"/>
      <c r="FMJ2240" s="1733"/>
      <c r="FMK2240" s="1733"/>
      <c r="FML2240" s="1733"/>
      <c r="FMM2240" s="1733"/>
      <c r="FMN2240" s="1733"/>
      <c r="FMO2240" s="1733"/>
      <c r="FMP2240" s="1733"/>
      <c r="FMQ2240" s="1733"/>
      <c r="FMR2240" s="1733"/>
      <c r="FMS2240" s="1733"/>
      <c r="FMT2240" s="1733"/>
      <c r="FMU2240" s="1733"/>
      <c r="FMV2240" s="1733"/>
      <c r="FMW2240" s="1733"/>
      <c r="FMX2240" s="1733"/>
      <c r="FMY2240" s="1733"/>
      <c r="FMZ2240" s="1733"/>
      <c r="FNA2240" s="1733"/>
      <c r="FNB2240" s="1733"/>
      <c r="FNC2240" s="1733"/>
      <c r="FND2240" s="1733"/>
      <c r="FNE2240" s="1733"/>
      <c r="FNF2240" s="1733"/>
      <c r="FNG2240" s="1733"/>
      <c r="FNH2240" s="1733"/>
      <c r="FNI2240" s="1733"/>
      <c r="FNJ2240" s="1733"/>
      <c r="FNK2240" s="1733"/>
      <c r="FNL2240" s="1733"/>
      <c r="FNM2240" s="1733"/>
      <c r="FNN2240" s="1733"/>
      <c r="FNO2240" s="1733"/>
      <c r="FNP2240" s="1733"/>
      <c r="FNQ2240" s="1733"/>
      <c r="FNR2240" s="1733"/>
      <c r="FNS2240" s="1733"/>
      <c r="FNT2240" s="1733"/>
      <c r="FNU2240" s="1733"/>
      <c r="FNV2240" s="1733"/>
      <c r="FNW2240" s="1733"/>
      <c r="FNX2240" s="1733"/>
      <c r="FNY2240" s="1733"/>
      <c r="FNZ2240" s="1733"/>
      <c r="FOA2240" s="1733"/>
      <c r="FOB2240" s="1733"/>
      <c r="FOC2240" s="1733"/>
      <c r="FOD2240" s="1733"/>
      <c r="FOE2240" s="1733"/>
      <c r="FOF2240" s="1733"/>
      <c r="FOG2240" s="1733"/>
      <c r="FOH2240" s="1733"/>
      <c r="FOI2240" s="1733"/>
      <c r="FOJ2240" s="1733"/>
      <c r="FOK2240" s="1733"/>
      <c r="FOL2240" s="1733"/>
      <c r="FOM2240" s="1733"/>
      <c r="FON2240" s="1733"/>
      <c r="FOO2240" s="1733"/>
      <c r="FOP2240" s="1733"/>
      <c r="FOQ2240" s="1733"/>
      <c r="FOR2240" s="1733"/>
      <c r="FOS2240" s="1733"/>
      <c r="FOT2240" s="1733"/>
      <c r="FOU2240" s="1733"/>
      <c r="FOV2240" s="1733"/>
      <c r="FOW2240" s="1733"/>
      <c r="FOX2240" s="1733"/>
      <c r="FOY2240" s="1733"/>
      <c r="FOZ2240" s="1733"/>
      <c r="FPA2240" s="1733"/>
      <c r="FPB2240" s="1733"/>
      <c r="FPC2240" s="1733"/>
      <c r="FPD2240" s="1733"/>
      <c r="FPE2240" s="1733"/>
      <c r="FPF2240" s="1733"/>
      <c r="FPG2240" s="1733"/>
      <c r="FPH2240" s="1733"/>
      <c r="FPI2240" s="1733"/>
      <c r="FPJ2240" s="1733"/>
      <c r="FPK2240" s="1733"/>
      <c r="FPL2240" s="1733"/>
      <c r="FPM2240" s="1733"/>
      <c r="FPN2240" s="1733"/>
      <c r="FPO2240" s="1733"/>
      <c r="FPP2240" s="1733"/>
      <c r="FPQ2240" s="1733"/>
      <c r="FPR2240" s="1733"/>
      <c r="FPS2240" s="1733"/>
      <c r="FPT2240" s="1733"/>
      <c r="FPU2240" s="1733"/>
      <c r="FPV2240" s="1733"/>
      <c r="FPW2240" s="1733"/>
      <c r="FPX2240" s="1733"/>
      <c r="FPY2240" s="1733"/>
      <c r="FPZ2240" s="1733"/>
      <c r="FQA2240" s="1733"/>
      <c r="FQB2240" s="1733"/>
      <c r="FQC2240" s="1733"/>
      <c r="FQD2240" s="1733"/>
      <c r="FQE2240" s="1733"/>
      <c r="FQF2240" s="1733"/>
      <c r="FQG2240" s="1733"/>
      <c r="FQH2240" s="1733"/>
      <c r="FQI2240" s="1733"/>
      <c r="FQJ2240" s="1733"/>
      <c r="FQK2240" s="1733"/>
      <c r="FQL2240" s="1733"/>
      <c r="FQM2240" s="1733"/>
      <c r="FQN2240" s="1733"/>
      <c r="FQO2240" s="1733"/>
      <c r="FQP2240" s="1733"/>
      <c r="FQQ2240" s="1733"/>
      <c r="FQR2240" s="1733"/>
      <c r="FQS2240" s="1733"/>
      <c r="FQT2240" s="1733"/>
      <c r="FQU2240" s="1733"/>
      <c r="FQV2240" s="1733"/>
      <c r="FQW2240" s="1733"/>
      <c r="FQX2240" s="1733"/>
      <c r="FQY2240" s="1733"/>
      <c r="FQZ2240" s="1733"/>
      <c r="FRA2240" s="1733"/>
      <c r="FRB2240" s="1733"/>
      <c r="FRC2240" s="1733"/>
      <c r="FRD2240" s="1733"/>
      <c r="FRE2240" s="1733"/>
      <c r="FRF2240" s="1733"/>
      <c r="FRG2240" s="1733"/>
      <c r="FRH2240" s="1733"/>
      <c r="FRI2240" s="1733"/>
      <c r="FRJ2240" s="1733"/>
      <c r="FRK2240" s="1733"/>
      <c r="FRL2240" s="1733"/>
      <c r="FRM2240" s="1733"/>
      <c r="FRN2240" s="1733"/>
      <c r="FRO2240" s="1733"/>
      <c r="FRP2240" s="1733"/>
      <c r="FRQ2240" s="1733"/>
      <c r="FRR2240" s="1733"/>
      <c r="FRS2240" s="1733"/>
      <c r="FRT2240" s="1733"/>
      <c r="FRU2240" s="1733"/>
      <c r="FRV2240" s="1733"/>
      <c r="FRW2240" s="1733"/>
      <c r="FRX2240" s="1733"/>
      <c r="FRY2240" s="1733"/>
      <c r="FRZ2240" s="1733"/>
      <c r="FSA2240" s="1733"/>
      <c r="FSB2240" s="1733"/>
      <c r="FSC2240" s="1733"/>
      <c r="FSD2240" s="1733"/>
      <c r="FSE2240" s="1733"/>
      <c r="FSF2240" s="1733"/>
      <c r="FSG2240" s="1733"/>
      <c r="FSH2240" s="1733"/>
      <c r="FSI2240" s="1733"/>
      <c r="FSJ2240" s="1733"/>
      <c r="FSK2240" s="1733"/>
      <c r="FSL2240" s="1733"/>
      <c r="FSM2240" s="1733"/>
      <c r="FSN2240" s="1733"/>
      <c r="FSO2240" s="1733"/>
      <c r="FSP2240" s="1733"/>
      <c r="FSQ2240" s="1733"/>
      <c r="FSR2240" s="1733"/>
      <c r="FSS2240" s="1733"/>
      <c r="FST2240" s="1733"/>
      <c r="FSU2240" s="1733"/>
      <c r="FSV2240" s="1733"/>
      <c r="FSW2240" s="1733"/>
      <c r="FSX2240" s="1733"/>
      <c r="FSY2240" s="1733"/>
      <c r="FSZ2240" s="1733"/>
      <c r="FTA2240" s="1733"/>
      <c r="FTB2240" s="1733"/>
      <c r="FTC2240" s="1733"/>
      <c r="FTD2240" s="1733"/>
      <c r="FTE2240" s="1733"/>
      <c r="FTF2240" s="1733"/>
      <c r="FTG2240" s="1733"/>
      <c r="FTH2240" s="1733"/>
      <c r="FTI2240" s="1733"/>
      <c r="FTJ2240" s="1733"/>
      <c r="FTK2240" s="1733"/>
      <c r="FTL2240" s="1733"/>
      <c r="FTM2240" s="1733"/>
      <c r="FTN2240" s="1733"/>
      <c r="FTO2240" s="1733"/>
      <c r="FTP2240" s="1733"/>
      <c r="FTQ2240" s="1733"/>
      <c r="FTR2240" s="1733"/>
      <c r="FTS2240" s="1733"/>
      <c r="FTT2240" s="1733"/>
      <c r="FTU2240" s="1733"/>
      <c r="FTV2240" s="1733"/>
      <c r="FTW2240" s="1733"/>
      <c r="FTX2240" s="1733"/>
      <c r="FTY2240" s="1733"/>
      <c r="FTZ2240" s="1733"/>
      <c r="FUA2240" s="1733"/>
      <c r="FUB2240" s="1733"/>
      <c r="FUC2240" s="1733"/>
      <c r="FUD2240" s="1733"/>
      <c r="FUE2240" s="1733"/>
      <c r="FUF2240" s="1733"/>
      <c r="FUG2240" s="1733"/>
      <c r="FUH2240" s="1733"/>
      <c r="FUI2240" s="1733"/>
      <c r="FUJ2240" s="1733"/>
      <c r="FUK2240" s="1733"/>
      <c r="FUL2240" s="1733"/>
      <c r="FUM2240" s="1733"/>
      <c r="FUN2240" s="1733"/>
      <c r="FUO2240" s="1733"/>
      <c r="FUP2240" s="1733"/>
      <c r="FUQ2240" s="1733"/>
      <c r="FUR2240" s="1733"/>
      <c r="FUS2240" s="1733"/>
      <c r="FUT2240" s="1733"/>
      <c r="FUU2240" s="1733"/>
      <c r="FUV2240" s="1733"/>
      <c r="FUW2240" s="1733"/>
      <c r="FUX2240" s="1733"/>
      <c r="FUY2240" s="1733"/>
      <c r="FUZ2240" s="1733"/>
      <c r="FVA2240" s="1733"/>
      <c r="FVB2240" s="1733"/>
      <c r="FVC2240" s="1733"/>
      <c r="FVD2240" s="1733"/>
      <c r="FVE2240" s="1733"/>
      <c r="FVF2240" s="1733"/>
      <c r="FVG2240" s="1733"/>
      <c r="FVH2240" s="1733"/>
      <c r="FVI2240" s="1733"/>
      <c r="FVJ2240" s="1733"/>
      <c r="FVK2240" s="1733"/>
      <c r="FVL2240" s="1733"/>
      <c r="FVM2240" s="1733"/>
      <c r="FVN2240" s="1733"/>
      <c r="FVO2240" s="1733"/>
      <c r="FVP2240" s="1733"/>
      <c r="FVQ2240" s="1733"/>
      <c r="FVR2240" s="1733"/>
      <c r="FVS2240" s="1733"/>
      <c r="FVT2240" s="1733"/>
      <c r="FVU2240" s="1733"/>
      <c r="FVV2240" s="1733"/>
      <c r="FVW2240" s="1733"/>
      <c r="FVX2240" s="1733"/>
      <c r="FVY2240" s="1733"/>
      <c r="FVZ2240" s="1733"/>
      <c r="FWA2240" s="1733"/>
      <c r="FWB2240" s="1733"/>
      <c r="FWC2240" s="1733"/>
      <c r="FWD2240" s="1733"/>
      <c r="FWE2240" s="1733"/>
      <c r="FWF2240" s="1733"/>
      <c r="FWG2240" s="1733"/>
      <c r="FWH2240" s="1733"/>
      <c r="FWI2240" s="1733"/>
      <c r="FWJ2240" s="1733"/>
      <c r="FWK2240" s="1733"/>
      <c r="FWL2240" s="1733"/>
      <c r="FWM2240" s="1733"/>
      <c r="FWN2240" s="1733"/>
      <c r="FWO2240" s="1733"/>
      <c r="FWP2240" s="1733"/>
      <c r="FWQ2240" s="1733"/>
      <c r="FWR2240" s="1733"/>
      <c r="FWS2240" s="1733"/>
      <c r="FWT2240" s="1733"/>
      <c r="FWU2240" s="1733"/>
      <c r="FWV2240" s="1733"/>
      <c r="FWW2240" s="1733"/>
      <c r="FWX2240" s="1733"/>
      <c r="FWY2240" s="1733"/>
      <c r="FWZ2240" s="1733"/>
      <c r="FXA2240" s="1733"/>
      <c r="FXB2240" s="1733"/>
      <c r="FXC2240" s="1733"/>
      <c r="FXD2240" s="1733"/>
      <c r="FXE2240" s="1733"/>
      <c r="FXF2240" s="1733"/>
      <c r="FXG2240" s="1733"/>
      <c r="FXH2240" s="1733"/>
      <c r="FXI2240" s="1733"/>
      <c r="FXJ2240" s="1733"/>
      <c r="FXK2240" s="1733"/>
      <c r="FXL2240" s="1733"/>
      <c r="FXM2240" s="1733"/>
      <c r="FXN2240" s="1733"/>
      <c r="FXO2240" s="1733"/>
      <c r="FXP2240" s="1733"/>
      <c r="FXQ2240" s="1733"/>
      <c r="FXR2240" s="1733"/>
      <c r="FXS2240" s="1733"/>
      <c r="FXT2240" s="1733"/>
      <c r="FXU2240" s="1733"/>
      <c r="FXV2240" s="1733"/>
      <c r="FXW2240" s="1733"/>
      <c r="FXX2240" s="1733"/>
      <c r="FXY2240" s="1733"/>
      <c r="FXZ2240" s="1733"/>
      <c r="FYA2240" s="1733"/>
      <c r="FYB2240" s="1733"/>
      <c r="FYC2240" s="1733"/>
      <c r="FYD2240" s="1733"/>
      <c r="FYE2240" s="1733"/>
      <c r="FYF2240" s="1733"/>
      <c r="FYG2240" s="1733"/>
      <c r="FYH2240" s="1733"/>
      <c r="FYI2240" s="1733"/>
      <c r="FYJ2240" s="1733"/>
      <c r="FYK2240" s="1733"/>
      <c r="FYL2240" s="1733"/>
      <c r="FYM2240" s="1733"/>
      <c r="FYN2240" s="1733"/>
      <c r="FYO2240" s="1733"/>
      <c r="FYP2240" s="1733"/>
      <c r="FYQ2240" s="1733"/>
      <c r="FYR2240" s="1733"/>
      <c r="FYS2240" s="1733"/>
      <c r="FYT2240" s="1733"/>
      <c r="FYU2240" s="1733"/>
      <c r="FYV2240" s="1733"/>
      <c r="FYW2240" s="1733"/>
      <c r="FYX2240" s="1733"/>
      <c r="FYY2240" s="1733"/>
      <c r="FYZ2240" s="1733"/>
      <c r="FZA2240" s="1733"/>
      <c r="FZB2240" s="1733"/>
      <c r="FZC2240" s="1733"/>
      <c r="FZD2240" s="1733"/>
      <c r="FZE2240" s="1733"/>
      <c r="FZF2240" s="1733"/>
      <c r="FZG2240" s="1733"/>
      <c r="FZH2240" s="1733"/>
      <c r="FZI2240" s="1733"/>
      <c r="FZJ2240" s="1733"/>
      <c r="FZK2240" s="1733"/>
      <c r="FZL2240" s="1733"/>
      <c r="FZM2240" s="1733"/>
      <c r="FZN2240" s="1733"/>
      <c r="FZO2240" s="1733"/>
      <c r="FZP2240" s="1733"/>
      <c r="FZQ2240" s="1733"/>
      <c r="FZR2240" s="1733"/>
      <c r="FZS2240" s="1733"/>
      <c r="FZT2240" s="1733"/>
      <c r="FZU2240" s="1733"/>
      <c r="FZV2240" s="1733"/>
      <c r="FZW2240" s="1733"/>
      <c r="FZX2240" s="1733"/>
      <c r="FZY2240" s="1733"/>
      <c r="FZZ2240" s="1733"/>
      <c r="GAA2240" s="1733"/>
      <c r="GAB2240" s="1733"/>
      <c r="GAC2240" s="1733"/>
      <c r="GAD2240" s="1733"/>
      <c r="GAE2240" s="1733"/>
      <c r="GAF2240" s="1733"/>
      <c r="GAG2240" s="1733"/>
      <c r="GAH2240" s="1733"/>
      <c r="GAI2240" s="1733"/>
      <c r="GAJ2240" s="1733"/>
      <c r="GAK2240" s="1733"/>
      <c r="GAL2240" s="1733"/>
      <c r="GAM2240" s="1733"/>
      <c r="GAN2240" s="1733"/>
      <c r="GAO2240" s="1733"/>
      <c r="GAP2240" s="1733"/>
      <c r="GAQ2240" s="1733"/>
      <c r="GAR2240" s="1733"/>
      <c r="GAS2240" s="1733"/>
      <c r="GAT2240" s="1733"/>
      <c r="GAU2240" s="1733"/>
      <c r="GAV2240" s="1733"/>
      <c r="GAW2240" s="1733"/>
      <c r="GAX2240" s="1733"/>
      <c r="GAY2240" s="1733"/>
      <c r="GAZ2240" s="1733"/>
      <c r="GBA2240" s="1733"/>
      <c r="GBB2240" s="1733"/>
      <c r="GBC2240" s="1733"/>
      <c r="GBD2240" s="1733"/>
      <c r="GBE2240" s="1733"/>
      <c r="GBF2240" s="1733"/>
      <c r="GBG2240" s="1733"/>
      <c r="GBH2240" s="1733"/>
      <c r="GBI2240" s="1733"/>
      <c r="GBJ2240" s="1733"/>
      <c r="GBK2240" s="1733"/>
      <c r="GBL2240" s="1733"/>
      <c r="GBM2240" s="1733"/>
      <c r="GBN2240" s="1733"/>
      <c r="GBO2240" s="1733"/>
      <c r="GBP2240" s="1733"/>
      <c r="GBQ2240" s="1733"/>
      <c r="GBR2240" s="1733"/>
      <c r="GBS2240" s="1733"/>
      <c r="GBT2240" s="1733"/>
      <c r="GBU2240" s="1733"/>
      <c r="GBV2240" s="1733"/>
      <c r="GBW2240" s="1733"/>
      <c r="GBX2240" s="1733"/>
      <c r="GBY2240" s="1733"/>
      <c r="GBZ2240" s="1733"/>
      <c r="GCA2240" s="1733"/>
      <c r="GCB2240" s="1733"/>
      <c r="GCC2240" s="1733"/>
      <c r="GCD2240" s="1733"/>
      <c r="GCE2240" s="1733"/>
      <c r="GCF2240" s="1733"/>
      <c r="GCG2240" s="1733"/>
      <c r="GCH2240" s="1733"/>
      <c r="GCI2240" s="1733"/>
      <c r="GCJ2240" s="1733"/>
      <c r="GCK2240" s="1733"/>
      <c r="GCL2240" s="1733"/>
      <c r="GCM2240" s="1733"/>
      <c r="GCN2240" s="1733"/>
      <c r="GCO2240" s="1733"/>
      <c r="GCP2240" s="1733"/>
      <c r="GCQ2240" s="1733"/>
      <c r="GCR2240" s="1733"/>
      <c r="GCS2240" s="1733"/>
      <c r="GCT2240" s="1733"/>
      <c r="GCU2240" s="1733"/>
      <c r="GCV2240" s="1733"/>
      <c r="GCW2240" s="1733"/>
      <c r="GCX2240" s="1733"/>
      <c r="GCY2240" s="1733"/>
      <c r="GCZ2240" s="1733"/>
      <c r="GDA2240" s="1733"/>
      <c r="GDB2240" s="1733"/>
      <c r="GDC2240" s="1733"/>
      <c r="GDD2240" s="1733"/>
      <c r="GDE2240" s="1733"/>
      <c r="GDF2240" s="1733"/>
      <c r="GDG2240" s="1733"/>
      <c r="GDH2240" s="1733"/>
      <c r="GDI2240" s="1733"/>
      <c r="GDJ2240" s="1733"/>
      <c r="GDK2240" s="1733"/>
      <c r="GDL2240" s="1733"/>
      <c r="GDM2240" s="1733"/>
      <c r="GDN2240" s="1733"/>
      <c r="GDO2240" s="1733"/>
      <c r="GDP2240" s="1733"/>
      <c r="GDQ2240" s="1733"/>
      <c r="GDR2240" s="1733"/>
      <c r="GDS2240" s="1733"/>
      <c r="GDT2240" s="1733"/>
      <c r="GDU2240" s="1733"/>
      <c r="GDV2240" s="1733"/>
      <c r="GDW2240" s="1733"/>
      <c r="GDX2240" s="1733"/>
      <c r="GDY2240" s="1733"/>
      <c r="GDZ2240" s="1733"/>
      <c r="GEA2240" s="1733"/>
      <c r="GEB2240" s="1733"/>
      <c r="GEC2240" s="1733"/>
      <c r="GED2240" s="1733"/>
      <c r="GEE2240" s="1733"/>
      <c r="GEF2240" s="1733"/>
      <c r="GEG2240" s="1733"/>
      <c r="GEH2240" s="1733"/>
      <c r="GEI2240" s="1733"/>
      <c r="GEJ2240" s="1733"/>
      <c r="GEK2240" s="1733"/>
      <c r="GEL2240" s="1733"/>
      <c r="GEM2240" s="1733"/>
      <c r="GEN2240" s="1733"/>
      <c r="GEO2240" s="1733"/>
      <c r="GEP2240" s="1733"/>
      <c r="GEQ2240" s="1733"/>
      <c r="GER2240" s="1733"/>
      <c r="GES2240" s="1733"/>
      <c r="GET2240" s="1733"/>
      <c r="GEU2240" s="1733"/>
      <c r="GEV2240" s="1733"/>
      <c r="GEW2240" s="1733"/>
      <c r="GEX2240" s="1733"/>
      <c r="GEY2240" s="1733"/>
      <c r="GEZ2240" s="1733"/>
      <c r="GFA2240" s="1733"/>
      <c r="GFB2240" s="1733"/>
      <c r="GFC2240" s="1733"/>
      <c r="GFD2240" s="1733"/>
      <c r="GFE2240" s="1733"/>
      <c r="GFF2240" s="1733"/>
      <c r="GFG2240" s="1733"/>
      <c r="GFH2240" s="1733"/>
      <c r="GFI2240" s="1733"/>
      <c r="GFJ2240" s="1733"/>
      <c r="GFK2240" s="1733"/>
      <c r="GFL2240" s="1733"/>
      <c r="GFM2240" s="1733"/>
      <c r="GFN2240" s="1733"/>
      <c r="GFO2240" s="1733"/>
      <c r="GFP2240" s="1733"/>
      <c r="GFQ2240" s="1733"/>
      <c r="GFR2240" s="1733"/>
      <c r="GFS2240" s="1733"/>
      <c r="GFT2240" s="1733"/>
      <c r="GFU2240" s="1733"/>
      <c r="GFV2240" s="1733"/>
      <c r="GFW2240" s="1733"/>
      <c r="GFX2240" s="1733"/>
      <c r="GFY2240" s="1733"/>
      <c r="GFZ2240" s="1733"/>
      <c r="GGA2240" s="1733"/>
      <c r="GGB2240" s="1733"/>
      <c r="GGC2240" s="1733"/>
      <c r="GGD2240" s="1733"/>
      <c r="GGE2240" s="1733"/>
      <c r="GGF2240" s="1733"/>
      <c r="GGG2240" s="1733"/>
      <c r="GGH2240" s="1733"/>
      <c r="GGI2240" s="1733"/>
      <c r="GGJ2240" s="1733"/>
      <c r="GGK2240" s="1733"/>
      <c r="GGL2240" s="1733"/>
      <c r="GGM2240" s="1733"/>
      <c r="GGN2240" s="1733"/>
      <c r="GGO2240" s="1733"/>
      <c r="GGP2240" s="1733"/>
      <c r="GGQ2240" s="1733"/>
      <c r="GGR2240" s="1733"/>
      <c r="GGS2240" s="1733"/>
      <c r="GGT2240" s="1733"/>
      <c r="GGU2240" s="1733"/>
      <c r="GGV2240" s="1733"/>
      <c r="GGW2240" s="1733"/>
      <c r="GGX2240" s="1733"/>
      <c r="GGY2240" s="1733"/>
      <c r="GGZ2240" s="1733"/>
      <c r="GHA2240" s="1733"/>
      <c r="GHB2240" s="1733"/>
      <c r="GHC2240" s="1733"/>
      <c r="GHD2240" s="1733"/>
      <c r="GHE2240" s="1733"/>
      <c r="GHF2240" s="1733"/>
      <c r="GHG2240" s="1733"/>
      <c r="GHH2240" s="1733"/>
      <c r="GHI2240" s="1733"/>
      <c r="GHJ2240" s="1733"/>
      <c r="GHK2240" s="1733"/>
      <c r="GHL2240" s="1733"/>
      <c r="GHM2240" s="1733"/>
      <c r="GHN2240" s="1733"/>
      <c r="GHO2240" s="1733"/>
      <c r="GHP2240" s="1733"/>
      <c r="GHQ2240" s="1733"/>
      <c r="GHR2240" s="1733"/>
      <c r="GHS2240" s="1733"/>
      <c r="GHT2240" s="1733"/>
      <c r="GHU2240" s="1733"/>
      <c r="GHV2240" s="1733"/>
      <c r="GHW2240" s="1733"/>
      <c r="GHX2240" s="1733"/>
      <c r="GHY2240" s="1733"/>
      <c r="GHZ2240" s="1733"/>
      <c r="GIA2240" s="1733"/>
      <c r="GIB2240" s="1733"/>
      <c r="GIC2240" s="1733"/>
      <c r="GID2240" s="1733"/>
      <c r="GIE2240" s="1733"/>
      <c r="GIF2240" s="1733"/>
      <c r="GIG2240" s="1733"/>
      <c r="GIH2240" s="1733"/>
      <c r="GII2240" s="1733"/>
      <c r="GIJ2240" s="1733"/>
      <c r="GIK2240" s="1733"/>
      <c r="GIL2240" s="1733"/>
      <c r="GIM2240" s="1733"/>
      <c r="GIN2240" s="1733"/>
      <c r="GIO2240" s="1733"/>
      <c r="GIP2240" s="1733"/>
      <c r="GIQ2240" s="1733"/>
      <c r="GIR2240" s="1733"/>
      <c r="GIS2240" s="1733"/>
      <c r="GIT2240" s="1733"/>
      <c r="GIU2240" s="1733"/>
      <c r="GIV2240" s="1733"/>
      <c r="GIW2240" s="1733"/>
      <c r="GIX2240" s="1733"/>
      <c r="GIY2240" s="1733"/>
      <c r="GIZ2240" s="1733"/>
      <c r="GJA2240" s="1733"/>
      <c r="GJB2240" s="1733"/>
      <c r="GJC2240" s="1733"/>
      <c r="GJD2240" s="1733"/>
      <c r="GJE2240" s="1733"/>
      <c r="GJF2240" s="1733"/>
      <c r="GJG2240" s="1733"/>
      <c r="GJH2240" s="1733"/>
      <c r="GJI2240" s="1733"/>
      <c r="GJJ2240" s="1733"/>
      <c r="GJK2240" s="1733"/>
      <c r="GJL2240" s="1733"/>
      <c r="GJM2240" s="1733"/>
      <c r="GJN2240" s="1733"/>
      <c r="GJO2240" s="1733"/>
      <c r="GJP2240" s="1733"/>
      <c r="GJQ2240" s="1733"/>
      <c r="GJR2240" s="1733"/>
      <c r="GJS2240" s="1733"/>
      <c r="GJT2240" s="1733"/>
      <c r="GJU2240" s="1733"/>
      <c r="GJV2240" s="1733"/>
      <c r="GJW2240" s="1733"/>
      <c r="GJX2240" s="1733"/>
      <c r="GJY2240" s="1733"/>
      <c r="GJZ2240" s="1733"/>
      <c r="GKA2240" s="1733"/>
      <c r="GKB2240" s="1733"/>
      <c r="GKC2240" s="1733"/>
      <c r="GKD2240" s="1733"/>
      <c r="GKE2240" s="1733"/>
      <c r="GKF2240" s="1733"/>
      <c r="GKG2240" s="1733"/>
      <c r="GKH2240" s="1733"/>
      <c r="GKI2240" s="1733"/>
      <c r="GKJ2240" s="1733"/>
      <c r="GKK2240" s="1733"/>
      <c r="GKL2240" s="1733"/>
      <c r="GKM2240" s="1733"/>
      <c r="GKN2240" s="1733"/>
      <c r="GKO2240" s="1733"/>
      <c r="GKP2240" s="1733"/>
      <c r="GKQ2240" s="1733"/>
      <c r="GKR2240" s="1733"/>
      <c r="GKS2240" s="1733"/>
      <c r="GKT2240" s="1733"/>
      <c r="GKU2240" s="1733"/>
      <c r="GKV2240" s="1733"/>
      <c r="GKW2240" s="1733"/>
      <c r="GKX2240" s="1733"/>
      <c r="GKY2240" s="1733"/>
      <c r="GKZ2240" s="1733"/>
      <c r="GLA2240" s="1733"/>
      <c r="GLB2240" s="1733"/>
      <c r="GLC2240" s="1733"/>
      <c r="GLD2240" s="1733"/>
      <c r="GLE2240" s="1733"/>
      <c r="GLF2240" s="1733"/>
      <c r="GLG2240" s="1733"/>
      <c r="GLH2240" s="1733"/>
      <c r="GLI2240" s="1733"/>
      <c r="GLJ2240" s="1733"/>
      <c r="GLK2240" s="1733"/>
      <c r="GLL2240" s="1733"/>
      <c r="GLM2240" s="1733"/>
      <c r="GLN2240" s="1733"/>
      <c r="GLO2240" s="1733"/>
      <c r="GLP2240" s="1733"/>
      <c r="GLQ2240" s="1733"/>
      <c r="GLR2240" s="1733"/>
      <c r="GLS2240" s="1733"/>
      <c r="GLT2240" s="1733"/>
      <c r="GLU2240" s="1733"/>
      <c r="GLV2240" s="1733"/>
      <c r="GLW2240" s="1733"/>
      <c r="GLX2240" s="1733"/>
      <c r="GLY2240" s="1733"/>
      <c r="GLZ2240" s="1733"/>
      <c r="GMA2240" s="1733"/>
      <c r="GMB2240" s="1733"/>
      <c r="GMC2240" s="1733"/>
      <c r="GMD2240" s="1733"/>
      <c r="GME2240" s="1733"/>
      <c r="GMF2240" s="1733"/>
      <c r="GMG2240" s="1733"/>
      <c r="GMH2240" s="1733"/>
      <c r="GMI2240" s="1733"/>
      <c r="GMJ2240" s="1733"/>
      <c r="GMK2240" s="1733"/>
      <c r="GML2240" s="1733"/>
      <c r="GMM2240" s="1733"/>
      <c r="GMN2240" s="1733"/>
      <c r="GMO2240" s="1733"/>
      <c r="GMP2240" s="1733"/>
      <c r="GMQ2240" s="1733"/>
      <c r="GMR2240" s="1733"/>
      <c r="GMS2240" s="1733"/>
      <c r="GMT2240" s="1733"/>
      <c r="GMU2240" s="1733"/>
      <c r="GMV2240" s="1733"/>
      <c r="GMW2240" s="1733"/>
      <c r="GMX2240" s="1733"/>
      <c r="GMY2240" s="1733"/>
      <c r="GMZ2240" s="1733"/>
      <c r="GNA2240" s="1733"/>
      <c r="GNB2240" s="1733"/>
      <c r="GNC2240" s="1733"/>
      <c r="GND2240" s="1733"/>
      <c r="GNE2240" s="1733"/>
      <c r="GNF2240" s="1733"/>
      <c r="GNG2240" s="1733"/>
      <c r="GNH2240" s="1733"/>
      <c r="GNI2240" s="1733"/>
      <c r="GNJ2240" s="1733"/>
      <c r="GNK2240" s="1733"/>
      <c r="GNL2240" s="1733"/>
      <c r="GNM2240" s="1733"/>
      <c r="GNN2240" s="1733"/>
      <c r="GNO2240" s="1733"/>
      <c r="GNP2240" s="1733"/>
      <c r="GNQ2240" s="1733"/>
      <c r="GNR2240" s="1733"/>
      <c r="GNS2240" s="1733"/>
      <c r="GNT2240" s="1733"/>
      <c r="GNU2240" s="1733"/>
      <c r="GNV2240" s="1733"/>
      <c r="GNW2240" s="1733"/>
      <c r="GNX2240" s="1733"/>
      <c r="GNY2240" s="1733"/>
      <c r="GNZ2240" s="1733"/>
      <c r="GOA2240" s="1733"/>
      <c r="GOB2240" s="1733"/>
      <c r="GOC2240" s="1733"/>
      <c r="GOD2240" s="1733"/>
      <c r="GOE2240" s="1733"/>
      <c r="GOF2240" s="1733"/>
      <c r="GOG2240" s="1733"/>
      <c r="GOH2240" s="1733"/>
      <c r="GOI2240" s="1733"/>
      <c r="GOJ2240" s="1733"/>
      <c r="GOK2240" s="1733"/>
      <c r="GOL2240" s="1733"/>
      <c r="GOM2240" s="1733"/>
      <c r="GON2240" s="1733"/>
      <c r="GOO2240" s="1733"/>
      <c r="GOP2240" s="1733"/>
      <c r="GOQ2240" s="1733"/>
      <c r="GOR2240" s="1733"/>
      <c r="GOS2240" s="1733"/>
      <c r="GOT2240" s="1733"/>
      <c r="GOU2240" s="1733"/>
      <c r="GOV2240" s="1733"/>
      <c r="GOW2240" s="1733"/>
      <c r="GOX2240" s="1733"/>
      <c r="GOY2240" s="1733"/>
      <c r="GOZ2240" s="1733"/>
      <c r="GPA2240" s="1733"/>
      <c r="GPB2240" s="1733"/>
      <c r="GPC2240" s="1733"/>
      <c r="GPD2240" s="1733"/>
      <c r="GPE2240" s="1733"/>
      <c r="GPF2240" s="1733"/>
      <c r="GPG2240" s="1733"/>
      <c r="GPH2240" s="1733"/>
      <c r="GPI2240" s="1733"/>
      <c r="GPJ2240" s="1733"/>
      <c r="GPK2240" s="1733"/>
      <c r="GPL2240" s="1733"/>
      <c r="GPM2240" s="1733"/>
      <c r="GPN2240" s="1733"/>
      <c r="GPO2240" s="1733"/>
      <c r="GPP2240" s="1733"/>
      <c r="GPQ2240" s="1733"/>
      <c r="GPR2240" s="1733"/>
      <c r="GPS2240" s="1733"/>
      <c r="GPT2240" s="1733"/>
      <c r="GPU2240" s="1733"/>
      <c r="GPV2240" s="1733"/>
      <c r="GPW2240" s="1733"/>
      <c r="GPX2240" s="1733"/>
      <c r="GPY2240" s="1733"/>
      <c r="GPZ2240" s="1733"/>
      <c r="GQA2240" s="1733"/>
      <c r="GQB2240" s="1733"/>
      <c r="GQC2240" s="1733"/>
      <c r="GQD2240" s="1733"/>
      <c r="GQE2240" s="1733"/>
      <c r="GQF2240" s="1733"/>
      <c r="GQG2240" s="1733"/>
      <c r="GQH2240" s="1733"/>
      <c r="GQI2240" s="1733"/>
      <c r="GQJ2240" s="1733"/>
      <c r="GQK2240" s="1733"/>
      <c r="GQL2240" s="1733"/>
      <c r="GQM2240" s="1733"/>
      <c r="GQN2240" s="1733"/>
      <c r="GQO2240" s="1733"/>
      <c r="GQP2240" s="1733"/>
      <c r="GQQ2240" s="1733"/>
      <c r="GQR2240" s="1733"/>
      <c r="GQS2240" s="1733"/>
      <c r="GQT2240" s="1733"/>
      <c r="GQU2240" s="1733"/>
      <c r="GQV2240" s="1733"/>
      <c r="GQW2240" s="1733"/>
      <c r="GQX2240" s="1733"/>
      <c r="GQY2240" s="1733"/>
      <c r="GQZ2240" s="1733"/>
      <c r="GRA2240" s="1733"/>
      <c r="GRB2240" s="1733"/>
      <c r="GRC2240" s="1733"/>
      <c r="GRD2240" s="1733"/>
      <c r="GRE2240" s="1733"/>
      <c r="GRF2240" s="1733"/>
      <c r="GRG2240" s="1733"/>
      <c r="GRH2240" s="1733"/>
      <c r="GRI2240" s="1733"/>
      <c r="GRJ2240" s="1733"/>
      <c r="GRK2240" s="1733"/>
      <c r="GRL2240" s="1733"/>
      <c r="GRM2240" s="1733"/>
      <c r="GRN2240" s="1733"/>
      <c r="GRO2240" s="1733"/>
      <c r="GRP2240" s="1733"/>
      <c r="GRQ2240" s="1733"/>
      <c r="GRR2240" s="1733"/>
      <c r="GRS2240" s="1733"/>
      <c r="GRT2240" s="1733"/>
      <c r="GRU2240" s="1733"/>
      <c r="GRV2240" s="1733"/>
      <c r="GRW2240" s="1733"/>
      <c r="GRX2240" s="1733"/>
      <c r="GRY2240" s="1733"/>
      <c r="GRZ2240" s="1733"/>
      <c r="GSA2240" s="1733"/>
      <c r="GSB2240" s="1733"/>
      <c r="GSC2240" s="1733"/>
      <c r="GSD2240" s="1733"/>
      <c r="GSE2240" s="1733"/>
      <c r="GSF2240" s="1733"/>
      <c r="GSG2240" s="1733"/>
      <c r="GSH2240" s="1733"/>
      <c r="GSI2240" s="1733"/>
      <c r="GSJ2240" s="1733"/>
      <c r="GSK2240" s="1733"/>
      <c r="GSL2240" s="1733"/>
      <c r="GSM2240" s="1733"/>
      <c r="GSN2240" s="1733"/>
      <c r="GSO2240" s="1733"/>
      <c r="GSP2240" s="1733"/>
      <c r="GSQ2240" s="1733"/>
      <c r="GSR2240" s="1733"/>
      <c r="GSS2240" s="1733"/>
      <c r="GST2240" s="1733"/>
      <c r="GSU2240" s="1733"/>
      <c r="GSV2240" s="1733"/>
      <c r="GSW2240" s="1733"/>
      <c r="GSX2240" s="1733"/>
      <c r="GSY2240" s="1733"/>
      <c r="GSZ2240" s="1733"/>
      <c r="GTA2240" s="1733"/>
      <c r="GTB2240" s="1733"/>
      <c r="GTC2240" s="1733"/>
      <c r="GTD2240" s="1733"/>
      <c r="GTE2240" s="1733"/>
      <c r="GTF2240" s="1733"/>
      <c r="GTG2240" s="1733"/>
      <c r="GTH2240" s="1733"/>
      <c r="GTI2240" s="1733"/>
      <c r="GTJ2240" s="1733"/>
      <c r="GTK2240" s="1733"/>
      <c r="GTL2240" s="1733"/>
      <c r="GTM2240" s="1733"/>
      <c r="GTN2240" s="1733"/>
      <c r="GTO2240" s="1733"/>
      <c r="GTP2240" s="1733"/>
      <c r="GTQ2240" s="1733"/>
      <c r="GTR2240" s="1733"/>
      <c r="GTS2240" s="1733"/>
      <c r="GTT2240" s="1733"/>
      <c r="GTU2240" s="1733"/>
      <c r="GTV2240" s="1733"/>
      <c r="GTW2240" s="1733"/>
      <c r="GTX2240" s="1733"/>
      <c r="GTY2240" s="1733"/>
      <c r="GTZ2240" s="1733"/>
      <c r="GUA2240" s="1733"/>
      <c r="GUB2240" s="1733"/>
      <c r="GUC2240" s="1733"/>
      <c r="GUD2240" s="1733"/>
      <c r="GUE2240" s="1733"/>
      <c r="GUF2240" s="1733"/>
      <c r="GUG2240" s="1733"/>
      <c r="GUH2240" s="1733"/>
      <c r="GUI2240" s="1733"/>
      <c r="GUJ2240" s="1733"/>
      <c r="GUK2240" s="1733"/>
      <c r="GUL2240" s="1733"/>
      <c r="GUM2240" s="1733"/>
      <c r="GUN2240" s="1733"/>
      <c r="GUO2240" s="1733"/>
      <c r="GUP2240" s="1733"/>
      <c r="GUQ2240" s="1733"/>
      <c r="GUR2240" s="1733"/>
      <c r="GUS2240" s="1733"/>
      <c r="GUT2240" s="1733"/>
      <c r="GUU2240" s="1733"/>
      <c r="GUV2240" s="1733"/>
      <c r="GUW2240" s="1733"/>
      <c r="GUX2240" s="1733"/>
      <c r="GUY2240" s="1733"/>
      <c r="GUZ2240" s="1733"/>
      <c r="GVA2240" s="1733"/>
      <c r="GVB2240" s="1733"/>
      <c r="GVC2240" s="1733"/>
      <c r="GVD2240" s="1733"/>
      <c r="GVE2240" s="1733"/>
      <c r="GVF2240" s="1733"/>
      <c r="GVG2240" s="1733"/>
      <c r="GVH2240" s="1733"/>
      <c r="GVI2240" s="1733"/>
      <c r="GVJ2240" s="1733"/>
      <c r="GVK2240" s="1733"/>
      <c r="GVL2240" s="1733"/>
      <c r="GVM2240" s="1733"/>
      <c r="GVN2240" s="1733"/>
      <c r="GVO2240" s="1733"/>
      <c r="GVP2240" s="1733"/>
      <c r="GVQ2240" s="1733"/>
      <c r="GVR2240" s="1733"/>
      <c r="GVS2240" s="1733"/>
      <c r="GVT2240" s="1733"/>
      <c r="GVU2240" s="1733"/>
      <c r="GVV2240" s="1733"/>
      <c r="GVW2240" s="1733"/>
      <c r="GVX2240" s="1733"/>
      <c r="GVY2240" s="1733"/>
      <c r="GVZ2240" s="1733"/>
      <c r="GWA2240" s="1733"/>
      <c r="GWB2240" s="1733"/>
      <c r="GWC2240" s="1733"/>
      <c r="GWD2240" s="1733"/>
      <c r="GWE2240" s="1733"/>
      <c r="GWF2240" s="1733"/>
      <c r="GWG2240" s="1733"/>
      <c r="GWH2240" s="1733"/>
      <c r="GWI2240" s="1733"/>
      <c r="GWJ2240" s="1733"/>
      <c r="GWK2240" s="1733"/>
      <c r="GWL2240" s="1733"/>
      <c r="GWM2240" s="1733"/>
      <c r="GWN2240" s="1733"/>
      <c r="GWO2240" s="1733"/>
      <c r="GWP2240" s="1733"/>
      <c r="GWQ2240" s="1733"/>
      <c r="GWR2240" s="1733"/>
      <c r="GWS2240" s="1733"/>
      <c r="GWT2240" s="1733"/>
      <c r="GWU2240" s="1733"/>
      <c r="GWV2240" s="1733"/>
      <c r="GWW2240" s="1733"/>
      <c r="GWX2240" s="1733"/>
      <c r="GWY2240" s="1733"/>
      <c r="GWZ2240" s="1733"/>
      <c r="GXA2240" s="1733"/>
      <c r="GXB2240" s="1733"/>
      <c r="GXC2240" s="1733"/>
      <c r="GXD2240" s="1733"/>
      <c r="GXE2240" s="1733"/>
      <c r="GXF2240" s="1733"/>
      <c r="GXG2240" s="1733"/>
      <c r="GXH2240" s="1733"/>
      <c r="GXI2240" s="1733"/>
      <c r="GXJ2240" s="1733"/>
      <c r="GXK2240" s="1733"/>
      <c r="GXL2240" s="1733"/>
      <c r="GXM2240" s="1733"/>
      <c r="GXN2240" s="1733"/>
      <c r="GXO2240" s="1733"/>
      <c r="GXP2240" s="1733"/>
      <c r="GXQ2240" s="1733"/>
      <c r="GXR2240" s="1733"/>
      <c r="GXS2240" s="1733"/>
      <c r="GXT2240" s="1733"/>
      <c r="GXU2240" s="1733"/>
      <c r="GXV2240" s="1733"/>
      <c r="GXW2240" s="1733"/>
      <c r="GXX2240" s="1733"/>
      <c r="GXY2240" s="1733"/>
      <c r="GXZ2240" s="1733"/>
      <c r="GYA2240" s="1733"/>
      <c r="GYB2240" s="1733"/>
      <c r="GYC2240" s="1733"/>
      <c r="GYD2240" s="1733"/>
      <c r="GYE2240" s="1733"/>
      <c r="GYF2240" s="1733"/>
      <c r="GYG2240" s="1733"/>
      <c r="GYH2240" s="1733"/>
      <c r="GYI2240" s="1733"/>
      <c r="GYJ2240" s="1733"/>
      <c r="GYK2240" s="1733"/>
      <c r="GYL2240" s="1733"/>
      <c r="GYM2240" s="1733"/>
      <c r="GYN2240" s="1733"/>
      <c r="GYO2240" s="1733"/>
      <c r="GYP2240" s="1733"/>
      <c r="GYQ2240" s="1733"/>
      <c r="GYR2240" s="1733"/>
      <c r="GYS2240" s="1733"/>
      <c r="GYT2240" s="1733"/>
      <c r="GYU2240" s="1733"/>
      <c r="GYV2240" s="1733"/>
      <c r="GYW2240" s="1733"/>
      <c r="GYX2240" s="1733"/>
      <c r="GYY2240" s="1733"/>
      <c r="GYZ2240" s="1733"/>
      <c r="GZA2240" s="1733"/>
      <c r="GZB2240" s="1733"/>
      <c r="GZC2240" s="1733"/>
      <c r="GZD2240" s="1733"/>
      <c r="GZE2240" s="1733"/>
      <c r="GZF2240" s="1733"/>
      <c r="GZG2240" s="1733"/>
      <c r="GZH2240" s="1733"/>
      <c r="GZI2240" s="1733"/>
      <c r="GZJ2240" s="1733"/>
      <c r="GZK2240" s="1733"/>
      <c r="GZL2240" s="1733"/>
      <c r="GZM2240" s="1733"/>
      <c r="GZN2240" s="1733"/>
      <c r="GZO2240" s="1733"/>
      <c r="GZP2240" s="1733"/>
      <c r="GZQ2240" s="1733"/>
      <c r="GZR2240" s="1733"/>
      <c r="GZS2240" s="1733"/>
      <c r="GZT2240" s="1733"/>
      <c r="GZU2240" s="1733"/>
      <c r="GZV2240" s="1733"/>
      <c r="GZW2240" s="1733"/>
      <c r="GZX2240" s="1733"/>
      <c r="GZY2240" s="1733"/>
      <c r="GZZ2240" s="1733"/>
      <c r="HAA2240" s="1733"/>
      <c r="HAB2240" s="1733"/>
      <c r="HAC2240" s="1733"/>
      <c r="HAD2240" s="1733"/>
      <c r="HAE2240" s="1733"/>
      <c r="HAF2240" s="1733"/>
      <c r="HAG2240" s="1733"/>
      <c r="HAH2240" s="1733"/>
      <c r="HAI2240" s="1733"/>
      <c r="HAJ2240" s="1733"/>
      <c r="HAK2240" s="1733"/>
      <c r="HAL2240" s="1733"/>
      <c r="HAM2240" s="1733"/>
      <c r="HAN2240" s="1733"/>
      <c r="HAO2240" s="1733"/>
      <c r="HAP2240" s="1733"/>
      <c r="HAQ2240" s="1733"/>
      <c r="HAR2240" s="1733"/>
      <c r="HAS2240" s="1733"/>
      <c r="HAT2240" s="1733"/>
      <c r="HAU2240" s="1733"/>
      <c r="HAV2240" s="1733"/>
      <c r="HAW2240" s="1733"/>
      <c r="HAX2240" s="1733"/>
      <c r="HAY2240" s="1733"/>
      <c r="HAZ2240" s="1733"/>
      <c r="HBA2240" s="1733"/>
      <c r="HBB2240" s="1733"/>
      <c r="HBC2240" s="1733"/>
      <c r="HBD2240" s="1733"/>
      <c r="HBE2240" s="1733"/>
      <c r="HBF2240" s="1733"/>
      <c r="HBG2240" s="1733"/>
      <c r="HBH2240" s="1733"/>
      <c r="HBI2240" s="1733"/>
      <c r="HBJ2240" s="1733"/>
      <c r="HBK2240" s="1733"/>
      <c r="HBL2240" s="1733"/>
      <c r="HBM2240" s="1733"/>
      <c r="HBN2240" s="1733"/>
      <c r="HBO2240" s="1733"/>
      <c r="HBP2240" s="1733"/>
      <c r="HBQ2240" s="1733"/>
      <c r="HBR2240" s="1733"/>
      <c r="HBS2240" s="1733"/>
      <c r="HBT2240" s="1733"/>
      <c r="HBU2240" s="1733"/>
      <c r="HBV2240" s="1733"/>
      <c r="HBW2240" s="1733"/>
      <c r="HBX2240" s="1733"/>
      <c r="HBY2240" s="1733"/>
      <c r="HBZ2240" s="1733"/>
      <c r="HCA2240" s="1733"/>
      <c r="HCB2240" s="1733"/>
      <c r="HCC2240" s="1733"/>
      <c r="HCD2240" s="1733"/>
      <c r="HCE2240" s="1733"/>
      <c r="HCF2240" s="1733"/>
      <c r="HCG2240" s="1733"/>
      <c r="HCH2240" s="1733"/>
      <c r="HCI2240" s="1733"/>
      <c r="HCJ2240" s="1733"/>
      <c r="HCK2240" s="1733"/>
      <c r="HCL2240" s="1733"/>
      <c r="HCM2240" s="1733"/>
      <c r="HCN2240" s="1733"/>
      <c r="HCO2240" s="1733"/>
      <c r="HCP2240" s="1733"/>
      <c r="HCQ2240" s="1733"/>
      <c r="HCR2240" s="1733"/>
      <c r="HCS2240" s="1733"/>
      <c r="HCT2240" s="1733"/>
      <c r="HCU2240" s="1733"/>
      <c r="HCV2240" s="1733"/>
      <c r="HCW2240" s="1733"/>
      <c r="HCX2240" s="1733"/>
      <c r="HCY2240" s="1733"/>
      <c r="HCZ2240" s="1733"/>
      <c r="HDA2240" s="1733"/>
      <c r="HDB2240" s="1733"/>
      <c r="HDC2240" s="1733"/>
      <c r="HDD2240" s="1733"/>
      <c r="HDE2240" s="1733"/>
      <c r="HDF2240" s="1733"/>
      <c r="HDG2240" s="1733"/>
      <c r="HDH2240" s="1733"/>
      <c r="HDI2240" s="1733"/>
      <c r="HDJ2240" s="1733"/>
      <c r="HDK2240" s="1733"/>
      <c r="HDL2240" s="1733"/>
      <c r="HDM2240" s="1733"/>
      <c r="HDN2240" s="1733"/>
      <c r="HDO2240" s="1733"/>
      <c r="HDP2240" s="1733"/>
      <c r="HDQ2240" s="1733"/>
      <c r="HDR2240" s="1733"/>
      <c r="HDS2240" s="1733"/>
      <c r="HDT2240" s="1733"/>
      <c r="HDU2240" s="1733"/>
      <c r="HDV2240" s="1733"/>
      <c r="HDW2240" s="1733"/>
      <c r="HDX2240" s="1733"/>
      <c r="HDY2240" s="1733"/>
      <c r="HDZ2240" s="1733"/>
      <c r="HEA2240" s="1733"/>
      <c r="HEB2240" s="1733"/>
      <c r="HEC2240" s="1733"/>
      <c r="HED2240" s="1733"/>
      <c r="HEE2240" s="1733"/>
      <c r="HEF2240" s="1733"/>
      <c r="HEG2240" s="1733"/>
      <c r="HEH2240" s="1733"/>
      <c r="HEI2240" s="1733"/>
      <c r="HEJ2240" s="1733"/>
      <c r="HEK2240" s="1733"/>
      <c r="HEL2240" s="1733"/>
      <c r="HEM2240" s="1733"/>
      <c r="HEN2240" s="1733"/>
      <c r="HEO2240" s="1733"/>
      <c r="HEP2240" s="1733"/>
      <c r="HEQ2240" s="1733"/>
      <c r="HER2240" s="1733"/>
      <c r="HES2240" s="1733"/>
      <c r="HET2240" s="1733"/>
      <c r="HEU2240" s="1733"/>
      <c r="HEV2240" s="1733"/>
      <c r="HEW2240" s="1733"/>
      <c r="HEX2240" s="1733"/>
      <c r="HEY2240" s="1733"/>
      <c r="HEZ2240" s="1733"/>
      <c r="HFA2240" s="1733"/>
      <c r="HFB2240" s="1733"/>
      <c r="HFC2240" s="1733"/>
      <c r="HFD2240" s="1733"/>
      <c r="HFE2240" s="1733"/>
      <c r="HFF2240" s="1733"/>
      <c r="HFG2240" s="1733"/>
      <c r="HFH2240" s="1733"/>
      <c r="HFI2240" s="1733"/>
      <c r="HFJ2240" s="1733"/>
      <c r="HFK2240" s="1733"/>
      <c r="HFL2240" s="1733"/>
      <c r="HFM2240" s="1733"/>
      <c r="HFN2240" s="1733"/>
      <c r="HFO2240" s="1733"/>
      <c r="HFP2240" s="1733"/>
      <c r="HFQ2240" s="1733"/>
      <c r="HFR2240" s="1733"/>
      <c r="HFS2240" s="1733"/>
      <c r="HFT2240" s="1733"/>
      <c r="HFU2240" s="1733"/>
      <c r="HFV2240" s="1733"/>
      <c r="HFW2240" s="1733"/>
      <c r="HFX2240" s="1733"/>
      <c r="HFY2240" s="1733"/>
      <c r="HFZ2240" s="1733"/>
      <c r="HGA2240" s="1733"/>
      <c r="HGB2240" s="1733"/>
      <c r="HGC2240" s="1733"/>
      <c r="HGD2240" s="1733"/>
      <c r="HGE2240" s="1733"/>
      <c r="HGF2240" s="1733"/>
      <c r="HGG2240" s="1733"/>
      <c r="HGH2240" s="1733"/>
      <c r="HGI2240" s="1733"/>
      <c r="HGJ2240" s="1733"/>
      <c r="HGK2240" s="1733"/>
      <c r="HGL2240" s="1733"/>
      <c r="HGM2240" s="1733"/>
      <c r="HGN2240" s="1733"/>
      <c r="HGO2240" s="1733"/>
      <c r="HGP2240" s="1733"/>
      <c r="HGQ2240" s="1733"/>
      <c r="HGR2240" s="1733"/>
      <c r="HGS2240" s="1733"/>
      <c r="HGT2240" s="1733"/>
      <c r="HGU2240" s="1733"/>
      <c r="HGV2240" s="1733"/>
      <c r="HGW2240" s="1733"/>
      <c r="HGX2240" s="1733"/>
      <c r="HGY2240" s="1733"/>
      <c r="HGZ2240" s="1733"/>
      <c r="HHA2240" s="1733"/>
      <c r="HHB2240" s="1733"/>
      <c r="HHC2240" s="1733"/>
      <c r="HHD2240" s="1733"/>
      <c r="HHE2240" s="1733"/>
      <c r="HHF2240" s="1733"/>
      <c r="HHG2240" s="1733"/>
      <c r="HHH2240" s="1733"/>
      <c r="HHI2240" s="1733"/>
      <c r="HHJ2240" s="1733"/>
      <c r="HHK2240" s="1733"/>
      <c r="HHL2240" s="1733"/>
      <c r="HHM2240" s="1733"/>
      <c r="HHN2240" s="1733"/>
      <c r="HHO2240" s="1733"/>
      <c r="HHP2240" s="1733"/>
      <c r="HHQ2240" s="1733"/>
      <c r="HHR2240" s="1733"/>
      <c r="HHS2240" s="1733"/>
      <c r="HHT2240" s="1733"/>
      <c r="HHU2240" s="1733"/>
      <c r="HHV2240" s="1733"/>
      <c r="HHW2240" s="1733"/>
      <c r="HHX2240" s="1733"/>
      <c r="HHY2240" s="1733"/>
      <c r="HHZ2240" s="1733"/>
      <c r="HIA2240" s="1733"/>
      <c r="HIB2240" s="1733"/>
      <c r="HIC2240" s="1733"/>
      <c r="HID2240" s="1733"/>
      <c r="HIE2240" s="1733"/>
      <c r="HIF2240" s="1733"/>
      <c r="HIG2240" s="1733"/>
      <c r="HIH2240" s="1733"/>
      <c r="HII2240" s="1733"/>
      <c r="HIJ2240" s="1733"/>
      <c r="HIK2240" s="1733"/>
      <c r="HIL2240" s="1733"/>
      <c r="HIM2240" s="1733"/>
      <c r="HIN2240" s="1733"/>
      <c r="HIO2240" s="1733"/>
      <c r="HIP2240" s="1733"/>
      <c r="HIQ2240" s="1733"/>
      <c r="HIR2240" s="1733"/>
      <c r="HIS2240" s="1733"/>
      <c r="HIT2240" s="1733"/>
      <c r="HIU2240" s="1733"/>
      <c r="HIV2240" s="1733"/>
      <c r="HIW2240" s="1733"/>
      <c r="HIX2240" s="1733"/>
      <c r="HIY2240" s="1733"/>
      <c r="HIZ2240" s="1733"/>
      <c r="HJA2240" s="1733"/>
      <c r="HJB2240" s="1733"/>
      <c r="HJC2240" s="1733"/>
      <c r="HJD2240" s="1733"/>
      <c r="HJE2240" s="1733"/>
      <c r="HJF2240" s="1733"/>
      <c r="HJG2240" s="1733"/>
      <c r="HJH2240" s="1733"/>
      <c r="HJI2240" s="1733"/>
      <c r="HJJ2240" s="1733"/>
      <c r="HJK2240" s="1733"/>
      <c r="HJL2240" s="1733"/>
      <c r="HJM2240" s="1733"/>
      <c r="HJN2240" s="1733"/>
      <c r="HJO2240" s="1733"/>
      <c r="HJP2240" s="1733"/>
      <c r="HJQ2240" s="1733"/>
      <c r="HJR2240" s="1733"/>
      <c r="HJS2240" s="1733"/>
      <c r="HJT2240" s="1733"/>
      <c r="HJU2240" s="1733"/>
      <c r="HJV2240" s="1733"/>
      <c r="HJW2240" s="1733"/>
      <c r="HJX2240" s="1733"/>
      <c r="HJY2240" s="1733"/>
      <c r="HJZ2240" s="1733"/>
      <c r="HKA2240" s="1733"/>
      <c r="HKB2240" s="1733"/>
      <c r="HKC2240" s="1733"/>
      <c r="HKD2240" s="1733"/>
      <c r="HKE2240" s="1733"/>
      <c r="HKF2240" s="1733"/>
      <c r="HKG2240" s="1733"/>
      <c r="HKH2240" s="1733"/>
      <c r="HKI2240" s="1733"/>
      <c r="HKJ2240" s="1733"/>
      <c r="HKK2240" s="1733"/>
      <c r="HKL2240" s="1733"/>
      <c r="HKM2240" s="1733"/>
      <c r="HKN2240" s="1733"/>
      <c r="HKO2240" s="1733"/>
      <c r="HKP2240" s="1733"/>
      <c r="HKQ2240" s="1733"/>
      <c r="HKR2240" s="1733"/>
      <c r="HKS2240" s="1733"/>
      <c r="HKT2240" s="1733"/>
      <c r="HKU2240" s="1733"/>
      <c r="HKV2240" s="1733"/>
      <c r="HKW2240" s="1733"/>
      <c r="HKX2240" s="1733"/>
      <c r="HKY2240" s="1733"/>
      <c r="HKZ2240" s="1733"/>
      <c r="HLA2240" s="1733"/>
      <c r="HLB2240" s="1733"/>
      <c r="HLC2240" s="1733"/>
      <c r="HLD2240" s="1733"/>
      <c r="HLE2240" s="1733"/>
      <c r="HLF2240" s="1733"/>
      <c r="HLG2240" s="1733"/>
      <c r="HLH2240" s="1733"/>
      <c r="HLI2240" s="1733"/>
      <c r="HLJ2240" s="1733"/>
      <c r="HLK2240" s="1733"/>
      <c r="HLL2240" s="1733"/>
      <c r="HLM2240" s="1733"/>
      <c r="HLN2240" s="1733"/>
      <c r="HLO2240" s="1733"/>
      <c r="HLP2240" s="1733"/>
      <c r="HLQ2240" s="1733"/>
      <c r="HLR2240" s="1733"/>
      <c r="HLS2240" s="1733"/>
      <c r="HLT2240" s="1733"/>
      <c r="HLU2240" s="1733"/>
      <c r="HLV2240" s="1733"/>
      <c r="HLW2240" s="1733"/>
      <c r="HLX2240" s="1733"/>
      <c r="HLY2240" s="1733"/>
      <c r="HLZ2240" s="1733"/>
      <c r="HMA2240" s="1733"/>
      <c r="HMB2240" s="1733"/>
      <c r="HMC2240" s="1733"/>
      <c r="HMD2240" s="1733"/>
      <c r="HME2240" s="1733"/>
      <c r="HMF2240" s="1733"/>
      <c r="HMG2240" s="1733"/>
      <c r="HMH2240" s="1733"/>
      <c r="HMI2240" s="1733"/>
      <c r="HMJ2240" s="1733"/>
      <c r="HMK2240" s="1733"/>
      <c r="HML2240" s="1733"/>
      <c r="HMM2240" s="1733"/>
      <c r="HMN2240" s="1733"/>
      <c r="HMO2240" s="1733"/>
      <c r="HMP2240" s="1733"/>
      <c r="HMQ2240" s="1733"/>
      <c r="HMR2240" s="1733"/>
      <c r="HMS2240" s="1733"/>
      <c r="HMT2240" s="1733"/>
      <c r="HMU2240" s="1733"/>
      <c r="HMV2240" s="1733"/>
      <c r="HMW2240" s="1733"/>
      <c r="HMX2240" s="1733"/>
      <c r="HMY2240" s="1733"/>
      <c r="HMZ2240" s="1733"/>
      <c r="HNA2240" s="1733"/>
      <c r="HNB2240" s="1733"/>
      <c r="HNC2240" s="1733"/>
      <c r="HND2240" s="1733"/>
      <c r="HNE2240" s="1733"/>
      <c r="HNF2240" s="1733"/>
      <c r="HNG2240" s="1733"/>
      <c r="HNH2240" s="1733"/>
      <c r="HNI2240" s="1733"/>
      <c r="HNJ2240" s="1733"/>
      <c r="HNK2240" s="1733"/>
      <c r="HNL2240" s="1733"/>
      <c r="HNM2240" s="1733"/>
      <c r="HNN2240" s="1733"/>
      <c r="HNO2240" s="1733"/>
      <c r="HNP2240" s="1733"/>
      <c r="HNQ2240" s="1733"/>
      <c r="HNR2240" s="1733"/>
      <c r="HNS2240" s="1733"/>
      <c r="HNT2240" s="1733"/>
      <c r="HNU2240" s="1733"/>
      <c r="HNV2240" s="1733"/>
      <c r="HNW2240" s="1733"/>
      <c r="HNX2240" s="1733"/>
      <c r="HNY2240" s="1733"/>
      <c r="HNZ2240" s="1733"/>
      <c r="HOA2240" s="1733"/>
      <c r="HOB2240" s="1733"/>
      <c r="HOC2240" s="1733"/>
      <c r="HOD2240" s="1733"/>
      <c r="HOE2240" s="1733"/>
      <c r="HOF2240" s="1733"/>
      <c r="HOG2240" s="1733"/>
      <c r="HOH2240" s="1733"/>
      <c r="HOI2240" s="1733"/>
      <c r="HOJ2240" s="1733"/>
      <c r="HOK2240" s="1733"/>
      <c r="HOL2240" s="1733"/>
      <c r="HOM2240" s="1733"/>
      <c r="HON2240" s="1733"/>
      <c r="HOO2240" s="1733"/>
      <c r="HOP2240" s="1733"/>
      <c r="HOQ2240" s="1733"/>
      <c r="HOR2240" s="1733"/>
      <c r="HOS2240" s="1733"/>
      <c r="HOT2240" s="1733"/>
      <c r="HOU2240" s="1733"/>
      <c r="HOV2240" s="1733"/>
      <c r="HOW2240" s="1733"/>
      <c r="HOX2240" s="1733"/>
      <c r="HOY2240" s="1733"/>
      <c r="HOZ2240" s="1733"/>
      <c r="HPA2240" s="1733"/>
      <c r="HPB2240" s="1733"/>
      <c r="HPC2240" s="1733"/>
      <c r="HPD2240" s="1733"/>
      <c r="HPE2240" s="1733"/>
      <c r="HPF2240" s="1733"/>
      <c r="HPG2240" s="1733"/>
      <c r="HPH2240" s="1733"/>
      <c r="HPI2240" s="1733"/>
      <c r="HPJ2240" s="1733"/>
      <c r="HPK2240" s="1733"/>
      <c r="HPL2240" s="1733"/>
      <c r="HPM2240" s="1733"/>
      <c r="HPN2240" s="1733"/>
      <c r="HPO2240" s="1733"/>
      <c r="HPP2240" s="1733"/>
      <c r="HPQ2240" s="1733"/>
      <c r="HPR2240" s="1733"/>
      <c r="HPS2240" s="1733"/>
      <c r="HPT2240" s="1733"/>
      <c r="HPU2240" s="1733"/>
      <c r="HPV2240" s="1733"/>
      <c r="HPW2240" s="1733"/>
      <c r="HPX2240" s="1733"/>
      <c r="HPY2240" s="1733"/>
      <c r="HPZ2240" s="1733"/>
      <c r="HQA2240" s="1733"/>
      <c r="HQB2240" s="1733"/>
      <c r="HQC2240" s="1733"/>
      <c r="HQD2240" s="1733"/>
      <c r="HQE2240" s="1733"/>
      <c r="HQF2240" s="1733"/>
      <c r="HQG2240" s="1733"/>
      <c r="HQH2240" s="1733"/>
      <c r="HQI2240" s="1733"/>
      <c r="HQJ2240" s="1733"/>
      <c r="HQK2240" s="1733"/>
      <c r="HQL2240" s="1733"/>
      <c r="HQM2240" s="1733"/>
      <c r="HQN2240" s="1733"/>
      <c r="HQO2240" s="1733"/>
      <c r="HQP2240" s="1733"/>
      <c r="HQQ2240" s="1733"/>
      <c r="HQR2240" s="1733"/>
      <c r="HQS2240" s="1733"/>
      <c r="HQT2240" s="1733"/>
      <c r="HQU2240" s="1733"/>
      <c r="HQV2240" s="1733"/>
      <c r="HQW2240" s="1733"/>
      <c r="HQX2240" s="1733"/>
      <c r="HQY2240" s="1733"/>
      <c r="HQZ2240" s="1733"/>
      <c r="HRA2240" s="1733"/>
      <c r="HRB2240" s="1733"/>
      <c r="HRC2240" s="1733"/>
      <c r="HRD2240" s="1733"/>
      <c r="HRE2240" s="1733"/>
      <c r="HRF2240" s="1733"/>
      <c r="HRG2240" s="1733"/>
      <c r="HRH2240" s="1733"/>
      <c r="HRI2240" s="1733"/>
      <c r="HRJ2240" s="1733"/>
      <c r="HRK2240" s="1733"/>
      <c r="HRL2240" s="1733"/>
      <c r="HRM2240" s="1733"/>
      <c r="HRN2240" s="1733"/>
      <c r="HRO2240" s="1733"/>
      <c r="HRP2240" s="1733"/>
      <c r="HRQ2240" s="1733"/>
      <c r="HRR2240" s="1733"/>
      <c r="HRS2240" s="1733"/>
      <c r="HRT2240" s="1733"/>
      <c r="HRU2240" s="1733"/>
      <c r="HRV2240" s="1733"/>
      <c r="HRW2240" s="1733"/>
      <c r="HRX2240" s="1733"/>
      <c r="HRY2240" s="1733"/>
      <c r="HRZ2240" s="1733"/>
      <c r="HSA2240" s="1733"/>
      <c r="HSB2240" s="1733"/>
      <c r="HSC2240" s="1733"/>
      <c r="HSD2240" s="1733"/>
      <c r="HSE2240" s="1733"/>
      <c r="HSF2240" s="1733"/>
      <c r="HSG2240" s="1733"/>
      <c r="HSH2240" s="1733"/>
      <c r="HSI2240" s="1733"/>
      <c r="HSJ2240" s="1733"/>
      <c r="HSK2240" s="1733"/>
      <c r="HSL2240" s="1733"/>
      <c r="HSM2240" s="1733"/>
      <c r="HSN2240" s="1733"/>
      <c r="HSO2240" s="1733"/>
      <c r="HSP2240" s="1733"/>
      <c r="HSQ2240" s="1733"/>
      <c r="HSR2240" s="1733"/>
      <c r="HSS2240" s="1733"/>
      <c r="HST2240" s="1733"/>
      <c r="HSU2240" s="1733"/>
      <c r="HSV2240" s="1733"/>
      <c r="HSW2240" s="1733"/>
      <c r="HSX2240" s="1733"/>
      <c r="HSY2240" s="1733"/>
      <c r="HSZ2240" s="1733"/>
      <c r="HTA2240" s="1733"/>
      <c r="HTB2240" s="1733"/>
      <c r="HTC2240" s="1733"/>
      <c r="HTD2240" s="1733"/>
      <c r="HTE2240" s="1733"/>
      <c r="HTF2240" s="1733"/>
      <c r="HTG2240" s="1733"/>
      <c r="HTH2240" s="1733"/>
      <c r="HTI2240" s="1733"/>
      <c r="HTJ2240" s="1733"/>
      <c r="HTK2240" s="1733"/>
      <c r="HTL2240" s="1733"/>
      <c r="HTM2240" s="1733"/>
      <c r="HTN2240" s="1733"/>
      <c r="HTO2240" s="1733"/>
      <c r="HTP2240" s="1733"/>
      <c r="HTQ2240" s="1733"/>
      <c r="HTR2240" s="1733"/>
      <c r="HTS2240" s="1733"/>
      <c r="HTT2240" s="1733"/>
      <c r="HTU2240" s="1733"/>
      <c r="HTV2240" s="1733"/>
      <c r="HTW2240" s="1733"/>
      <c r="HTX2240" s="1733"/>
      <c r="HTY2240" s="1733"/>
      <c r="HTZ2240" s="1733"/>
      <c r="HUA2240" s="1733"/>
      <c r="HUB2240" s="1733"/>
      <c r="HUC2240" s="1733"/>
      <c r="HUD2240" s="1733"/>
      <c r="HUE2240" s="1733"/>
      <c r="HUF2240" s="1733"/>
      <c r="HUG2240" s="1733"/>
      <c r="HUH2240" s="1733"/>
      <c r="HUI2240" s="1733"/>
      <c r="HUJ2240" s="1733"/>
      <c r="HUK2240" s="1733"/>
      <c r="HUL2240" s="1733"/>
      <c r="HUM2240" s="1733"/>
      <c r="HUN2240" s="1733"/>
      <c r="HUO2240" s="1733"/>
      <c r="HUP2240" s="1733"/>
      <c r="HUQ2240" s="1733"/>
      <c r="HUR2240" s="1733"/>
      <c r="HUS2240" s="1733"/>
      <c r="HUT2240" s="1733"/>
      <c r="HUU2240" s="1733"/>
      <c r="HUV2240" s="1733"/>
      <c r="HUW2240" s="1733"/>
      <c r="HUX2240" s="1733"/>
      <c r="HUY2240" s="1733"/>
      <c r="HUZ2240" s="1733"/>
      <c r="HVA2240" s="1733"/>
      <c r="HVB2240" s="1733"/>
      <c r="HVC2240" s="1733"/>
      <c r="HVD2240" s="1733"/>
      <c r="HVE2240" s="1733"/>
      <c r="HVF2240" s="1733"/>
      <c r="HVG2240" s="1733"/>
      <c r="HVH2240" s="1733"/>
      <c r="HVI2240" s="1733"/>
      <c r="HVJ2240" s="1733"/>
      <c r="HVK2240" s="1733"/>
      <c r="HVL2240" s="1733"/>
      <c r="HVM2240" s="1733"/>
      <c r="HVN2240" s="1733"/>
      <c r="HVO2240" s="1733"/>
      <c r="HVP2240" s="1733"/>
      <c r="HVQ2240" s="1733"/>
      <c r="HVR2240" s="1733"/>
      <c r="HVS2240" s="1733"/>
      <c r="HVT2240" s="1733"/>
      <c r="HVU2240" s="1733"/>
      <c r="HVV2240" s="1733"/>
      <c r="HVW2240" s="1733"/>
      <c r="HVX2240" s="1733"/>
      <c r="HVY2240" s="1733"/>
      <c r="HVZ2240" s="1733"/>
      <c r="HWA2240" s="1733"/>
      <c r="HWB2240" s="1733"/>
      <c r="HWC2240" s="1733"/>
      <c r="HWD2240" s="1733"/>
      <c r="HWE2240" s="1733"/>
      <c r="HWF2240" s="1733"/>
      <c r="HWG2240" s="1733"/>
      <c r="HWH2240" s="1733"/>
      <c r="HWI2240" s="1733"/>
      <c r="HWJ2240" s="1733"/>
      <c r="HWK2240" s="1733"/>
      <c r="HWL2240" s="1733"/>
      <c r="HWM2240" s="1733"/>
      <c r="HWN2240" s="1733"/>
      <c r="HWO2240" s="1733"/>
      <c r="HWP2240" s="1733"/>
      <c r="HWQ2240" s="1733"/>
      <c r="HWR2240" s="1733"/>
      <c r="HWS2240" s="1733"/>
      <c r="HWT2240" s="1733"/>
      <c r="HWU2240" s="1733"/>
      <c r="HWV2240" s="1733"/>
      <c r="HWW2240" s="1733"/>
      <c r="HWX2240" s="1733"/>
      <c r="HWY2240" s="1733"/>
      <c r="HWZ2240" s="1733"/>
      <c r="HXA2240" s="1733"/>
      <c r="HXB2240" s="1733"/>
      <c r="HXC2240" s="1733"/>
      <c r="HXD2240" s="1733"/>
      <c r="HXE2240" s="1733"/>
      <c r="HXF2240" s="1733"/>
      <c r="HXG2240" s="1733"/>
      <c r="HXH2240" s="1733"/>
      <c r="HXI2240" s="1733"/>
      <c r="HXJ2240" s="1733"/>
      <c r="HXK2240" s="1733"/>
      <c r="HXL2240" s="1733"/>
      <c r="HXM2240" s="1733"/>
      <c r="HXN2240" s="1733"/>
      <c r="HXO2240" s="1733"/>
      <c r="HXP2240" s="1733"/>
      <c r="HXQ2240" s="1733"/>
      <c r="HXR2240" s="1733"/>
      <c r="HXS2240" s="1733"/>
      <c r="HXT2240" s="1733"/>
      <c r="HXU2240" s="1733"/>
      <c r="HXV2240" s="1733"/>
      <c r="HXW2240" s="1733"/>
      <c r="HXX2240" s="1733"/>
      <c r="HXY2240" s="1733"/>
      <c r="HXZ2240" s="1733"/>
      <c r="HYA2240" s="1733"/>
      <c r="HYB2240" s="1733"/>
      <c r="HYC2240" s="1733"/>
      <c r="HYD2240" s="1733"/>
      <c r="HYE2240" s="1733"/>
      <c r="HYF2240" s="1733"/>
      <c r="HYG2240" s="1733"/>
      <c r="HYH2240" s="1733"/>
      <c r="HYI2240" s="1733"/>
      <c r="HYJ2240" s="1733"/>
      <c r="HYK2240" s="1733"/>
      <c r="HYL2240" s="1733"/>
      <c r="HYM2240" s="1733"/>
      <c r="HYN2240" s="1733"/>
      <c r="HYO2240" s="1733"/>
      <c r="HYP2240" s="1733"/>
      <c r="HYQ2240" s="1733"/>
      <c r="HYR2240" s="1733"/>
      <c r="HYS2240" s="1733"/>
      <c r="HYT2240" s="1733"/>
      <c r="HYU2240" s="1733"/>
      <c r="HYV2240" s="1733"/>
      <c r="HYW2240" s="1733"/>
      <c r="HYX2240" s="1733"/>
      <c r="HYY2240" s="1733"/>
      <c r="HYZ2240" s="1733"/>
      <c r="HZA2240" s="1733"/>
      <c r="HZB2240" s="1733"/>
      <c r="HZC2240" s="1733"/>
      <c r="HZD2240" s="1733"/>
      <c r="HZE2240" s="1733"/>
      <c r="HZF2240" s="1733"/>
      <c r="HZG2240" s="1733"/>
      <c r="HZH2240" s="1733"/>
      <c r="HZI2240" s="1733"/>
      <c r="HZJ2240" s="1733"/>
      <c r="HZK2240" s="1733"/>
      <c r="HZL2240" s="1733"/>
      <c r="HZM2240" s="1733"/>
      <c r="HZN2240" s="1733"/>
      <c r="HZO2240" s="1733"/>
      <c r="HZP2240" s="1733"/>
      <c r="HZQ2240" s="1733"/>
      <c r="HZR2240" s="1733"/>
      <c r="HZS2240" s="1733"/>
      <c r="HZT2240" s="1733"/>
      <c r="HZU2240" s="1733"/>
      <c r="HZV2240" s="1733"/>
      <c r="HZW2240" s="1733"/>
      <c r="HZX2240" s="1733"/>
      <c r="HZY2240" s="1733"/>
      <c r="HZZ2240" s="1733"/>
      <c r="IAA2240" s="1733"/>
      <c r="IAB2240" s="1733"/>
      <c r="IAC2240" s="1733"/>
      <c r="IAD2240" s="1733"/>
      <c r="IAE2240" s="1733"/>
      <c r="IAF2240" s="1733"/>
      <c r="IAG2240" s="1733"/>
      <c r="IAH2240" s="1733"/>
      <c r="IAI2240" s="1733"/>
      <c r="IAJ2240" s="1733"/>
      <c r="IAK2240" s="1733"/>
      <c r="IAL2240" s="1733"/>
      <c r="IAM2240" s="1733"/>
      <c r="IAN2240" s="1733"/>
      <c r="IAO2240" s="1733"/>
      <c r="IAP2240" s="1733"/>
      <c r="IAQ2240" s="1733"/>
      <c r="IAR2240" s="1733"/>
      <c r="IAS2240" s="1733"/>
      <c r="IAT2240" s="1733"/>
      <c r="IAU2240" s="1733"/>
      <c r="IAV2240" s="1733"/>
      <c r="IAW2240" s="1733"/>
      <c r="IAX2240" s="1733"/>
      <c r="IAY2240" s="1733"/>
      <c r="IAZ2240" s="1733"/>
      <c r="IBA2240" s="1733"/>
      <c r="IBB2240" s="1733"/>
      <c r="IBC2240" s="1733"/>
      <c r="IBD2240" s="1733"/>
      <c r="IBE2240" s="1733"/>
      <c r="IBF2240" s="1733"/>
      <c r="IBG2240" s="1733"/>
      <c r="IBH2240" s="1733"/>
      <c r="IBI2240" s="1733"/>
      <c r="IBJ2240" s="1733"/>
      <c r="IBK2240" s="1733"/>
      <c r="IBL2240" s="1733"/>
      <c r="IBM2240" s="1733"/>
      <c r="IBN2240" s="1733"/>
      <c r="IBO2240" s="1733"/>
      <c r="IBP2240" s="1733"/>
      <c r="IBQ2240" s="1733"/>
      <c r="IBR2240" s="1733"/>
      <c r="IBS2240" s="1733"/>
      <c r="IBT2240" s="1733"/>
      <c r="IBU2240" s="1733"/>
      <c r="IBV2240" s="1733"/>
      <c r="IBW2240" s="1733"/>
      <c r="IBX2240" s="1733"/>
      <c r="IBY2240" s="1733"/>
      <c r="IBZ2240" s="1733"/>
      <c r="ICA2240" s="1733"/>
      <c r="ICB2240" s="1733"/>
      <c r="ICC2240" s="1733"/>
      <c r="ICD2240" s="1733"/>
      <c r="ICE2240" s="1733"/>
      <c r="ICF2240" s="1733"/>
      <c r="ICG2240" s="1733"/>
      <c r="ICH2240" s="1733"/>
      <c r="ICI2240" s="1733"/>
      <c r="ICJ2240" s="1733"/>
      <c r="ICK2240" s="1733"/>
      <c r="ICL2240" s="1733"/>
      <c r="ICM2240" s="1733"/>
      <c r="ICN2240" s="1733"/>
      <c r="ICO2240" s="1733"/>
      <c r="ICP2240" s="1733"/>
      <c r="ICQ2240" s="1733"/>
      <c r="ICR2240" s="1733"/>
      <c r="ICS2240" s="1733"/>
      <c r="ICT2240" s="1733"/>
      <c r="ICU2240" s="1733"/>
      <c r="ICV2240" s="1733"/>
      <c r="ICW2240" s="1733"/>
      <c r="ICX2240" s="1733"/>
      <c r="ICY2240" s="1733"/>
      <c r="ICZ2240" s="1733"/>
      <c r="IDA2240" s="1733"/>
      <c r="IDB2240" s="1733"/>
      <c r="IDC2240" s="1733"/>
      <c r="IDD2240" s="1733"/>
      <c r="IDE2240" s="1733"/>
      <c r="IDF2240" s="1733"/>
      <c r="IDG2240" s="1733"/>
      <c r="IDH2240" s="1733"/>
      <c r="IDI2240" s="1733"/>
      <c r="IDJ2240" s="1733"/>
      <c r="IDK2240" s="1733"/>
      <c r="IDL2240" s="1733"/>
      <c r="IDM2240" s="1733"/>
      <c r="IDN2240" s="1733"/>
      <c r="IDO2240" s="1733"/>
      <c r="IDP2240" s="1733"/>
      <c r="IDQ2240" s="1733"/>
      <c r="IDR2240" s="1733"/>
      <c r="IDS2240" s="1733"/>
      <c r="IDT2240" s="1733"/>
      <c r="IDU2240" s="1733"/>
      <c r="IDV2240" s="1733"/>
      <c r="IDW2240" s="1733"/>
      <c r="IDX2240" s="1733"/>
      <c r="IDY2240" s="1733"/>
      <c r="IDZ2240" s="1733"/>
      <c r="IEA2240" s="1733"/>
      <c r="IEB2240" s="1733"/>
      <c r="IEC2240" s="1733"/>
      <c r="IED2240" s="1733"/>
      <c r="IEE2240" s="1733"/>
      <c r="IEF2240" s="1733"/>
      <c r="IEG2240" s="1733"/>
      <c r="IEH2240" s="1733"/>
      <c r="IEI2240" s="1733"/>
      <c r="IEJ2240" s="1733"/>
      <c r="IEK2240" s="1733"/>
      <c r="IEL2240" s="1733"/>
      <c r="IEM2240" s="1733"/>
      <c r="IEN2240" s="1733"/>
      <c r="IEO2240" s="1733"/>
      <c r="IEP2240" s="1733"/>
      <c r="IEQ2240" s="1733"/>
      <c r="IER2240" s="1733"/>
      <c r="IES2240" s="1733"/>
      <c r="IET2240" s="1733"/>
      <c r="IEU2240" s="1733"/>
      <c r="IEV2240" s="1733"/>
      <c r="IEW2240" s="1733"/>
      <c r="IEX2240" s="1733"/>
      <c r="IEY2240" s="1733"/>
      <c r="IEZ2240" s="1733"/>
      <c r="IFA2240" s="1733"/>
      <c r="IFB2240" s="1733"/>
      <c r="IFC2240" s="1733"/>
      <c r="IFD2240" s="1733"/>
      <c r="IFE2240" s="1733"/>
      <c r="IFF2240" s="1733"/>
      <c r="IFG2240" s="1733"/>
      <c r="IFH2240" s="1733"/>
      <c r="IFI2240" s="1733"/>
      <c r="IFJ2240" s="1733"/>
      <c r="IFK2240" s="1733"/>
      <c r="IFL2240" s="1733"/>
      <c r="IFM2240" s="1733"/>
      <c r="IFN2240" s="1733"/>
      <c r="IFO2240" s="1733"/>
      <c r="IFP2240" s="1733"/>
      <c r="IFQ2240" s="1733"/>
      <c r="IFR2240" s="1733"/>
      <c r="IFS2240" s="1733"/>
      <c r="IFT2240" s="1733"/>
      <c r="IFU2240" s="1733"/>
      <c r="IFV2240" s="1733"/>
      <c r="IFW2240" s="1733"/>
      <c r="IFX2240" s="1733"/>
      <c r="IFY2240" s="1733"/>
      <c r="IFZ2240" s="1733"/>
      <c r="IGA2240" s="1733"/>
      <c r="IGB2240" s="1733"/>
      <c r="IGC2240" s="1733"/>
      <c r="IGD2240" s="1733"/>
      <c r="IGE2240" s="1733"/>
      <c r="IGF2240" s="1733"/>
      <c r="IGG2240" s="1733"/>
      <c r="IGH2240" s="1733"/>
      <c r="IGI2240" s="1733"/>
      <c r="IGJ2240" s="1733"/>
      <c r="IGK2240" s="1733"/>
      <c r="IGL2240" s="1733"/>
      <c r="IGM2240" s="1733"/>
      <c r="IGN2240" s="1733"/>
      <c r="IGO2240" s="1733"/>
      <c r="IGP2240" s="1733"/>
      <c r="IGQ2240" s="1733"/>
      <c r="IGR2240" s="1733"/>
      <c r="IGS2240" s="1733"/>
      <c r="IGT2240" s="1733"/>
      <c r="IGU2240" s="1733"/>
      <c r="IGV2240" s="1733"/>
      <c r="IGW2240" s="1733"/>
      <c r="IGX2240" s="1733"/>
      <c r="IGY2240" s="1733"/>
      <c r="IGZ2240" s="1733"/>
      <c r="IHA2240" s="1733"/>
      <c r="IHB2240" s="1733"/>
      <c r="IHC2240" s="1733"/>
      <c r="IHD2240" s="1733"/>
      <c r="IHE2240" s="1733"/>
      <c r="IHF2240" s="1733"/>
      <c r="IHG2240" s="1733"/>
      <c r="IHH2240" s="1733"/>
      <c r="IHI2240" s="1733"/>
      <c r="IHJ2240" s="1733"/>
      <c r="IHK2240" s="1733"/>
      <c r="IHL2240" s="1733"/>
      <c r="IHM2240" s="1733"/>
      <c r="IHN2240" s="1733"/>
      <c r="IHO2240" s="1733"/>
      <c r="IHP2240" s="1733"/>
      <c r="IHQ2240" s="1733"/>
      <c r="IHR2240" s="1733"/>
      <c r="IHS2240" s="1733"/>
      <c r="IHT2240" s="1733"/>
      <c r="IHU2240" s="1733"/>
      <c r="IHV2240" s="1733"/>
      <c r="IHW2240" s="1733"/>
      <c r="IHX2240" s="1733"/>
      <c r="IHY2240" s="1733"/>
      <c r="IHZ2240" s="1733"/>
      <c r="IIA2240" s="1733"/>
      <c r="IIB2240" s="1733"/>
      <c r="IIC2240" s="1733"/>
      <c r="IID2240" s="1733"/>
      <c r="IIE2240" s="1733"/>
      <c r="IIF2240" s="1733"/>
      <c r="IIG2240" s="1733"/>
      <c r="IIH2240" s="1733"/>
      <c r="III2240" s="1733"/>
      <c r="IIJ2240" s="1733"/>
      <c r="IIK2240" s="1733"/>
      <c r="IIL2240" s="1733"/>
      <c r="IIM2240" s="1733"/>
      <c r="IIN2240" s="1733"/>
      <c r="IIO2240" s="1733"/>
      <c r="IIP2240" s="1733"/>
      <c r="IIQ2240" s="1733"/>
      <c r="IIR2240" s="1733"/>
      <c r="IIS2240" s="1733"/>
      <c r="IIT2240" s="1733"/>
      <c r="IIU2240" s="1733"/>
      <c r="IIV2240" s="1733"/>
      <c r="IIW2240" s="1733"/>
      <c r="IIX2240" s="1733"/>
      <c r="IIY2240" s="1733"/>
      <c r="IIZ2240" s="1733"/>
      <c r="IJA2240" s="1733"/>
      <c r="IJB2240" s="1733"/>
      <c r="IJC2240" s="1733"/>
      <c r="IJD2240" s="1733"/>
      <c r="IJE2240" s="1733"/>
      <c r="IJF2240" s="1733"/>
      <c r="IJG2240" s="1733"/>
      <c r="IJH2240" s="1733"/>
      <c r="IJI2240" s="1733"/>
      <c r="IJJ2240" s="1733"/>
      <c r="IJK2240" s="1733"/>
      <c r="IJL2240" s="1733"/>
      <c r="IJM2240" s="1733"/>
      <c r="IJN2240" s="1733"/>
      <c r="IJO2240" s="1733"/>
      <c r="IJP2240" s="1733"/>
      <c r="IJQ2240" s="1733"/>
      <c r="IJR2240" s="1733"/>
      <c r="IJS2240" s="1733"/>
      <c r="IJT2240" s="1733"/>
      <c r="IJU2240" s="1733"/>
      <c r="IJV2240" s="1733"/>
      <c r="IJW2240" s="1733"/>
      <c r="IJX2240" s="1733"/>
      <c r="IJY2240" s="1733"/>
      <c r="IJZ2240" s="1733"/>
      <c r="IKA2240" s="1733"/>
      <c r="IKB2240" s="1733"/>
      <c r="IKC2240" s="1733"/>
      <c r="IKD2240" s="1733"/>
      <c r="IKE2240" s="1733"/>
      <c r="IKF2240" s="1733"/>
      <c r="IKG2240" s="1733"/>
      <c r="IKH2240" s="1733"/>
      <c r="IKI2240" s="1733"/>
      <c r="IKJ2240" s="1733"/>
      <c r="IKK2240" s="1733"/>
      <c r="IKL2240" s="1733"/>
      <c r="IKM2240" s="1733"/>
      <c r="IKN2240" s="1733"/>
      <c r="IKO2240" s="1733"/>
      <c r="IKP2240" s="1733"/>
      <c r="IKQ2240" s="1733"/>
      <c r="IKR2240" s="1733"/>
      <c r="IKS2240" s="1733"/>
      <c r="IKT2240" s="1733"/>
      <c r="IKU2240" s="1733"/>
      <c r="IKV2240" s="1733"/>
      <c r="IKW2240" s="1733"/>
      <c r="IKX2240" s="1733"/>
      <c r="IKY2240" s="1733"/>
      <c r="IKZ2240" s="1733"/>
      <c r="ILA2240" s="1733"/>
      <c r="ILB2240" s="1733"/>
      <c r="ILC2240" s="1733"/>
      <c r="ILD2240" s="1733"/>
      <c r="ILE2240" s="1733"/>
      <c r="ILF2240" s="1733"/>
      <c r="ILG2240" s="1733"/>
      <c r="ILH2240" s="1733"/>
      <c r="ILI2240" s="1733"/>
      <c r="ILJ2240" s="1733"/>
      <c r="ILK2240" s="1733"/>
      <c r="ILL2240" s="1733"/>
      <c r="ILM2240" s="1733"/>
      <c r="ILN2240" s="1733"/>
      <c r="ILO2240" s="1733"/>
      <c r="ILP2240" s="1733"/>
      <c r="ILQ2240" s="1733"/>
      <c r="ILR2240" s="1733"/>
      <c r="ILS2240" s="1733"/>
      <c r="ILT2240" s="1733"/>
      <c r="ILU2240" s="1733"/>
      <c r="ILV2240" s="1733"/>
      <c r="ILW2240" s="1733"/>
      <c r="ILX2240" s="1733"/>
      <c r="ILY2240" s="1733"/>
      <c r="ILZ2240" s="1733"/>
      <c r="IMA2240" s="1733"/>
      <c r="IMB2240" s="1733"/>
      <c r="IMC2240" s="1733"/>
      <c r="IMD2240" s="1733"/>
      <c r="IME2240" s="1733"/>
      <c r="IMF2240" s="1733"/>
      <c r="IMG2240" s="1733"/>
      <c r="IMH2240" s="1733"/>
      <c r="IMI2240" s="1733"/>
      <c r="IMJ2240" s="1733"/>
      <c r="IMK2240" s="1733"/>
      <c r="IML2240" s="1733"/>
      <c r="IMM2240" s="1733"/>
      <c r="IMN2240" s="1733"/>
      <c r="IMO2240" s="1733"/>
      <c r="IMP2240" s="1733"/>
      <c r="IMQ2240" s="1733"/>
      <c r="IMR2240" s="1733"/>
      <c r="IMS2240" s="1733"/>
      <c r="IMT2240" s="1733"/>
      <c r="IMU2240" s="1733"/>
      <c r="IMV2240" s="1733"/>
      <c r="IMW2240" s="1733"/>
      <c r="IMX2240" s="1733"/>
      <c r="IMY2240" s="1733"/>
      <c r="IMZ2240" s="1733"/>
      <c r="INA2240" s="1733"/>
      <c r="INB2240" s="1733"/>
      <c r="INC2240" s="1733"/>
      <c r="IND2240" s="1733"/>
      <c r="INE2240" s="1733"/>
      <c r="INF2240" s="1733"/>
      <c r="ING2240" s="1733"/>
      <c r="INH2240" s="1733"/>
      <c r="INI2240" s="1733"/>
      <c r="INJ2240" s="1733"/>
      <c r="INK2240" s="1733"/>
      <c r="INL2240" s="1733"/>
      <c r="INM2240" s="1733"/>
      <c r="INN2240" s="1733"/>
      <c r="INO2240" s="1733"/>
      <c r="INP2240" s="1733"/>
      <c r="INQ2240" s="1733"/>
      <c r="INR2240" s="1733"/>
      <c r="INS2240" s="1733"/>
      <c r="INT2240" s="1733"/>
      <c r="INU2240" s="1733"/>
      <c r="INV2240" s="1733"/>
      <c r="INW2240" s="1733"/>
      <c r="INX2240" s="1733"/>
      <c r="INY2240" s="1733"/>
      <c r="INZ2240" s="1733"/>
      <c r="IOA2240" s="1733"/>
      <c r="IOB2240" s="1733"/>
      <c r="IOC2240" s="1733"/>
      <c r="IOD2240" s="1733"/>
      <c r="IOE2240" s="1733"/>
      <c r="IOF2240" s="1733"/>
      <c r="IOG2240" s="1733"/>
      <c r="IOH2240" s="1733"/>
      <c r="IOI2240" s="1733"/>
      <c r="IOJ2240" s="1733"/>
      <c r="IOK2240" s="1733"/>
      <c r="IOL2240" s="1733"/>
      <c r="IOM2240" s="1733"/>
      <c r="ION2240" s="1733"/>
      <c r="IOO2240" s="1733"/>
      <c r="IOP2240" s="1733"/>
      <c r="IOQ2240" s="1733"/>
      <c r="IOR2240" s="1733"/>
      <c r="IOS2240" s="1733"/>
      <c r="IOT2240" s="1733"/>
      <c r="IOU2240" s="1733"/>
      <c r="IOV2240" s="1733"/>
      <c r="IOW2240" s="1733"/>
      <c r="IOX2240" s="1733"/>
      <c r="IOY2240" s="1733"/>
      <c r="IOZ2240" s="1733"/>
      <c r="IPA2240" s="1733"/>
      <c r="IPB2240" s="1733"/>
      <c r="IPC2240" s="1733"/>
      <c r="IPD2240" s="1733"/>
      <c r="IPE2240" s="1733"/>
      <c r="IPF2240" s="1733"/>
      <c r="IPG2240" s="1733"/>
      <c r="IPH2240" s="1733"/>
      <c r="IPI2240" s="1733"/>
      <c r="IPJ2240" s="1733"/>
      <c r="IPK2240" s="1733"/>
      <c r="IPL2240" s="1733"/>
      <c r="IPM2240" s="1733"/>
      <c r="IPN2240" s="1733"/>
      <c r="IPO2240" s="1733"/>
      <c r="IPP2240" s="1733"/>
      <c r="IPQ2240" s="1733"/>
      <c r="IPR2240" s="1733"/>
      <c r="IPS2240" s="1733"/>
      <c r="IPT2240" s="1733"/>
      <c r="IPU2240" s="1733"/>
      <c r="IPV2240" s="1733"/>
      <c r="IPW2240" s="1733"/>
      <c r="IPX2240" s="1733"/>
      <c r="IPY2240" s="1733"/>
      <c r="IPZ2240" s="1733"/>
      <c r="IQA2240" s="1733"/>
      <c r="IQB2240" s="1733"/>
      <c r="IQC2240" s="1733"/>
      <c r="IQD2240" s="1733"/>
      <c r="IQE2240" s="1733"/>
      <c r="IQF2240" s="1733"/>
      <c r="IQG2240" s="1733"/>
      <c r="IQH2240" s="1733"/>
      <c r="IQI2240" s="1733"/>
      <c r="IQJ2240" s="1733"/>
      <c r="IQK2240" s="1733"/>
      <c r="IQL2240" s="1733"/>
      <c r="IQM2240" s="1733"/>
      <c r="IQN2240" s="1733"/>
      <c r="IQO2240" s="1733"/>
      <c r="IQP2240" s="1733"/>
      <c r="IQQ2240" s="1733"/>
      <c r="IQR2240" s="1733"/>
      <c r="IQS2240" s="1733"/>
      <c r="IQT2240" s="1733"/>
      <c r="IQU2240" s="1733"/>
      <c r="IQV2240" s="1733"/>
      <c r="IQW2240" s="1733"/>
      <c r="IQX2240" s="1733"/>
      <c r="IQY2240" s="1733"/>
      <c r="IQZ2240" s="1733"/>
      <c r="IRA2240" s="1733"/>
      <c r="IRB2240" s="1733"/>
      <c r="IRC2240" s="1733"/>
      <c r="IRD2240" s="1733"/>
      <c r="IRE2240" s="1733"/>
      <c r="IRF2240" s="1733"/>
      <c r="IRG2240" s="1733"/>
      <c r="IRH2240" s="1733"/>
      <c r="IRI2240" s="1733"/>
      <c r="IRJ2240" s="1733"/>
      <c r="IRK2240" s="1733"/>
      <c r="IRL2240" s="1733"/>
      <c r="IRM2240" s="1733"/>
      <c r="IRN2240" s="1733"/>
      <c r="IRO2240" s="1733"/>
      <c r="IRP2240" s="1733"/>
      <c r="IRQ2240" s="1733"/>
      <c r="IRR2240" s="1733"/>
      <c r="IRS2240" s="1733"/>
      <c r="IRT2240" s="1733"/>
      <c r="IRU2240" s="1733"/>
      <c r="IRV2240" s="1733"/>
      <c r="IRW2240" s="1733"/>
      <c r="IRX2240" s="1733"/>
      <c r="IRY2240" s="1733"/>
      <c r="IRZ2240" s="1733"/>
      <c r="ISA2240" s="1733"/>
      <c r="ISB2240" s="1733"/>
      <c r="ISC2240" s="1733"/>
      <c r="ISD2240" s="1733"/>
      <c r="ISE2240" s="1733"/>
      <c r="ISF2240" s="1733"/>
      <c r="ISG2240" s="1733"/>
      <c r="ISH2240" s="1733"/>
      <c r="ISI2240" s="1733"/>
      <c r="ISJ2240" s="1733"/>
      <c r="ISK2240" s="1733"/>
      <c r="ISL2240" s="1733"/>
      <c r="ISM2240" s="1733"/>
      <c r="ISN2240" s="1733"/>
      <c r="ISO2240" s="1733"/>
      <c r="ISP2240" s="1733"/>
      <c r="ISQ2240" s="1733"/>
      <c r="ISR2240" s="1733"/>
      <c r="ISS2240" s="1733"/>
      <c r="IST2240" s="1733"/>
      <c r="ISU2240" s="1733"/>
      <c r="ISV2240" s="1733"/>
      <c r="ISW2240" s="1733"/>
      <c r="ISX2240" s="1733"/>
      <c r="ISY2240" s="1733"/>
      <c r="ISZ2240" s="1733"/>
      <c r="ITA2240" s="1733"/>
      <c r="ITB2240" s="1733"/>
      <c r="ITC2240" s="1733"/>
      <c r="ITD2240" s="1733"/>
      <c r="ITE2240" s="1733"/>
      <c r="ITF2240" s="1733"/>
      <c r="ITG2240" s="1733"/>
      <c r="ITH2240" s="1733"/>
      <c r="ITI2240" s="1733"/>
      <c r="ITJ2240" s="1733"/>
      <c r="ITK2240" s="1733"/>
      <c r="ITL2240" s="1733"/>
      <c r="ITM2240" s="1733"/>
      <c r="ITN2240" s="1733"/>
      <c r="ITO2240" s="1733"/>
      <c r="ITP2240" s="1733"/>
      <c r="ITQ2240" s="1733"/>
      <c r="ITR2240" s="1733"/>
      <c r="ITS2240" s="1733"/>
      <c r="ITT2240" s="1733"/>
      <c r="ITU2240" s="1733"/>
      <c r="ITV2240" s="1733"/>
      <c r="ITW2240" s="1733"/>
      <c r="ITX2240" s="1733"/>
      <c r="ITY2240" s="1733"/>
      <c r="ITZ2240" s="1733"/>
      <c r="IUA2240" s="1733"/>
      <c r="IUB2240" s="1733"/>
      <c r="IUC2240" s="1733"/>
      <c r="IUD2240" s="1733"/>
      <c r="IUE2240" s="1733"/>
      <c r="IUF2240" s="1733"/>
      <c r="IUG2240" s="1733"/>
      <c r="IUH2240" s="1733"/>
      <c r="IUI2240" s="1733"/>
      <c r="IUJ2240" s="1733"/>
      <c r="IUK2240" s="1733"/>
      <c r="IUL2240" s="1733"/>
      <c r="IUM2240" s="1733"/>
      <c r="IUN2240" s="1733"/>
      <c r="IUO2240" s="1733"/>
      <c r="IUP2240" s="1733"/>
      <c r="IUQ2240" s="1733"/>
      <c r="IUR2240" s="1733"/>
      <c r="IUS2240" s="1733"/>
      <c r="IUT2240" s="1733"/>
      <c r="IUU2240" s="1733"/>
      <c r="IUV2240" s="1733"/>
      <c r="IUW2240" s="1733"/>
      <c r="IUX2240" s="1733"/>
      <c r="IUY2240" s="1733"/>
      <c r="IUZ2240" s="1733"/>
      <c r="IVA2240" s="1733"/>
      <c r="IVB2240" s="1733"/>
      <c r="IVC2240" s="1733"/>
      <c r="IVD2240" s="1733"/>
      <c r="IVE2240" s="1733"/>
      <c r="IVF2240" s="1733"/>
      <c r="IVG2240" s="1733"/>
      <c r="IVH2240" s="1733"/>
      <c r="IVI2240" s="1733"/>
      <c r="IVJ2240" s="1733"/>
      <c r="IVK2240" s="1733"/>
      <c r="IVL2240" s="1733"/>
      <c r="IVM2240" s="1733"/>
      <c r="IVN2240" s="1733"/>
      <c r="IVO2240" s="1733"/>
      <c r="IVP2240" s="1733"/>
      <c r="IVQ2240" s="1733"/>
      <c r="IVR2240" s="1733"/>
      <c r="IVS2240" s="1733"/>
      <c r="IVT2240" s="1733"/>
      <c r="IVU2240" s="1733"/>
      <c r="IVV2240" s="1733"/>
      <c r="IVW2240" s="1733"/>
      <c r="IVX2240" s="1733"/>
      <c r="IVY2240" s="1733"/>
      <c r="IVZ2240" s="1733"/>
      <c r="IWA2240" s="1733"/>
      <c r="IWB2240" s="1733"/>
      <c r="IWC2240" s="1733"/>
      <c r="IWD2240" s="1733"/>
      <c r="IWE2240" s="1733"/>
      <c r="IWF2240" s="1733"/>
      <c r="IWG2240" s="1733"/>
      <c r="IWH2240" s="1733"/>
      <c r="IWI2240" s="1733"/>
      <c r="IWJ2240" s="1733"/>
      <c r="IWK2240" s="1733"/>
      <c r="IWL2240" s="1733"/>
      <c r="IWM2240" s="1733"/>
      <c r="IWN2240" s="1733"/>
      <c r="IWO2240" s="1733"/>
      <c r="IWP2240" s="1733"/>
      <c r="IWQ2240" s="1733"/>
      <c r="IWR2240" s="1733"/>
      <c r="IWS2240" s="1733"/>
      <c r="IWT2240" s="1733"/>
      <c r="IWU2240" s="1733"/>
      <c r="IWV2240" s="1733"/>
      <c r="IWW2240" s="1733"/>
      <c r="IWX2240" s="1733"/>
      <c r="IWY2240" s="1733"/>
      <c r="IWZ2240" s="1733"/>
      <c r="IXA2240" s="1733"/>
      <c r="IXB2240" s="1733"/>
      <c r="IXC2240" s="1733"/>
      <c r="IXD2240" s="1733"/>
      <c r="IXE2240" s="1733"/>
      <c r="IXF2240" s="1733"/>
      <c r="IXG2240" s="1733"/>
      <c r="IXH2240" s="1733"/>
      <c r="IXI2240" s="1733"/>
      <c r="IXJ2240" s="1733"/>
      <c r="IXK2240" s="1733"/>
      <c r="IXL2240" s="1733"/>
      <c r="IXM2240" s="1733"/>
      <c r="IXN2240" s="1733"/>
      <c r="IXO2240" s="1733"/>
      <c r="IXP2240" s="1733"/>
      <c r="IXQ2240" s="1733"/>
      <c r="IXR2240" s="1733"/>
      <c r="IXS2240" s="1733"/>
      <c r="IXT2240" s="1733"/>
      <c r="IXU2240" s="1733"/>
      <c r="IXV2240" s="1733"/>
      <c r="IXW2240" s="1733"/>
      <c r="IXX2240" s="1733"/>
      <c r="IXY2240" s="1733"/>
      <c r="IXZ2240" s="1733"/>
      <c r="IYA2240" s="1733"/>
      <c r="IYB2240" s="1733"/>
      <c r="IYC2240" s="1733"/>
      <c r="IYD2240" s="1733"/>
      <c r="IYE2240" s="1733"/>
      <c r="IYF2240" s="1733"/>
      <c r="IYG2240" s="1733"/>
      <c r="IYH2240" s="1733"/>
      <c r="IYI2240" s="1733"/>
      <c r="IYJ2240" s="1733"/>
      <c r="IYK2240" s="1733"/>
      <c r="IYL2240" s="1733"/>
      <c r="IYM2240" s="1733"/>
      <c r="IYN2240" s="1733"/>
      <c r="IYO2240" s="1733"/>
      <c r="IYP2240" s="1733"/>
      <c r="IYQ2240" s="1733"/>
      <c r="IYR2240" s="1733"/>
      <c r="IYS2240" s="1733"/>
      <c r="IYT2240" s="1733"/>
      <c r="IYU2240" s="1733"/>
      <c r="IYV2240" s="1733"/>
      <c r="IYW2240" s="1733"/>
      <c r="IYX2240" s="1733"/>
      <c r="IYY2240" s="1733"/>
      <c r="IYZ2240" s="1733"/>
      <c r="IZA2240" s="1733"/>
      <c r="IZB2240" s="1733"/>
      <c r="IZC2240" s="1733"/>
      <c r="IZD2240" s="1733"/>
      <c r="IZE2240" s="1733"/>
      <c r="IZF2240" s="1733"/>
      <c r="IZG2240" s="1733"/>
      <c r="IZH2240" s="1733"/>
      <c r="IZI2240" s="1733"/>
      <c r="IZJ2240" s="1733"/>
      <c r="IZK2240" s="1733"/>
      <c r="IZL2240" s="1733"/>
      <c r="IZM2240" s="1733"/>
      <c r="IZN2240" s="1733"/>
      <c r="IZO2240" s="1733"/>
      <c r="IZP2240" s="1733"/>
      <c r="IZQ2240" s="1733"/>
      <c r="IZR2240" s="1733"/>
      <c r="IZS2240" s="1733"/>
      <c r="IZT2240" s="1733"/>
      <c r="IZU2240" s="1733"/>
      <c r="IZV2240" s="1733"/>
      <c r="IZW2240" s="1733"/>
      <c r="IZX2240" s="1733"/>
      <c r="IZY2240" s="1733"/>
      <c r="IZZ2240" s="1733"/>
      <c r="JAA2240" s="1733"/>
      <c r="JAB2240" s="1733"/>
      <c r="JAC2240" s="1733"/>
      <c r="JAD2240" s="1733"/>
      <c r="JAE2240" s="1733"/>
      <c r="JAF2240" s="1733"/>
      <c r="JAG2240" s="1733"/>
      <c r="JAH2240" s="1733"/>
      <c r="JAI2240" s="1733"/>
      <c r="JAJ2240" s="1733"/>
      <c r="JAK2240" s="1733"/>
      <c r="JAL2240" s="1733"/>
      <c r="JAM2240" s="1733"/>
      <c r="JAN2240" s="1733"/>
      <c r="JAO2240" s="1733"/>
      <c r="JAP2240" s="1733"/>
      <c r="JAQ2240" s="1733"/>
      <c r="JAR2240" s="1733"/>
      <c r="JAS2240" s="1733"/>
      <c r="JAT2240" s="1733"/>
      <c r="JAU2240" s="1733"/>
      <c r="JAV2240" s="1733"/>
      <c r="JAW2240" s="1733"/>
      <c r="JAX2240" s="1733"/>
      <c r="JAY2240" s="1733"/>
      <c r="JAZ2240" s="1733"/>
      <c r="JBA2240" s="1733"/>
      <c r="JBB2240" s="1733"/>
      <c r="JBC2240" s="1733"/>
      <c r="JBD2240" s="1733"/>
      <c r="JBE2240" s="1733"/>
      <c r="JBF2240" s="1733"/>
      <c r="JBG2240" s="1733"/>
      <c r="JBH2240" s="1733"/>
      <c r="JBI2240" s="1733"/>
      <c r="JBJ2240" s="1733"/>
      <c r="JBK2240" s="1733"/>
      <c r="JBL2240" s="1733"/>
      <c r="JBM2240" s="1733"/>
      <c r="JBN2240" s="1733"/>
      <c r="JBO2240" s="1733"/>
      <c r="JBP2240" s="1733"/>
      <c r="JBQ2240" s="1733"/>
      <c r="JBR2240" s="1733"/>
      <c r="JBS2240" s="1733"/>
      <c r="JBT2240" s="1733"/>
      <c r="JBU2240" s="1733"/>
      <c r="JBV2240" s="1733"/>
      <c r="JBW2240" s="1733"/>
      <c r="JBX2240" s="1733"/>
      <c r="JBY2240" s="1733"/>
      <c r="JBZ2240" s="1733"/>
      <c r="JCA2240" s="1733"/>
      <c r="JCB2240" s="1733"/>
      <c r="JCC2240" s="1733"/>
      <c r="JCD2240" s="1733"/>
      <c r="JCE2240" s="1733"/>
      <c r="JCF2240" s="1733"/>
      <c r="JCG2240" s="1733"/>
      <c r="JCH2240" s="1733"/>
      <c r="JCI2240" s="1733"/>
      <c r="JCJ2240" s="1733"/>
      <c r="JCK2240" s="1733"/>
      <c r="JCL2240" s="1733"/>
      <c r="JCM2240" s="1733"/>
      <c r="JCN2240" s="1733"/>
      <c r="JCO2240" s="1733"/>
      <c r="JCP2240" s="1733"/>
      <c r="JCQ2240" s="1733"/>
      <c r="JCR2240" s="1733"/>
      <c r="JCS2240" s="1733"/>
      <c r="JCT2240" s="1733"/>
      <c r="JCU2240" s="1733"/>
      <c r="JCV2240" s="1733"/>
      <c r="JCW2240" s="1733"/>
      <c r="JCX2240" s="1733"/>
      <c r="JCY2240" s="1733"/>
      <c r="JCZ2240" s="1733"/>
      <c r="JDA2240" s="1733"/>
      <c r="JDB2240" s="1733"/>
      <c r="JDC2240" s="1733"/>
      <c r="JDD2240" s="1733"/>
      <c r="JDE2240" s="1733"/>
      <c r="JDF2240" s="1733"/>
      <c r="JDG2240" s="1733"/>
      <c r="JDH2240" s="1733"/>
      <c r="JDI2240" s="1733"/>
      <c r="JDJ2240" s="1733"/>
      <c r="JDK2240" s="1733"/>
      <c r="JDL2240" s="1733"/>
      <c r="JDM2240" s="1733"/>
      <c r="JDN2240" s="1733"/>
      <c r="JDO2240" s="1733"/>
      <c r="JDP2240" s="1733"/>
      <c r="JDQ2240" s="1733"/>
      <c r="JDR2240" s="1733"/>
      <c r="JDS2240" s="1733"/>
      <c r="JDT2240" s="1733"/>
      <c r="JDU2240" s="1733"/>
      <c r="JDV2240" s="1733"/>
      <c r="JDW2240" s="1733"/>
      <c r="JDX2240" s="1733"/>
      <c r="JDY2240" s="1733"/>
      <c r="JDZ2240" s="1733"/>
      <c r="JEA2240" s="1733"/>
      <c r="JEB2240" s="1733"/>
      <c r="JEC2240" s="1733"/>
      <c r="JED2240" s="1733"/>
      <c r="JEE2240" s="1733"/>
      <c r="JEF2240" s="1733"/>
      <c r="JEG2240" s="1733"/>
      <c r="JEH2240" s="1733"/>
      <c r="JEI2240" s="1733"/>
      <c r="JEJ2240" s="1733"/>
      <c r="JEK2240" s="1733"/>
      <c r="JEL2240" s="1733"/>
      <c r="JEM2240" s="1733"/>
      <c r="JEN2240" s="1733"/>
      <c r="JEO2240" s="1733"/>
      <c r="JEP2240" s="1733"/>
      <c r="JEQ2240" s="1733"/>
      <c r="JER2240" s="1733"/>
      <c r="JES2240" s="1733"/>
      <c r="JET2240" s="1733"/>
      <c r="JEU2240" s="1733"/>
      <c r="JEV2240" s="1733"/>
      <c r="JEW2240" s="1733"/>
      <c r="JEX2240" s="1733"/>
      <c r="JEY2240" s="1733"/>
      <c r="JEZ2240" s="1733"/>
      <c r="JFA2240" s="1733"/>
      <c r="JFB2240" s="1733"/>
      <c r="JFC2240" s="1733"/>
      <c r="JFD2240" s="1733"/>
      <c r="JFE2240" s="1733"/>
      <c r="JFF2240" s="1733"/>
      <c r="JFG2240" s="1733"/>
      <c r="JFH2240" s="1733"/>
      <c r="JFI2240" s="1733"/>
      <c r="JFJ2240" s="1733"/>
      <c r="JFK2240" s="1733"/>
      <c r="JFL2240" s="1733"/>
      <c r="JFM2240" s="1733"/>
      <c r="JFN2240" s="1733"/>
      <c r="JFO2240" s="1733"/>
      <c r="JFP2240" s="1733"/>
      <c r="JFQ2240" s="1733"/>
      <c r="JFR2240" s="1733"/>
      <c r="JFS2240" s="1733"/>
      <c r="JFT2240" s="1733"/>
      <c r="JFU2240" s="1733"/>
      <c r="JFV2240" s="1733"/>
      <c r="JFW2240" s="1733"/>
      <c r="JFX2240" s="1733"/>
      <c r="JFY2240" s="1733"/>
      <c r="JFZ2240" s="1733"/>
      <c r="JGA2240" s="1733"/>
      <c r="JGB2240" s="1733"/>
      <c r="JGC2240" s="1733"/>
      <c r="JGD2240" s="1733"/>
      <c r="JGE2240" s="1733"/>
      <c r="JGF2240" s="1733"/>
      <c r="JGG2240" s="1733"/>
      <c r="JGH2240" s="1733"/>
      <c r="JGI2240" s="1733"/>
      <c r="JGJ2240" s="1733"/>
      <c r="JGK2240" s="1733"/>
      <c r="JGL2240" s="1733"/>
      <c r="JGM2240" s="1733"/>
      <c r="JGN2240" s="1733"/>
      <c r="JGO2240" s="1733"/>
      <c r="JGP2240" s="1733"/>
      <c r="JGQ2240" s="1733"/>
      <c r="JGR2240" s="1733"/>
      <c r="JGS2240" s="1733"/>
      <c r="JGT2240" s="1733"/>
      <c r="JGU2240" s="1733"/>
      <c r="JGV2240" s="1733"/>
      <c r="JGW2240" s="1733"/>
      <c r="JGX2240" s="1733"/>
      <c r="JGY2240" s="1733"/>
      <c r="JGZ2240" s="1733"/>
      <c r="JHA2240" s="1733"/>
      <c r="JHB2240" s="1733"/>
      <c r="JHC2240" s="1733"/>
      <c r="JHD2240" s="1733"/>
      <c r="JHE2240" s="1733"/>
      <c r="JHF2240" s="1733"/>
      <c r="JHG2240" s="1733"/>
      <c r="JHH2240" s="1733"/>
      <c r="JHI2240" s="1733"/>
      <c r="JHJ2240" s="1733"/>
      <c r="JHK2240" s="1733"/>
      <c r="JHL2240" s="1733"/>
      <c r="JHM2240" s="1733"/>
      <c r="JHN2240" s="1733"/>
      <c r="JHO2240" s="1733"/>
      <c r="JHP2240" s="1733"/>
      <c r="JHQ2240" s="1733"/>
      <c r="JHR2240" s="1733"/>
      <c r="JHS2240" s="1733"/>
      <c r="JHT2240" s="1733"/>
      <c r="JHU2240" s="1733"/>
      <c r="JHV2240" s="1733"/>
      <c r="JHW2240" s="1733"/>
      <c r="JHX2240" s="1733"/>
      <c r="JHY2240" s="1733"/>
      <c r="JHZ2240" s="1733"/>
      <c r="JIA2240" s="1733"/>
      <c r="JIB2240" s="1733"/>
      <c r="JIC2240" s="1733"/>
      <c r="JID2240" s="1733"/>
      <c r="JIE2240" s="1733"/>
      <c r="JIF2240" s="1733"/>
      <c r="JIG2240" s="1733"/>
      <c r="JIH2240" s="1733"/>
      <c r="JII2240" s="1733"/>
      <c r="JIJ2240" s="1733"/>
      <c r="JIK2240" s="1733"/>
      <c r="JIL2240" s="1733"/>
      <c r="JIM2240" s="1733"/>
      <c r="JIN2240" s="1733"/>
      <c r="JIO2240" s="1733"/>
      <c r="JIP2240" s="1733"/>
      <c r="JIQ2240" s="1733"/>
      <c r="JIR2240" s="1733"/>
      <c r="JIS2240" s="1733"/>
      <c r="JIT2240" s="1733"/>
      <c r="JIU2240" s="1733"/>
      <c r="JIV2240" s="1733"/>
      <c r="JIW2240" s="1733"/>
      <c r="JIX2240" s="1733"/>
      <c r="JIY2240" s="1733"/>
      <c r="JIZ2240" s="1733"/>
      <c r="JJA2240" s="1733"/>
      <c r="JJB2240" s="1733"/>
      <c r="JJC2240" s="1733"/>
      <c r="JJD2240" s="1733"/>
      <c r="JJE2240" s="1733"/>
      <c r="JJF2240" s="1733"/>
      <c r="JJG2240" s="1733"/>
      <c r="JJH2240" s="1733"/>
      <c r="JJI2240" s="1733"/>
      <c r="JJJ2240" s="1733"/>
      <c r="JJK2240" s="1733"/>
      <c r="JJL2240" s="1733"/>
      <c r="JJM2240" s="1733"/>
      <c r="JJN2240" s="1733"/>
      <c r="JJO2240" s="1733"/>
      <c r="JJP2240" s="1733"/>
      <c r="JJQ2240" s="1733"/>
      <c r="JJR2240" s="1733"/>
      <c r="JJS2240" s="1733"/>
      <c r="JJT2240" s="1733"/>
      <c r="JJU2240" s="1733"/>
      <c r="JJV2240" s="1733"/>
      <c r="JJW2240" s="1733"/>
      <c r="JJX2240" s="1733"/>
      <c r="JJY2240" s="1733"/>
      <c r="JJZ2240" s="1733"/>
      <c r="JKA2240" s="1733"/>
      <c r="JKB2240" s="1733"/>
      <c r="JKC2240" s="1733"/>
      <c r="JKD2240" s="1733"/>
      <c r="JKE2240" s="1733"/>
      <c r="JKF2240" s="1733"/>
      <c r="JKG2240" s="1733"/>
      <c r="JKH2240" s="1733"/>
      <c r="JKI2240" s="1733"/>
      <c r="JKJ2240" s="1733"/>
      <c r="JKK2240" s="1733"/>
      <c r="JKL2240" s="1733"/>
      <c r="JKM2240" s="1733"/>
      <c r="JKN2240" s="1733"/>
      <c r="JKO2240" s="1733"/>
      <c r="JKP2240" s="1733"/>
      <c r="JKQ2240" s="1733"/>
      <c r="JKR2240" s="1733"/>
      <c r="JKS2240" s="1733"/>
      <c r="JKT2240" s="1733"/>
      <c r="JKU2240" s="1733"/>
      <c r="JKV2240" s="1733"/>
      <c r="JKW2240" s="1733"/>
      <c r="JKX2240" s="1733"/>
      <c r="JKY2240" s="1733"/>
      <c r="JKZ2240" s="1733"/>
      <c r="JLA2240" s="1733"/>
      <c r="JLB2240" s="1733"/>
      <c r="JLC2240" s="1733"/>
      <c r="JLD2240" s="1733"/>
      <c r="JLE2240" s="1733"/>
      <c r="JLF2240" s="1733"/>
      <c r="JLG2240" s="1733"/>
      <c r="JLH2240" s="1733"/>
      <c r="JLI2240" s="1733"/>
      <c r="JLJ2240" s="1733"/>
      <c r="JLK2240" s="1733"/>
      <c r="JLL2240" s="1733"/>
      <c r="JLM2240" s="1733"/>
      <c r="JLN2240" s="1733"/>
      <c r="JLO2240" s="1733"/>
      <c r="JLP2240" s="1733"/>
      <c r="JLQ2240" s="1733"/>
      <c r="JLR2240" s="1733"/>
      <c r="JLS2240" s="1733"/>
      <c r="JLT2240" s="1733"/>
      <c r="JLU2240" s="1733"/>
      <c r="JLV2240" s="1733"/>
      <c r="JLW2240" s="1733"/>
      <c r="JLX2240" s="1733"/>
      <c r="JLY2240" s="1733"/>
      <c r="JLZ2240" s="1733"/>
      <c r="JMA2240" s="1733"/>
      <c r="JMB2240" s="1733"/>
      <c r="JMC2240" s="1733"/>
      <c r="JMD2240" s="1733"/>
      <c r="JME2240" s="1733"/>
      <c r="JMF2240" s="1733"/>
      <c r="JMG2240" s="1733"/>
      <c r="JMH2240" s="1733"/>
      <c r="JMI2240" s="1733"/>
      <c r="JMJ2240" s="1733"/>
      <c r="JMK2240" s="1733"/>
      <c r="JML2240" s="1733"/>
      <c r="JMM2240" s="1733"/>
      <c r="JMN2240" s="1733"/>
      <c r="JMO2240" s="1733"/>
      <c r="JMP2240" s="1733"/>
      <c r="JMQ2240" s="1733"/>
      <c r="JMR2240" s="1733"/>
      <c r="JMS2240" s="1733"/>
      <c r="JMT2240" s="1733"/>
      <c r="JMU2240" s="1733"/>
      <c r="JMV2240" s="1733"/>
      <c r="JMW2240" s="1733"/>
      <c r="JMX2240" s="1733"/>
      <c r="JMY2240" s="1733"/>
      <c r="JMZ2240" s="1733"/>
      <c r="JNA2240" s="1733"/>
      <c r="JNB2240" s="1733"/>
      <c r="JNC2240" s="1733"/>
      <c r="JND2240" s="1733"/>
      <c r="JNE2240" s="1733"/>
      <c r="JNF2240" s="1733"/>
      <c r="JNG2240" s="1733"/>
      <c r="JNH2240" s="1733"/>
      <c r="JNI2240" s="1733"/>
      <c r="JNJ2240" s="1733"/>
      <c r="JNK2240" s="1733"/>
      <c r="JNL2240" s="1733"/>
      <c r="JNM2240" s="1733"/>
      <c r="JNN2240" s="1733"/>
      <c r="JNO2240" s="1733"/>
      <c r="JNP2240" s="1733"/>
      <c r="JNQ2240" s="1733"/>
      <c r="JNR2240" s="1733"/>
      <c r="JNS2240" s="1733"/>
      <c r="JNT2240" s="1733"/>
      <c r="JNU2240" s="1733"/>
      <c r="JNV2240" s="1733"/>
      <c r="JNW2240" s="1733"/>
      <c r="JNX2240" s="1733"/>
      <c r="JNY2240" s="1733"/>
      <c r="JNZ2240" s="1733"/>
      <c r="JOA2240" s="1733"/>
      <c r="JOB2240" s="1733"/>
      <c r="JOC2240" s="1733"/>
      <c r="JOD2240" s="1733"/>
      <c r="JOE2240" s="1733"/>
      <c r="JOF2240" s="1733"/>
      <c r="JOG2240" s="1733"/>
      <c r="JOH2240" s="1733"/>
      <c r="JOI2240" s="1733"/>
      <c r="JOJ2240" s="1733"/>
      <c r="JOK2240" s="1733"/>
      <c r="JOL2240" s="1733"/>
      <c r="JOM2240" s="1733"/>
      <c r="JON2240" s="1733"/>
      <c r="JOO2240" s="1733"/>
      <c r="JOP2240" s="1733"/>
      <c r="JOQ2240" s="1733"/>
      <c r="JOR2240" s="1733"/>
      <c r="JOS2240" s="1733"/>
      <c r="JOT2240" s="1733"/>
      <c r="JOU2240" s="1733"/>
      <c r="JOV2240" s="1733"/>
      <c r="JOW2240" s="1733"/>
      <c r="JOX2240" s="1733"/>
      <c r="JOY2240" s="1733"/>
      <c r="JOZ2240" s="1733"/>
      <c r="JPA2240" s="1733"/>
      <c r="JPB2240" s="1733"/>
      <c r="JPC2240" s="1733"/>
      <c r="JPD2240" s="1733"/>
      <c r="JPE2240" s="1733"/>
      <c r="JPF2240" s="1733"/>
      <c r="JPG2240" s="1733"/>
      <c r="JPH2240" s="1733"/>
      <c r="JPI2240" s="1733"/>
      <c r="JPJ2240" s="1733"/>
      <c r="JPK2240" s="1733"/>
      <c r="JPL2240" s="1733"/>
      <c r="JPM2240" s="1733"/>
      <c r="JPN2240" s="1733"/>
      <c r="JPO2240" s="1733"/>
      <c r="JPP2240" s="1733"/>
      <c r="JPQ2240" s="1733"/>
      <c r="JPR2240" s="1733"/>
      <c r="JPS2240" s="1733"/>
      <c r="JPT2240" s="1733"/>
      <c r="JPU2240" s="1733"/>
      <c r="JPV2240" s="1733"/>
      <c r="JPW2240" s="1733"/>
      <c r="JPX2240" s="1733"/>
      <c r="JPY2240" s="1733"/>
      <c r="JPZ2240" s="1733"/>
      <c r="JQA2240" s="1733"/>
      <c r="JQB2240" s="1733"/>
      <c r="JQC2240" s="1733"/>
      <c r="JQD2240" s="1733"/>
      <c r="JQE2240" s="1733"/>
      <c r="JQF2240" s="1733"/>
      <c r="JQG2240" s="1733"/>
      <c r="JQH2240" s="1733"/>
      <c r="JQI2240" s="1733"/>
      <c r="JQJ2240" s="1733"/>
      <c r="JQK2240" s="1733"/>
      <c r="JQL2240" s="1733"/>
      <c r="JQM2240" s="1733"/>
      <c r="JQN2240" s="1733"/>
      <c r="JQO2240" s="1733"/>
      <c r="JQP2240" s="1733"/>
      <c r="JQQ2240" s="1733"/>
      <c r="JQR2240" s="1733"/>
      <c r="JQS2240" s="1733"/>
      <c r="JQT2240" s="1733"/>
      <c r="JQU2240" s="1733"/>
      <c r="JQV2240" s="1733"/>
      <c r="JQW2240" s="1733"/>
      <c r="JQX2240" s="1733"/>
      <c r="JQY2240" s="1733"/>
      <c r="JQZ2240" s="1733"/>
      <c r="JRA2240" s="1733"/>
      <c r="JRB2240" s="1733"/>
      <c r="JRC2240" s="1733"/>
      <c r="JRD2240" s="1733"/>
      <c r="JRE2240" s="1733"/>
      <c r="JRF2240" s="1733"/>
      <c r="JRG2240" s="1733"/>
      <c r="JRH2240" s="1733"/>
      <c r="JRI2240" s="1733"/>
      <c r="JRJ2240" s="1733"/>
      <c r="JRK2240" s="1733"/>
      <c r="JRL2240" s="1733"/>
      <c r="JRM2240" s="1733"/>
      <c r="JRN2240" s="1733"/>
      <c r="JRO2240" s="1733"/>
      <c r="JRP2240" s="1733"/>
      <c r="JRQ2240" s="1733"/>
      <c r="JRR2240" s="1733"/>
      <c r="JRS2240" s="1733"/>
      <c r="JRT2240" s="1733"/>
      <c r="JRU2240" s="1733"/>
      <c r="JRV2240" s="1733"/>
      <c r="JRW2240" s="1733"/>
      <c r="JRX2240" s="1733"/>
      <c r="JRY2240" s="1733"/>
      <c r="JRZ2240" s="1733"/>
      <c r="JSA2240" s="1733"/>
      <c r="JSB2240" s="1733"/>
      <c r="JSC2240" s="1733"/>
      <c r="JSD2240" s="1733"/>
      <c r="JSE2240" s="1733"/>
      <c r="JSF2240" s="1733"/>
      <c r="JSG2240" s="1733"/>
      <c r="JSH2240" s="1733"/>
      <c r="JSI2240" s="1733"/>
      <c r="JSJ2240" s="1733"/>
      <c r="JSK2240" s="1733"/>
      <c r="JSL2240" s="1733"/>
      <c r="JSM2240" s="1733"/>
      <c r="JSN2240" s="1733"/>
      <c r="JSO2240" s="1733"/>
      <c r="JSP2240" s="1733"/>
      <c r="JSQ2240" s="1733"/>
      <c r="JSR2240" s="1733"/>
      <c r="JSS2240" s="1733"/>
      <c r="JST2240" s="1733"/>
      <c r="JSU2240" s="1733"/>
      <c r="JSV2240" s="1733"/>
      <c r="JSW2240" s="1733"/>
      <c r="JSX2240" s="1733"/>
      <c r="JSY2240" s="1733"/>
      <c r="JSZ2240" s="1733"/>
      <c r="JTA2240" s="1733"/>
      <c r="JTB2240" s="1733"/>
      <c r="JTC2240" s="1733"/>
      <c r="JTD2240" s="1733"/>
      <c r="JTE2240" s="1733"/>
      <c r="JTF2240" s="1733"/>
      <c r="JTG2240" s="1733"/>
      <c r="JTH2240" s="1733"/>
      <c r="JTI2240" s="1733"/>
      <c r="JTJ2240" s="1733"/>
      <c r="JTK2240" s="1733"/>
      <c r="JTL2240" s="1733"/>
      <c r="JTM2240" s="1733"/>
      <c r="JTN2240" s="1733"/>
      <c r="JTO2240" s="1733"/>
      <c r="JTP2240" s="1733"/>
      <c r="JTQ2240" s="1733"/>
      <c r="JTR2240" s="1733"/>
      <c r="JTS2240" s="1733"/>
      <c r="JTT2240" s="1733"/>
      <c r="JTU2240" s="1733"/>
      <c r="JTV2240" s="1733"/>
      <c r="JTW2240" s="1733"/>
      <c r="JTX2240" s="1733"/>
      <c r="JTY2240" s="1733"/>
      <c r="JTZ2240" s="1733"/>
      <c r="JUA2240" s="1733"/>
      <c r="JUB2240" s="1733"/>
      <c r="JUC2240" s="1733"/>
      <c r="JUD2240" s="1733"/>
      <c r="JUE2240" s="1733"/>
      <c r="JUF2240" s="1733"/>
      <c r="JUG2240" s="1733"/>
      <c r="JUH2240" s="1733"/>
      <c r="JUI2240" s="1733"/>
      <c r="JUJ2240" s="1733"/>
      <c r="JUK2240" s="1733"/>
      <c r="JUL2240" s="1733"/>
      <c r="JUM2240" s="1733"/>
      <c r="JUN2240" s="1733"/>
      <c r="JUO2240" s="1733"/>
      <c r="JUP2240" s="1733"/>
      <c r="JUQ2240" s="1733"/>
      <c r="JUR2240" s="1733"/>
      <c r="JUS2240" s="1733"/>
      <c r="JUT2240" s="1733"/>
      <c r="JUU2240" s="1733"/>
      <c r="JUV2240" s="1733"/>
      <c r="JUW2240" s="1733"/>
      <c r="JUX2240" s="1733"/>
      <c r="JUY2240" s="1733"/>
      <c r="JUZ2240" s="1733"/>
      <c r="JVA2240" s="1733"/>
      <c r="JVB2240" s="1733"/>
      <c r="JVC2240" s="1733"/>
      <c r="JVD2240" s="1733"/>
      <c r="JVE2240" s="1733"/>
      <c r="JVF2240" s="1733"/>
      <c r="JVG2240" s="1733"/>
      <c r="JVH2240" s="1733"/>
      <c r="JVI2240" s="1733"/>
      <c r="JVJ2240" s="1733"/>
      <c r="JVK2240" s="1733"/>
      <c r="JVL2240" s="1733"/>
      <c r="JVM2240" s="1733"/>
      <c r="JVN2240" s="1733"/>
      <c r="JVO2240" s="1733"/>
      <c r="JVP2240" s="1733"/>
      <c r="JVQ2240" s="1733"/>
      <c r="JVR2240" s="1733"/>
      <c r="JVS2240" s="1733"/>
      <c r="JVT2240" s="1733"/>
      <c r="JVU2240" s="1733"/>
      <c r="JVV2240" s="1733"/>
      <c r="JVW2240" s="1733"/>
      <c r="JVX2240" s="1733"/>
      <c r="JVY2240" s="1733"/>
      <c r="JVZ2240" s="1733"/>
      <c r="JWA2240" s="1733"/>
      <c r="JWB2240" s="1733"/>
      <c r="JWC2240" s="1733"/>
      <c r="JWD2240" s="1733"/>
      <c r="JWE2240" s="1733"/>
      <c r="JWF2240" s="1733"/>
      <c r="JWG2240" s="1733"/>
      <c r="JWH2240" s="1733"/>
      <c r="JWI2240" s="1733"/>
      <c r="JWJ2240" s="1733"/>
      <c r="JWK2240" s="1733"/>
      <c r="JWL2240" s="1733"/>
      <c r="JWM2240" s="1733"/>
      <c r="JWN2240" s="1733"/>
      <c r="JWO2240" s="1733"/>
      <c r="JWP2240" s="1733"/>
      <c r="JWQ2240" s="1733"/>
      <c r="JWR2240" s="1733"/>
      <c r="JWS2240" s="1733"/>
      <c r="JWT2240" s="1733"/>
      <c r="JWU2240" s="1733"/>
      <c r="JWV2240" s="1733"/>
      <c r="JWW2240" s="1733"/>
      <c r="JWX2240" s="1733"/>
      <c r="JWY2240" s="1733"/>
      <c r="JWZ2240" s="1733"/>
      <c r="JXA2240" s="1733"/>
      <c r="JXB2240" s="1733"/>
      <c r="JXC2240" s="1733"/>
      <c r="JXD2240" s="1733"/>
      <c r="JXE2240" s="1733"/>
      <c r="JXF2240" s="1733"/>
      <c r="JXG2240" s="1733"/>
      <c r="JXH2240" s="1733"/>
      <c r="JXI2240" s="1733"/>
      <c r="JXJ2240" s="1733"/>
      <c r="JXK2240" s="1733"/>
      <c r="JXL2240" s="1733"/>
      <c r="JXM2240" s="1733"/>
      <c r="JXN2240" s="1733"/>
      <c r="JXO2240" s="1733"/>
      <c r="JXP2240" s="1733"/>
      <c r="JXQ2240" s="1733"/>
      <c r="JXR2240" s="1733"/>
      <c r="JXS2240" s="1733"/>
      <c r="JXT2240" s="1733"/>
      <c r="JXU2240" s="1733"/>
      <c r="JXV2240" s="1733"/>
      <c r="JXW2240" s="1733"/>
      <c r="JXX2240" s="1733"/>
      <c r="JXY2240" s="1733"/>
      <c r="JXZ2240" s="1733"/>
      <c r="JYA2240" s="1733"/>
      <c r="JYB2240" s="1733"/>
      <c r="JYC2240" s="1733"/>
      <c r="JYD2240" s="1733"/>
      <c r="JYE2240" s="1733"/>
      <c r="JYF2240" s="1733"/>
      <c r="JYG2240" s="1733"/>
      <c r="JYH2240" s="1733"/>
      <c r="JYI2240" s="1733"/>
      <c r="JYJ2240" s="1733"/>
      <c r="JYK2240" s="1733"/>
      <c r="JYL2240" s="1733"/>
      <c r="JYM2240" s="1733"/>
      <c r="JYN2240" s="1733"/>
      <c r="JYO2240" s="1733"/>
      <c r="JYP2240" s="1733"/>
      <c r="JYQ2240" s="1733"/>
      <c r="JYR2240" s="1733"/>
      <c r="JYS2240" s="1733"/>
      <c r="JYT2240" s="1733"/>
      <c r="JYU2240" s="1733"/>
      <c r="JYV2240" s="1733"/>
      <c r="JYW2240" s="1733"/>
      <c r="JYX2240" s="1733"/>
      <c r="JYY2240" s="1733"/>
      <c r="JYZ2240" s="1733"/>
      <c r="JZA2240" s="1733"/>
      <c r="JZB2240" s="1733"/>
      <c r="JZC2240" s="1733"/>
      <c r="JZD2240" s="1733"/>
      <c r="JZE2240" s="1733"/>
      <c r="JZF2240" s="1733"/>
      <c r="JZG2240" s="1733"/>
      <c r="JZH2240" s="1733"/>
      <c r="JZI2240" s="1733"/>
      <c r="JZJ2240" s="1733"/>
      <c r="JZK2240" s="1733"/>
      <c r="JZL2240" s="1733"/>
      <c r="JZM2240" s="1733"/>
      <c r="JZN2240" s="1733"/>
      <c r="JZO2240" s="1733"/>
      <c r="JZP2240" s="1733"/>
      <c r="JZQ2240" s="1733"/>
      <c r="JZR2240" s="1733"/>
      <c r="JZS2240" s="1733"/>
      <c r="JZT2240" s="1733"/>
      <c r="JZU2240" s="1733"/>
      <c r="JZV2240" s="1733"/>
      <c r="JZW2240" s="1733"/>
      <c r="JZX2240" s="1733"/>
      <c r="JZY2240" s="1733"/>
      <c r="JZZ2240" s="1733"/>
      <c r="KAA2240" s="1733"/>
      <c r="KAB2240" s="1733"/>
      <c r="KAC2240" s="1733"/>
      <c r="KAD2240" s="1733"/>
      <c r="KAE2240" s="1733"/>
      <c r="KAF2240" s="1733"/>
      <c r="KAG2240" s="1733"/>
      <c r="KAH2240" s="1733"/>
      <c r="KAI2240" s="1733"/>
      <c r="KAJ2240" s="1733"/>
      <c r="KAK2240" s="1733"/>
      <c r="KAL2240" s="1733"/>
      <c r="KAM2240" s="1733"/>
      <c r="KAN2240" s="1733"/>
      <c r="KAO2240" s="1733"/>
      <c r="KAP2240" s="1733"/>
      <c r="KAQ2240" s="1733"/>
      <c r="KAR2240" s="1733"/>
      <c r="KAS2240" s="1733"/>
      <c r="KAT2240" s="1733"/>
      <c r="KAU2240" s="1733"/>
      <c r="KAV2240" s="1733"/>
      <c r="KAW2240" s="1733"/>
      <c r="KAX2240" s="1733"/>
      <c r="KAY2240" s="1733"/>
      <c r="KAZ2240" s="1733"/>
      <c r="KBA2240" s="1733"/>
      <c r="KBB2240" s="1733"/>
      <c r="KBC2240" s="1733"/>
      <c r="KBD2240" s="1733"/>
      <c r="KBE2240" s="1733"/>
      <c r="KBF2240" s="1733"/>
      <c r="KBG2240" s="1733"/>
      <c r="KBH2240" s="1733"/>
      <c r="KBI2240" s="1733"/>
      <c r="KBJ2240" s="1733"/>
      <c r="KBK2240" s="1733"/>
      <c r="KBL2240" s="1733"/>
      <c r="KBM2240" s="1733"/>
      <c r="KBN2240" s="1733"/>
      <c r="KBO2240" s="1733"/>
      <c r="KBP2240" s="1733"/>
      <c r="KBQ2240" s="1733"/>
      <c r="KBR2240" s="1733"/>
      <c r="KBS2240" s="1733"/>
      <c r="KBT2240" s="1733"/>
      <c r="KBU2240" s="1733"/>
      <c r="KBV2240" s="1733"/>
      <c r="KBW2240" s="1733"/>
      <c r="KBX2240" s="1733"/>
      <c r="KBY2240" s="1733"/>
      <c r="KBZ2240" s="1733"/>
      <c r="KCA2240" s="1733"/>
      <c r="KCB2240" s="1733"/>
      <c r="KCC2240" s="1733"/>
      <c r="KCD2240" s="1733"/>
      <c r="KCE2240" s="1733"/>
      <c r="KCF2240" s="1733"/>
      <c r="KCG2240" s="1733"/>
      <c r="KCH2240" s="1733"/>
      <c r="KCI2240" s="1733"/>
      <c r="KCJ2240" s="1733"/>
      <c r="KCK2240" s="1733"/>
      <c r="KCL2240" s="1733"/>
      <c r="KCM2240" s="1733"/>
      <c r="KCN2240" s="1733"/>
      <c r="KCO2240" s="1733"/>
      <c r="KCP2240" s="1733"/>
      <c r="KCQ2240" s="1733"/>
      <c r="KCR2240" s="1733"/>
      <c r="KCS2240" s="1733"/>
      <c r="KCT2240" s="1733"/>
      <c r="KCU2240" s="1733"/>
      <c r="KCV2240" s="1733"/>
      <c r="KCW2240" s="1733"/>
      <c r="KCX2240" s="1733"/>
      <c r="KCY2240" s="1733"/>
      <c r="KCZ2240" s="1733"/>
      <c r="KDA2240" s="1733"/>
      <c r="KDB2240" s="1733"/>
      <c r="KDC2240" s="1733"/>
      <c r="KDD2240" s="1733"/>
      <c r="KDE2240" s="1733"/>
      <c r="KDF2240" s="1733"/>
      <c r="KDG2240" s="1733"/>
      <c r="KDH2240" s="1733"/>
      <c r="KDI2240" s="1733"/>
      <c r="KDJ2240" s="1733"/>
      <c r="KDK2240" s="1733"/>
      <c r="KDL2240" s="1733"/>
      <c r="KDM2240" s="1733"/>
      <c r="KDN2240" s="1733"/>
      <c r="KDO2240" s="1733"/>
      <c r="KDP2240" s="1733"/>
      <c r="KDQ2240" s="1733"/>
      <c r="KDR2240" s="1733"/>
      <c r="KDS2240" s="1733"/>
      <c r="KDT2240" s="1733"/>
      <c r="KDU2240" s="1733"/>
      <c r="KDV2240" s="1733"/>
      <c r="KDW2240" s="1733"/>
      <c r="KDX2240" s="1733"/>
      <c r="KDY2240" s="1733"/>
      <c r="KDZ2240" s="1733"/>
      <c r="KEA2240" s="1733"/>
      <c r="KEB2240" s="1733"/>
      <c r="KEC2240" s="1733"/>
      <c r="KED2240" s="1733"/>
      <c r="KEE2240" s="1733"/>
      <c r="KEF2240" s="1733"/>
      <c r="KEG2240" s="1733"/>
      <c r="KEH2240" s="1733"/>
      <c r="KEI2240" s="1733"/>
      <c r="KEJ2240" s="1733"/>
      <c r="KEK2240" s="1733"/>
      <c r="KEL2240" s="1733"/>
      <c r="KEM2240" s="1733"/>
      <c r="KEN2240" s="1733"/>
      <c r="KEO2240" s="1733"/>
      <c r="KEP2240" s="1733"/>
      <c r="KEQ2240" s="1733"/>
      <c r="KER2240" s="1733"/>
      <c r="KES2240" s="1733"/>
      <c r="KET2240" s="1733"/>
      <c r="KEU2240" s="1733"/>
      <c r="KEV2240" s="1733"/>
      <c r="KEW2240" s="1733"/>
      <c r="KEX2240" s="1733"/>
      <c r="KEY2240" s="1733"/>
      <c r="KEZ2240" s="1733"/>
      <c r="KFA2240" s="1733"/>
      <c r="KFB2240" s="1733"/>
      <c r="KFC2240" s="1733"/>
      <c r="KFD2240" s="1733"/>
      <c r="KFE2240" s="1733"/>
      <c r="KFF2240" s="1733"/>
      <c r="KFG2240" s="1733"/>
      <c r="KFH2240" s="1733"/>
      <c r="KFI2240" s="1733"/>
      <c r="KFJ2240" s="1733"/>
      <c r="KFK2240" s="1733"/>
      <c r="KFL2240" s="1733"/>
      <c r="KFM2240" s="1733"/>
      <c r="KFN2240" s="1733"/>
      <c r="KFO2240" s="1733"/>
      <c r="KFP2240" s="1733"/>
      <c r="KFQ2240" s="1733"/>
      <c r="KFR2240" s="1733"/>
      <c r="KFS2240" s="1733"/>
      <c r="KFT2240" s="1733"/>
      <c r="KFU2240" s="1733"/>
      <c r="KFV2240" s="1733"/>
      <c r="KFW2240" s="1733"/>
      <c r="KFX2240" s="1733"/>
      <c r="KFY2240" s="1733"/>
      <c r="KFZ2240" s="1733"/>
      <c r="KGA2240" s="1733"/>
      <c r="KGB2240" s="1733"/>
      <c r="KGC2240" s="1733"/>
      <c r="KGD2240" s="1733"/>
      <c r="KGE2240" s="1733"/>
      <c r="KGF2240" s="1733"/>
      <c r="KGG2240" s="1733"/>
      <c r="KGH2240" s="1733"/>
      <c r="KGI2240" s="1733"/>
      <c r="KGJ2240" s="1733"/>
      <c r="KGK2240" s="1733"/>
      <c r="KGL2240" s="1733"/>
      <c r="KGM2240" s="1733"/>
      <c r="KGN2240" s="1733"/>
      <c r="KGO2240" s="1733"/>
      <c r="KGP2240" s="1733"/>
      <c r="KGQ2240" s="1733"/>
      <c r="KGR2240" s="1733"/>
      <c r="KGS2240" s="1733"/>
      <c r="KGT2240" s="1733"/>
      <c r="KGU2240" s="1733"/>
      <c r="KGV2240" s="1733"/>
      <c r="KGW2240" s="1733"/>
      <c r="KGX2240" s="1733"/>
      <c r="KGY2240" s="1733"/>
      <c r="KGZ2240" s="1733"/>
      <c r="KHA2240" s="1733"/>
      <c r="KHB2240" s="1733"/>
      <c r="KHC2240" s="1733"/>
      <c r="KHD2240" s="1733"/>
      <c r="KHE2240" s="1733"/>
      <c r="KHF2240" s="1733"/>
      <c r="KHG2240" s="1733"/>
      <c r="KHH2240" s="1733"/>
      <c r="KHI2240" s="1733"/>
      <c r="KHJ2240" s="1733"/>
      <c r="KHK2240" s="1733"/>
      <c r="KHL2240" s="1733"/>
      <c r="KHM2240" s="1733"/>
      <c r="KHN2240" s="1733"/>
      <c r="KHO2240" s="1733"/>
      <c r="KHP2240" s="1733"/>
      <c r="KHQ2240" s="1733"/>
      <c r="KHR2240" s="1733"/>
      <c r="KHS2240" s="1733"/>
      <c r="KHT2240" s="1733"/>
      <c r="KHU2240" s="1733"/>
      <c r="KHV2240" s="1733"/>
      <c r="KHW2240" s="1733"/>
      <c r="KHX2240" s="1733"/>
      <c r="KHY2240" s="1733"/>
      <c r="KHZ2240" s="1733"/>
      <c r="KIA2240" s="1733"/>
      <c r="KIB2240" s="1733"/>
      <c r="KIC2240" s="1733"/>
      <c r="KID2240" s="1733"/>
      <c r="KIE2240" s="1733"/>
      <c r="KIF2240" s="1733"/>
      <c r="KIG2240" s="1733"/>
      <c r="KIH2240" s="1733"/>
      <c r="KII2240" s="1733"/>
      <c r="KIJ2240" s="1733"/>
      <c r="KIK2240" s="1733"/>
      <c r="KIL2240" s="1733"/>
      <c r="KIM2240" s="1733"/>
      <c r="KIN2240" s="1733"/>
      <c r="KIO2240" s="1733"/>
      <c r="KIP2240" s="1733"/>
      <c r="KIQ2240" s="1733"/>
      <c r="KIR2240" s="1733"/>
      <c r="KIS2240" s="1733"/>
      <c r="KIT2240" s="1733"/>
      <c r="KIU2240" s="1733"/>
      <c r="KIV2240" s="1733"/>
      <c r="KIW2240" s="1733"/>
      <c r="KIX2240" s="1733"/>
      <c r="KIY2240" s="1733"/>
      <c r="KIZ2240" s="1733"/>
      <c r="KJA2240" s="1733"/>
      <c r="KJB2240" s="1733"/>
      <c r="KJC2240" s="1733"/>
      <c r="KJD2240" s="1733"/>
      <c r="KJE2240" s="1733"/>
      <c r="KJF2240" s="1733"/>
      <c r="KJG2240" s="1733"/>
      <c r="KJH2240" s="1733"/>
      <c r="KJI2240" s="1733"/>
      <c r="KJJ2240" s="1733"/>
      <c r="KJK2240" s="1733"/>
      <c r="KJL2240" s="1733"/>
      <c r="KJM2240" s="1733"/>
      <c r="KJN2240" s="1733"/>
      <c r="KJO2240" s="1733"/>
      <c r="KJP2240" s="1733"/>
      <c r="KJQ2240" s="1733"/>
      <c r="KJR2240" s="1733"/>
      <c r="KJS2240" s="1733"/>
      <c r="KJT2240" s="1733"/>
      <c r="KJU2240" s="1733"/>
      <c r="KJV2240" s="1733"/>
      <c r="KJW2240" s="1733"/>
      <c r="KJX2240" s="1733"/>
      <c r="KJY2240" s="1733"/>
      <c r="KJZ2240" s="1733"/>
      <c r="KKA2240" s="1733"/>
      <c r="KKB2240" s="1733"/>
      <c r="KKC2240" s="1733"/>
      <c r="KKD2240" s="1733"/>
      <c r="KKE2240" s="1733"/>
      <c r="KKF2240" s="1733"/>
      <c r="KKG2240" s="1733"/>
      <c r="KKH2240" s="1733"/>
      <c r="KKI2240" s="1733"/>
      <c r="KKJ2240" s="1733"/>
      <c r="KKK2240" s="1733"/>
      <c r="KKL2240" s="1733"/>
      <c r="KKM2240" s="1733"/>
      <c r="KKN2240" s="1733"/>
      <c r="KKO2240" s="1733"/>
      <c r="KKP2240" s="1733"/>
      <c r="KKQ2240" s="1733"/>
      <c r="KKR2240" s="1733"/>
      <c r="KKS2240" s="1733"/>
      <c r="KKT2240" s="1733"/>
      <c r="KKU2240" s="1733"/>
      <c r="KKV2240" s="1733"/>
      <c r="KKW2240" s="1733"/>
      <c r="KKX2240" s="1733"/>
      <c r="KKY2240" s="1733"/>
      <c r="KKZ2240" s="1733"/>
      <c r="KLA2240" s="1733"/>
      <c r="KLB2240" s="1733"/>
      <c r="KLC2240" s="1733"/>
      <c r="KLD2240" s="1733"/>
      <c r="KLE2240" s="1733"/>
      <c r="KLF2240" s="1733"/>
      <c r="KLG2240" s="1733"/>
      <c r="KLH2240" s="1733"/>
      <c r="KLI2240" s="1733"/>
      <c r="KLJ2240" s="1733"/>
      <c r="KLK2240" s="1733"/>
      <c r="KLL2240" s="1733"/>
      <c r="KLM2240" s="1733"/>
      <c r="KLN2240" s="1733"/>
      <c r="KLO2240" s="1733"/>
      <c r="KLP2240" s="1733"/>
      <c r="KLQ2240" s="1733"/>
      <c r="KLR2240" s="1733"/>
      <c r="KLS2240" s="1733"/>
      <c r="KLT2240" s="1733"/>
      <c r="KLU2240" s="1733"/>
      <c r="KLV2240" s="1733"/>
      <c r="KLW2240" s="1733"/>
      <c r="KLX2240" s="1733"/>
      <c r="KLY2240" s="1733"/>
      <c r="KLZ2240" s="1733"/>
      <c r="KMA2240" s="1733"/>
      <c r="KMB2240" s="1733"/>
      <c r="KMC2240" s="1733"/>
      <c r="KMD2240" s="1733"/>
      <c r="KME2240" s="1733"/>
      <c r="KMF2240" s="1733"/>
      <c r="KMG2240" s="1733"/>
      <c r="KMH2240" s="1733"/>
      <c r="KMI2240" s="1733"/>
      <c r="KMJ2240" s="1733"/>
      <c r="KMK2240" s="1733"/>
      <c r="KML2240" s="1733"/>
      <c r="KMM2240" s="1733"/>
      <c r="KMN2240" s="1733"/>
      <c r="KMO2240" s="1733"/>
      <c r="KMP2240" s="1733"/>
      <c r="KMQ2240" s="1733"/>
      <c r="KMR2240" s="1733"/>
      <c r="KMS2240" s="1733"/>
      <c r="KMT2240" s="1733"/>
      <c r="KMU2240" s="1733"/>
      <c r="KMV2240" s="1733"/>
      <c r="KMW2240" s="1733"/>
      <c r="KMX2240" s="1733"/>
      <c r="KMY2240" s="1733"/>
      <c r="KMZ2240" s="1733"/>
      <c r="KNA2240" s="1733"/>
      <c r="KNB2240" s="1733"/>
      <c r="KNC2240" s="1733"/>
      <c r="KND2240" s="1733"/>
      <c r="KNE2240" s="1733"/>
      <c r="KNF2240" s="1733"/>
      <c r="KNG2240" s="1733"/>
      <c r="KNH2240" s="1733"/>
      <c r="KNI2240" s="1733"/>
      <c r="KNJ2240" s="1733"/>
      <c r="KNK2240" s="1733"/>
      <c r="KNL2240" s="1733"/>
      <c r="KNM2240" s="1733"/>
      <c r="KNN2240" s="1733"/>
      <c r="KNO2240" s="1733"/>
      <c r="KNP2240" s="1733"/>
      <c r="KNQ2240" s="1733"/>
      <c r="KNR2240" s="1733"/>
      <c r="KNS2240" s="1733"/>
      <c r="KNT2240" s="1733"/>
      <c r="KNU2240" s="1733"/>
      <c r="KNV2240" s="1733"/>
      <c r="KNW2240" s="1733"/>
      <c r="KNX2240" s="1733"/>
      <c r="KNY2240" s="1733"/>
      <c r="KNZ2240" s="1733"/>
      <c r="KOA2240" s="1733"/>
      <c r="KOB2240" s="1733"/>
      <c r="KOC2240" s="1733"/>
      <c r="KOD2240" s="1733"/>
      <c r="KOE2240" s="1733"/>
      <c r="KOF2240" s="1733"/>
      <c r="KOG2240" s="1733"/>
      <c r="KOH2240" s="1733"/>
      <c r="KOI2240" s="1733"/>
      <c r="KOJ2240" s="1733"/>
      <c r="KOK2240" s="1733"/>
      <c r="KOL2240" s="1733"/>
      <c r="KOM2240" s="1733"/>
      <c r="KON2240" s="1733"/>
      <c r="KOO2240" s="1733"/>
      <c r="KOP2240" s="1733"/>
      <c r="KOQ2240" s="1733"/>
      <c r="KOR2240" s="1733"/>
      <c r="KOS2240" s="1733"/>
      <c r="KOT2240" s="1733"/>
      <c r="KOU2240" s="1733"/>
      <c r="KOV2240" s="1733"/>
      <c r="KOW2240" s="1733"/>
      <c r="KOX2240" s="1733"/>
      <c r="KOY2240" s="1733"/>
      <c r="KOZ2240" s="1733"/>
      <c r="KPA2240" s="1733"/>
      <c r="KPB2240" s="1733"/>
      <c r="KPC2240" s="1733"/>
      <c r="KPD2240" s="1733"/>
      <c r="KPE2240" s="1733"/>
      <c r="KPF2240" s="1733"/>
      <c r="KPG2240" s="1733"/>
      <c r="KPH2240" s="1733"/>
      <c r="KPI2240" s="1733"/>
      <c r="KPJ2240" s="1733"/>
      <c r="KPK2240" s="1733"/>
      <c r="KPL2240" s="1733"/>
      <c r="KPM2240" s="1733"/>
      <c r="KPN2240" s="1733"/>
      <c r="KPO2240" s="1733"/>
      <c r="KPP2240" s="1733"/>
      <c r="KPQ2240" s="1733"/>
      <c r="KPR2240" s="1733"/>
      <c r="KPS2240" s="1733"/>
      <c r="KPT2240" s="1733"/>
      <c r="KPU2240" s="1733"/>
      <c r="KPV2240" s="1733"/>
      <c r="KPW2240" s="1733"/>
      <c r="KPX2240" s="1733"/>
      <c r="KPY2240" s="1733"/>
      <c r="KPZ2240" s="1733"/>
      <c r="KQA2240" s="1733"/>
      <c r="KQB2240" s="1733"/>
      <c r="KQC2240" s="1733"/>
      <c r="KQD2240" s="1733"/>
      <c r="KQE2240" s="1733"/>
      <c r="KQF2240" s="1733"/>
      <c r="KQG2240" s="1733"/>
      <c r="KQH2240" s="1733"/>
      <c r="KQI2240" s="1733"/>
      <c r="KQJ2240" s="1733"/>
      <c r="KQK2240" s="1733"/>
      <c r="KQL2240" s="1733"/>
      <c r="KQM2240" s="1733"/>
      <c r="KQN2240" s="1733"/>
      <c r="KQO2240" s="1733"/>
      <c r="KQP2240" s="1733"/>
      <c r="KQQ2240" s="1733"/>
      <c r="KQR2240" s="1733"/>
      <c r="KQS2240" s="1733"/>
      <c r="KQT2240" s="1733"/>
      <c r="KQU2240" s="1733"/>
      <c r="KQV2240" s="1733"/>
      <c r="KQW2240" s="1733"/>
      <c r="KQX2240" s="1733"/>
      <c r="KQY2240" s="1733"/>
      <c r="KQZ2240" s="1733"/>
      <c r="KRA2240" s="1733"/>
      <c r="KRB2240" s="1733"/>
      <c r="KRC2240" s="1733"/>
      <c r="KRD2240" s="1733"/>
      <c r="KRE2240" s="1733"/>
      <c r="KRF2240" s="1733"/>
      <c r="KRG2240" s="1733"/>
      <c r="KRH2240" s="1733"/>
      <c r="KRI2240" s="1733"/>
      <c r="KRJ2240" s="1733"/>
      <c r="KRK2240" s="1733"/>
      <c r="KRL2240" s="1733"/>
      <c r="KRM2240" s="1733"/>
      <c r="KRN2240" s="1733"/>
      <c r="KRO2240" s="1733"/>
      <c r="KRP2240" s="1733"/>
      <c r="KRQ2240" s="1733"/>
      <c r="KRR2240" s="1733"/>
      <c r="KRS2240" s="1733"/>
      <c r="KRT2240" s="1733"/>
      <c r="KRU2240" s="1733"/>
      <c r="KRV2240" s="1733"/>
      <c r="KRW2240" s="1733"/>
      <c r="KRX2240" s="1733"/>
      <c r="KRY2240" s="1733"/>
      <c r="KRZ2240" s="1733"/>
      <c r="KSA2240" s="1733"/>
      <c r="KSB2240" s="1733"/>
      <c r="KSC2240" s="1733"/>
      <c r="KSD2240" s="1733"/>
      <c r="KSE2240" s="1733"/>
      <c r="KSF2240" s="1733"/>
      <c r="KSG2240" s="1733"/>
      <c r="KSH2240" s="1733"/>
      <c r="KSI2240" s="1733"/>
      <c r="KSJ2240" s="1733"/>
      <c r="KSK2240" s="1733"/>
      <c r="KSL2240" s="1733"/>
      <c r="KSM2240" s="1733"/>
      <c r="KSN2240" s="1733"/>
      <c r="KSO2240" s="1733"/>
      <c r="KSP2240" s="1733"/>
      <c r="KSQ2240" s="1733"/>
      <c r="KSR2240" s="1733"/>
      <c r="KSS2240" s="1733"/>
      <c r="KST2240" s="1733"/>
      <c r="KSU2240" s="1733"/>
      <c r="KSV2240" s="1733"/>
      <c r="KSW2240" s="1733"/>
      <c r="KSX2240" s="1733"/>
      <c r="KSY2240" s="1733"/>
      <c r="KSZ2240" s="1733"/>
      <c r="KTA2240" s="1733"/>
      <c r="KTB2240" s="1733"/>
      <c r="KTC2240" s="1733"/>
      <c r="KTD2240" s="1733"/>
      <c r="KTE2240" s="1733"/>
      <c r="KTF2240" s="1733"/>
      <c r="KTG2240" s="1733"/>
      <c r="KTH2240" s="1733"/>
      <c r="KTI2240" s="1733"/>
      <c r="KTJ2240" s="1733"/>
      <c r="KTK2240" s="1733"/>
      <c r="KTL2240" s="1733"/>
      <c r="KTM2240" s="1733"/>
      <c r="KTN2240" s="1733"/>
      <c r="KTO2240" s="1733"/>
      <c r="KTP2240" s="1733"/>
      <c r="KTQ2240" s="1733"/>
      <c r="KTR2240" s="1733"/>
      <c r="KTS2240" s="1733"/>
      <c r="KTT2240" s="1733"/>
      <c r="KTU2240" s="1733"/>
      <c r="KTV2240" s="1733"/>
      <c r="KTW2240" s="1733"/>
      <c r="KTX2240" s="1733"/>
      <c r="KTY2240" s="1733"/>
      <c r="KTZ2240" s="1733"/>
      <c r="KUA2240" s="1733"/>
      <c r="KUB2240" s="1733"/>
      <c r="KUC2240" s="1733"/>
      <c r="KUD2240" s="1733"/>
      <c r="KUE2240" s="1733"/>
      <c r="KUF2240" s="1733"/>
      <c r="KUG2240" s="1733"/>
      <c r="KUH2240" s="1733"/>
      <c r="KUI2240" s="1733"/>
      <c r="KUJ2240" s="1733"/>
      <c r="KUK2240" s="1733"/>
      <c r="KUL2240" s="1733"/>
      <c r="KUM2240" s="1733"/>
      <c r="KUN2240" s="1733"/>
      <c r="KUO2240" s="1733"/>
      <c r="KUP2240" s="1733"/>
      <c r="KUQ2240" s="1733"/>
      <c r="KUR2240" s="1733"/>
      <c r="KUS2240" s="1733"/>
      <c r="KUT2240" s="1733"/>
      <c r="KUU2240" s="1733"/>
      <c r="KUV2240" s="1733"/>
      <c r="KUW2240" s="1733"/>
      <c r="KUX2240" s="1733"/>
      <c r="KUY2240" s="1733"/>
      <c r="KUZ2240" s="1733"/>
      <c r="KVA2240" s="1733"/>
      <c r="KVB2240" s="1733"/>
      <c r="KVC2240" s="1733"/>
      <c r="KVD2240" s="1733"/>
      <c r="KVE2240" s="1733"/>
      <c r="KVF2240" s="1733"/>
      <c r="KVG2240" s="1733"/>
      <c r="KVH2240" s="1733"/>
      <c r="KVI2240" s="1733"/>
      <c r="KVJ2240" s="1733"/>
      <c r="KVK2240" s="1733"/>
      <c r="KVL2240" s="1733"/>
      <c r="KVM2240" s="1733"/>
      <c r="KVN2240" s="1733"/>
      <c r="KVO2240" s="1733"/>
      <c r="KVP2240" s="1733"/>
      <c r="KVQ2240" s="1733"/>
      <c r="KVR2240" s="1733"/>
      <c r="KVS2240" s="1733"/>
      <c r="KVT2240" s="1733"/>
      <c r="KVU2240" s="1733"/>
      <c r="KVV2240" s="1733"/>
      <c r="KVW2240" s="1733"/>
      <c r="KVX2240" s="1733"/>
      <c r="KVY2240" s="1733"/>
      <c r="KVZ2240" s="1733"/>
      <c r="KWA2240" s="1733"/>
      <c r="KWB2240" s="1733"/>
      <c r="KWC2240" s="1733"/>
      <c r="KWD2240" s="1733"/>
      <c r="KWE2240" s="1733"/>
      <c r="KWF2240" s="1733"/>
      <c r="KWG2240" s="1733"/>
      <c r="KWH2240" s="1733"/>
      <c r="KWI2240" s="1733"/>
      <c r="KWJ2240" s="1733"/>
      <c r="KWK2240" s="1733"/>
      <c r="KWL2240" s="1733"/>
      <c r="KWM2240" s="1733"/>
      <c r="KWN2240" s="1733"/>
      <c r="KWO2240" s="1733"/>
      <c r="KWP2240" s="1733"/>
      <c r="KWQ2240" s="1733"/>
      <c r="KWR2240" s="1733"/>
      <c r="KWS2240" s="1733"/>
      <c r="KWT2240" s="1733"/>
      <c r="KWU2240" s="1733"/>
      <c r="KWV2240" s="1733"/>
      <c r="KWW2240" s="1733"/>
      <c r="KWX2240" s="1733"/>
      <c r="KWY2240" s="1733"/>
      <c r="KWZ2240" s="1733"/>
      <c r="KXA2240" s="1733"/>
      <c r="KXB2240" s="1733"/>
      <c r="KXC2240" s="1733"/>
      <c r="KXD2240" s="1733"/>
      <c r="KXE2240" s="1733"/>
      <c r="KXF2240" s="1733"/>
      <c r="KXG2240" s="1733"/>
      <c r="KXH2240" s="1733"/>
      <c r="KXI2240" s="1733"/>
      <c r="KXJ2240" s="1733"/>
      <c r="KXK2240" s="1733"/>
      <c r="KXL2240" s="1733"/>
      <c r="KXM2240" s="1733"/>
      <c r="KXN2240" s="1733"/>
      <c r="KXO2240" s="1733"/>
      <c r="KXP2240" s="1733"/>
      <c r="KXQ2240" s="1733"/>
      <c r="KXR2240" s="1733"/>
      <c r="KXS2240" s="1733"/>
      <c r="KXT2240" s="1733"/>
      <c r="KXU2240" s="1733"/>
      <c r="KXV2240" s="1733"/>
      <c r="KXW2240" s="1733"/>
      <c r="KXX2240" s="1733"/>
      <c r="KXY2240" s="1733"/>
      <c r="KXZ2240" s="1733"/>
      <c r="KYA2240" s="1733"/>
      <c r="KYB2240" s="1733"/>
      <c r="KYC2240" s="1733"/>
      <c r="KYD2240" s="1733"/>
      <c r="KYE2240" s="1733"/>
      <c r="KYF2240" s="1733"/>
      <c r="KYG2240" s="1733"/>
      <c r="KYH2240" s="1733"/>
      <c r="KYI2240" s="1733"/>
      <c r="KYJ2240" s="1733"/>
      <c r="KYK2240" s="1733"/>
      <c r="KYL2240" s="1733"/>
      <c r="KYM2240" s="1733"/>
      <c r="KYN2240" s="1733"/>
      <c r="KYO2240" s="1733"/>
      <c r="KYP2240" s="1733"/>
      <c r="KYQ2240" s="1733"/>
      <c r="KYR2240" s="1733"/>
      <c r="KYS2240" s="1733"/>
      <c r="KYT2240" s="1733"/>
      <c r="KYU2240" s="1733"/>
      <c r="KYV2240" s="1733"/>
      <c r="KYW2240" s="1733"/>
      <c r="KYX2240" s="1733"/>
      <c r="KYY2240" s="1733"/>
      <c r="KYZ2240" s="1733"/>
      <c r="KZA2240" s="1733"/>
      <c r="KZB2240" s="1733"/>
      <c r="KZC2240" s="1733"/>
      <c r="KZD2240" s="1733"/>
      <c r="KZE2240" s="1733"/>
      <c r="KZF2240" s="1733"/>
      <c r="KZG2240" s="1733"/>
      <c r="KZH2240" s="1733"/>
      <c r="KZI2240" s="1733"/>
      <c r="KZJ2240" s="1733"/>
      <c r="KZK2240" s="1733"/>
      <c r="KZL2240" s="1733"/>
      <c r="KZM2240" s="1733"/>
      <c r="KZN2240" s="1733"/>
      <c r="KZO2240" s="1733"/>
      <c r="KZP2240" s="1733"/>
      <c r="KZQ2240" s="1733"/>
      <c r="KZR2240" s="1733"/>
      <c r="KZS2240" s="1733"/>
      <c r="KZT2240" s="1733"/>
      <c r="KZU2240" s="1733"/>
      <c r="KZV2240" s="1733"/>
      <c r="KZW2240" s="1733"/>
      <c r="KZX2240" s="1733"/>
      <c r="KZY2240" s="1733"/>
      <c r="KZZ2240" s="1733"/>
      <c r="LAA2240" s="1733"/>
      <c r="LAB2240" s="1733"/>
      <c r="LAC2240" s="1733"/>
      <c r="LAD2240" s="1733"/>
      <c r="LAE2240" s="1733"/>
      <c r="LAF2240" s="1733"/>
      <c r="LAG2240" s="1733"/>
      <c r="LAH2240" s="1733"/>
      <c r="LAI2240" s="1733"/>
      <c r="LAJ2240" s="1733"/>
      <c r="LAK2240" s="1733"/>
      <c r="LAL2240" s="1733"/>
      <c r="LAM2240" s="1733"/>
      <c r="LAN2240" s="1733"/>
      <c r="LAO2240" s="1733"/>
      <c r="LAP2240" s="1733"/>
      <c r="LAQ2240" s="1733"/>
      <c r="LAR2240" s="1733"/>
      <c r="LAS2240" s="1733"/>
      <c r="LAT2240" s="1733"/>
      <c r="LAU2240" s="1733"/>
      <c r="LAV2240" s="1733"/>
      <c r="LAW2240" s="1733"/>
      <c r="LAX2240" s="1733"/>
      <c r="LAY2240" s="1733"/>
      <c r="LAZ2240" s="1733"/>
      <c r="LBA2240" s="1733"/>
      <c r="LBB2240" s="1733"/>
      <c r="LBC2240" s="1733"/>
      <c r="LBD2240" s="1733"/>
      <c r="LBE2240" s="1733"/>
      <c r="LBF2240" s="1733"/>
      <c r="LBG2240" s="1733"/>
      <c r="LBH2240" s="1733"/>
      <c r="LBI2240" s="1733"/>
      <c r="LBJ2240" s="1733"/>
      <c r="LBK2240" s="1733"/>
      <c r="LBL2240" s="1733"/>
      <c r="LBM2240" s="1733"/>
      <c r="LBN2240" s="1733"/>
      <c r="LBO2240" s="1733"/>
      <c r="LBP2240" s="1733"/>
      <c r="LBQ2240" s="1733"/>
      <c r="LBR2240" s="1733"/>
      <c r="LBS2240" s="1733"/>
      <c r="LBT2240" s="1733"/>
      <c r="LBU2240" s="1733"/>
      <c r="LBV2240" s="1733"/>
      <c r="LBW2240" s="1733"/>
      <c r="LBX2240" s="1733"/>
      <c r="LBY2240" s="1733"/>
      <c r="LBZ2240" s="1733"/>
      <c r="LCA2240" s="1733"/>
      <c r="LCB2240" s="1733"/>
      <c r="LCC2240" s="1733"/>
      <c r="LCD2240" s="1733"/>
      <c r="LCE2240" s="1733"/>
      <c r="LCF2240" s="1733"/>
      <c r="LCG2240" s="1733"/>
      <c r="LCH2240" s="1733"/>
      <c r="LCI2240" s="1733"/>
      <c r="LCJ2240" s="1733"/>
      <c r="LCK2240" s="1733"/>
      <c r="LCL2240" s="1733"/>
      <c r="LCM2240" s="1733"/>
      <c r="LCN2240" s="1733"/>
      <c r="LCO2240" s="1733"/>
      <c r="LCP2240" s="1733"/>
      <c r="LCQ2240" s="1733"/>
      <c r="LCR2240" s="1733"/>
      <c r="LCS2240" s="1733"/>
      <c r="LCT2240" s="1733"/>
      <c r="LCU2240" s="1733"/>
      <c r="LCV2240" s="1733"/>
      <c r="LCW2240" s="1733"/>
      <c r="LCX2240" s="1733"/>
      <c r="LCY2240" s="1733"/>
      <c r="LCZ2240" s="1733"/>
      <c r="LDA2240" s="1733"/>
      <c r="LDB2240" s="1733"/>
      <c r="LDC2240" s="1733"/>
      <c r="LDD2240" s="1733"/>
      <c r="LDE2240" s="1733"/>
      <c r="LDF2240" s="1733"/>
      <c r="LDG2240" s="1733"/>
      <c r="LDH2240" s="1733"/>
      <c r="LDI2240" s="1733"/>
      <c r="LDJ2240" s="1733"/>
      <c r="LDK2240" s="1733"/>
      <c r="LDL2240" s="1733"/>
      <c r="LDM2240" s="1733"/>
      <c r="LDN2240" s="1733"/>
      <c r="LDO2240" s="1733"/>
      <c r="LDP2240" s="1733"/>
      <c r="LDQ2240" s="1733"/>
      <c r="LDR2240" s="1733"/>
      <c r="LDS2240" s="1733"/>
      <c r="LDT2240" s="1733"/>
      <c r="LDU2240" s="1733"/>
      <c r="LDV2240" s="1733"/>
      <c r="LDW2240" s="1733"/>
      <c r="LDX2240" s="1733"/>
      <c r="LDY2240" s="1733"/>
      <c r="LDZ2240" s="1733"/>
      <c r="LEA2240" s="1733"/>
      <c r="LEB2240" s="1733"/>
      <c r="LEC2240" s="1733"/>
      <c r="LED2240" s="1733"/>
      <c r="LEE2240" s="1733"/>
      <c r="LEF2240" s="1733"/>
      <c r="LEG2240" s="1733"/>
      <c r="LEH2240" s="1733"/>
      <c r="LEI2240" s="1733"/>
      <c r="LEJ2240" s="1733"/>
      <c r="LEK2240" s="1733"/>
      <c r="LEL2240" s="1733"/>
      <c r="LEM2240" s="1733"/>
      <c r="LEN2240" s="1733"/>
      <c r="LEO2240" s="1733"/>
      <c r="LEP2240" s="1733"/>
      <c r="LEQ2240" s="1733"/>
      <c r="LER2240" s="1733"/>
      <c r="LES2240" s="1733"/>
      <c r="LET2240" s="1733"/>
      <c r="LEU2240" s="1733"/>
      <c r="LEV2240" s="1733"/>
      <c r="LEW2240" s="1733"/>
      <c r="LEX2240" s="1733"/>
      <c r="LEY2240" s="1733"/>
      <c r="LEZ2240" s="1733"/>
      <c r="LFA2240" s="1733"/>
      <c r="LFB2240" s="1733"/>
      <c r="LFC2240" s="1733"/>
      <c r="LFD2240" s="1733"/>
      <c r="LFE2240" s="1733"/>
      <c r="LFF2240" s="1733"/>
      <c r="LFG2240" s="1733"/>
      <c r="LFH2240" s="1733"/>
      <c r="LFI2240" s="1733"/>
      <c r="LFJ2240" s="1733"/>
      <c r="LFK2240" s="1733"/>
      <c r="LFL2240" s="1733"/>
      <c r="LFM2240" s="1733"/>
      <c r="LFN2240" s="1733"/>
      <c r="LFO2240" s="1733"/>
      <c r="LFP2240" s="1733"/>
      <c r="LFQ2240" s="1733"/>
      <c r="LFR2240" s="1733"/>
      <c r="LFS2240" s="1733"/>
      <c r="LFT2240" s="1733"/>
      <c r="LFU2240" s="1733"/>
      <c r="LFV2240" s="1733"/>
      <c r="LFW2240" s="1733"/>
      <c r="LFX2240" s="1733"/>
      <c r="LFY2240" s="1733"/>
      <c r="LFZ2240" s="1733"/>
      <c r="LGA2240" s="1733"/>
      <c r="LGB2240" s="1733"/>
      <c r="LGC2240" s="1733"/>
      <c r="LGD2240" s="1733"/>
      <c r="LGE2240" s="1733"/>
      <c r="LGF2240" s="1733"/>
      <c r="LGG2240" s="1733"/>
      <c r="LGH2240" s="1733"/>
      <c r="LGI2240" s="1733"/>
      <c r="LGJ2240" s="1733"/>
      <c r="LGK2240" s="1733"/>
      <c r="LGL2240" s="1733"/>
      <c r="LGM2240" s="1733"/>
      <c r="LGN2240" s="1733"/>
      <c r="LGO2240" s="1733"/>
      <c r="LGP2240" s="1733"/>
      <c r="LGQ2240" s="1733"/>
      <c r="LGR2240" s="1733"/>
      <c r="LGS2240" s="1733"/>
      <c r="LGT2240" s="1733"/>
      <c r="LGU2240" s="1733"/>
      <c r="LGV2240" s="1733"/>
      <c r="LGW2240" s="1733"/>
      <c r="LGX2240" s="1733"/>
      <c r="LGY2240" s="1733"/>
      <c r="LGZ2240" s="1733"/>
      <c r="LHA2240" s="1733"/>
      <c r="LHB2240" s="1733"/>
      <c r="LHC2240" s="1733"/>
      <c r="LHD2240" s="1733"/>
      <c r="LHE2240" s="1733"/>
      <c r="LHF2240" s="1733"/>
      <c r="LHG2240" s="1733"/>
      <c r="LHH2240" s="1733"/>
      <c r="LHI2240" s="1733"/>
      <c r="LHJ2240" s="1733"/>
      <c r="LHK2240" s="1733"/>
      <c r="LHL2240" s="1733"/>
      <c r="LHM2240" s="1733"/>
      <c r="LHN2240" s="1733"/>
      <c r="LHO2240" s="1733"/>
      <c r="LHP2240" s="1733"/>
      <c r="LHQ2240" s="1733"/>
      <c r="LHR2240" s="1733"/>
      <c r="LHS2240" s="1733"/>
      <c r="LHT2240" s="1733"/>
      <c r="LHU2240" s="1733"/>
      <c r="LHV2240" s="1733"/>
      <c r="LHW2240" s="1733"/>
      <c r="LHX2240" s="1733"/>
      <c r="LHY2240" s="1733"/>
      <c r="LHZ2240" s="1733"/>
      <c r="LIA2240" s="1733"/>
      <c r="LIB2240" s="1733"/>
      <c r="LIC2240" s="1733"/>
      <c r="LID2240" s="1733"/>
      <c r="LIE2240" s="1733"/>
      <c r="LIF2240" s="1733"/>
      <c r="LIG2240" s="1733"/>
      <c r="LIH2240" s="1733"/>
      <c r="LII2240" s="1733"/>
      <c r="LIJ2240" s="1733"/>
      <c r="LIK2240" s="1733"/>
      <c r="LIL2240" s="1733"/>
      <c r="LIM2240" s="1733"/>
      <c r="LIN2240" s="1733"/>
      <c r="LIO2240" s="1733"/>
      <c r="LIP2240" s="1733"/>
      <c r="LIQ2240" s="1733"/>
      <c r="LIR2240" s="1733"/>
      <c r="LIS2240" s="1733"/>
      <c r="LIT2240" s="1733"/>
      <c r="LIU2240" s="1733"/>
      <c r="LIV2240" s="1733"/>
      <c r="LIW2240" s="1733"/>
      <c r="LIX2240" s="1733"/>
      <c r="LIY2240" s="1733"/>
      <c r="LIZ2240" s="1733"/>
      <c r="LJA2240" s="1733"/>
      <c r="LJB2240" s="1733"/>
      <c r="LJC2240" s="1733"/>
      <c r="LJD2240" s="1733"/>
      <c r="LJE2240" s="1733"/>
      <c r="LJF2240" s="1733"/>
      <c r="LJG2240" s="1733"/>
      <c r="LJH2240" s="1733"/>
      <c r="LJI2240" s="1733"/>
      <c r="LJJ2240" s="1733"/>
      <c r="LJK2240" s="1733"/>
      <c r="LJL2240" s="1733"/>
      <c r="LJM2240" s="1733"/>
      <c r="LJN2240" s="1733"/>
      <c r="LJO2240" s="1733"/>
      <c r="LJP2240" s="1733"/>
      <c r="LJQ2240" s="1733"/>
      <c r="LJR2240" s="1733"/>
      <c r="LJS2240" s="1733"/>
      <c r="LJT2240" s="1733"/>
      <c r="LJU2240" s="1733"/>
      <c r="LJV2240" s="1733"/>
      <c r="LJW2240" s="1733"/>
      <c r="LJX2240" s="1733"/>
      <c r="LJY2240" s="1733"/>
      <c r="LJZ2240" s="1733"/>
      <c r="LKA2240" s="1733"/>
      <c r="LKB2240" s="1733"/>
      <c r="LKC2240" s="1733"/>
      <c r="LKD2240" s="1733"/>
      <c r="LKE2240" s="1733"/>
      <c r="LKF2240" s="1733"/>
      <c r="LKG2240" s="1733"/>
      <c r="LKH2240" s="1733"/>
      <c r="LKI2240" s="1733"/>
      <c r="LKJ2240" s="1733"/>
      <c r="LKK2240" s="1733"/>
      <c r="LKL2240" s="1733"/>
      <c r="LKM2240" s="1733"/>
      <c r="LKN2240" s="1733"/>
      <c r="LKO2240" s="1733"/>
      <c r="LKP2240" s="1733"/>
      <c r="LKQ2240" s="1733"/>
      <c r="LKR2240" s="1733"/>
      <c r="LKS2240" s="1733"/>
      <c r="LKT2240" s="1733"/>
      <c r="LKU2240" s="1733"/>
      <c r="LKV2240" s="1733"/>
      <c r="LKW2240" s="1733"/>
      <c r="LKX2240" s="1733"/>
      <c r="LKY2240" s="1733"/>
      <c r="LKZ2240" s="1733"/>
      <c r="LLA2240" s="1733"/>
      <c r="LLB2240" s="1733"/>
      <c r="LLC2240" s="1733"/>
      <c r="LLD2240" s="1733"/>
      <c r="LLE2240" s="1733"/>
      <c r="LLF2240" s="1733"/>
      <c r="LLG2240" s="1733"/>
      <c r="LLH2240" s="1733"/>
      <c r="LLI2240" s="1733"/>
      <c r="LLJ2240" s="1733"/>
      <c r="LLK2240" s="1733"/>
      <c r="LLL2240" s="1733"/>
      <c r="LLM2240" s="1733"/>
      <c r="LLN2240" s="1733"/>
      <c r="LLO2240" s="1733"/>
      <c r="LLP2240" s="1733"/>
      <c r="LLQ2240" s="1733"/>
      <c r="LLR2240" s="1733"/>
      <c r="LLS2240" s="1733"/>
      <c r="LLT2240" s="1733"/>
      <c r="LLU2240" s="1733"/>
      <c r="LLV2240" s="1733"/>
      <c r="LLW2240" s="1733"/>
      <c r="LLX2240" s="1733"/>
      <c r="LLY2240" s="1733"/>
      <c r="LLZ2240" s="1733"/>
      <c r="LMA2240" s="1733"/>
      <c r="LMB2240" s="1733"/>
      <c r="LMC2240" s="1733"/>
      <c r="LMD2240" s="1733"/>
      <c r="LME2240" s="1733"/>
      <c r="LMF2240" s="1733"/>
      <c r="LMG2240" s="1733"/>
      <c r="LMH2240" s="1733"/>
      <c r="LMI2240" s="1733"/>
      <c r="LMJ2240" s="1733"/>
      <c r="LMK2240" s="1733"/>
      <c r="LML2240" s="1733"/>
      <c r="LMM2240" s="1733"/>
      <c r="LMN2240" s="1733"/>
      <c r="LMO2240" s="1733"/>
      <c r="LMP2240" s="1733"/>
      <c r="LMQ2240" s="1733"/>
      <c r="LMR2240" s="1733"/>
      <c r="LMS2240" s="1733"/>
      <c r="LMT2240" s="1733"/>
      <c r="LMU2240" s="1733"/>
      <c r="LMV2240" s="1733"/>
      <c r="LMW2240" s="1733"/>
      <c r="LMX2240" s="1733"/>
      <c r="LMY2240" s="1733"/>
      <c r="LMZ2240" s="1733"/>
      <c r="LNA2240" s="1733"/>
      <c r="LNB2240" s="1733"/>
      <c r="LNC2240" s="1733"/>
      <c r="LND2240" s="1733"/>
      <c r="LNE2240" s="1733"/>
      <c r="LNF2240" s="1733"/>
      <c r="LNG2240" s="1733"/>
      <c r="LNH2240" s="1733"/>
      <c r="LNI2240" s="1733"/>
      <c r="LNJ2240" s="1733"/>
      <c r="LNK2240" s="1733"/>
      <c r="LNL2240" s="1733"/>
      <c r="LNM2240" s="1733"/>
      <c r="LNN2240" s="1733"/>
      <c r="LNO2240" s="1733"/>
      <c r="LNP2240" s="1733"/>
      <c r="LNQ2240" s="1733"/>
      <c r="LNR2240" s="1733"/>
      <c r="LNS2240" s="1733"/>
      <c r="LNT2240" s="1733"/>
      <c r="LNU2240" s="1733"/>
      <c r="LNV2240" s="1733"/>
      <c r="LNW2240" s="1733"/>
      <c r="LNX2240" s="1733"/>
      <c r="LNY2240" s="1733"/>
      <c r="LNZ2240" s="1733"/>
      <c r="LOA2240" s="1733"/>
      <c r="LOB2240" s="1733"/>
      <c r="LOC2240" s="1733"/>
      <c r="LOD2240" s="1733"/>
      <c r="LOE2240" s="1733"/>
      <c r="LOF2240" s="1733"/>
      <c r="LOG2240" s="1733"/>
      <c r="LOH2240" s="1733"/>
      <c r="LOI2240" s="1733"/>
      <c r="LOJ2240" s="1733"/>
      <c r="LOK2240" s="1733"/>
      <c r="LOL2240" s="1733"/>
      <c r="LOM2240" s="1733"/>
      <c r="LON2240" s="1733"/>
      <c r="LOO2240" s="1733"/>
      <c r="LOP2240" s="1733"/>
      <c r="LOQ2240" s="1733"/>
      <c r="LOR2240" s="1733"/>
      <c r="LOS2240" s="1733"/>
      <c r="LOT2240" s="1733"/>
      <c r="LOU2240" s="1733"/>
      <c r="LOV2240" s="1733"/>
      <c r="LOW2240" s="1733"/>
      <c r="LOX2240" s="1733"/>
      <c r="LOY2240" s="1733"/>
      <c r="LOZ2240" s="1733"/>
      <c r="LPA2240" s="1733"/>
      <c r="LPB2240" s="1733"/>
      <c r="LPC2240" s="1733"/>
      <c r="LPD2240" s="1733"/>
      <c r="LPE2240" s="1733"/>
      <c r="LPF2240" s="1733"/>
      <c r="LPG2240" s="1733"/>
      <c r="LPH2240" s="1733"/>
      <c r="LPI2240" s="1733"/>
      <c r="LPJ2240" s="1733"/>
      <c r="LPK2240" s="1733"/>
      <c r="LPL2240" s="1733"/>
      <c r="LPM2240" s="1733"/>
      <c r="LPN2240" s="1733"/>
      <c r="LPO2240" s="1733"/>
      <c r="LPP2240" s="1733"/>
      <c r="LPQ2240" s="1733"/>
      <c r="LPR2240" s="1733"/>
      <c r="LPS2240" s="1733"/>
      <c r="LPT2240" s="1733"/>
      <c r="LPU2240" s="1733"/>
      <c r="LPV2240" s="1733"/>
      <c r="LPW2240" s="1733"/>
      <c r="LPX2240" s="1733"/>
      <c r="LPY2240" s="1733"/>
      <c r="LPZ2240" s="1733"/>
      <c r="LQA2240" s="1733"/>
      <c r="LQB2240" s="1733"/>
      <c r="LQC2240" s="1733"/>
      <c r="LQD2240" s="1733"/>
      <c r="LQE2240" s="1733"/>
      <c r="LQF2240" s="1733"/>
      <c r="LQG2240" s="1733"/>
      <c r="LQH2240" s="1733"/>
      <c r="LQI2240" s="1733"/>
      <c r="LQJ2240" s="1733"/>
      <c r="LQK2240" s="1733"/>
      <c r="LQL2240" s="1733"/>
      <c r="LQM2240" s="1733"/>
      <c r="LQN2240" s="1733"/>
      <c r="LQO2240" s="1733"/>
      <c r="LQP2240" s="1733"/>
      <c r="LQQ2240" s="1733"/>
      <c r="LQR2240" s="1733"/>
      <c r="LQS2240" s="1733"/>
      <c r="LQT2240" s="1733"/>
      <c r="LQU2240" s="1733"/>
      <c r="LQV2240" s="1733"/>
      <c r="LQW2240" s="1733"/>
      <c r="LQX2240" s="1733"/>
      <c r="LQY2240" s="1733"/>
      <c r="LQZ2240" s="1733"/>
      <c r="LRA2240" s="1733"/>
      <c r="LRB2240" s="1733"/>
      <c r="LRC2240" s="1733"/>
      <c r="LRD2240" s="1733"/>
      <c r="LRE2240" s="1733"/>
      <c r="LRF2240" s="1733"/>
      <c r="LRG2240" s="1733"/>
      <c r="LRH2240" s="1733"/>
      <c r="LRI2240" s="1733"/>
      <c r="LRJ2240" s="1733"/>
      <c r="LRK2240" s="1733"/>
      <c r="LRL2240" s="1733"/>
      <c r="LRM2240" s="1733"/>
      <c r="LRN2240" s="1733"/>
      <c r="LRO2240" s="1733"/>
      <c r="LRP2240" s="1733"/>
      <c r="LRQ2240" s="1733"/>
      <c r="LRR2240" s="1733"/>
      <c r="LRS2240" s="1733"/>
      <c r="LRT2240" s="1733"/>
      <c r="LRU2240" s="1733"/>
      <c r="LRV2240" s="1733"/>
      <c r="LRW2240" s="1733"/>
      <c r="LRX2240" s="1733"/>
      <c r="LRY2240" s="1733"/>
      <c r="LRZ2240" s="1733"/>
      <c r="LSA2240" s="1733"/>
      <c r="LSB2240" s="1733"/>
      <c r="LSC2240" s="1733"/>
      <c r="LSD2240" s="1733"/>
      <c r="LSE2240" s="1733"/>
      <c r="LSF2240" s="1733"/>
      <c r="LSG2240" s="1733"/>
      <c r="LSH2240" s="1733"/>
      <c r="LSI2240" s="1733"/>
      <c r="LSJ2240" s="1733"/>
      <c r="LSK2240" s="1733"/>
      <c r="LSL2240" s="1733"/>
      <c r="LSM2240" s="1733"/>
      <c r="LSN2240" s="1733"/>
      <c r="LSO2240" s="1733"/>
      <c r="LSP2240" s="1733"/>
      <c r="LSQ2240" s="1733"/>
      <c r="LSR2240" s="1733"/>
      <c r="LSS2240" s="1733"/>
      <c r="LST2240" s="1733"/>
      <c r="LSU2240" s="1733"/>
      <c r="LSV2240" s="1733"/>
      <c r="LSW2240" s="1733"/>
      <c r="LSX2240" s="1733"/>
      <c r="LSY2240" s="1733"/>
      <c r="LSZ2240" s="1733"/>
      <c r="LTA2240" s="1733"/>
      <c r="LTB2240" s="1733"/>
      <c r="LTC2240" s="1733"/>
      <c r="LTD2240" s="1733"/>
      <c r="LTE2240" s="1733"/>
      <c r="LTF2240" s="1733"/>
      <c r="LTG2240" s="1733"/>
      <c r="LTH2240" s="1733"/>
      <c r="LTI2240" s="1733"/>
      <c r="LTJ2240" s="1733"/>
      <c r="LTK2240" s="1733"/>
      <c r="LTL2240" s="1733"/>
      <c r="LTM2240" s="1733"/>
      <c r="LTN2240" s="1733"/>
      <c r="LTO2240" s="1733"/>
      <c r="LTP2240" s="1733"/>
      <c r="LTQ2240" s="1733"/>
      <c r="LTR2240" s="1733"/>
      <c r="LTS2240" s="1733"/>
      <c r="LTT2240" s="1733"/>
      <c r="LTU2240" s="1733"/>
      <c r="LTV2240" s="1733"/>
      <c r="LTW2240" s="1733"/>
      <c r="LTX2240" s="1733"/>
      <c r="LTY2240" s="1733"/>
      <c r="LTZ2240" s="1733"/>
      <c r="LUA2240" s="1733"/>
      <c r="LUB2240" s="1733"/>
      <c r="LUC2240" s="1733"/>
      <c r="LUD2240" s="1733"/>
      <c r="LUE2240" s="1733"/>
      <c r="LUF2240" s="1733"/>
      <c r="LUG2240" s="1733"/>
      <c r="LUH2240" s="1733"/>
      <c r="LUI2240" s="1733"/>
      <c r="LUJ2240" s="1733"/>
      <c r="LUK2240" s="1733"/>
      <c r="LUL2240" s="1733"/>
      <c r="LUM2240" s="1733"/>
      <c r="LUN2240" s="1733"/>
      <c r="LUO2240" s="1733"/>
      <c r="LUP2240" s="1733"/>
      <c r="LUQ2240" s="1733"/>
      <c r="LUR2240" s="1733"/>
      <c r="LUS2240" s="1733"/>
      <c r="LUT2240" s="1733"/>
      <c r="LUU2240" s="1733"/>
      <c r="LUV2240" s="1733"/>
      <c r="LUW2240" s="1733"/>
      <c r="LUX2240" s="1733"/>
      <c r="LUY2240" s="1733"/>
      <c r="LUZ2240" s="1733"/>
      <c r="LVA2240" s="1733"/>
      <c r="LVB2240" s="1733"/>
      <c r="LVC2240" s="1733"/>
      <c r="LVD2240" s="1733"/>
      <c r="LVE2240" s="1733"/>
      <c r="LVF2240" s="1733"/>
      <c r="LVG2240" s="1733"/>
      <c r="LVH2240" s="1733"/>
      <c r="LVI2240" s="1733"/>
      <c r="LVJ2240" s="1733"/>
      <c r="LVK2240" s="1733"/>
      <c r="LVL2240" s="1733"/>
      <c r="LVM2240" s="1733"/>
      <c r="LVN2240" s="1733"/>
      <c r="LVO2240" s="1733"/>
      <c r="LVP2240" s="1733"/>
      <c r="LVQ2240" s="1733"/>
      <c r="LVR2240" s="1733"/>
      <c r="LVS2240" s="1733"/>
      <c r="LVT2240" s="1733"/>
      <c r="LVU2240" s="1733"/>
      <c r="LVV2240" s="1733"/>
      <c r="LVW2240" s="1733"/>
      <c r="LVX2240" s="1733"/>
      <c r="LVY2240" s="1733"/>
      <c r="LVZ2240" s="1733"/>
      <c r="LWA2240" s="1733"/>
      <c r="LWB2240" s="1733"/>
      <c r="LWC2240" s="1733"/>
      <c r="LWD2240" s="1733"/>
      <c r="LWE2240" s="1733"/>
      <c r="LWF2240" s="1733"/>
      <c r="LWG2240" s="1733"/>
      <c r="LWH2240" s="1733"/>
      <c r="LWI2240" s="1733"/>
      <c r="LWJ2240" s="1733"/>
      <c r="LWK2240" s="1733"/>
      <c r="LWL2240" s="1733"/>
      <c r="LWM2240" s="1733"/>
      <c r="LWN2240" s="1733"/>
      <c r="LWO2240" s="1733"/>
      <c r="LWP2240" s="1733"/>
      <c r="LWQ2240" s="1733"/>
      <c r="LWR2240" s="1733"/>
      <c r="LWS2240" s="1733"/>
      <c r="LWT2240" s="1733"/>
      <c r="LWU2240" s="1733"/>
      <c r="LWV2240" s="1733"/>
      <c r="LWW2240" s="1733"/>
      <c r="LWX2240" s="1733"/>
      <c r="LWY2240" s="1733"/>
      <c r="LWZ2240" s="1733"/>
      <c r="LXA2240" s="1733"/>
      <c r="LXB2240" s="1733"/>
      <c r="LXC2240" s="1733"/>
      <c r="LXD2240" s="1733"/>
      <c r="LXE2240" s="1733"/>
      <c r="LXF2240" s="1733"/>
      <c r="LXG2240" s="1733"/>
      <c r="LXH2240" s="1733"/>
      <c r="LXI2240" s="1733"/>
      <c r="LXJ2240" s="1733"/>
      <c r="LXK2240" s="1733"/>
      <c r="LXL2240" s="1733"/>
      <c r="LXM2240" s="1733"/>
      <c r="LXN2240" s="1733"/>
      <c r="LXO2240" s="1733"/>
      <c r="LXP2240" s="1733"/>
      <c r="LXQ2240" s="1733"/>
      <c r="LXR2240" s="1733"/>
      <c r="LXS2240" s="1733"/>
      <c r="LXT2240" s="1733"/>
      <c r="LXU2240" s="1733"/>
      <c r="LXV2240" s="1733"/>
      <c r="LXW2240" s="1733"/>
      <c r="LXX2240" s="1733"/>
      <c r="LXY2240" s="1733"/>
      <c r="LXZ2240" s="1733"/>
      <c r="LYA2240" s="1733"/>
      <c r="LYB2240" s="1733"/>
      <c r="LYC2240" s="1733"/>
      <c r="LYD2240" s="1733"/>
      <c r="LYE2240" s="1733"/>
      <c r="LYF2240" s="1733"/>
      <c r="LYG2240" s="1733"/>
      <c r="LYH2240" s="1733"/>
      <c r="LYI2240" s="1733"/>
      <c r="LYJ2240" s="1733"/>
      <c r="LYK2240" s="1733"/>
      <c r="LYL2240" s="1733"/>
      <c r="LYM2240" s="1733"/>
      <c r="LYN2240" s="1733"/>
      <c r="LYO2240" s="1733"/>
      <c r="LYP2240" s="1733"/>
      <c r="LYQ2240" s="1733"/>
      <c r="LYR2240" s="1733"/>
      <c r="LYS2240" s="1733"/>
      <c r="LYT2240" s="1733"/>
      <c r="LYU2240" s="1733"/>
      <c r="LYV2240" s="1733"/>
      <c r="LYW2240" s="1733"/>
      <c r="LYX2240" s="1733"/>
      <c r="LYY2240" s="1733"/>
      <c r="LYZ2240" s="1733"/>
      <c r="LZA2240" s="1733"/>
      <c r="LZB2240" s="1733"/>
      <c r="LZC2240" s="1733"/>
      <c r="LZD2240" s="1733"/>
      <c r="LZE2240" s="1733"/>
      <c r="LZF2240" s="1733"/>
      <c r="LZG2240" s="1733"/>
      <c r="LZH2240" s="1733"/>
      <c r="LZI2240" s="1733"/>
      <c r="LZJ2240" s="1733"/>
      <c r="LZK2240" s="1733"/>
      <c r="LZL2240" s="1733"/>
      <c r="LZM2240" s="1733"/>
      <c r="LZN2240" s="1733"/>
      <c r="LZO2240" s="1733"/>
      <c r="LZP2240" s="1733"/>
      <c r="LZQ2240" s="1733"/>
      <c r="LZR2240" s="1733"/>
      <c r="LZS2240" s="1733"/>
      <c r="LZT2240" s="1733"/>
      <c r="LZU2240" s="1733"/>
      <c r="LZV2240" s="1733"/>
      <c r="LZW2240" s="1733"/>
      <c r="LZX2240" s="1733"/>
      <c r="LZY2240" s="1733"/>
      <c r="LZZ2240" s="1733"/>
      <c r="MAA2240" s="1733"/>
      <c r="MAB2240" s="1733"/>
      <c r="MAC2240" s="1733"/>
      <c r="MAD2240" s="1733"/>
      <c r="MAE2240" s="1733"/>
      <c r="MAF2240" s="1733"/>
      <c r="MAG2240" s="1733"/>
      <c r="MAH2240" s="1733"/>
      <c r="MAI2240" s="1733"/>
      <c r="MAJ2240" s="1733"/>
      <c r="MAK2240" s="1733"/>
      <c r="MAL2240" s="1733"/>
      <c r="MAM2240" s="1733"/>
      <c r="MAN2240" s="1733"/>
      <c r="MAO2240" s="1733"/>
      <c r="MAP2240" s="1733"/>
      <c r="MAQ2240" s="1733"/>
      <c r="MAR2240" s="1733"/>
      <c r="MAS2240" s="1733"/>
      <c r="MAT2240" s="1733"/>
      <c r="MAU2240" s="1733"/>
      <c r="MAV2240" s="1733"/>
      <c r="MAW2240" s="1733"/>
      <c r="MAX2240" s="1733"/>
      <c r="MAY2240" s="1733"/>
      <c r="MAZ2240" s="1733"/>
      <c r="MBA2240" s="1733"/>
      <c r="MBB2240" s="1733"/>
      <c r="MBC2240" s="1733"/>
      <c r="MBD2240" s="1733"/>
      <c r="MBE2240" s="1733"/>
      <c r="MBF2240" s="1733"/>
      <c r="MBG2240" s="1733"/>
      <c r="MBH2240" s="1733"/>
      <c r="MBI2240" s="1733"/>
      <c r="MBJ2240" s="1733"/>
      <c r="MBK2240" s="1733"/>
      <c r="MBL2240" s="1733"/>
      <c r="MBM2240" s="1733"/>
      <c r="MBN2240" s="1733"/>
      <c r="MBO2240" s="1733"/>
      <c r="MBP2240" s="1733"/>
      <c r="MBQ2240" s="1733"/>
      <c r="MBR2240" s="1733"/>
      <c r="MBS2240" s="1733"/>
      <c r="MBT2240" s="1733"/>
      <c r="MBU2240" s="1733"/>
      <c r="MBV2240" s="1733"/>
      <c r="MBW2240" s="1733"/>
      <c r="MBX2240" s="1733"/>
      <c r="MBY2240" s="1733"/>
      <c r="MBZ2240" s="1733"/>
      <c r="MCA2240" s="1733"/>
      <c r="MCB2240" s="1733"/>
      <c r="MCC2240" s="1733"/>
      <c r="MCD2240" s="1733"/>
      <c r="MCE2240" s="1733"/>
      <c r="MCF2240" s="1733"/>
      <c r="MCG2240" s="1733"/>
      <c r="MCH2240" s="1733"/>
      <c r="MCI2240" s="1733"/>
      <c r="MCJ2240" s="1733"/>
      <c r="MCK2240" s="1733"/>
      <c r="MCL2240" s="1733"/>
      <c r="MCM2240" s="1733"/>
      <c r="MCN2240" s="1733"/>
      <c r="MCO2240" s="1733"/>
      <c r="MCP2240" s="1733"/>
      <c r="MCQ2240" s="1733"/>
      <c r="MCR2240" s="1733"/>
      <c r="MCS2240" s="1733"/>
      <c r="MCT2240" s="1733"/>
      <c r="MCU2240" s="1733"/>
      <c r="MCV2240" s="1733"/>
      <c r="MCW2240" s="1733"/>
      <c r="MCX2240" s="1733"/>
      <c r="MCY2240" s="1733"/>
      <c r="MCZ2240" s="1733"/>
      <c r="MDA2240" s="1733"/>
      <c r="MDB2240" s="1733"/>
      <c r="MDC2240" s="1733"/>
      <c r="MDD2240" s="1733"/>
      <c r="MDE2240" s="1733"/>
      <c r="MDF2240" s="1733"/>
      <c r="MDG2240" s="1733"/>
      <c r="MDH2240" s="1733"/>
      <c r="MDI2240" s="1733"/>
      <c r="MDJ2240" s="1733"/>
      <c r="MDK2240" s="1733"/>
      <c r="MDL2240" s="1733"/>
      <c r="MDM2240" s="1733"/>
      <c r="MDN2240" s="1733"/>
      <c r="MDO2240" s="1733"/>
      <c r="MDP2240" s="1733"/>
      <c r="MDQ2240" s="1733"/>
      <c r="MDR2240" s="1733"/>
      <c r="MDS2240" s="1733"/>
      <c r="MDT2240" s="1733"/>
      <c r="MDU2240" s="1733"/>
      <c r="MDV2240" s="1733"/>
      <c r="MDW2240" s="1733"/>
      <c r="MDX2240" s="1733"/>
      <c r="MDY2240" s="1733"/>
      <c r="MDZ2240" s="1733"/>
      <c r="MEA2240" s="1733"/>
      <c r="MEB2240" s="1733"/>
      <c r="MEC2240" s="1733"/>
      <c r="MED2240" s="1733"/>
      <c r="MEE2240" s="1733"/>
      <c r="MEF2240" s="1733"/>
      <c r="MEG2240" s="1733"/>
      <c r="MEH2240" s="1733"/>
      <c r="MEI2240" s="1733"/>
      <c r="MEJ2240" s="1733"/>
      <c r="MEK2240" s="1733"/>
      <c r="MEL2240" s="1733"/>
      <c r="MEM2240" s="1733"/>
      <c r="MEN2240" s="1733"/>
      <c r="MEO2240" s="1733"/>
      <c r="MEP2240" s="1733"/>
      <c r="MEQ2240" s="1733"/>
      <c r="MER2240" s="1733"/>
      <c r="MES2240" s="1733"/>
      <c r="MET2240" s="1733"/>
      <c r="MEU2240" s="1733"/>
      <c r="MEV2240" s="1733"/>
      <c r="MEW2240" s="1733"/>
      <c r="MEX2240" s="1733"/>
      <c r="MEY2240" s="1733"/>
      <c r="MEZ2240" s="1733"/>
      <c r="MFA2240" s="1733"/>
      <c r="MFB2240" s="1733"/>
      <c r="MFC2240" s="1733"/>
      <c r="MFD2240" s="1733"/>
      <c r="MFE2240" s="1733"/>
      <c r="MFF2240" s="1733"/>
      <c r="MFG2240" s="1733"/>
      <c r="MFH2240" s="1733"/>
      <c r="MFI2240" s="1733"/>
      <c r="MFJ2240" s="1733"/>
      <c r="MFK2240" s="1733"/>
      <c r="MFL2240" s="1733"/>
      <c r="MFM2240" s="1733"/>
      <c r="MFN2240" s="1733"/>
      <c r="MFO2240" s="1733"/>
      <c r="MFP2240" s="1733"/>
      <c r="MFQ2240" s="1733"/>
      <c r="MFR2240" s="1733"/>
      <c r="MFS2240" s="1733"/>
      <c r="MFT2240" s="1733"/>
      <c r="MFU2240" s="1733"/>
      <c r="MFV2240" s="1733"/>
      <c r="MFW2240" s="1733"/>
      <c r="MFX2240" s="1733"/>
      <c r="MFY2240" s="1733"/>
      <c r="MFZ2240" s="1733"/>
      <c r="MGA2240" s="1733"/>
      <c r="MGB2240" s="1733"/>
      <c r="MGC2240" s="1733"/>
      <c r="MGD2240" s="1733"/>
      <c r="MGE2240" s="1733"/>
      <c r="MGF2240" s="1733"/>
      <c r="MGG2240" s="1733"/>
      <c r="MGH2240" s="1733"/>
      <c r="MGI2240" s="1733"/>
      <c r="MGJ2240" s="1733"/>
      <c r="MGK2240" s="1733"/>
      <c r="MGL2240" s="1733"/>
      <c r="MGM2240" s="1733"/>
      <c r="MGN2240" s="1733"/>
      <c r="MGO2240" s="1733"/>
      <c r="MGP2240" s="1733"/>
      <c r="MGQ2240" s="1733"/>
      <c r="MGR2240" s="1733"/>
      <c r="MGS2240" s="1733"/>
      <c r="MGT2240" s="1733"/>
      <c r="MGU2240" s="1733"/>
      <c r="MGV2240" s="1733"/>
      <c r="MGW2240" s="1733"/>
      <c r="MGX2240" s="1733"/>
      <c r="MGY2240" s="1733"/>
      <c r="MGZ2240" s="1733"/>
      <c r="MHA2240" s="1733"/>
      <c r="MHB2240" s="1733"/>
      <c r="MHC2240" s="1733"/>
      <c r="MHD2240" s="1733"/>
      <c r="MHE2240" s="1733"/>
      <c r="MHF2240" s="1733"/>
      <c r="MHG2240" s="1733"/>
      <c r="MHH2240" s="1733"/>
      <c r="MHI2240" s="1733"/>
      <c r="MHJ2240" s="1733"/>
      <c r="MHK2240" s="1733"/>
      <c r="MHL2240" s="1733"/>
      <c r="MHM2240" s="1733"/>
      <c r="MHN2240" s="1733"/>
      <c r="MHO2240" s="1733"/>
      <c r="MHP2240" s="1733"/>
      <c r="MHQ2240" s="1733"/>
      <c r="MHR2240" s="1733"/>
      <c r="MHS2240" s="1733"/>
      <c r="MHT2240" s="1733"/>
      <c r="MHU2240" s="1733"/>
      <c r="MHV2240" s="1733"/>
      <c r="MHW2240" s="1733"/>
      <c r="MHX2240" s="1733"/>
      <c r="MHY2240" s="1733"/>
      <c r="MHZ2240" s="1733"/>
      <c r="MIA2240" s="1733"/>
      <c r="MIB2240" s="1733"/>
      <c r="MIC2240" s="1733"/>
      <c r="MID2240" s="1733"/>
      <c r="MIE2240" s="1733"/>
      <c r="MIF2240" s="1733"/>
      <c r="MIG2240" s="1733"/>
      <c r="MIH2240" s="1733"/>
      <c r="MII2240" s="1733"/>
      <c r="MIJ2240" s="1733"/>
      <c r="MIK2240" s="1733"/>
      <c r="MIL2240" s="1733"/>
      <c r="MIM2240" s="1733"/>
      <c r="MIN2240" s="1733"/>
      <c r="MIO2240" s="1733"/>
      <c r="MIP2240" s="1733"/>
      <c r="MIQ2240" s="1733"/>
      <c r="MIR2240" s="1733"/>
      <c r="MIS2240" s="1733"/>
      <c r="MIT2240" s="1733"/>
      <c r="MIU2240" s="1733"/>
      <c r="MIV2240" s="1733"/>
      <c r="MIW2240" s="1733"/>
      <c r="MIX2240" s="1733"/>
      <c r="MIY2240" s="1733"/>
      <c r="MIZ2240" s="1733"/>
      <c r="MJA2240" s="1733"/>
      <c r="MJB2240" s="1733"/>
      <c r="MJC2240" s="1733"/>
      <c r="MJD2240" s="1733"/>
      <c r="MJE2240" s="1733"/>
      <c r="MJF2240" s="1733"/>
      <c r="MJG2240" s="1733"/>
      <c r="MJH2240" s="1733"/>
      <c r="MJI2240" s="1733"/>
      <c r="MJJ2240" s="1733"/>
      <c r="MJK2240" s="1733"/>
      <c r="MJL2240" s="1733"/>
      <c r="MJM2240" s="1733"/>
      <c r="MJN2240" s="1733"/>
      <c r="MJO2240" s="1733"/>
      <c r="MJP2240" s="1733"/>
      <c r="MJQ2240" s="1733"/>
      <c r="MJR2240" s="1733"/>
      <c r="MJS2240" s="1733"/>
      <c r="MJT2240" s="1733"/>
      <c r="MJU2240" s="1733"/>
      <c r="MJV2240" s="1733"/>
      <c r="MJW2240" s="1733"/>
      <c r="MJX2240" s="1733"/>
      <c r="MJY2240" s="1733"/>
      <c r="MJZ2240" s="1733"/>
      <c r="MKA2240" s="1733"/>
      <c r="MKB2240" s="1733"/>
      <c r="MKC2240" s="1733"/>
      <c r="MKD2240" s="1733"/>
      <c r="MKE2240" s="1733"/>
      <c r="MKF2240" s="1733"/>
      <c r="MKG2240" s="1733"/>
      <c r="MKH2240" s="1733"/>
      <c r="MKI2240" s="1733"/>
      <c r="MKJ2240" s="1733"/>
      <c r="MKK2240" s="1733"/>
      <c r="MKL2240" s="1733"/>
      <c r="MKM2240" s="1733"/>
      <c r="MKN2240" s="1733"/>
      <c r="MKO2240" s="1733"/>
      <c r="MKP2240" s="1733"/>
      <c r="MKQ2240" s="1733"/>
      <c r="MKR2240" s="1733"/>
      <c r="MKS2240" s="1733"/>
      <c r="MKT2240" s="1733"/>
      <c r="MKU2240" s="1733"/>
      <c r="MKV2240" s="1733"/>
      <c r="MKW2240" s="1733"/>
      <c r="MKX2240" s="1733"/>
      <c r="MKY2240" s="1733"/>
      <c r="MKZ2240" s="1733"/>
      <c r="MLA2240" s="1733"/>
      <c r="MLB2240" s="1733"/>
      <c r="MLC2240" s="1733"/>
      <c r="MLD2240" s="1733"/>
      <c r="MLE2240" s="1733"/>
      <c r="MLF2240" s="1733"/>
      <c r="MLG2240" s="1733"/>
      <c r="MLH2240" s="1733"/>
      <c r="MLI2240" s="1733"/>
      <c r="MLJ2240" s="1733"/>
      <c r="MLK2240" s="1733"/>
      <c r="MLL2240" s="1733"/>
      <c r="MLM2240" s="1733"/>
      <c r="MLN2240" s="1733"/>
      <c r="MLO2240" s="1733"/>
      <c r="MLP2240" s="1733"/>
      <c r="MLQ2240" s="1733"/>
      <c r="MLR2240" s="1733"/>
      <c r="MLS2240" s="1733"/>
      <c r="MLT2240" s="1733"/>
      <c r="MLU2240" s="1733"/>
      <c r="MLV2240" s="1733"/>
      <c r="MLW2240" s="1733"/>
      <c r="MLX2240" s="1733"/>
      <c r="MLY2240" s="1733"/>
      <c r="MLZ2240" s="1733"/>
      <c r="MMA2240" s="1733"/>
      <c r="MMB2240" s="1733"/>
      <c r="MMC2240" s="1733"/>
      <c r="MMD2240" s="1733"/>
      <c r="MME2240" s="1733"/>
      <c r="MMF2240" s="1733"/>
      <c r="MMG2240" s="1733"/>
      <c r="MMH2240" s="1733"/>
      <c r="MMI2240" s="1733"/>
      <c r="MMJ2240" s="1733"/>
      <c r="MMK2240" s="1733"/>
      <c r="MML2240" s="1733"/>
      <c r="MMM2240" s="1733"/>
      <c r="MMN2240" s="1733"/>
      <c r="MMO2240" s="1733"/>
      <c r="MMP2240" s="1733"/>
      <c r="MMQ2240" s="1733"/>
      <c r="MMR2240" s="1733"/>
      <c r="MMS2240" s="1733"/>
      <c r="MMT2240" s="1733"/>
      <c r="MMU2240" s="1733"/>
      <c r="MMV2240" s="1733"/>
      <c r="MMW2240" s="1733"/>
      <c r="MMX2240" s="1733"/>
      <c r="MMY2240" s="1733"/>
      <c r="MMZ2240" s="1733"/>
      <c r="MNA2240" s="1733"/>
      <c r="MNB2240" s="1733"/>
      <c r="MNC2240" s="1733"/>
      <c r="MND2240" s="1733"/>
      <c r="MNE2240" s="1733"/>
      <c r="MNF2240" s="1733"/>
      <c r="MNG2240" s="1733"/>
      <c r="MNH2240" s="1733"/>
      <c r="MNI2240" s="1733"/>
      <c r="MNJ2240" s="1733"/>
      <c r="MNK2240" s="1733"/>
      <c r="MNL2240" s="1733"/>
      <c r="MNM2240" s="1733"/>
      <c r="MNN2240" s="1733"/>
      <c r="MNO2240" s="1733"/>
      <c r="MNP2240" s="1733"/>
      <c r="MNQ2240" s="1733"/>
      <c r="MNR2240" s="1733"/>
      <c r="MNS2240" s="1733"/>
      <c r="MNT2240" s="1733"/>
      <c r="MNU2240" s="1733"/>
      <c r="MNV2240" s="1733"/>
      <c r="MNW2240" s="1733"/>
      <c r="MNX2240" s="1733"/>
      <c r="MNY2240" s="1733"/>
      <c r="MNZ2240" s="1733"/>
      <c r="MOA2240" s="1733"/>
      <c r="MOB2240" s="1733"/>
      <c r="MOC2240" s="1733"/>
      <c r="MOD2240" s="1733"/>
      <c r="MOE2240" s="1733"/>
      <c r="MOF2240" s="1733"/>
      <c r="MOG2240" s="1733"/>
      <c r="MOH2240" s="1733"/>
      <c r="MOI2240" s="1733"/>
      <c r="MOJ2240" s="1733"/>
      <c r="MOK2240" s="1733"/>
      <c r="MOL2240" s="1733"/>
      <c r="MOM2240" s="1733"/>
      <c r="MON2240" s="1733"/>
      <c r="MOO2240" s="1733"/>
      <c r="MOP2240" s="1733"/>
      <c r="MOQ2240" s="1733"/>
      <c r="MOR2240" s="1733"/>
      <c r="MOS2240" s="1733"/>
      <c r="MOT2240" s="1733"/>
      <c r="MOU2240" s="1733"/>
      <c r="MOV2240" s="1733"/>
      <c r="MOW2240" s="1733"/>
      <c r="MOX2240" s="1733"/>
      <c r="MOY2240" s="1733"/>
      <c r="MOZ2240" s="1733"/>
      <c r="MPA2240" s="1733"/>
      <c r="MPB2240" s="1733"/>
      <c r="MPC2240" s="1733"/>
      <c r="MPD2240" s="1733"/>
      <c r="MPE2240" s="1733"/>
      <c r="MPF2240" s="1733"/>
      <c r="MPG2240" s="1733"/>
      <c r="MPH2240" s="1733"/>
      <c r="MPI2240" s="1733"/>
      <c r="MPJ2240" s="1733"/>
      <c r="MPK2240" s="1733"/>
      <c r="MPL2240" s="1733"/>
      <c r="MPM2240" s="1733"/>
      <c r="MPN2240" s="1733"/>
      <c r="MPO2240" s="1733"/>
      <c r="MPP2240" s="1733"/>
      <c r="MPQ2240" s="1733"/>
      <c r="MPR2240" s="1733"/>
      <c r="MPS2240" s="1733"/>
      <c r="MPT2240" s="1733"/>
      <c r="MPU2240" s="1733"/>
      <c r="MPV2240" s="1733"/>
      <c r="MPW2240" s="1733"/>
      <c r="MPX2240" s="1733"/>
      <c r="MPY2240" s="1733"/>
      <c r="MPZ2240" s="1733"/>
      <c r="MQA2240" s="1733"/>
      <c r="MQB2240" s="1733"/>
      <c r="MQC2240" s="1733"/>
      <c r="MQD2240" s="1733"/>
      <c r="MQE2240" s="1733"/>
      <c r="MQF2240" s="1733"/>
      <c r="MQG2240" s="1733"/>
      <c r="MQH2240" s="1733"/>
      <c r="MQI2240" s="1733"/>
      <c r="MQJ2240" s="1733"/>
      <c r="MQK2240" s="1733"/>
      <c r="MQL2240" s="1733"/>
      <c r="MQM2240" s="1733"/>
      <c r="MQN2240" s="1733"/>
      <c r="MQO2240" s="1733"/>
      <c r="MQP2240" s="1733"/>
      <c r="MQQ2240" s="1733"/>
      <c r="MQR2240" s="1733"/>
      <c r="MQS2240" s="1733"/>
      <c r="MQT2240" s="1733"/>
      <c r="MQU2240" s="1733"/>
      <c r="MQV2240" s="1733"/>
      <c r="MQW2240" s="1733"/>
      <c r="MQX2240" s="1733"/>
      <c r="MQY2240" s="1733"/>
      <c r="MQZ2240" s="1733"/>
      <c r="MRA2240" s="1733"/>
      <c r="MRB2240" s="1733"/>
      <c r="MRC2240" s="1733"/>
      <c r="MRD2240" s="1733"/>
      <c r="MRE2240" s="1733"/>
      <c r="MRF2240" s="1733"/>
      <c r="MRG2240" s="1733"/>
      <c r="MRH2240" s="1733"/>
      <c r="MRI2240" s="1733"/>
      <c r="MRJ2240" s="1733"/>
      <c r="MRK2240" s="1733"/>
      <c r="MRL2240" s="1733"/>
      <c r="MRM2240" s="1733"/>
      <c r="MRN2240" s="1733"/>
      <c r="MRO2240" s="1733"/>
      <c r="MRP2240" s="1733"/>
      <c r="MRQ2240" s="1733"/>
      <c r="MRR2240" s="1733"/>
      <c r="MRS2240" s="1733"/>
      <c r="MRT2240" s="1733"/>
      <c r="MRU2240" s="1733"/>
      <c r="MRV2240" s="1733"/>
      <c r="MRW2240" s="1733"/>
      <c r="MRX2240" s="1733"/>
      <c r="MRY2240" s="1733"/>
      <c r="MRZ2240" s="1733"/>
      <c r="MSA2240" s="1733"/>
      <c r="MSB2240" s="1733"/>
      <c r="MSC2240" s="1733"/>
      <c r="MSD2240" s="1733"/>
      <c r="MSE2240" s="1733"/>
      <c r="MSF2240" s="1733"/>
      <c r="MSG2240" s="1733"/>
      <c r="MSH2240" s="1733"/>
      <c r="MSI2240" s="1733"/>
      <c r="MSJ2240" s="1733"/>
      <c r="MSK2240" s="1733"/>
      <c r="MSL2240" s="1733"/>
      <c r="MSM2240" s="1733"/>
      <c r="MSN2240" s="1733"/>
      <c r="MSO2240" s="1733"/>
      <c r="MSP2240" s="1733"/>
      <c r="MSQ2240" s="1733"/>
      <c r="MSR2240" s="1733"/>
      <c r="MSS2240" s="1733"/>
      <c r="MST2240" s="1733"/>
      <c r="MSU2240" s="1733"/>
      <c r="MSV2240" s="1733"/>
      <c r="MSW2240" s="1733"/>
      <c r="MSX2240" s="1733"/>
      <c r="MSY2240" s="1733"/>
      <c r="MSZ2240" s="1733"/>
      <c r="MTA2240" s="1733"/>
      <c r="MTB2240" s="1733"/>
      <c r="MTC2240" s="1733"/>
      <c r="MTD2240" s="1733"/>
      <c r="MTE2240" s="1733"/>
      <c r="MTF2240" s="1733"/>
      <c r="MTG2240" s="1733"/>
      <c r="MTH2240" s="1733"/>
      <c r="MTI2240" s="1733"/>
      <c r="MTJ2240" s="1733"/>
      <c r="MTK2240" s="1733"/>
      <c r="MTL2240" s="1733"/>
      <c r="MTM2240" s="1733"/>
      <c r="MTN2240" s="1733"/>
      <c r="MTO2240" s="1733"/>
      <c r="MTP2240" s="1733"/>
      <c r="MTQ2240" s="1733"/>
      <c r="MTR2240" s="1733"/>
      <c r="MTS2240" s="1733"/>
      <c r="MTT2240" s="1733"/>
      <c r="MTU2240" s="1733"/>
      <c r="MTV2240" s="1733"/>
      <c r="MTW2240" s="1733"/>
      <c r="MTX2240" s="1733"/>
      <c r="MTY2240" s="1733"/>
      <c r="MTZ2240" s="1733"/>
      <c r="MUA2240" s="1733"/>
      <c r="MUB2240" s="1733"/>
      <c r="MUC2240" s="1733"/>
      <c r="MUD2240" s="1733"/>
      <c r="MUE2240" s="1733"/>
      <c r="MUF2240" s="1733"/>
      <c r="MUG2240" s="1733"/>
      <c r="MUH2240" s="1733"/>
      <c r="MUI2240" s="1733"/>
      <c r="MUJ2240" s="1733"/>
      <c r="MUK2240" s="1733"/>
      <c r="MUL2240" s="1733"/>
      <c r="MUM2240" s="1733"/>
      <c r="MUN2240" s="1733"/>
      <c r="MUO2240" s="1733"/>
      <c r="MUP2240" s="1733"/>
      <c r="MUQ2240" s="1733"/>
      <c r="MUR2240" s="1733"/>
      <c r="MUS2240" s="1733"/>
      <c r="MUT2240" s="1733"/>
      <c r="MUU2240" s="1733"/>
      <c r="MUV2240" s="1733"/>
      <c r="MUW2240" s="1733"/>
      <c r="MUX2240" s="1733"/>
      <c r="MUY2240" s="1733"/>
      <c r="MUZ2240" s="1733"/>
      <c r="MVA2240" s="1733"/>
      <c r="MVB2240" s="1733"/>
      <c r="MVC2240" s="1733"/>
      <c r="MVD2240" s="1733"/>
      <c r="MVE2240" s="1733"/>
      <c r="MVF2240" s="1733"/>
      <c r="MVG2240" s="1733"/>
      <c r="MVH2240" s="1733"/>
      <c r="MVI2240" s="1733"/>
      <c r="MVJ2240" s="1733"/>
      <c r="MVK2240" s="1733"/>
      <c r="MVL2240" s="1733"/>
      <c r="MVM2240" s="1733"/>
      <c r="MVN2240" s="1733"/>
      <c r="MVO2240" s="1733"/>
      <c r="MVP2240" s="1733"/>
      <c r="MVQ2240" s="1733"/>
      <c r="MVR2240" s="1733"/>
      <c r="MVS2240" s="1733"/>
      <c r="MVT2240" s="1733"/>
      <c r="MVU2240" s="1733"/>
      <c r="MVV2240" s="1733"/>
      <c r="MVW2240" s="1733"/>
      <c r="MVX2240" s="1733"/>
      <c r="MVY2240" s="1733"/>
      <c r="MVZ2240" s="1733"/>
      <c r="MWA2240" s="1733"/>
      <c r="MWB2240" s="1733"/>
      <c r="MWC2240" s="1733"/>
      <c r="MWD2240" s="1733"/>
      <c r="MWE2240" s="1733"/>
      <c r="MWF2240" s="1733"/>
      <c r="MWG2240" s="1733"/>
      <c r="MWH2240" s="1733"/>
      <c r="MWI2240" s="1733"/>
      <c r="MWJ2240" s="1733"/>
      <c r="MWK2240" s="1733"/>
      <c r="MWL2240" s="1733"/>
      <c r="MWM2240" s="1733"/>
      <c r="MWN2240" s="1733"/>
      <c r="MWO2240" s="1733"/>
      <c r="MWP2240" s="1733"/>
      <c r="MWQ2240" s="1733"/>
      <c r="MWR2240" s="1733"/>
      <c r="MWS2240" s="1733"/>
      <c r="MWT2240" s="1733"/>
      <c r="MWU2240" s="1733"/>
      <c r="MWV2240" s="1733"/>
      <c r="MWW2240" s="1733"/>
      <c r="MWX2240" s="1733"/>
      <c r="MWY2240" s="1733"/>
      <c r="MWZ2240" s="1733"/>
      <c r="MXA2240" s="1733"/>
      <c r="MXB2240" s="1733"/>
      <c r="MXC2240" s="1733"/>
      <c r="MXD2240" s="1733"/>
      <c r="MXE2240" s="1733"/>
      <c r="MXF2240" s="1733"/>
      <c r="MXG2240" s="1733"/>
      <c r="MXH2240" s="1733"/>
      <c r="MXI2240" s="1733"/>
      <c r="MXJ2240" s="1733"/>
      <c r="MXK2240" s="1733"/>
      <c r="MXL2240" s="1733"/>
      <c r="MXM2240" s="1733"/>
      <c r="MXN2240" s="1733"/>
      <c r="MXO2240" s="1733"/>
      <c r="MXP2240" s="1733"/>
      <c r="MXQ2240" s="1733"/>
      <c r="MXR2240" s="1733"/>
      <c r="MXS2240" s="1733"/>
      <c r="MXT2240" s="1733"/>
      <c r="MXU2240" s="1733"/>
      <c r="MXV2240" s="1733"/>
      <c r="MXW2240" s="1733"/>
      <c r="MXX2240" s="1733"/>
      <c r="MXY2240" s="1733"/>
      <c r="MXZ2240" s="1733"/>
      <c r="MYA2240" s="1733"/>
      <c r="MYB2240" s="1733"/>
      <c r="MYC2240" s="1733"/>
      <c r="MYD2240" s="1733"/>
      <c r="MYE2240" s="1733"/>
      <c r="MYF2240" s="1733"/>
      <c r="MYG2240" s="1733"/>
      <c r="MYH2240" s="1733"/>
      <c r="MYI2240" s="1733"/>
      <c r="MYJ2240" s="1733"/>
      <c r="MYK2240" s="1733"/>
      <c r="MYL2240" s="1733"/>
      <c r="MYM2240" s="1733"/>
      <c r="MYN2240" s="1733"/>
      <c r="MYO2240" s="1733"/>
      <c r="MYP2240" s="1733"/>
      <c r="MYQ2240" s="1733"/>
      <c r="MYR2240" s="1733"/>
      <c r="MYS2240" s="1733"/>
      <c r="MYT2240" s="1733"/>
      <c r="MYU2240" s="1733"/>
      <c r="MYV2240" s="1733"/>
      <c r="MYW2240" s="1733"/>
      <c r="MYX2240" s="1733"/>
      <c r="MYY2240" s="1733"/>
      <c r="MYZ2240" s="1733"/>
      <c r="MZA2240" s="1733"/>
      <c r="MZB2240" s="1733"/>
      <c r="MZC2240" s="1733"/>
      <c r="MZD2240" s="1733"/>
      <c r="MZE2240" s="1733"/>
      <c r="MZF2240" s="1733"/>
      <c r="MZG2240" s="1733"/>
      <c r="MZH2240" s="1733"/>
      <c r="MZI2240" s="1733"/>
      <c r="MZJ2240" s="1733"/>
      <c r="MZK2240" s="1733"/>
      <c r="MZL2240" s="1733"/>
      <c r="MZM2240" s="1733"/>
      <c r="MZN2240" s="1733"/>
      <c r="MZO2240" s="1733"/>
      <c r="MZP2240" s="1733"/>
      <c r="MZQ2240" s="1733"/>
      <c r="MZR2240" s="1733"/>
      <c r="MZS2240" s="1733"/>
      <c r="MZT2240" s="1733"/>
      <c r="MZU2240" s="1733"/>
      <c r="MZV2240" s="1733"/>
      <c r="MZW2240" s="1733"/>
      <c r="MZX2240" s="1733"/>
      <c r="MZY2240" s="1733"/>
      <c r="MZZ2240" s="1733"/>
      <c r="NAA2240" s="1733"/>
      <c r="NAB2240" s="1733"/>
      <c r="NAC2240" s="1733"/>
      <c r="NAD2240" s="1733"/>
      <c r="NAE2240" s="1733"/>
      <c r="NAF2240" s="1733"/>
      <c r="NAG2240" s="1733"/>
      <c r="NAH2240" s="1733"/>
      <c r="NAI2240" s="1733"/>
      <c r="NAJ2240" s="1733"/>
      <c r="NAK2240" s="1733"/>
      <c r="NAL2240" s="1733"/>
      <c r="NAM2240" s="1733"/>
      <c r="NAN2240" s="1733"/>
      <c r="NAO2240" s="1733"/>
      <c r="NAP2240" s="1733"/>
      <c r="NAQ2240" s="1733"/>
      <c r="NAR2240" s="1733"/>
      <c r="NAS2240" s="1733"/>
      <c r="NAT2240" s="1733"/>
      <c r="NAU2240" s="1733"/>
      <c r="NAV2240" s="1733"/>
      <c r="NAW2240" s="1733"/>
      <c r="NAX2240" s="1733"/>
      <c r="NAY2240" s="1733"/>
      <c r="NAZ2240" s="1733"/>
      <c r="NBA2240" s="1733"/>
      <c r="NBB2240" s="1733"/>
      <c r="NBC2240" s="1733"/>
      <c r="NBD2240" s="1733"/>
      <c r="NBE2240" s="1733"/>
      <c r="NBF2240" s="1733"/>
      <c r="NBG2240" s="1733"/>
      <c r="NBH2240" s="1733"/>
      <c r="NBI2240" s="1733"/>
      <c r="NBJ2240" s="1733"/>
      <c r="NBK2240" s="1733"/>
      <c r="NBL2240" s="1733"/>
      <c r="NBM2240" s="1733"/>
      <c r="NBN2240" s="1733"/>
      <c r="NBO2240" s="1733"/>
      <c r="NBP2240" s="1733"/>
      <c r="NBQ2240" s="1733"/>
      <c r="NBR2240" s="1733"/>
      <c r="NBS2240" s="1733"/>
      <c r="NBT2240" s="1733"/>
      <c r="NBU2240" s="1733"/>
      <c r="NBV2240" s="1733"/>
      <c r="NBW2240" s="1733"/>
      <c r="NBX2240" s="1733"/>
      <c r="NBY2240" s="1733"/>
      <c r="NBZ2240" s="1733"/>
      <c r="NCA2240" s="1733"/>
      <c r="NCB2240" s="1733"/>
      <c r="NCC2240" s="1733"/>
      <c r="NCD2240" s="1733"/>
      <c r="NCE2240" s="1733"/>
      <c r="NCF2240" s="1733"/>
      <c r="NCG2240" s="1733"/>
      <c r="NCH2240" s="1733"/>
      <c r="NCI2240" s="1733"/>
      <c r="NCJ2240" s="1733"/>
      <c r="NCK2240" s="1733"/>
      <c r="NCL2240" s="1733"/>
      <c r="NCM2240" s="1733"/>
      <c r="NCN2240" s="1733"/>
      <c r="NCO2240" s="1733"/>
      <c r="NCP2240" s="1733"/>
      <c r="NCQ2240" s="1733"/>
      <c r="NCR2240" s="1733"/>
      <c r="NCS2240" s="1733"/>
      <c r="NCT2240" s="1733"/>
      <c r="NCU2240" s="1733"/>
      <c r="NCV2240" s="1733"/>
      <c r="NCW2240" s="1733"/>
      <c r="NCX2240" s="1733"/>
      <c r="NCY2240" s="1733"/>
      <c r="NCZ2240" s="1733"/>
      <c r="NDA2240" s="1733"/>
      <c r="NDB2240" s="1733"/>
      <c r="NDC2240" s="1733"/>
      <c r="NDD2240" s="1733"/>
      <c r="NDE2240" s="1733"/>
      <c r="NDF2240" s="1733"/>
      <c r="NDG2240" s="1733"/>
      <c r="NDH2240" s="1733"/>
      <c r="NDI2240" s="1733"/>
      <c r="NDJ2240" s="1733"/>
      <c r="NDK2240" s="1733"/>
      <c r="NDL2240" s="1733"/>
      <c r="NDM2240" s="1733"/>
      <c r="NDN2240" s="1733"/>
      <c r="NDO2240" s="1733"/>
      <c r="NDP2240" s="1733"/>
      <c r="NDQ2240" s="1733"/>
      <c r="NDR2240" s="1733"/>
      <c r="NDS2240" s="1733"/>
      <c r="NDT2240" s="1733"/>
      <c r="NDU2240" s="1733"/>
      <c r="NDV2240" s="1733"/>
      <c r="NDW2240" s="1733"/>
      <c r="NDX2240" s="1733"/>
      <c r="NDY2240" s="1733"/>
      <c r="NDZ2240" s="1733"/>
      <c r="NEA2240" s="1733"/>
      <c r="NEB2240" s="1733"/>
      <c r="NEC2240" s="1733"/>
      <c r="NED2240" s="1733"/>
      <c r="NEE2240" s="1733"/>
      <c r="NEF2240" s="1733"/>
      <c r="NEG2240" s="1733"/>
      <c r="NEH2240" s="1733"/>
      <c r="NEI2240" s="1733"/>
      <c r="NEJ2240" s="1733"/>
      <c r="NEK2240" s="1733"/>
      <c r="NEL2240" s="1733"/>
      <c r="NEM2240" s="1733"/>
      <c r="NEN2240" s="1733"/>
      <c r="NEO2240" s="1733"/>
      <c r="NEP2240" s="1733"/>
      <c r="NEQ2240" s="1733"/>
      <c r="NER2240" s="1733"/>
      <c r="NES2240" s="1733"/>
      <c r="NET2240" s="1733"/>
      <c r="NEU2240" s="1733"/>
      <c r="NEV2240" s="1733"/>
      <c r="NEW2240" s="1733"/>
      <c r="NEX2240" s="1733"/>
      <c r="NEY2240" s="1733"/>
      <c r="NEZ2240" s="1733"/>
      <c r="NFA2240" s="1733"/>
      <c r="NFB2240" s="1733"/>
      <c r="NFC2240" s="1733"/>
      <c r="NFD2240" s="1733"/>
      <c r="NFE2240" s="1733"/>
      <c r="NFF2240" s="1733"/>
      <c r="NFG2240" s="1733"/>
      <c r="NFH2240" s="1733"/>
      <c r="NFI2240" s="1733"/>
      <c r="NFJ2240" s="1733"/>
      <c r="NFK2240" s="1733"/>
      <c r="NFL2240" s="1733"/>
      <c r="NFM2240" s="1733"/>
      <c r="NFN2240" s="1733"/>
      <c r="NFO2240" s="1733"/>
      <c r="NFP2240" s="1733"/>
      <c r="NFQ2240" s="1733"/>
      <c r="NFR2240" s="1733"/>
      <c r="NFS2240" s="1733"/>
      <c r="NFT2240" s="1733"/>
      <c r="NFU2240" s="1733"/>
      <c r="NFV2240" s="1733"/>
      <c r="NFW2240" s="1733"/>
      <c r="NFX2240" s="1733"/>
      <c r="NFY2240" s="1733"/>
      <c r="NFZ2240" s="1733"/>
      <c r="NGA2240" s="1733"/>
      <c r="NGB2240" s="1733"/>
      <c r="NGC2240" s="1733"/>
      <c r="NGD2240" s="1733"/>
      <c r="NGE2240" s="1733"/>
      <c r="NGF2240" s="1733"/>
      <c r="NGG2240" s="1733"/>
      <c r="NGH2240" s="1733"/>
      <c r="NGI2240" s="1733"/>
      <c r="NGJ2240" s="1733"/>
      <c r="NGK2240" s="1733"/>
      <c r="NGL2240" s="1733"/>
      <c r="NGM2240" s="1733"/>
      <c r="NGN2240" s="1733"/>
      <c r="NGO2240" s="1733"/>
      <c r="NGP2240" s="1733"/>
      <c r="NGQ2240" s="1733"/>
      <c r="NGR2240" s="1733"/>
      <c r="NGS2240" s="1733"/>
      <c r="NGT2240" s="1733"/>
      <c r="NGU2240" s="1733"/>
      <c r="NGV2240" s="1733"/>
      <c r="NGW2240" s="1733"/>
      <c r="NGX2240" s="1733"/>
      <c r="NGY2240" s="1733"/>
      <c r="NGZ2240" s="1733"/>
      <c r="NHA2240" s="1733"/>
      <c r="NHB2240" s="1733"/>
      <c r="NHC2240" s="1733"/>
      <c r="NHD2240" s="1733"/>
      <c r="NHE2240" s="1733"/>
      <c r="NHF2240" s="1733"/>
      <c r="NHG2240" s="1733"/>
      <c r="NHH2240" s="1733"/>
      <c r="NHI2240" s="1733"/>
      <c r="NHJ2240" s="1733"/>
      <c r="NHK2240" s="1733"/>
      <c r="NHL2240" s="1733"/>
      <c r="NHM2240" s="1733"/>
      <c r="NHN2240" s="1733"/>
      <c r="NHO2240" s="1733"/>
      <c r="NHP2240" s="1733"/>
      <c r="NHQ2240" s="1733"/>
      <c r="NHR2240" s="1733"/>
      <c r="NHS2240" s="1733"/>
      <c r="NHT2240" s="1733"/>
      <c r="NHU2240" s="1733"/>
      <c r="NHV2240" s="1733"/>
      <c r="NHW2240" s="1733"/>
      <c r="NHX2240" s="1733"/>
      <c r="NHY2240" s="1733"/>
      <c r="NHZ2240" s="1733"/>
      <c r="NIA2240" s="1733"/>
      <c r="NIB2240" s="1733"/>
      <c r="NIC2240" s="1733"/>
      <c r="NID2240" s="1733"/>
      <c r="NIE2240" s="1733"/>
      <c r="NIF2240" s="1733"/>
      <c r="NIG2240" s="1733"/>
      <c r="NIH2240" s="1733"/>
      <c r="NII2240" s="1733"/>
      <c r="NIJ2240" s="1733"/>
      <c r="NIK2240" s="1733"/>
      <c r="NIL2240" s="1733"/>
      <c r="NIM2240" s="1733"/>
      <c r="NIN2240" s="1733"/>
      <c r="NIO2240" s="1733"/>
      <c r="NIP2240" s="1733"/>
      <c r="NIQ2240" s="1733"/>
      <c r="NIR2240" s="1733"/>
      <c r="NIS2240" s="1733"/>
      <c r="NIT2240" s="1733"/>
      <c r="NIU2240" s="1733"/>
      <c r="NIV2240" s="1733"/>
      <c r="NIW2240" s="1733"/>
      <c r="NIX2240" s="1733"/>
      <c r="NIY2240" s="1733"/>
      <c r="NIZ2240" s="1733"/>
      <c r="NJA2240" s="1733"/>
      <c r="NJB2240" s="1733"/>
      <c r="NJC2240" s="1733"/>
      <c r="NJD2240" s="1733"/>
      <c r="NJE2240" s="1733"/>
      <c r="NJF2240" s="1733"/>
      <c r="NJG2240" s="1733"/>
      <c r="NJH2240" s="1733"/>
      <c r="NJI2240" s="1733"/>
      <c r="NJJ2240" s="1733"/>
      <c r="NJK2240" s="1733"/>
      <c r="NJL2240" s="1733"/>
      <c r="NJM2240" s="1733"/>
      <c r="NJN2240" s="1733"/>
      <c r="NJO2240" s="1733"/>
      <c r="NJP2240" s="1733"/>
      <c r="NJQ2240" s="1733"/>
      <c r="NJR2240" s="1733"/>
      <c r="NJS2240" s="1733"/>
      <c r="NJT2240" s="1733"/>
      <c r="NJU2240" s="1733"/>
      <c r="NJV2240" s="1733"/>
      <c r="NJW2240" s="1733"/>
      <c r="NJX2240" s="1733"/>
      <c r="NJY2240" s="1733"/>
      <c r="NJZ2240" s="1733"/>
      <c r="NKA2240" s="1733"/>
      <c r="NKB2240" s="1733"/>
      <c r="NKC2240" s="1733"/>
      <c r="NKD2240" s="1733"/>
      <c r="NKE2240" s="1733"/>
      <c r="NKF2240" s="1733"/>
      <c r="NKG2240" s="1733"/>
      <c r="NKH2240" s="1733"/>
      <c r="NKI2240" s="1733"/>
      <c r="NKJ2240" s="1733"/>
      <c r="NKK2240" s="1733"/>
      <c r="NKL2240" s="1733"/>
      <c r="NKM2240" s="1733"/>
      <c r="NKN2240" s="1733"/>
      <c r="NKO2240" s="1733"/>
      <c r="NKP2240" s="1733"/>
      <c r="NKQ2240" s="1733"/>
      <c r="NKR2240" s="1733"/>
      <c r="NKS2240" s="1733"/>
      <c r="NKT2240" s="1733"/>
      <c r="NKU2240" s="1733"/>
      <c r="NKV2240" s="1733"/>
      <c r="NKW2240" s="1733"/>
      <c r="NKX2240" s="1733"/>
      <c r="NKY2240" s="1733"/>
      <c r="NKZ2240" s="1733"/>
      <c r="NLA2240" s="1733"/>
      <c r="NLB2240" s="1733"/>
      <c r="NLC2240" s="1733"/>
      <c r="NLD2240" s="1733"/>
      <c r="NLE2240" s="1733"/>
      <c r="NLF2240" s="1733"/>
      <c r="NLG2240" s="1733"/>
      <c r="NLH2240" s="1733"/>
      <c r="NLI2240" s="1733"/>
      <c r="NLJ2240" s="1733"/>
      <c r="NLK2240" s="1733"/>
      <c r="NLL2240" s="1733"/>
      <c r="NLM2240" s="1733"/>
      <c r="NLN2240" s="1733"/>
      <c r="NLO2240" s="1733"/>
      <c r="NLP2240" s="1733"/>
      <c r="NLQ2240" s="1733"/>
      <c r="NLR2240" s="1733"/>
      <c r="NLS2240" s="1733"/>
      <c r="NLT2240" s="1733"/>
      <c r="NLU2240" s="1733"/>
      <c r="NLV2240" s="1733"/>
      <c r="NLW2240" s="1733"/>
      <c r="NLX2240" s="1733"/>
      <c r="NLY2240" s="1733"/>
      <c r="NLZ2240" s="1733"/>
      <c r="NMA2240" s="1733"/>
      <c r="NMB2240" s="1733"/>
      <c r="NMC2240" s="1733"/>
      <c r="NMD2240" s="1733"/>
      <c r="NME2240" s="1733"/>
      <c r="NMF2240" s="1733"/>
      <c r="NMG2240" s="1733"/>
      <c r="NMH2240" s="1733"/>
      <c r="NMI2240" s="1733"/>
      <c r="NMJ2240" s="1733"/>
      <c r="NMK2240" s="1733"/>
      <c r="NML2240" s="1733"/>
      <c r="NMM2240" s="1733"/>
      <c r="NMN2240" s="1733"/>
      <c r="NMO2240" s="1733"/>
      <c r="NMP2240" s="1733"/>
      <c r="NMQ2240" s="1733"/>
      <c r="NMR2240" s="1733"/>
      <c r="NMS2240" s="1733"/>
      <c r="NMT2240" s="1733"/>
      <c r="NMU2240" s="1733"/>
      <c r="NMV2240" s="1733"/>
      <c r="NMW2240" s="1733"/>
      <c r="NMX2240" s="1733"/>
      <c r="NMY2240" s="1733"/>
      <c r="NMZ2240" s="1733"/>
      <c r="NNA2240" s="1733"/>
      <c r="NNB2240" s="1733"/>
      <c r="NNC2240" s="1733"/>
      <c r="NND2240" s="1733"/>
      <c r="NNE2240" s="1733"/>
      <c r="NNF2240" s="1733"/>
      <c r="NNG2240" s="1733"/>
      <c r="NNH2240" s="1733"/>
      <c r="NNI2240" s="1733"/>
      <c r="NNJ2240" s="1733"/>
      <c r="NNK2240" s="1733"/>
      <c r="NNL2240" s="1733"/>
      <c r="NNM2240" s="1733"/>
      <c r="NNN2240" s="1733"/>
      <c r="NNO2240" s="1733"/>
      <c r="NNP2240" s="1733"/>
      <c r="NNQ2240" s="1733"/>
      <c r="NNR2240" s="1733"/>
      <c r="NNS2240" s="1733"/>
      <c r="NNT2240" s="1733"/>
      <c r="NNU2240" s="1733"/>
      <c r="NNV2240" s="1733"/>
      <c r="NNW2240" s="1733"/>
      <c r="NNX2240" s="1733"/>
      <c r="NNY2240" s="1733"/>
      <c r="NNZ2240" s="1733"/>
      <c r="NOA2240" s="1733"/>
      <c r="NOB2240" s="1733"/>
      <c r="NOC2240" s="1733"/>
      <c r="NOD2240" s="1733"/>
      <c r="NOE2240" s="1733"/>
      <c r="NOF2240" s="1733"/>
      <c r="NOG2240" s="1733"/>
      <c r="NOH2240" s="1733"/>
      <c r="NOI2240" s="1733"/>
      <c r="NOJ2240" s="1733"/>
      <c r="NOK2240" s="1733"/>
      <c r="NOL2240" s="1733"/>
      <c r="NOM2240" s="1733"/>
      <c r="NON2240" s="1733"/>
      <c r="NOO2240" s="1733"/>
      <c r="NOP2240" s="1733"/>
      <c r="NOQ2240" s="1733"/>
      <c r="NOR2240" s="1733"/>
      <c r="NOS2240" s="1733"/>
      <c r="NOT2240" s="1733"/>
      <c r="NOU2240" s="1733"/>
      <c r="NOV2240" s="1733"/>
      <c r="NOW2240" s="1733"/>
      <c r="NOX2240" s="1733"/>
      <c r="NOY2240" s="1733"/>
      <c r="NOZ2240" s="1733"/>
      <c r="NPA2240" s="1733"/>
      <c r="NPB2240" s="1733"/>
      <c r="NPC2240" s="1733"/>
      <c r="NPD2240" s="1733"/>
      <c r="NPE2240" s="1733"/>
      <c r="NPF2240" s="1733"/>
      <c r="NPG2240" s="1733"/>
      <c r="NPH2240" s="1733"/>
      <c r="NPI2240" s="1733"/>
      <c r="NPJ2240" s="1733"/>
      <c r="NPK2240" s="1733"/>
      <c r="NPL2240" s="1733"/>
      <c r="NPM2240" s="1733"/>
      <c r="NPN2240" s="1733"/>
      <c r="NPO2240" s="1733"/>
      <c r="NPP2240" s="1733"/>
      <c r="NPQ2240" s="1733"/>
      <c r="NPR2240" s="1733"/>
      <c r="NPS2240" s="1733"/>
      <c r="NPT2240" s="1733"/>
      <c r="NPU2240" s="1733"/>
      <c r="NPV2240" s="1733"/>
      <c r="NPW2240" s="1733"/>
      <c r="NPX2240" s="1733"/>
      <c r="NPY2240" s="1733"/>
      <c r="NPZ2240" s="1733"/>
      <c r="NQA2240" s="1733"/>
      <c r="NQB2240" s="1733"/>
      <c r="NQC2240" s="1733"/>
      <c r="NQD2240" s="1733"/>
      <c r="NQE2240" s="1733"/>
      <c r="NQF2240" s="1733"/>
      <c r="NQG2240" s="1733"/>
      <c r="NQH2240" s="1733"/>
      <c r="NQI2240" s="1733"/>
      <c r="NQJ2240" s="1733"/>
      <c r="NQK2240" s="1733"/>
      <c r="NQL2240" s="1733"/>
      <c r="NQM2240" s="1733"/>
      <c r="NQN2240" s="1733"/>
      <c r="NQO2240" s="1733"/>
      <c r="NQP2240" s="1733"/>
      <c r="NQQ2240" s="1733"/>
      <c r="NQR2240" s="1733"/>
      <c r="NQS2240" s="1733"/>
      <c r="NQT2240" s="1733"/>
      <c r="NQU2240" s="1733"/>
      <c r="NQV2240" s="1733"/>
      <c r="NQW2240" s="1733"/>
      <c r="NQX2240" s="1733"/>
      <c r="NQY2240" s="1733"/>
      <c r="NQZ2240" s="1733"/>
      <c r="NRA2240" s="1733"/>
      <c r="NRB2240" s="1733"/>
      <c r="NRC2240" s="1733"/>
      <c r="NRD2240" s="1733"/>
      <c r="NRE2240" s="1733"/>
      <c r="NRF2240" s="1733"/>
      <c r="NRG2240" s="1733"/>
      <c r="NRH2240" s="1733"/>
      <c r="NRI2240" s="1733"/>
      <c r="NRJ2240" s="1733"/>
      <c r="NRK2240" s="1733"/>
      <c r="NRL2240" s="1733"/>
      <c r="NRM2240" s="1733"/>
      <c r="NRN2240" s="1733"/>
      <c r="NRO2240" s="1733"/>
      <c r="NRP2240" s="1733"/>
      <c r="NRQ2240" s="1733"/>
      <c r="NRR2240" s="1733"/>
      <c r="NRS2240" s="1733"/>
      <c r="NRT2240" s="1733"/>
      <c r="NRU2240" s="1733"/>
      <c r="NRV2240" s="1733"/>
      <c r="NRW2240" s="1733"/>
      <c r="NRX2240" s="1733"/>
      <c r="NRY2240" s="1733"/>
      <c r="NRZ2240" s="1733"/>
      <c r="NSA2240" s="1733"/>
      <c r="NSB2240" s="1733"/>
      <c r="NSC2240" s="1733"/>
      <c r="NSD2240" s="1733"/>
      <c r="NSE2240" s="1733"/>
      <c r="NSF2240" s="1733"/>
      <c r="NSG2240" s="1733"/>
      <c r="NSH2240" s="1733"/>
      <c r="NSI2240" s="1733"/>
      <c r="NSJ2240" s="1733"/>
      <c r="NSK2240" s="1733"/>
      <c r="NSL2240" s="1733"/>
      <c r="NSM2240" s="1733"/>
      <c r="NSN2240" s="1733"/>
      <c r="NSO2240" s="1733"/>
      <c r="NSP2240" s="1733"/>
      <c r="NSQ2240" s="1733"/>
      <c r="NSR2240" s="1733"/>
      <c r="NSS2240" s="1733"/>
      <c r="NST2240" s="1733"/>
      <c r="NSU2240" s="1733"/>
      <c r="NSV2240" s="1733"/>
      <c r="NSW2240" s="1733"/>
      <c r="NSX2240" s="1733"/>
      <c r="NSY2240" s="1733"/>
      <c r="NSZ2240" s="1733"/>
      <c r="NTA2240" s="1733"/>
      <c r="NTB2240" s="1733"/>
      <c r="NTC2240" s="1733"/>
      <c r="NTD2240" s="1733"/>
      <c r="NTE2240" s="1733"/>
      <c r="NTF2240" s="1733"/>
      <c r="NTG2240" s="1733"/>
      <c r="NTH2240" s="1733"/>
      <c r="NTI2240" s="1733"/>
      <c r="NTJ2240" s="1733"/>
      <c r="NTK2240" s="1733"/>
      <c r="NTL2240" s="1733"/>
      <c r="NTM2240" s="1733"/>
      <c r="NTN2240" s="1733"/>
      <c r="NTO2240" s="1733"/>
      <c r="NTP2240" s="1733"/>
      <c r="NTQ2240" s="1733"/>
      <c r="NTR2240" s="1733"/>
      <c r="NTS2240" s="1733"/>
      <c r="NTT2240" s="1733"/>
      <c r="NTU2240" s="1733"/>
      <c r="NTV2240" s="1733"/>
      <c r="NTW2240" s="1733"/>
      <c r="NTX2240" s="1733"/>
      <c r="NTY2240" s="1733"/>
      <c r="NTZ2240" s="1733"/>
      <c r="NUA2240" s="1733"/>
      <c r="NUB2240" s="1733"/>
      <c r="NUC2240" s="1733"/>
      <c r="NUD2240" s="1733"/>
      <c r="NUE2240" s="1733"/>
      <c r="NUF2240" s="1733"/>
      <c r="NUG2240" s="1733"/>
      <c r="NUH2240" s="1733"/>
      <c r="NUI2240" s="1733"/>
      <c r="NUJ2240" s="1733"/>
      <c r="NUK2240" s="1733"/>
      <c r="NUL2240" s="1733"/>
      <c r="NUM2240" s="1733"/>
      <c r="NUN2240" s="1733"/>
      <c r="NUO2240" s="1733"/>
      <c r="NUP2240" s="1733"/>
      <c r="NUQ2240" s="1733"/>
      <c r="NUR2240" s="1733"/>
      <c r="NUS2240" s="1733"/>
      <c r="NUT2240" s="1733"/>
      <c r="NUU2240" s="1733"/>
      <c r="NUV2240" s="1733"/>
      <c r="NUW2240" s="1733"/>
      <c r="NUX2240" s="1733"/>
      <c r="NUY2240" s="1733"/>
      <c r="NUZ2240" s="1733"/>
      <c r="NVA2240" s="1733"/>
      <c r="NVB2240" s="1733"/>
      <c r="NVC2240" s="1733"/>
      <c r="NVD2240" s="1733"/>
      <c r="NVE2240" s="1733"/>
      <c r="NVF2240" s="1733"/>
      <c r="NVG2240" s="1733"/>
      <c r="NVH2240" s="1733"/>
      <c r="NVI2240" s="1733"/>
      <c r="NVJ2240" s="1733"/>
      <c r="NVK2240" s="1733"/>
      <c r="NVL2240" s="1733"/>
      <c r="NVM2240" s="1733"/>
      <c r="NVN2240" s="1733"/>
      <c r="NVO2240" s="1733"/>
      <c r="NVP2240" s="1733"/>
      <c r="NVQ2240" s="1733"/>
      <c r="NVR2240" s="1733"/>
      <c r="NVS2240" s="1733"/>
      <c r="NVT2240" s="1733"/>
      <c r="NVU2240" s="1733"/>
      <c r="NVV2240" s="1733"/>
      <c r="NVW2240" s="1733"/>
      <c r="NVX2240" s="1733"/>
      <c r="NVY2240" s="1733"/>
      <c r="NVZ2240" s="1733"/>
      <c r="NWA2240" s="1733"/>
      <c r="NWB2240" s="1733"/>
      <c r="NWC2240" s="1733"/>
      <c r="NWD2240" s="1733"/>
      <c r="NWE2240" s="1733"/>
      <c r="NWF2240" s="1733"/>
      <c r="NWG2240" s="1733"/>
      <c r="NWH2240" s="1733"/>
      <c r="NWI2240" s="1733"/>
      <c r="NWJ2240" s="1733"/>
      <c r="NWK2240" s="1733"/>
      <c r="NWL2240" s="1733"/>
      <c r="NWM2240" s="1733"/>
      <c r="NWN2240" s="1733"/>
      <c r="NWO2240" s="1733"/>
      <c r="NWP2240" s="1733"/>
      <c r="NWQ2240" s="1733"/>
      <c r="NWR2240" s="1733"/>
      <c r="NWS2240" s="1733"/>
      <c r="NWT2240" s="1733"/>
      <c r="NWU2240" s="1733"/>
      <c r="NWV2240" s="1733"/>
      <c r="NWW2240" s="1733"/>
      <c r="NWX2240" s="1733"/>
      <c r="NWY2240" s="1733"/>
      <c r="NWZ2240" s="1733"/>
      <c r="NXA2240" s="1733"/>
      <c r="NXB2240" s="1733"/>
      <c r="NXC2240" s="1733"/>
      <c r="NXD2240" s="1733"/>
      <c r="NXE2240" s="1733"/>
      <c r="NXF2240" s="1733"/>
      <c r="NXG2240" s="1733"/>
      <c r="NXH2240" s="1733"/>
      <c r="NXI2240" s="1733"/>
      <c r="NXJ2240" s="1733"/>
      <c r="NXK2240" s="1733"/>
      <c r="NXL2240" s="1733"/>
      <c r="NXM2240" s="1733"/>
      <c r="NXN2240" s="1733"/>
      <c r="NXO2240" s="1733"/>
      <c r="NXP2240" s="1733"/>
      <c r="NXQ2240" s="1733"/>
      <c r="NXR2240" s="1733"/>
      <c r="NXS2240" s="1733"/>
      <c r="NXT2240" s="1733"/>
      <c r="NXU2240" s="1733"/>
      <c r="NXV2240" s="1733"/>
      <c r="NXW2240" s="1733"/>
      <c r="NXX2240" s="1733"/>
      <c r="NXY2240" s="1733"/>
      <c r="NXZ2240" s="1733"/>
      <c r="NYA2240" s="1733"/>
      <c r="NYB2240" s="1733"/>
      <c r="NYC2240" s="1733"/>
      <c r="NYD2240" s="1733"/>
      <c r="NYE2240" s="1733"/>
      <c r="NYF2240" s="1733"/>
      <c r="NYG2240" s="1733"/>
      <c r="NYH2240" s="1733"/>
      <c r="NYI2240" s="1733"/>
      <c r="NYJ2240" s="1733"/>
      <c r="NYK2240" s="1733"/>
      <c r="NYL2240" s="1733"/>
      <c r="NYM2240" s="1733"/>
      <c r="NYN2240" s="1733"/>
      <c r="NYO2240" s="1733"/>
      <c r="NYP2240" s="1733"/>
      <c r="NYQ2240" s="1733"/>
      <c r="NYR2240" s="1733"/>
      <c r="NYS2240" s="1733"/>
      <c r="NYT2240" s="1733"/>
      <c r="NYU2240" s="1733"/>
      <c r="NYV2240" s="1733"/>
      <c r="NYW2240" s="1733"/>
      <c r="NYX2240" s="1733"/>
      <c r="NYY2240" s="1733"/>
      <c r="NYZ2240" s="1733"/>
      <c r="NZA2240" s="1733"/>
      <c r="NZB2240" s="1733"/>
      <c r="NZC2240" s="1733"/>
      <c r="NZD2240" s="1733"/>
      <c r="NZE2240" s="1733"/>
      <c r="NZF2240" s="1733"/>
      <c r="NZG2240" s="1733"/>
      <c r="NZH2240" s="1733"/>
      <c r="NZI2240" s="1733"/>
      <c r="NZJ2240" s="1733"/>
      <c r="NZK2240" s="1733"/>
      <c r="NZL2240" s="1733"/>
      <c r="NZM2240" s="1733"/>
      <c r="NZN2240" s="1733"/>
      <c r="NZO2240" s="1733"/>
      <c r="NZP2240" s="1733"/>
      <c r="NZQ2240" s="1733"/>
      <c r="NZR2240" s="1733"/>
      <c r="NZS2240" s="1733"/>
      <c r="NZT2240" s="1733"/>
      <c r="NZU2240" s="1733"/>
      <c r="NZV2240" s="1733"/>
      <c r="NZW2240" s="1733"/>
      <c r="NZX2240" s="1733"/>
      <c r="NZY2240" s="1733"/>
      <c r="NZZ2240" s="1733"/>
      <c r="OAA2240" s="1733"/>
      <c r="OAB2240" s="1733"/>
      <c r="OAC2240" s="1733"/>
      <c r="OAD2240" s="1733"/>
      <c r="OAE2240" s="1733"/>
      <c r="OAF2240" s="1733"/>
      <c r="OAG2240" s="1733"/>
      <c r="OAH2240" s="1733"/>
      <c r="OAI2240" s="1733"/>
      <c r="OAJ2240" s="1733"/>
      <c r="OAK2240" s="1733"/>
      <c r="OAL2240" s="1733"/>
      <c r="OAM2240" s="1733"/>
      <c r="OAN2240" s="1733"/>
      <c r="OAO2240" s="1733"/>
      <c r="OAP2240" s="1733"/>
      <c r="OAQ2240" s="1733"/>
      <c r="OAR2240" s="1733"/>
      <c r="OAS2240" s="1733"/>
      <c r="OAT2240" s="1733"/>
      <c r="OAU2240" s="1733"/>
      <c r="OAV2240" s="1733"/>
      <c r="OAW2240" s="1733"/>
      <c r="OAX2240" s="1733"/>
      <c r="OAY2240" s="1733"/>
      <c r="OAZ2240" s="1733"/>
      <c r="OBA2240" s="1733"/>
      <c r="OBB2240" s="1733"/>
      <c r="OBC2240" s="1733"/>
      <c r="OBD2240" s="1733"/>
      <c r="OBE2240" s="1733"/>
      <c r="OBF2240" s="1733"/>
      <c r="OBG2240" s="1733"/>
      <c r="OBH2240" s="1733"/>
      <c r="OBI2240" s="1733"/>
      <c r="OBJ2240" s="1733"/>
      <c r="OBK2240" s="1733"/>
      <c r="OBL2240" s="1733"/>
      <c r="OBM2240" s="1733"/>
      <c r="OBN2240" s="1733"/>
      <c r="OBO2240" s="1733"/>
      <c r="OBP2240" s="1733"/>
      <c r="OBQ2240" s="1733"/>
      <c r="OBR2240" s="1733"/>
      <c r="OBS2240" s="1733"/>
      <c r="OBT2240" s="1733"/>
      <c r="OBU2240" s="1733"/>
      <c r="OBV2240" s="1733"/>
      <c r="OBW2240" s="1733"/>
      <c r="OBX2240" s="1733"/>
      <c r="OBY2240" s="1733"/>
      <c r="OBZ2240" s="1733"/>
      <c r="OCA2240" s="1733"/>
      <c r="OCB2240" s="1733"/>
      <c r="OCC2240" s="1733"/>
      <c r="OCD2240" s="1733"/>
      <c r="OCE2240" s="1733"/>
      <c r="OCF2240" s="1733"/>
      <c r="OCG2240" s="1733"/>
      <c r="OCH2240" s="1733"/>
      <c r="OCI2240" s="1733"/>
      <c r="OCJ2240" s="1733"/>
      <c r="OCK2240" s="1733"/>
      <c r="OCL2240" s="1733"/>
      <c r="OCM2240" s="1733"/>
      <c r="OCN2240" s="1733"/>
      <c r="OCO2240" s="1733"/>
      <c r="OCP2240" s="1733"/>
      <c r="OCQ2240" s="1733"/>
      <c r="OCR2240" s="1733"/>
      <c r="OCS2240" s="1733"/>
      <c r="OCT2240" s="1733"/>
      <c r="OCU2240" s="1733"/>
      <c r="OCV2240" s="1733"/>
      <c r="OCW2240" s="1733"/>
      <c r="OCX2240" s="1733"/>
      <c r="OCY2240" s="1733"/>
      <c r="OCZ2240" s="1733"/>
      <c r="ODA2240" s="1733"/>
      <c r="ODB2240" s="1733"/>
      <c r="ODC2240" s="1733"/>
      <c r="ODD2240" s="1733"/>
      <c r="ODE2240" s="1733"/>
      <c r="ODF2240" s="1733"/>
      <c r="ODG2240" s="1733"/>
      <c r="ODH2240" s="1733"/>
      <c r="ODI2240" s="1733"/>
      <c r="ODJ2240" s="1733"/>
      <c r="ODK2240" s="1733"/>
      <c r="ODL2240" s="1733"/>
      <c r="ODM2240" s="1733"/>
      <c r="ODN2240" s="1733"/>
      <c r="ODO2240" s="1733"/>
      <c r="ODP2240" s="1733"/>
      <c r="ODQ2240" s="1733"/>
      <c r="ODR2240" s="1733"/>
      <c r="ODS2240" s="1733"/>
      <c r="ODT2240" s="1733"/>
      <c r="ODU2240" s="1733"/>
      <c r="ODV2240" s="1733"/>
      <c r="ODW2240" s="1733"/>
      <c r="ODX2240" s="1733"/>
      <c r="ODY2240" s="1733"/>
      <c r="ODZ2240" s="1733"/>
      <c r="OEA2240" s="1733"/>
      <c r="OEB2240" s="1733"/>
      <c r="OEC2240" s="1733"/>
      <c r="OED2240" s="1733"/>
      <c r="OEE2240" s="1733"/>
      <c r="OEF2240" s="1733"/>
      <c r="OEG2240" s="1733"/>
      <c r="OEH2240" s="1733"/>
      <c r="OEI2240" s="1733"/>
      <c r="OEJ2240" s="1733"/>
      <c r="OEK2240" s="1733"/>
      <c r="OEL2240" s="1733"/>
      <c r="OEM2240" s="1733"/>
      <c r="OEN2240" s="1733"/>
      <c r="OEO2240" s="1733"/>
      <c r="OEP2240" s="1733"/>
      <c r="OEQ2240" s="1733"/>
      <c r="OER2240" s="1733"/>
      <c r="OES2240" s="1733"/>
      <c r="OET2240" s="1733"/>
      <c r="OEU2240" s="1733"/>
      <c r="OEV2240" s="1733"/>
      <c r="OEW2240" s="1733"/>
      <c r="OEX2240" s="1733"/>
      <c r="OEY2240" s="1733"/>
      <c r="OEZ2240" s="1733"/>
      <c r="OFA2240" s="1733"/>
      <c r="OFB2240" s="1733"/>
      <c r="OFC2240" s="1733"/>
      <c r="OFD2240" s="1733"/>
      <c r="OFE2240" s="1733"/>
      <c r="OFF2240" s="1733"/>
      <c r="OFG2240" s="1733"/>
      <c r="OFH2240" s="1733"/>
      <c r="OFI2240" s="1733"/>
      <c r="OFJ2240" s="1733"/>
      <c r="OFK2240" s="1733"/>
      <c r="OFL2240" s="1733"/>
      <c r="OFM2240" s="1733"/>
      <c r="OFN2240" s="1733"/>
      <c r="OFO2240" s="1733"/>
      <c r="OFP2240" s="1733"/>
      <c r="OFQ2240" s="1733"/>
      <c r="OFR2240" s="1733"/>
      <c r="OFS2240" s="1733"/>
      <c r="OFT2240" s="1733"/>
      <c r="OFU2240" s="1733"/>
      <c r="OFV2240" s="1733"/>
      <c r="OFW2240" s="1733"/>
      <c r="OFX2240" s="1733"/>
      <c r="OFY2240" s="1733"/>
      <c r="OFZ2240" s="1733"/>
      <c r="OGA2240" s="1733"/>
      <c r="OGB2240" s="1733"/>
      <c r="OGC2240" s="1733"/>
      <c r="OGD2240" s="1733"/>
      <c r="OGE2240" s="1733"/>
      <c r="OGF2240" s="1733"/>
      <c r="OGG2240" s="1733"/>
      <c r="OGH2240" s="1733"/>
      <c r="OGI2240" s="1733"/>
      <c r="OGJ2240" s="1733"/>
      <c r="OGK2240" s="1733"/>
      <c r="OGL2240" s="1733"/>
      <c r="OGM2240" s="1733"/>
      <c r="OGN2240" s="1733"/>
      <c r="OGO2240" s="1733"/>
      <c r="OGP2240" s="1733"/>
      <c r="OGQ2240" s="1733"/>
      <c r="OGR2240" s="1733"/>
      <c r="OGS2240" s="1733"/>
      <c r="OGT2240" s="1733"/>
      <c r="OGU2240" s="1733"/>
      <c r="OGV2240" s="1733"/>
      <c r="OGW2240" s="1733"/>
      <c r="OGX2240" s="1733"/>
      <c r="OGY2240" s="1733"/>
      <c r="OGZ2240" s="1733"/>
      <c r="OHA2240" s="1733"/>
      <c r="OHB2240" s="1733"/>
      <c r="OHC2240" s="1733"/>
      <c r="OHD2240" s="1733"/>
      <c r="OHE2240" s="1733"/>
      <c r="OHF2240" s="1733"/>
      <c r="OHG2240" s="1733"/>
      <c r="OHH2240" s="1733"/>
      <c r="OHI2240" s="1733"/>
      <c r="OHJ2240" s="1733"/>
      <c r="OHK2240" s="1733"/>
      <c r="OHL2240" s="1733"/>
      <c r="OHM2240" s="1733"/>
      <c r="OHN2240" s="1733"/>
      <c r="OHO2240" s="1733"/>
      <c r="OHP2240" s="1733"/>
      <c r="OHQ2240" s="1733"/>
      <c r="OHR2240" s="1733"/>
      <c r="OHS2240" s="1733"/>
      <c r="OHT2240" s="1733"/>
      <c r="OHU2240" s="1733"/>
      <c r="OHV2240" s="1733"/>
      <c r="OHW2240" s="1733"/>
      <c r="OHX2240" s="1733"/>
      <c r="OHY2240" s="1733"/>
      <c r="OHZ2240" s="1733"/>
      <c r="OIA2240" s="1733"/>
      <c r="OIB2240" s="1733"/>
      <c r="OIC2240" s="1733"/>
      <c r="OID2240" s="1733"/>
      <c r="OIE2240" s="1733"/>
      <c r="OIF2240" s="1733"/>
      <c r="OIG2240" s="1733"/>
      <c r="OIH2240" s="1733"/>
      <c r="OII2240" s="1733"/>
      <c r="OIJ2240" s="1733"/>
      <c r="OIK2240" s="1733"/>
      <c r="OIL2240" s="1733"/>
      <c r="OIM2240" s="1733"/>
      <c r="OIN2240" s="1733"/>
      <c r="OIO2240" s="1733"/>
      <c r="OIP2240" s="1733"/>
      <c r="OIQ2240" s="1733"/>
      <c r="OIR2240" s="1733"/>
      <c r="OIS2240" s="1733"/>
      <c r="OIT2240" s="1733"/>
      <c r="OIU2240" s="1733"/>
      <c r="OIV2240" s="1733"/>
      <c r="OIW2240" s="1733"/>
      <c r="OIX2240" s="1733"/>
      <c r="OIY2240" s="1733"/>
      <c r="OIZ2240" s="1733"/>
      <c r="OJA2240" s="1733"/>
      <c r="OJB2240" s="1733"/>
      <c r="OJC2240" s="1733"/>
      <c r="OJD2240" s="1733"/>
      <c r="OJE2240" s="1733"/>
      <c r="OJF2240" s="1733"/>
      <c r="OJG2240" s="1733"/>
      <c r="OJH2240" s="1733"/>
      <c r="OJI2240" s="1733"/>
      <c r="OJJ2240" s="1733"/>
      <c r="OJK2240" s="1733"/>
      <c r="OJL2240" s="1733"/>
      <c r="OJM2240" s="1733"/>
      <c r="OJN2240" s="1733"/>
      <c r="OJO2240" s="1733"/>
      <c r="OJP2240" s="1733"/>
      <c r="OJQ2240" s="1733"/>
      <c r="OJR2240" s="1733"/>
      <c r="OJS2240" s="1733"/>
      <c r="OJT2240" s="1733"/>
      <c r="OJU2240" s="1733"/>
      <c r="OJV2240" s="1733"/>
      <c r="OJW2240" s="1733"/>
      <c r="OJX2240" s="1733"/>
      <c r="OJY2240" s="1733"/>
      <c r="OJZ2240" s="1733"/>
      <c r="OKA2240" s="1733"/>
      <c r="OKB2240" s="1733"/>
      <c r="OKC2240" s="1733"/>
      <c r="OKD2240" s="1733"/>
      <c r="OKE2240" s="1733"/>
      <c r="OKF2240" s="1733"/>
      <c r="OKG2240" s="1733"/>
      <c r="OKH2240" s="1733"/>
      <c r="OKI2240" s="1733"/>
      <c r="OKJ2240" s="1733"/>
      <c r="OKK2240" s="1733"/>
      <c r="OKL2240" s="1733"/>
      <c r="OKM2240" s="1733"/>
      <c r="OKN2240" s="1733"/>
      <c r="OKO2240" s="1733"/>
      <c r="OKP2240" s="1733"/>
      <c r="OKQ2240" s="1733"/>
      <c r="OKR2240" s="1733"/>
      <c r="OKS2240" s="1733"/>
      <c r="OKT2240" s="1733"/>
      <c r="OKU2240" s="1733"/>
      <c r="OKV2240" s="1733"/>
      <c r="OKW2240" s="1733"/>
      <c r="OKX2240" s="1733"/>
      <c r="OKY2240" s="1733"/>
      <c r="OKZ2240" s="1733"/>
      <c r="OLA2240" s="1733"/>
      <c r="OLB2240" s="1733"/>
      <c r="OLC2240" s="1733"/>
      <c r="OLD2240" s="1733"/>
      <c r="OLE2240" s="1733"/>
      <c r="OLF2240" s="1733"/>
      <c r="OLG2240" s="1733"/>
      <c r="OLH2240" s="1733"/>
      <c r="OLI2240" s="1733"/>
      <c r="OLJ2240" s="1733"/>
      <c r="OLK2240" s="1733"/>
      <c r="OLL2240" s="1733"/>
      <c r="OLM2240" s="1733"/>
      <c r="OLN2240" s="1733"/>
      <c r="OLO2240" s="1733"/>
      <c r="OLP2240" s="1733"/>
      <c r="OLQ2240" s="1733"/>
      <c r="OLR2240" s="1733"/>
      <c r="OLS2240" s="1733"/>
      <c r="OLT2240" s="1733"/>
      <c r="OLU2240" s="1733"/>
      <c r="OLV2240" s="1733"/>
      <c r="OLW2240" s="1733"/>
      <c r="OLX2240" s="1733"/>
      <c r="OLY2240" s="1733"/>
      <c r="OLZ2240" s="1733"/>
      <c r="OMA2240" s="1733"/>
      <c r="OMB2240" s="1733"/>
      <c r="OMC2240" s="1733"/>
      <c r="OMD2240" s="1733"/>
      <c r="OME2240" s="1733"/>
      <c r="OMF2240" s="1733"/>
      <c r="OMG2240" s="1733"/>
      <c r="OMH2240" s="1733"/>
      <c r="OMI2240" s="1733"/>
      <c r="OMJ2240" s="1733"/>
      <c r="OMK2240" s="1733"/>
      <c r="OML2240" s="1733"/>
      <c r="OMM2240" s="1733"/>
      <c r="OMN2240" s="1733"/>
      <c r="OMO2240" s="1733"/>
      <c r="OMP2240" s="1733"/>
      <c r="OMQ2240" s="1733"/>
      <c r="OMR2240" s="1733"/>
      <c r="OMS2240" s="1733"/>
      <c r="OMT2240" s="1733"/>
      <c r="OMU2240" s="1733"/>
      <c r="OMV2240" s="1733"/>
      <c r="OMW2240" s="1733"/>
      <c r="OMX2240" s="1733"/>
      <c r="OMY2240" s="1733"/>
      <c r="OMZ2240" s="1733"/>
      <c r="ONA2240" s="1733"/>
      <c r="ONB2240" s="1733"/>
      <c r="ONC2240" s="1733"/>
      <c r="OND2240" s="1733"/>
      <c r="ONE2240" s="1733"/>
      <c r="ONF2240" s="1733"/>
      <c r="ONG2240" s="1733"/>
      <c r="ONH2240" s="1733"/>
      <c r="ONI2240" s="1733"/>
      <c r="ONJ2240" s="1733"/>
      <c r="ONK2240" s="1733"/>
      <c r="ONL2240" s="1733"/>
      <c r="ONM2240" s="1733"/>
      <c r="ONN2240" s="1733"/>
      <c r="ONO2240" s="1733"/>
      <c r="ONP2240" s="1733"/>
      <c r="ONQ2240" s="1733"/>
      <c r="ONR2240" s="1733"/>
      <c r="ONS2240" s="1733"/>
      <c r="ONT2240" s="1733"/>
      <c r="ONU2240" s="1733"/>
      <c r="ONV2240" s="1733"/>
      <c r="ONW2240" s="1733"/>
      <c r="ONX2240" s="1733"/>
      <c r="ONY2240" s="1733"/>
      <c r="ONZ2240" s="1733"/>
      <c r="OOA2240" s="1733"/>
      <c r="OOB2240" s="1733"/>
      <c r="OOC2240" s="1733"/>
      <c r="OOD2240" s="1733"/>
      <c r="OOE2240" s="1733"/>
      <c r="OOF2240" s="1733"/>
      <c r="OOG2240" s="1733"/>
      <c r="OOH2240" s="1733"/>
      <c r="OOI2240" s="1733"/>
      <c r="OOJ2240" s="1733"/>
      <c r="OOK2240" s="1733"/>
      <c r="OOL2240" s="1733"/>
      <c r="OOM2240" s="1733"/>
      <c r="OON2240" s="1733"/>
      <c r="OOO2240" s="1733"/>
      <c r="OOP2240" s="1733"/>
      <c r="OOQ2240" s="1733"/>
      <c r="OOR2240" s="1733"/>
      <c r="OOS2240" s="1733"/>
      <c r="OOT2240" s="1733"/>
      <c r="OOU2240" s="1733"/>
      <c r="OOV2240" s="1733"/>
      <c r="OOW2240" s="1733"/>
      <c r="OOX2240" s="1733"/>
      <c r="OOY2240" s="1733"/>
      <c r="OOZ2240" s="1733"/>
      <c r="OPA2240" s="1733"/>
      <c r="OPB2240" s="1733"/>
      <c r="OPC2240" s="1733"/>
      <c r="OPD2240" s="1733"/>
      <c r="OPE2240" s="1733"/>
      <c r="OPF2240" s="1733"/>
      <c r="OPG2240" s="1733"/>
      <c r="OPH2240" s="1733"/>
      <c r="OPI2240" s="1733"/>
      <c r="OPJ2240" s="1733"/>
      <c r="OPK2240" s="1733"/>
      <c r="OPL2240" s="1733"/>
      <c r="OPM2240" s="1733"/>
      <c r="OPN2240" s="1733"/>
      <c r="OPO2240" s="1733"/>
      <c r="OPP2240" s="1733"/>
      <c r="OPQ2240" s="1733"/>
      <c r="OPR2240" s="1733"/>
      <c r="OPS2240" s="1733"/>
      <c r="OPT2240" s="1733"/>
      <c r="OPU2240" s="1733"/>
      <c r="OPV2240" s="1733"/>
      <c r="OPW2240" s="1733"/>
      <c r="OPX2240" s="1733"/>
      <c r="OPY2240" s="1733"/>
      <c r="OPZ2240" s="1733"/>
      <c r="OQA2240" s="1733"/>
      <c r="OQB2240" s="1733"/>
      <c r="OQC2240" s="1733"/>
      <c r="OQD2240" s="1733"/>
      <c r="OQE2240" s="1733"/>
      <c r="OQF2240" s="1733"/>
      <c r="OQG2240" s="1733"/>
      <c r="OQH2240" s="1733"/>
      <c r="OQI2240" s="1733"/>
      <c r="OQJ2240" s="1733"/>
      <c r="OQK2240" s="1733"/>
      <c r="OQL2240" s="1733"/>
      <c r="OQM2240" s="1733"/>
      <c r="OQN2240" s="1733"/>
      <c r="OQO2240" s="1733"/>
      <c r="OQP2240" s="1733"/>
      <c r="OQQ2240" s="1733"/>
      <c r="OQR2240" s="1733"/>
      <c r="OQS2240" s="1733"/>
      <c r="OQT2240" s="1733"/>
      <c r="OQU2240" s="1733"/>
      <c r="OQV2240" s="1733"/>
      <c r="OQW2240" s="1733"/>
      <c r="OQX2240" s="1733"/>
      <c r="OQY2240" s="1733"/>
      <c r="OQZ2240" s="1733"/>
      <c r="ORA2240" s="1733"/>
      <c r="ORB2240" s="1733"/>
      <c r="ORC2240" s="1733"/>
      <c r="ORD2240" s="1733"/>
      <c r="ORE2240" s="1733"/>
      <c r="ORF2240" s="1733"/>
      <c r="ORG2240" s="1733"/>
      <c r="ORH2240" s="1733"/>
      <c r="ORI2240" s="1733"/>
      <c r="ORJ2240" s="1733"/>
      <c r="ORK2240" s="1733"/>
      <c r="ORL2240" s="1733"/>
      <c r="ORM2240" s="1733"/>
      <c r="ORN2240" s="1733"/>
      <c r="ORO2240" s="1733"/>
      <c r="ORP2240" s="1733"/>
      <c r="ORQ2240" s="1733"/>
      <c r="ORR2240" s="1733"/>
      <c r="ORS2240" s="1733"/>
      <c r="ORT2240" s="1733"/>
      <c r="ORU2240" s="1733"/>
      <c r="ORV2240" s="1733"/>
      <c r="ORW2240" s="1733"/>
      <c r="ORX2240" s="1733"/>
      <c r="ORY2240" s="1733"/>
      <c r="ORZ2240" s="1733"/>
      <c r="OSA2240" s="1733"/>
      <c r="OSB2240" s="1733"/>
      <c r="OSC2240" s="1733"/>
      <c r="OSD2240" s="1733"/>
      <c r="OSE2240" s="1733"/>
      <c r="OSF2240" s="1733"/>
      <c r="OSG2240" s="1733"/>
      <c r="OSH2240" s="1733"/>
      <c r="OSI2240" s="1733"/>
      <c r="OSJ2240" s="1733"/>
      <c r="OSK2240" s="1733"/>
      <c r="OSL2240" s="1733"/>
      <c r="OSM2240" s="1733"/>
      <c r="OSN2240" s="1733"/>
      <c r="OSO2240" s="1733"/>
      <c r="OSP2240" s="1733"/>
      <c r="OSQ2240" s="1733"/>
      <c r="OSR2240" s="1733"/>
      <c r="OSS2240" s="1733"/>
      <c r="OST2240" s="1733"/>
      <c r="OSU2240" s="1733"/>
      <c r="OSV2240" s="1733"/>
      <c r="OSW2240" s="1733"/>
      <c r="OSX2240" s="1733"/>
      <c r="OSY2240" s="1733"/>
      <c r="OSZ2240" s="1733"/>
      <c r="OTA2240" s="1733"/>
      <c r="OTB2240" s="1733"/>
      <c r="OTC2240" s="1733"/>
      <c r="OTD2240" s="1733"/>
      <c r="OTE2240" s="1733"/>
      <c r="OTF2240" s="1733"/>
      <c r="OTG2240" s="1733"/>
      <c r="OTH2240" s="1733"/>
      <c r="OTI2240" s="1733"/>
      <c r="OTJ2240" s="1733"/>
      <c r="OTK2240" s="1733"/>
      <c r="OTL2240" s="1733"/>
      <c r="OTM2240" s="1733"/>
      <c r="OTN2240" s="1733"/>
      <c r="OTO2240" s="1733"/>
      <c r="OTP2240" s="1733"/>
      <c r="OTQ2240" s="1733"/>
      <c r="OTR2240" s="1733"/>
      <c r="OTS2240" s="1733"/>
      <c r="OTT2240" s="1733"/>
      <c r="OTU2240" s="1733"/>
      <c r="OTV2240" s="1733"/>
      <c r="OTW2240" s="1733"/>
      <c r="OTX2240" s="1733"/>
      <c r="OTY2240" s="1733"/>
      <c r="OTZ2240" s="1733"/>
      <c r="OUA2240" s="1733"/>
      <c r="OUB2240" s="1733"/>
      <c r="OUC2240" s="1733"/>
      <c r="OUD2240" s="1733"/>
      <c r="OUE2240" s="1733"/>
      <c r="OUF2240" s="1733"/>
      <c r="OUG2240" s="1733"/>
      <c r="OUH2240" s="1733"/>
      <c r="OUI2240" s="1733"/>
      <c r="OUJ2240" s="1733"/>
      <c r="OUK2240" s="1733"/>
      <c r="OUL2240" s="1733"/>
      <c r="OUM2240" s="1733"/>
      <c r="OUN2240" s="1733"/>
      <c r="OUO2240" s="1733"/>
      <c r="OUP2240" s="1733"/>
      <c r="OUQ2240" s="1733"/>
      <c r="OUR2240" s="1733"/>
      <c r="OUS2240" s="1733"/>
      <c r="OUT2240" s="1733"/>
      <c r="OUU2240" s="1733"/>
      <c r="OUV2240" s="1733"/>
      <c r="OUW2240" s="1733"/>
      <c r="OUX2240" s="1733"/>
      <c r="OUY2240" s="1733"/>
      <c r="OUZ2240" s="1733"/>
      <c r="OVA2240" s="1733"/>
      <c r="OVB2240" s="1733"/>
      <c r="OVC2240" s="1733"/>
      <c r="OVD2240" s="1733"/>
      <c r="OVE2240" s="1733"/>
      <c r="OVF2240" s="1733"/>
      <c r="OVG2240" s="1733"/>
      <c r="OVH2240" s="1733"/>
      <c r="OVI2240" s="1733"/>
      <c r="OVJ2240" s="1733"/>
      <c r="OVK2240" s="1733"/>
      <c r="OVL2240" s="1733"/>
      <c r="OVM2240" s="1733"/>
      <c r="OVN2240" s="1733"/>
      <c r="OVO2240" s="1733"/>
      <c r="OVP2240" s="1733"/>
      <c r="OVQ2240" s="1733"/>
      <c r="OVR2240" s="1733"/>
      <c r="OVS2240" s="1733"/>
      <c r="OVT2240" s="1733"/>
      <c r="OVU2240" s="1733"/>
      <c r="OVV2240" s="1733"/>
      <c r="OVW2240" s="1733"/>
      <c r="OVX2240" s="1733"/>
      <c r="OVY2240" s="1733"/>
      <c r="OVZ2240" s="1733"/>
      <c r="OWA2240" s="1733"/>
      <c r="OWB2240" s="1733"/>
      <c r="OWC2240" s="1733"/>
      <c r="OWD2240" s="1733"/>
      <c r="OWE2240" s="1733"/>
      <c r="OWF2240" s="1733"/>
      <c r="OWG2240" s="1733"/>
      <c r="OWH2240" s="1733"/>
      <c r="OWI2240" s="1733"/>
      <c r="OWJ2240" s="1733"/>
      <c r="OWK2240" s="1733"/>
      <c r="OWL2240" s="1733"/>
      <c r="OWM2240" s="1733"/>
      <c r="OWN2240" s="1733"/>
      <c r="OWO2240" s="1733"/>
      <c r="OWP2240" s="1733"/>
      <c r="OWQ2240" s="1733"/>
      <c r="OWR2240" s="1733"/>
      <c r="OWS2240" s="1733"/>
      <c r="OWT2240" s="1733"/>
      <c r="OWU2240" s="1733"/>
      <c r="OWV2240" s="1733"/>
      <c r="OWW2240" s="1733"/>
      <c r="OWX2240" s="1733"/>
      <c r="OWY2240" s="1733"/>
      <c r="OWZ2240" s="1733"/>
      <c r="OXA2240" s="1733"/>
      <c r="OXB2240" s="1733"/>
      <c r="OXC2240" s="1733"/>
      <c r="OXD2240" s="1733"/>
      <c r="OXE2240" s="1733"/>
      <c r="OXF2240" s="1733"/>
      <c r="OXG2240" s="1733"/>
      <c r="OXH2240" s="1733"/>
      <c r="OXI2240" s="1733"/>
      <c r="OXJ2240" s="1733"/>
      <c r="OXK2240" s="1733"/>
      <c r="OXL2240" s="1733"/>
      <c r="OXM2240" s="1733"/>
      <c r="OXN2240" s="1733"/>
      <c r="OXO2240" s="1733"/>
      <c r="OXP2240" s="1733"/>
      <c r="OXQ2240" s="1733"/>
      <c r="OXR2240" s="1733"/>
      <c r="OXS2240" s="1733"/>
      <c r="OXT2240" s="1733"/>
      <c r="OXU2240" s="1733"/>
      <c r="OXV2240" s="1733"/>
      <c r="OXW2240" s="1733"/>
      <c r="OXX2240" s="1733"/>
      <c r="OXY2240" s="1733"/>
      <c r="OXZ2240" s="1733"/>
      <c r="OYA2240" s="1733"/>
      <c r="OYB2240" s="1733"/>
      <c r="OYC2240" s="1733"/>
      <c r="OYD2240" s="1733"/>
      <c r="OYE2240" s="1733"/>
      <c r="OYF2240" s="1733"/>
      <c r="OYG2240" s="1733"/>
      <c r="OYH2240" s="1733"/>
      <c r="OYI2240" s="1733"/>
      <c r="OYJ2240" s="1733"/>
      <c r="OYK2240" s="1733"/>
      <c r="OYL2240" s="1733"/>
      <c r="OYM2240" s="1733"/>
      <c r="OYN2240" s="1733"/>
      <c r="OYO2240" s="1733"/>
      <c r="OYP2240" s="1733"/>
      <c r="OYQ2240" s="1733"/>
      <c r="OYR2240" s="1733"/>
      <c r="OYS2240" s="1733"/>
      <c r="OYT2240" s="1733"/>
      <c r="OYU2240" s="1733"/>
      <c r="OYV2240" s="1733"/>
      <c r="OYW2240" s="1733"/>
      <c r="OYX2240" s="1733"/>
      <c r="OYY2240" s="1733"/>
      <c r="OYZ2240" s="1733"/>
      <c r="OZA2240" s="1733"/>
      <c r="OZB2240" s="1733"/>
      <c r="OZC2240" s="1733"/>
      <c r="OZD2240" s="1733"/>
      <c r="OZE2240" s="1733"/>
      <c r="OZF2240" s="1733"/>
      <c r="OZG2240" s="1733"/>
      <c r="OZH2240" s="1733"/>
      <c r="OZI2240" s="1733"/>
      <c r="OZJ2240" s="1733"/>
      <c r="OZK2240" s="1733"/>
      <c r="OZL2240" s="1733"/>
      <c r="OZM2240" s="1733"/>
      <c r="OZN2240" s="1733"/>
      <c r="OZO2240" s="1733"/>
      <c r="OZP2240" s="1733"/>
      <c r="OZQ2240" s="1733"/>
      <c r="OZR2240" s="1733"/>
      <c r="OZS2240" s="1733"/>
      <c r="OZT2240" s="1733"/>
      <c r="OZU2240" s="1733"/>
      <c r="OZV2240" s="1733"/>
      <c r="OZW2240" s="1733"/>
      <c r="OZX2240" s="1733"/>
      <c r="OZY2240" s="1733"/>
      <c r="OZZ2240" s="1733"/>
      <c r="PAA2240" s="1733"/>
      <c r="PAB2240" s="1733"/>
      <c r="PAC2240" s="1733"/>
      <c r="PAD2240" s="1733"/>
      <c r="PAE2240" s="1733"/>
      <c r="PAF2240" s="1733"/>
      <c r="PAG2240" s="1733"/>
      <c r="PAH2240" s="1733"/>
      <c r="PAI2240" s="1733"/>
      <c r="PAJ2240" s="1733"/>
      <c r="PAK2240" s="1733"/>
      <c r="PAL2240" s="1733"/>
      <c r="PAM2240" s="1733"/>
      <c r="PAN2240" s="1733"/>
      <c r="PAO2240" s="1733"/>
      <c r="PAP2240" s="1733"/>
      <c r="PAQ2240" s="1733"/>
      <c r="PAR2240" s="1733"/>
      <c r="PAS2240" s="1733"/>
      <c r="PAT2240" s="1733"/>
      <c r="PAU2240" s="1733"/>
      <c r="PAV2240" s="1733"/>
      <c r="PAW2240" s="1733"/>
      <c r="PAX2240" s="1733"/>
      <c r="PAY2240" s="1733"/>
      <c r="PAZ2240" s="1733"/>
      <c r="PBA2240" s="1733"/>
      <c r="PBB2240" s="1733"/>
      <c r="PBC2240" s="1733"/>
      <c r="PBD2240" s="1733"/>
      <c r="PBE2240" s="1733"/>
      <c r="PBF2240" s="1733"/>
      <c r="PBG2240" s="1733"/>
      <c r="PBH2240" s="1733"/>
      <c r="PBI2240" s="1733"/>
      <c r="PBJ2240" s="1733"/>
      <c r="PBK2240" s="1733"/>
      <c r="PBL2240" s="1733"/>
      <c r="PBM2240" s="1733"/>
      <c r="PBN2240" s="1733"/>
      <c r="PBO2240" s="1733"/>
      <c r="PBP2240" s="1733"/>
      <c r="PBQ2240" s="1733"/>
      <c r="PBR2240" s="1733"/>
      <c r="PBS2240" s="1733"/>
      <c r="PBT2240" s="1733"/>
      <c r="PBU2240" s="1733"/>
      <c r="PBV2240" s="1733"/>
      <c r="PBW2240" s="1733"/>
      <c r="PBX2240" s="1733"/>
      <c r="PBY2240" s="1733"/>
      <c r="PBZ2240" s="1733"/>
      <c r="PCA2240" s="1733"/>
      <c r="PCB2240" s="1733"/>
      <c r="PCC2240" s="1733"/>
      <c r="PCD2240" s="1733"/>
      <c r="PCE2240" s="1733"/>
      <c r="PCF2240" s="1733"/>
      <c r="PCG2240" s="1733"/>
      <c r="PCH2240" s="1733"/>
      <c r="PCI2240" s="1733"/>
      <c r="PCJ2240" s="1733"/>
      <c r="PCK2240" s="1733"/>
      <c r="PCL2240" s="1733"/>
      <c r="PCM2240" s="1733"/>
      <c r="PCN2240" s="1733"/>
      <c r="PCO2240" s="1733"/>
      <c r="PCP2240" s="1733"/>
      <c r="PCQ2240" s="1733"/>
      <c r="PCR2240" s="1733"/>
      <c r="PCS2240" s="1733"/>
      <c r="PCT2240" s="1733"/>
      <c r="PCU2240" s="1733"/>
      <c r="PCV2240" s="1733"/>
      <c r="PCW2240" s="1733"/>
      <c r="PCX2240" s="1733"/>
      <c r="PCY2240" s="1733"/>
      <c r="PCZ2240" s="1733"/>
      <c r="PDA2240" s="1733"/>
      <c r="PDB2240" s="1733"/>
      <c r="PDC2240" s="1733"/>
      <c r="PDD2240" s="1733"/>
      <c r="PDE2240" s="1733"/>
      <c r="PDF2240" s="1733"/>
      <c r="PDG2240" s="1733"/>
      <c r="PDH2240" s="1733"/>
      <c r="PDI2240" s="1733"/>
      <c r="PDJ2240" s="1733"/>
      <c r="PDK2240" s="1733"/>
      <c r="PDL2240" s="1733"/>
      <c r="PDM2240" s="1733"/>
      <c r="PDN2240" s="1733"/>
      <c r="PDO2240" s="1733"/>
      <c r="PDP2240" s="1733"/>
      <c r="PDQ2240" s="1733"/>
      <c r="PDR2240" s="1733"/>
      <c r="PDS2240" s="1733"/>
      <c r="PDT2240" s="1733"/>
      <c r="PDU2240" s="1733"/>
      <c r="PDV2240" s="1733"/>
      <c r="PDW2240" s="1733"/>
      <c r="PDX2240" s="1733"/>
      <c r="PDY2240" s="1733"/>
      <c r="PDZ2240" s="1733"/>
      <c r="PEA2240" s="1733"/>
      <c r="PEB2240" s="1733"/>
      <c r="PEC2240" s="1733"/>
      <c r="PED2240" s="1733"/>
      <c r="PEE2240" s="1733"/>
      <c r="PEF2240" s="1733"/>
      <c r="PEG2240" s="1733"/>
      <c r="PEH2240" s="1733"/>
      <c r="PEI2240" s="1733"/>
      <c r="PEJ2240" s="1733"/>
      <c r="PEK2240" s="1733"/>
      <c r="PEL2240" s="1733"/>
      <c r="PEM2240" s="1733"/>
      <c r="PEN2240" s="1733"/>
      <c r="PEO2240" s="1733"/>
      <c r="PEP2240" s="1733"/>
      <c r="PEQ2240" s="1733"/>
      <c r="PER2240" s="1733"/>
      <c r="PES2240" s="1733"/>
      <c r="PET2240" s="1733"/>
      <c r="PEU2240" s="1733"/>
      <c r="PEV2240" s="1733"/>
      <c r="PEW2240" s="1733"/>
      <c r="PEX2240" s="1733"/>
      <c r="PEY2240" s="1733"/>
      <c r="PEZ2240" s="1733"/>
      <c r="PFA2240" s="1733"/>
      <c r="PFB2240" s="1733"/>
      <c r="PFC2240" s="1733"/>
      <c r="PFD2240" s="1733"/>
      <c r="PFE2240" s="1733"/>
      <c r="PFF2240" s="1733"/>
      <c r="PFG2240" s="1733"/>
      <c r="PFH2240" s="1733"/>
      <c r="PFI2240" s="1733"/>
      <c r="PFJ2240" s="1733"/>
      <c r="PFK2240" s="1733"/>
      <c r="PFL2240" s="1733"/>
      <c r="PFM2240" s="1733"/>
      <c r="PFN2240" s="1733"/>
      <c r="PFO2240" s="1733"/>
      <c r="PFP2240" s="1733"/>
      <c r="PFQ2240" s="1733"/>
      <c r="PFR2240" s="1733"/>
      <c r="PFS2240" s="1733"/>
      <c r="PFT2240" s="1733"/>
      <c r="PFU2240" s="1733"/>
      <c r="PFV2240" s="1733"/>
      <c r="PFW2240" s="1733"/>
      <c r="PFX2240" s="1733"/>
      <c r="PFY2240" s="1733"/>
      <c r="PFZ2240" s="1733"/>
      <c r="PGA2240" s="1733"/>
      <c r="PGB2240" s="1733"/>
      <c r="PGC2240" s="1733"/>
      <c r="PGD2240" s="1733"/>
      <c r="PGE2240" s="1733"/>
      <c r="PGF2240" s="1733"/>
      <c r="PGG2240" s="1733"/>
      <c r="PGH2240" s="1733"/>
      <c r="PGI2240" s="1733"/>
      <c r="PGJ2240" s="1733"/>
      <c r="PGK2240" s="1733"/>
      <c r="PGL2240" s="1733"/>
      <c r="PGM2240" s="1733"/>
      <c r="PGN2240" s="1733"/>
      <c r="PGO2240" s="1733"/>
      <c r="PGP2240" s="1733"/>
      <c r="PGQ2240" s="1733"/>
      <c r="PGR2240" s="1733"/>
      <c r="PGS2240" s="1733"/>
      <c r="PGT2240" s="1733"/>
      <c r="PGU2240" s="1733"/>
      <c r="PGV2240" s="1733"/>
      <c r="PGW2240" s="1733"/>
      <c r="PGX2240" s="1733"/>
      <c r="PGY2240" s="1733"/>
      <c r="PGZ2240" s="1733"/>
      <c r="PHA2240" s="1733"/>
      <c r="PHB2240" s="1733"/>
      <c r="PHC2240" s="1733"/>
      <c r="PHD2240" s="1733"/>
      <c r="PHE2240" s="1733"/>
      <c r="PHF2240" s="1733"/>
      <c r="PHG2240" s="1733"/>
      <c r="PHH2240" s="1733"/>
      <c r="PHI2240" s="1733"/>
      <c r="PHJ2240" s="1733"/>
      <c r="PHK2240" s="1733"/>
      <c r="PHL2240" s="1733"/>
      <c r="PHM2240" s="1733"/>
      <c r="PHN2240" s="1733"/>
      <c r="PHO2240" s="1733"/>
      <c r="PHP2240" s="1733"/>
      <c r="PHQ2240" s="1733"/>
      <c r="PHR2240" s="1733"/>
      <c r="PHS2240" s="1733"/>
      <c r="PHT2240" s="1733"/>
      <c r="PHU2240" s="1733"/>
      <c r="PHV2240" s="1733"/>
      <c r="PHW2240" s="1733"/>
      <c r="PHX2240" s="1733"/>
      <c r="PHY2240" s="1733"/>
      <c r="PHZ2240" s="1733"/>
      <c r="PIA2240" s="1733"/>
      <c r="PIB2240" s="1733"/>
      <c r="PIC2240" s="1733"/>
      <c r="PID2240" s="1733"/>
      <c r="PIE2240" s="1733"/>
      <c r="PIF2240" s="1733"/>
      <c r="PIG2240" s="1733"/>
      <c r="PIH2240" s="1733"/>
      <c r="PII2240" s="1733"/>
      <c r="PIJ2240" s="1733"/>
      <c r="PIK2240" s="1733"/>
      <c r="PIL2240" s="1733"/>
      <c r="PIM2240" s="1733"/>
      <c r="PIN2240" s="1733"/>
      <c r="PIO2240" s="1733"/>
      <c r="PIP2240" s="1733"/>
      <c r="PIQ2240" s="1733"/>
      <c r="PIR2240" s="1733"/>
      <c r="PIS2240" s="1733"/>
      <c r="PIT2240" s="1733"/>
      <c r="PIU2240" s="1733"/>
      <c r="PIV2240" s="1733"/>
      <c r="PIW2240" s="1733"/>
      <c r="PIX2240" s="1733"/>
      <c r="PIY2240" s="1733"/>
      <c r="PIZ2240" s="1733"/>
      <c r="PJA2240" s="1733"/>
      <c r="PJB2240" s="1733"/>
      <c r="PJC2240" s="1733"/>
      <c r="PJD2240" s="1733"/>
      <c r="PJE2240" s="1733"/>
      <c r="PJF2240" s="1733"/>
      <c r="PJG2240" s="1733"/>
      <c r="PJH2240" s="1733"/>
      <c r="PJI2240" s="1733"/>
      <c r="PJJ2240" s="1733"/>
      <c r="PJK2240" s="1733"/>
      <c r="PJL2240" s="1733"/>
      <c r="PJM2240" s="1733"/>
      <c r="PJN2240" s="1733"/>
      <c r="PJO2240" s="1733"/>
      <c r="PJP2240" s="1733"/>
      <c r="PJQ2240" s="1733"/>
      <c r="PJR2240" s="1733"/>
      <c r="PJS2240" s="1733"/>
      <c r="PJT2240" s="1733"/>
      <c r="PJU2240" s="1733"/>
      <c r="PJV2240" s="1733"/>
      <c r="PJW2240" s="1733"/>
      <c r="PJX2240" s="1733"/>
      <c r="PJY2240" s="1733"/>
      <c r="PJZ2240" s="1733"/>
      <c r="PKA2240" s="1733"/>
      <c r="PKB2240" s="1733"/>
      <c r="PKC2240" s="1733"/>
      <c r="PKD2240" s="1733"/>
      <c r="PKE2240" s="1733"/>
      <c r="PKF2240" s="1733"/>
      <c r="PKG2240" s="1733"/>
      <c r="PKH2240" s="1733"/>
      <c r="PKI2240" s="1733"/>
      <c r="PKJ2240" s="1733"/>
      <c r="PKK2240" s="1733"/>
      <c r="PKL2240" s="1733"/>
      <c r="PKM2240" s="1733"/>
      <c r="PKN2240" s="1733"/>
      <c r="PKO2240" s="1733"/>
      <c r="PKP2240" s="1733"/>
      <c r="PKQ2240" s="1733"/>
      <c r="PKR2240" s="1733"/>
      <c r="PKS2240" s="1733"/>
      <c r="PKT2240" s="1733"/>
      <c r="PKU2240" s="1733"/>
      <c r="PKV2240" s="1733"/>
      <c r="PKW2240" s="1733"/>
      <c r="PKX2240" s="1733"/>
      <c r="PKY2240" s="1733"/>
      <c r="PKZ2240" s="1733"/>
      <c r="PLA2240" s="1733"/>
      <c r="PLB2240" s="1733"/>
      <c r="PLC2240" s="1733"/>
      <c r="PLD2240" s="1733"/>
      <c r="PLE2240" s="1733"/>
      <c r="PLF2240" s="1733"/>
      <c r="PLG2240" s="1733"/>
      <c r="PLH2240" s="1733"/>
      <c r="PLI2240" s="1733"/>
      <c r="PLJ2240" s="1733"/>
      <c r="PLK2240" s="1733"/>
      <c r="PLL2240" s="1733"/>
      <c r="PLM2240" s="1733"/>
      <c r="PLN2240" s="1733"/>
      <c r="PLO2240" s="1733"/>
      <c r="PLP2240" s="1733"/>
      <c r="PLQ2240" s="1733"/>
      <c r="PLR2240" s="1733"/>
      <c r="PLS2240" s="1733"/>
      <c r="PLT2240" s="1733"/>
      <c r="PLU2240" s="1733"/>
      <c r="PLV2240" s="1733"/>
      <c r="PLW2240" s="1733"/>
      <c r="PLX2240" s="1733"/>
      <c r="PLY2240" s="1733"/>
      <c r="PLZ2240" s="1733"/>
      <c r="PMA2240" s="1733"/>
      <c r="PMB2240" s="1733"/>
      <c r="PMC2240" s="1733"/>
      <c r="PMD2240" s="1733"/>
      <c r="PME2240" s="1733"/>
      <c r="PMF2240" s="1733"/>
      <c r="PMG2240" s="1733"/>
      <c r="PMH2240" s="1733"/>
      <c r="PMI2240" s="1733"/>
      <c r="PMJ2240" s="1733"/>
      <c r="PMK2240" s="1733"/>
      <c r="PML2240" s="1733"/>
      <c r="PMM2240" s="1733"/>
      <c r="PMN2240" s="1733"/>
      <c r="PMO2240" s="1733"/>
      <c r="PMP2240" s="1733"/>
      <c r="PMQ2240" s="1733"/>
      <c r="PMR2240" s="1733"/>
      <c r="PMS2240" s="1733"/>
      <c r="PMT2240" s="1733"/>
      <c r="PMU2240" s="1733"/>
      <c r="PMV2240" s="1733"/>
      <c r="PMW2240" s="1733"/>
      <c r="PMX2240" s="1733"/>
      <c r="PMY2240" s="1733"/>
      <c r="PMZ2240" s="1733"/>
      <c r="PNA2240" s="1733"/>
      <c r="PNB2240" s="1733"/>
      <c r="PNC2240" s="1733"/>
      <c r="PND2240" s="1733"/>
      <c r="PNE2240" s="1733"/>
      <c r="PNF2240" s="1733"/>
      <c r="PNG2240" s="1733"/>
      <c r="PNH2240" s="1733"/>
      <c r="PNI2240" s="1733"/>
      <c r="PNJ2240" s="1733"/>
      <c r="PNK2240" s="1733"/>
      <c r="PNL2240" s="1733"/>
      <c r="PNM2240" s="1733"/>
      <c r="PNN2240" s="1733"/>
      <c r="PNO2240" s="1733"/>
      <c r="PNP2240" s="1733"/>
      <c r="PNQ2240" s="1733"/>
      <c r="PNR2240" s="1733"/>
      <c r="PNS2240" s="1733"/>
      <c r="PNT2240" s="1733"/>
      <c r="PNU2240" s="1733"/>
      <c r="PNV2240" s="1733"/>
      <c r="PNW2240" s="1733"/>
      <c r="PNX2240" s="1733"/>
      <c r="PNY2240" s="1733"/>
      <c r="PNZ2240" s="1733"/>
      <c r="POA2240" s="1733"/>
      <c r="POB2240" s="1733"/>
      <c r="POC2240" s="1733"/>
      <c r="POD2240" s="1733"/>
      <c r="POE2240" s="1733"/>
      <c r="POF2240" s="1733"/>
      <c r="POG2240" s="1733"/>
      <c r="POH2240" s="1733"/>
      <c r="POI2240" s="1733"/>
      <c r="POJ2240" s="1733"/>
      <c r="POK2240" s="1733"/>
      <c r="POL2240" s="1733"/>
      <c r="POM2240" s="1733"/>
      <c r="PON2240" s="1733"/>
      <c r="POO2240" s="1733"/>
      <c r="POP2240" s="1733"/>
      <c r="POQ2240" s="1733"/>
      <c r="POR2240" s="1733"/>
      <c r="POS2240" s="1733"/>
      <c r="POT2240" s="1733"/>
      <c r="POU2240" s="1733"/>
      <c r="POV2240" s="1733"/>
      <c r="POW2240" s="1733"/>
      <c r="POX2240" s="1733"/>
      <c r="POY2240" s="1733"/>
      <c r="POZ2240" s="1733"/>
      <c r="PPA2240" s="1733"/>
      <c r="PPB2240" s="1733"/>
      <c r="PPC2240" s="1733"/>
      <c r="PPD2240" s="1733"/>
      <c r="PPE2240" s="1733"/>
      <c r="PPF2240" s="1733"/>
      <c r="PPG2240" s="1733"/>
      <c r="PPH2240" s="1733"/>
      <c r="PPI2240" s="1733"/>
      <c r="PPJ2240" s="1733"/>
      <c r="PPK2240" s="1733"/>
      <c r="PPL2240" s="1733"/>
      <c r="PPM2240" s="1733"/>
      <c r="PPN2240" s="1733"/>
      <c r="PPO2240" s="1733"/>
      <c r="PPP2240" s="1733"/>
      <c r="PPQ2240" s="1733"/>
      <c r="PPR2240" s="1733"/>
      <c r="PPS2240" s="1733"/>
      <c r="PPT2240" s="1733"/>
      <c r="PPU2240" s="1733"/>
      <c r="PPV2240" s="1733"/>
      <c r="PPW2240" s="1733"/>
      <c r="PPX2240" s="1733"/>
      <c r="PPY2240" s="1733"/>
      <c r="PPZ2240" s="1733"/>
      <c r="PQA2240" s="1733"/>
      <c r="PQB2240" s="1733"/>
      <c r="PQC2240" s="1733"/>
      <c r="PQD2240" s="1733"/>
      <c r="PQE2240" s="1733"/>
      <c r="PQF2240" s="1733"/>
      <c r="PQG2240" s="1733"/>
      <c r="PQH2240" s="1733"/>
      <c r="PQI2240" s="1733"/>
      <c r="PQJ2240" s="1733"/>
      <c r="PQK2240" s="1733"/>
      <c r="PQL2240" s="1733"/>
      <c r="PQM2240" s="1733"/>
      <c r="PQN2240" s="1733"/>
      <c r="PQO2240" s="1733"/>
      <c r="PQP2240" s="1733"/>
      <c r="PQQ2240" s="1733"/>
      <c r="PQR2240" s="1733"/>
      <c r="PQS2240" s="1733"/>
      <c r="PQT2240" s="1733"/>
      <c r="PQU2240" s="1733"/>
      <c r="PQV2240" s="1733"/>
      <c r="PQW2240" s="1733"/>
      <c r="PQX2240" s="1733"/>
      <c r="PQY2240" s="1733"/>
      <c r="PQZ2240" s="1733"/>
      <c r="PRA2240" s="1733"/>
      <c r="PRB2240" s="1733"/>
      <c r="PRC2240" s="1733"/>
      <c r="PRD2240" s="1733"/>
      <c r="PRE2240" s="1733"/>
      <c r="PRF2240" s="1733"/>
      <c r="PRG2240" s="1733"/>
      <c r="PRH2240" s="1733"/>
      <c r="PRI2240" s="1733"/>
      <c r="PRJ2240" s="1733"/>
      <c r="PRK2240" s="1733"/>
      <c r="PRL2240" s="1733"/>
      <c r="PRM2240" s="1733"/>
      <c r="PRN2240" s="1733"/>
      <c r="PRO2240" s="1733"/>
      <c r="PRP2240" s="1733"/>
      <c r="PRQ2240" s="1733"/>
      <c r="PRR2240" s="1733"/>
      <c r="PRS2240" s="1733"/>
      <c r="PRT2240" s="1733"/>
      <c r="PRU2240" s="1733"/>
      <c r="PRV2240" s="1733"/>
      <c r="PRW2240" s="1733"/>
      <c r="PRX2240" s="1733"/>
      <c r="PRY2240" s="1733"/>
      <c r="PRZ2240" s="1733"/>
      <c r="PSA2240" s="1733"/>
      <c r="PSB2240" s="1733"/>
      <c r="PSC2240" s="1733"/>
      <c r="PSD2240" s="1733"/>
      <c r="PSE2240" s="1733"/>
      <c r="PSF2240" s="1733"/>
      <c r="PSG2240" s="1733"/>
      <c r="PSH2240" s="1733"/>
      <c r="PSI2240" s="1733"/>
      <c r="PSJ2240" s="1733"/>
      <c r="PSK2240" s="1733"/>
      <c r="PSL2240" s="1733"/>
      <c r="PSM2240" s="1733"/>
      <c r="PSN2240" s="1733"/>
      <c r="PSO2240" s="1733"/>
      <c r="PSP2240" s="1733"/>
      <c r="PSQ2240" s="1733"/>
      <c r="PSR2240" s="1733"/>
      <c r="PSS2240" s="1733"/>
      <c r="PST2240" s="1733"/>
      <c r="PSU2240" s="1733"/>
      <c r="PSV2240" s="1733"/>
      <c r="PSW2240" s="1733"/>
      <c r="PSX2240" s="1733"/>
      <c r="PSY2240" s="1733"/>
      <c r="PSZ2240" s="1733"/>
      <c r="PTA2240" s="1733"/>
      <c r="PTB2240" s="1733"/>
      <c r="PTC2240" s="1733"/>
      <c r="PTD2240" s="1733"/>
      <c r="PTE2240" s="1733"/>
      <c r="PTF2240" s="1733"/>
      <c r="PTG2240" s="1733"/>
      <c r="PTH2240" s="1733"/>
      <c r="PTI2240" s="1733"/>
      <c r="PTJ2240" s="1733"/>
      <c r="PTK2240" s="1733"/>
      <c r="PTL2240" s="1733"/>
      <c r="PTM2240" s="1733"/>
      <c r="PTN2240" s="1733"/>
      <c r="PTO2240" s="1733"/>
      <c r="PTP2240" s="1733"/>
      <c r="PTQ2240" s="1733"/>
      <c r="PTR2240" s="1733"/>
      <c r="PTS2240" s="1733"/>
      <c r="PTT2240" s="1733"/>
      <c r="PTU2240" s="1733"/>
      <c r="PTV2240" s="1733"/>
      <c r="PTW2240" s="1733"/>
      <c r="PTX2240" s="1733"/>
      <c r="PTY2240" s="1733"/>
      <c r="PTZ2240" s="1733"/>
      <c r="PUA2240" s="1733"/>
      <c r="PUB2240" s="1733"/>
      <c r="PUC2240" s="1733"/>
      <c r="PUD2240" s="1733"/>
      <c r="PUE2240" s="1733"/>
      <c r="PUF2240" s="1733"/>
      <c r="PUG2240" s="1733"/>
      <c r="PUH2240" s="1733"/>
      <c r="PUI2240" s="1733"/>
      <c r="PUJ2240" s="1733"/>
      <c r="PUK2240" s="1733"/>
      <c r="PUL2240" s="1733"/>
      <c r="PUM2240" s="1733"/>
      <c r="PUN2240" s="1733"/>
      <c r="PUO2240" s="1733"/>
      <c r="PUP2240" s="1733"/>
      <c r="PUQ2240" s="1733"/>
      <c r="PUR2240" s="1733"/>
      <c r="PUS2240" s="1733"/>
      <c r="PUT2240" s="1733"/>
      <c r="PUU2240" s="1733"/>
      <c r="PUV2240" s="1733"/>
      <c r="PUW2240" s="1733"/>
      <c r="PUX2240" s="1733"/>
      <c r="PUY2240" s="1733"/>
      <c r="PUZ2240" s="1733"/>
      <c r="PVA2240" s="1733"/>
      <c r="PVB2240" s="1733"/>
      <c r="PVC2240" s="1733"/>
      <c r="PVD2240" s="1733"/>
      <c r="PVE2240" s="1733"/>
      <c r="PVF2240" s="1733"/>
      <c r="PVG2240" s="1733"/>
      <c r="PVH2240" s="1733"/>
      <c r="PVI2240" s="1733"/>
      <c r="PVJ2240" s="1733"/>
      <c r="PVK2240" s="1733"/>
      <c r="PVL2240" s="1733"/>
      <c r="PVM2240" s="1733"/>
      <c r="PVN2240" s="1733"/>
      <c r="PVO2240" s="1733"/>
      <c r="PVP2240" s="1733"/>
      <c r="PVQ2240" s="1733"/>
      <c r="PVR2240" s="1733"/>
      <c r="PVS2240" s="1733"/>
      <c r="PVT2240" s="1733"/>
      <c r="PVU2240" s="1733"/>
      <c r="PVV2240" s="1733"/>
      <c r="PVW2240" s="1733"/>
      <c r="PVX2240" s="1733"/>
      <c r="PVY2240" s="1733"/>
      <c r="PVZ2240" s="1733"/>
      <c r="PWA2240" s="1733"/>
      <c r="PWB2240" s="1733"/>
      <c r="PWC2240" s="1733"/>
      <c r="PWD2240" s="1733"/>
      <c r="PWE2240" s="1733"/>
      <c r="PWF2240" s="1733"/>
      <c r="PWG2240" s="1733"/>
      <c r="PWH2240" s="1733"/>
      <c r="PWI2240" s="1733"/>
      <c r="PWJ2240" s="1733"/>
      <c r="PWK2240" s="1733"/>
      <c r="PWL2240" s="1733"/>
      <c r="PWM2240" s="1733"/>
      <c r="PWN2240" s="1733"/>
      <c r="PWO2240" s="1733"/>
      <c r="PWP2240" s="1733"/>
      <c r="PWQ2240" s="1733"/>
      <c r="PWR2240" s="1733"/>
      <c r="PWS2240" s="1733"/>
      <c r="PWT2240" s="1733"/>
      <c r="PWU2240" s="1733"/>
      <c r="PWV2240" s="1733"/>
      <c r="PWW2240" s="1733"/>
      <c r="PWX2240" s="1733"/>
      <c r="PWY2240" s="1733"/>
      <c r="PWZ2240" s="1733"/>
      <c r="PXA2240" s="1733"/>
      <c r="PXB2240" s="1733"/>
      <c r="PXC2240" s="1733"/>
      <c r="PXD2240" s="1733"/>
      <c r="PXE2240" s="1733"/>
      <c r="PXF2240" s="1733"/>
      <c r="PXG2240" s="1733"/>
      <c r="PXH2240" s="1733"/>
      <c r="PXI2240" s="1733"/>
      <c r="PXJ2240" s="1733"/>
      <c r="PXK2240" s="1733"/>
      <c r="PXL2240" s="1733"/>
      <c r="PXM2240" s="1733"/>
      <c r="PXN2240" s="1733"/>
      <c r="PXO2240" s="1733"/>
      <c r="PXP2240" s="1733"/>
      <c r="PXQ2240" s="1733"/>
      <c r="PXR2240" s="1733"/>
      <c r="PXS2240" s="1733"/>
      <c r="PXT2240" s="1733"/>
      <c r="PXU2240" s="1733"/>
      <c r="PXV2240" s="1733"/>
      <c r="PXW2240" s="1733"/>
      <c r="PXX2240" s="1733"/>
      <c r="PXY2240" s="1733"/>
      <c r="PXZ2240" s="1733"/>
      <c r="PYA2240" s="1733"/>
      <c r="PYB2240" s="1733"/>
      <c r="PYC2240" s="1733"/>
      <c r="PYD2240" s="1733"/>
      <c r="PYE2240" s="1733"/>
      <c r="PYF2240" s="1733"/>
      <c r="PYG2240" s="1733"/>
      <c r="PYH2240" s="1733"/>
      <c r="PYI2240" s="1733"/>
      <c r="PYJ2240" s="1733"/>
      <c r="PYK2240" s="1733"/>
      <c r="PYL2240" s="1733"/>
      <c r="PYM2240" s="1733"/>
      <c r="PYN2240" s="1733"/>
      <c r="PYO2240" s="1733"/>
      <c r="PYP2240" s="1733"/>
      <c r="PYQ2240" s="1733"/>
      <c r="PYR2240" s="1733"/>
      <c r="PYS2240" s="1733"/>
      <c r="PYT2240" s="1733"/>
      <c r="PYU2240" s="1733"/>
      <c r="PYV2240" s="1733"/>
      <c r="PYW2240" s="1733"/>
      <c r="PYX2240" s="1733"/>
      <c r="PYY2240" s="1733"/>
      <c r="PYZ2240" s="1733"/>
      <c r="PZA2240" s="1733"/>
      <c r="PZB2240" s="1733"/>
      <c r="PZC2240" s="1733"/>
      <c r="PZD2240" s="1733"/>
      <c r="PZE2240" s="1733"/>
      <c r="PZF2240" s="1733"/>
      <c r="PZG2240" s="1733"/>
      <c r="PZH2240" s="1733"/>
      <c r="PZI2240" s="1733"/>
      <c r="PZJ2240" s="1733"/>
      <c r="PZK2240" s="1733"/>
      <c r="PZL2240" s="1733"/>
      <c r="PZM2240" s="1733"/>
      <c r="PZN2240" s="1733"/>
      <c r="PZO2240" s="1733"/>
      <c r="PZP2240" s="1733"/>
      <c r="PZQ2240" s="1733"/>
      <c r="PZR2240" s="1733"/>
      <c r="PZS2240" s="1733"/>
      <c r="PZT2240" s="1733"/>
      <c r="PZU2240" s="1733"/>
      <c r="PZV2240" s="1733"/>
      <c r="PZW2240" s="1733"/>
      <c r="PZX2240" s="1733"/>
      <c r="PZY2240" s="1733"/>
      <c r="PZZ2240" s="1733"/>
      <c r="QAA2240" s="1733"/>
      <c r="QAB2240" s="1733"/>
      <c r="QAC2240" s="1733"/>
      <c r="QAD2240" s="1733"/>
      <c r="QAE2240" s="1733"/>
      <c r="QAF2240" s="1733"/>
      <c r="QAG2240" s="1733"/>
      <c r="QAH2240" s="1733"/>
      <c r="QAI2240" s="1733"/>
      <c r="QAJ2240" s="1733"/>
      <c r="QAK2240" s="1733"/>
      <c r="QAL2240" s="1733"/>
      <c r="QAM2240" s="1733"/>
      <c r="QAN2240" s="1733"/>
      <c r="QAO2240" s="1733"/>
      <c r="QAP2240" s="1733"/>
      <c r="QAQ2240" s="1733"/>
      <c r="QAR2240" s="1733"/>
      <c r="QAS2240" s="1733"/>
      <c r="QAT2240" s="1733"/>
      <c r="QAU2240" s="1733"/>
      <c r="QAV2240" s="1733"/>
      <c r="QAW2240" s="1733"/>
      <c r="QAX2240" s="1733"/>
      <c r="QAY2240" s="1733"/>
      <c r="QAZ2240" s="1733"/>
      <c r="QBA2240" s="1733"/>
      <c r="QBB2240" s="1733"/>
      <c r="QBC2240" s="1733"/>
      <c r="QBD2240" s="1733"/>
      <c r="QBE2240" s="1733"/>
      <c r="QBF2240" s="1733"/>
      <c r="QBG2240" s="1733"/>
      <c r="QBH2240" s="1733"/>
      <c r="QBI2240" s="1733"/>
      <c r="QBJ2240" s="1733"/>
      <c r="QBK2240" s="1733"/>
      <c r="QBL2240" s="1733"/>
      <c r="QBM2240" s="1733"/>
      <c r="QBN2240" s="1733"/>
      <c r="QBO2240" s="1733"/>
      <c r="QBP2240" s="1733"/>
      <c r="QBQ2240" s="1733"/>
      <c r="QBR2240" s="1733"/>
      <c r="QBS2240" s="1733"/>
      <c r="QBT2240" s="1733"/>
      <c r="QBU2240" s="1733"/>
      <c r="QBV2240" s="1733"/>
      <c r="QBW2240" s="1733"/>
      <c r="QBX2240" s="1733"/>
      <c r="QBY2240" s="1733"/>
      <c r="QBZ2240" s="1733"/>
      <c r="QCA2240" s="1733"/>
      <c r="QCB2240" s="1733"/>
      <c r="QCC2240" s="1733"/>
      <c r="QCD2240" s="1733"/>
      <c r="QCE2240" s="1733"/>
      <c r="QCF2240" s="1733"/>
      <c r="QCG2240" s="1733"/>
      <c r="QCH2240" s="1733"/>
      <c r="QCI2240" s="1733"/>
      <c r="QCJ2240" s="1733"/>
      <c r="QCK2240" s="1733"/>
      <c r="QCL2240" s="1733"/>
      <c r="QCM2240" s="1733"/>
      <c r="QCN2240" s="1733"/>
      <c r="QCO2240" s="1733"/>
      <c r="QCP2240" s="1733"/>
      <c r="QCQ2240" s="1733"/>
      <c r="QCR2240" s="1733"/>
      <c r="QCS2240" s="1733"/>
      <c r="QCT2240" s="1733"/>
      <c r="QCU2240" s="1733"/>
      <c r="QCV2240" s="1733"/>
      <c r="QCW2240" s="1733"/>
      <c r="QCX2240" s="1733"/>
      <c r="QCY2240" s="1733"/>
      <c r="QCZ2240" s="1733"/>
      <c r="QDA2240" s="1733"/>
      <c r="QDB2240" s="1733"/>
      <c r="QDC2240" s="1733"/>
      <c r="QDD2240" s="1733"/>
      <c r="QDE2240" s="1733"/>
      <c r="QDF2240" s="1733"/>
      <c r="QDG2240" s="1733"/>
      <c r="QDH2240" s="1733"/>
      <c r="QDI2240" s="1733"/>
      <c r="QDJ2240" s="1733"/>
      <c r="QDK2240" s="1733"/>
      <c r="QDL2240" s="1733"/>
      <c r="QDM2240" s="1733"/>
      <c r="QDN2240" s="1733"/>
      <c r="QDO2240" s="1733"/>
      <c r="QDP2240" s="1733"/>
      <c r="QDQ2240" s="1733"/>
      <c r="QDR2240" s="1733"/>
      <c r="QDS2240" s="1733"/>
      <c r="QDT2240" s="1733"/>
      <c r="QDU2240" s="1733"/>
      <c r="QDV2240" s="1733"/>
      <c r="QDW2240" s="1733"/>
      <c r="QDX2240" s="1733"/>
      <c r="QDY2240" s="1733"/>
      <c r="QDZ2240" s="1733"/>
      <c r="QEA2240" s="1733"/>
      <c r="QEB2240" s="1733"/>
      <c r="QEC2240" s="1733"/>
      <c r="QED2240" s="1733"/>
      <c r="QEE2240" s="1733"/>
      <c r="QEF2240" s="1733"/>
      <c r="QEG2240" s="1733"/>
      <c r="QEH2240" s="1733"/>
      <c r="QEI2240" s="1733"/>
      <c r="QEJ2240" s="1733"/>
      <c r="QEK2240" s="1733"/>
      <c r="QEL2240" s="1733"/>
      <c r="QEM2240" s="1733"/>
      <c r="QEN2240" s="1733"/>
      <c r="QEO2240" s="1733"/>
      <c r="QEP2240" s="1733"/>
      <c r="QEQ2240" s="1733"/>
      <c r="QER2240" s="1733"/>
      <c r="QES2240" s="1733"/>
      <c r="QET2240" s="1733"/>
      <c r="QEU2240" s="1733"/>
      <c r="QEV2240" s="1733"/>
      <c r="QEW2240" s="1733"/>
      <c r="QEX2240" s="1733"/>
      <c r="QEY2240" s="1733"/>
      <c r="QEZ2240" s="1733"/>
      <c r="QFA2240" s="1733"/>
      <c r="QFB2240" s="1733"/>
      <c r="QFC2240" s="1733"/>
      <c r="QFD2240" s="1733"/>
      <c r="QFE2240" s="1733"/>
      <c r="QFF2240" s="1733"/>
      <c r="QFG2240" s="1733"/>
      <c r="QFH2240" s="1733"/>
      <c r="QFI2240" s="1733"/>
      <c r="QFJ2240" s="1733"/>
      <c r="QFK2240" s="1733"/>
      <c r="QFL2240" s="1733"/>
      <c r="QFM2240" s="1733"/>
      <c r="QFN2240" s="1733"/>
      <c r="QFO2240" s="1733"/>
      <c r="QFP2240" s="1733"/>
      <c r="QFQ2240" s="1733"/>
      <c r="QFR2240" s="1733"/>
      <c r="QFS2240" s="1733"/>
      <c r="QFT2240" s="1733"/>
      <c r="QFU2240" s="1733"/>
      <c r="QFV2240" s="1733"/>
      <c r="QFW2240" s="1733"/>
      <c r="QFX2240" s="1733"/>
      <c r="QFY2240" s="1733"/>
      <c r="QFZ2240" s="1733"/>
      <c r="QGA2240" s="1733"/>
      <c r="QGB2240" s="1733"/>
      <c r="QGC2240" s="1733"/>
      <c r="QGD2240" s="1733"/>
      <c r="QGE2240" s="1733"/>
      <c r="QGF2240" s="1733"/>
      <c r="QGG2240" s="1733"/>
      <c r="QGH2240" s="1733"/>
      <c r="QGI2240" s="1733"/>
      <c r="QGJ2240" s="1733"/>
      <c r="QGK2240" s="1733"/>
      <c r="QGL2240" s="1733"/>
      <c r="QGM2240" s="1733"/>
      <c r="QGN2240" s="1733"/>
      <c r="QGO2240" s="1733"/>
      <c r="QGP2240" s="1733"/>
      <c r="QGQ2240" s="1733"/>
      <c r="QGR2240" s="1733"/>
      <c r="QGS2240" s="1733"/>
      <c r="QGT2240" s="1733"/>
      <c r="QGU2240" s="1733"/>
      <c r="QGV2240" s="1733"/>
      <c r="QGW2240" s="1733"/>
      <c r="QGX2240" s="1733"/>
      <c r="QGY2240" s="1733"/>
      <c r="QGZ2240" s="1733"/>
      <c r="QHA2240" s="1733"/>
      <c r="QHB2240" s="1733"/>
      <c r="QHC2240" s="1733"/>
      <c r="QHD2240" s="1733"/>
      <c r="QHE2240" s="1733"/>
      <c r="QHF2240" s="1733"/>
      <c r="QHG2240" s="1733"/>
      <c r="QHH2240" s="1733"/>
      <c r="QHI2240" s="1733"/>
      <c r="QHJ2240" s="1733"/>
      <c r="QHK2240" s="1733"/>
      <c r="QHL2240" s="1733"/>
      <c r="QHM2240" s="1733"/>
      <c r="QHN2240" s="1733"/>
      <c r="QHO2240" s="1733"/>
      <c r="QHP2240" s="1733"/>
      <c r="QHQ2240" s="1733"/>
      <c r="QHR2240" s="1733"/>
      <c r="QHS2240" s="1733"/>
      <c r="QHT2240" s="1733"/>
      <c r="QHU2240" s="1733"/>
      <c r="QHV2240" s="1733"/>
      <c r="QHW2240" s="1733"/>
      <c r="QHX2240" s="1733"/>
      <c r="QHY2240" s="1733"/>
      <c r="QHZ2240" s="1733"/>
      <c r="QIA2240" s="1733"/>
      <c r="QIB2240" s="1733"/>
      <c r="QIC2240" s="1733"/>
      <c r="QID2240" s="1733"/>
      <c r="QIE2240" s="1733"/>
      <c r="QIF2240" s="1733"/>
      <c r="QIG2240" s="1733"/>
      <c r="QIH2240" s="1733"/>
      <c r="QII2240" s="1733"/>
      <c r="QIJ2240" s="1733"/>
      <c r="QIK2240" s="1733"/>
      <c r="QIL2240" s="1733"/>
      <c r="QIM2240" s="1733"/>
      <c r="QIN2240" s="1733"/>
      <c r="QIO2240" s="1733"/>
      <c r="QIP2240" s="1733"/>
      <c r="QIQ2240" s="1733"/>
      <c r="QIR2240" s="1733"/>
      <c r="QIS2240" s="1733"/>
      <c r="QIT2240" s="1733"/>
      <c r="QIU2240" s="1733"/>
      <c r="QIV2240" s="1733"/>
      <c r="QIW2240" s="1733"/>
      <c r="QIX2240" s="1733"/>
      <c r="QIY2240" s="1733"/>
      <c r="QIZ2240" s="1733"/>
      <c r="QJA2240" s="1733"/>
      <c r="QJB2240" s="1733"/>
      <c r="QJC2240" s="1733"/>
      <c r="QJD2240" s="1733"/>
      <c r="QJE2240" s="1733"/>
      <c r="QJF2240" s="1733"/>
      <c r="QJG2240" s="1733"/>
      <c r="QJH2240" s="1733"/>
      <c r="QJI2240" s="1733"/>
      <c r="QJJ2240" s="1733"/>
      <c r="QJK2240" s="1733"/>
      <c r="QJL2240" s="1733"/>
      <c r="QJM2240" s="1733"/>
      <c r="QJN2240" s="1733"/>
      <c r="QJO2240" s="1733"/>
      <c r="QJP2240" s="1733"/>
      <c r="QJQ2240" s="1733"/>
      <c r="QJR2240" s="1733"/>
      <c r="QJS2240" s="1733"/>
      <c r="QJT2240" s="1733"/>
      <c r="QJU2240" s="1733"/>
      <c r="QJV2240" s="1733"/>
      <c r="QJW2240" s="1733"/>
      <c r="QJX2240" s="1733"/>
      <c r="QJY2240" s="1733"/>
      <c r="QJZ2240" s="1733"/>
      <c r="QKA2240" s="1733"/>
      <c r="QKB2240" s="1733"/>
      <c r="QKC2240" s="1733"/>
      <c r="QKD2240" s="1733"/>
      <c r="QKE2240" s="1733"/>
      <c r="QKF2240" s="1733"/>
      <c r="QKG2240" s="1733"/>
      <c r="QKH2240" s="1733"/>
      <c r="QKI2240" s="1733"/>
      <c r="QKJ2240" s="1733"/>
      <c r="QKK2240" s="1733"/>
      <c r="QKL2240" s="1733"/>
      <c r="QKM2240" s="1733"/>
      <c r="QKN2240" s="1733"/>
      <c r="QKO2240" s="1733"/>
      <c r="QKP2240" s="1733"/>
      <c r="QKQ2240" s="1733"/>
      <c r="QKR2240" s="1733"/>
      <c r="QKS2240" s="1733"/>
      <c r="QKT2240" s="1733"/>
      <c r="QKU2240" s="1733"/>
      <c r="QKV2240" s="1733"/>
      <c r="QKW2240" s="1733"/>
      <c r="QKX2240" s="1733"/>
      <c r="QKY2240" s="1733"/>
      <c r="QKZ2240" s="1733"/>
      <c r="QLA2240" s="1733"/>
      <c r="QLB2240" s="1733"/>
      <c r="QLC2240" s="1733"/>
      <c r="QLD2240" s="1733"/>
      <c r="QLE2240" s="1733"/>
      <c r="QLF2240" s="1733"/>
      <c r="QLG2240" s="1733"/>
      <c r="QLH2240" s="1733"/>
      <c r="QLI2240" s="1733"/>
      <c r="QLJ2240" s="1733"/>
      <c r="QLK2240" s="1733"/>
      <c r="QLL2240" s="1733"/>
      <c r="QLM2240" s="1733"/>
      <c r="QLN2240" s="1733"/>
      <c r="QLO2240" s="1733"/>
      <c r="QLP2240" s="1733"/>
      <c r="QLQ2240" s="1733"/>
      <c r="QLR2240" s="1733"/>
      <c r="QLS2240" s="1733"/>
      <c r="QLT2240" s="1733"/>
      <c r="QLU2240" s="1733"/>
      <c r="QLV2240" s="1733"/>
      <c r="QLW2240" s="1733"/>
      <c r="QLX2240" s="1733"/>
      <c r="QLY2240" s="1733"/>
      <c r="QLZ2240" s="1733"/>
      <c r="QMA2240" s="1733"/>
      <c r="QMB2240" s="1733"/>
      <c r="QMC2240" s="1733"/>
      <c r="QMD2240" s="1733"/>
      <c r="QME2240" s="1733"/>
      <c r="QMF2240" s="1733"/>
      <c r="QMG2240" s="1733"/>
      <c r="QMH2240" s="1733"/>
      <c r="QMI2240" s="1733"/>
      <c r="QMJ2240" s="1733"/>
      <c r="QMK2240" s="1733"/>
      <c r="QML2240" s="1733"/>
      <c r="QMM2240" s="1733"/>
      <c r="QMN2240" s="1733"/>
      <c r="QMO2240" s="1733"/>
      <c r="QMP2240" s="1733"/>
      <c r="QMQ2240" s="1733"/>
      <c r="QMR2240" s="1733"/>
      <c r="QMS2240" s="1733"/>
      <c r="QMT2240" s="1733"/>
      <c r="QMU2240" s="1733"/>
      <c r="QMV2240" s="1733"/>
      <c r="QMW2240" s="1733"/>
      <c r="QMX2240" s="1733"/>
      <c r="QMY2240" s="1733"/>
      <c r="QMZ2240" s="1733"/>
      <c r="QNA2240" s="1733"/>
      <c r="QNB2240" s="1733"/>
      <c r="QNC2240" s="1733"/>
      <c r="QND2240" s="1733"/>
      <c r="QNE2240" s="1733"/>
      <c r="QNF2240" s="1733"/>
      <c r="QNG2240" s="1733"/>
      <c r="QNH2240" s="1733"/>
      <c r="QNI2240" s="1733"/>
      <c r="QNJ2240" s="1733"/>
      <c r="QNK2240" s="1733"/>
      <c r="QNL2240" s="1733"/>
      <c r="QNM2240" s="1733"/>
      <c r="QNN2240" s="1733"/>
      <c r="QNO2240" s="1733"/>
      <c r="QNP2240" s="1733"/>
      <c r="QNQ2240" s="1733"/>
      <c r="QNR2240" s="1733"/>
      <c r="QNS2240" s="1733"/>
      <c r="QNT2240" s="1733"/>
      <c r="QNU2240" s="1733"/>
      <c r="QNV2240" s="1733"/>
      <c r="QNW2240" s="1733"/>
      <c r="QNX2240" s="1733"/>
      <c r="QNY2240" s="1733"/>
      <c r="QNZ2240" s="1733"/>
      <c r="QOA2240" s="1733"/>
      <c r="QOB2240" s="1733"/>
      <c r="QOC2240" s="1733"/>
      <c r="QOD2240" s="1733"/>
      <c r="QOE2240" s="1733"/>
      <c r="QOF2240" s="1733"/>
      <c r="QOG2240" s="1733"/>
      <c r="QOH2240" s="1733"/>
      <c r="QOI2240" s="1733"/>
      <c r="QOJ2240" s="1733"/>
      <c r="QOK2240" s="1733"/>
      <c r="QOL2240" s="1733"/>
      <c r="QOM2240" s="1733"/>
      <c r="QON2240" s="1733"/>
      <c r="QOO2240" s="1733"/>
      <c r="QOP2240" s="1733"/>
      <c r="QOQ2240" s="1733"/>
      <c r="QOR2240" s="1733"/>
      <c r="QOS2240" s="1733"/>
      <c r="QOT2240" s="1733"/>
      <c r="QOU2240" s="1733"/>
      <c r="QOV2240" s="1733"/>
      <c r="QOW2240" s="1733"/>
      <c r="QOX2240" s="1733"/>
      <c r="QOY2240" s="1733"/>
      <c r="QOZ2240" s="1733"/>
      <c r="QPA2240" s="1733"/>
      <c r="QPB2240" s="1733"/>
      <c r="QPC2240" s="1733"/>
      <c r="QPD2240" s="1733"/>
      <c r="QPE2240" s="1733"/>
      <c r="QPF2240" s="1733"/>
      <c r="QPG2240" s="1733"/>
      <c r="QPH2240" s="1733"/>
      <c r="QPI2240" s="1733"/>
      <c r="QPJ2240" s="1733"/>
      <c r="QPK2240" s="1733"/>
      <c r="QPL2240" s="1733"/>
      <c r="QPM2240" s="1733"/>
      <c r="QPN2240" s="1733"/>
      <c r="QPO2240" s="1733"/>
      <c r="QPP2240" s="1733"/>
      <c r="QPQ2240" s="1733"/>
      <c r="QPR2240" s="1733"/>
      <c r="QPS2240" s="1733"/>
      <c r="QPT2240" s="1733"/>
      <c r="QPU2240" s="1733"/>
      <c r="QPV2240" s="1733"/>
      <c r="QPW2240" s="1733"/>
      <c r="QPX2240" s="1733"/>
      <c r="QPY2240" s="1733"/>
      <c r="QPZ2240" s="1733"/>
      <c r="QQA2240" s="1733"/>
      <c r="QQB2240" s="1733"/>
      <c r="QQC2240" s="1733"/>
      <c r="QQD2240" s="1733"/>
      <c r="QQE2240" s="1733"/>
      <c r="QQF2240" s="1733"/>
      <c r="QQG2240" s="1733"/>
      <c r="QQH2240" s="1733"/>
      <c r="QQI2240" s="1733"/>
      <c r="QQJ2240" s="1733"/>
      <c r="QQK2240" s="1733"/>
      <c r="QQL2240" s="1733"/>
      <c r="QQM2240" s="1733"/>
      <c r="QQN2240" s="1733"/>
      <c r="QQO2240" s="1733"/>
      <c r="QQP2240" s="1733"/>
      <c r="QQQ2240" s="1733"/>
      <c r="QQR2240" s="1733"/>
      <c r="QQS2240" s="1733"/>
      <c r="QQT2240" s="1733"/>
      <c r="QQU2240" s="1733"/>
      <c r="QQV2240" s="1733"/>
      <c r="QQW2240" s="1733"/>
      <c r="QQX2240" s="1733"/>
      <c r="QQY2240" s="1733"/>
      <c r="QQZ2240" s="1733"/>
      <c r="QRA2240" s="1733"/>
      <c r="QRB2240" s="1733"/>
      <c r="QRC2240" s="1733"/>
      <c r="QRD2240" s="1733"/>
      <c r="QRE2240" s="1733"/>
      <c r="QRF2240" s="1733"/>
      <c r="QRG2240" s="1733"/>
      <c r="QRH2240" s="1733"/>
      <c r="QRI2240" s="1733"/>
      <c r="QRJ2240" s="1733"/>
      <c r="QRK2240" s="1733"/>
      <c r="QRL2240" s="1733"/>
      <c r="QRM2240" s="1733"/>
      <c r="QRN2240" s="1733"/>
      <c r="QRO2240" s="1733"/>
      <c r="QRP2240" s="1733"/>
      <c r="QRQ2240" s="1733"/>
      <c r="QRR2240" s="1733"/>
      <c r="QRS2240" s="1733"/>
      <c r="QRT2240" s="1733"/>
      <c r="QRU2240" s="1733"/>
      <c r="QRV2240" s="1733"/>
      <c r="QRW2240" s="1733"/>
      <c r="QRX2240" s="1733"/>
      <c r="QRY2240" s="1733"/>
      <c r="QRZ2240" s="1733"/>
      <c r="QSA2240" s="1733"/>
      <c r="QSB2240" s="1733"/>
      <c r="QSC2240" s="1733"/>
      <c r="QSD2240" s="1733"/>
      <c r="QSE2240" s="1733"/>
      <c r="QSF2240" s="1733"/>
      <c r="QSG2240" s="1733"/>
      <c r="QSH2240" s="1733"/>
      <c r="QSI2240" s="1733"/>
      <c r="QSJ2240" s="1733"/>
      <c r="QSK2240" s="1733"/>
      <c r="QSL2240" s="1733"/>
      <c r="QSM2240" s="1733"/>
      <c r="QSN2240" s="1733"/>
      <c r="QSO2240" s="1733"/>
      <c r="QSP2240" s="1733"/>
      <c r="QSQ2240" s="1733"/>
      <c r="QSR2240" s="1733"/>
      <c r="QSS2240" s="1733"/>
      <c r="QST2240" s="1733"/>
      <c r="QSU2240" s="1733"/>
      <c r="QSV2240" s="1733"/>
      <c r="QSW2240" s="1733"/>
      <c r="QSX2240" s="1733"/>
      <c r="QSY2240" s="1733"/>
      <c r="QSZ2240" s="1733"/>
      <c r="QTA2240" s="1733"/>
      <c r="QTB2240" s="1733"/>
      <c r="QTC2240" s="1733"/>
      <c r="QTD2240" s="1733"/>
      <c r="QTE2240" s="1733"/>
      <c r="QTF2240" s="1733"/>
      <c r="QTG2240" s="1733"/>
      <c r="QTH2240" s="1733"/>
      <c r="QTI2240" s="1733"/>
      <c r="QTJ2240" s="1733"/>
      <c r="QTK2240" s="1733"/>
      <c r="QTL2240" s="1733"/>
      <c r="QTM2240" s="1733"/>
      <c r="QTN2240" s="1733"/>
      <c r="QTO2240" s="1733"/>
      <c r="QTP2240" s="1733"/>
      <c r="QTQ2240" s="1733"/>
      <c r="QTR2240" s="1733"/>
      <c r="QTS2240" s="1733"/>
      <c r="QTT2240" s="1733"/>
      <c r="QTU2240" s="1733"/>
      <c r="QTV2240" s="1733"/>
      <c r="QTW2240" s="1733"/>
      <c r="QTX2240" s="1733"/>
      <c r="QTY2240" s="1733"/>
      <c r="QTZ2240" s="1733"/>
      <c r="QUA2240" s="1733"/>
      <c r="QUB2240" s="1733"/>
      <c r="QUC2240" s="1733"/>
      <c r="QUD2240" s="1733"/>
      <c r="QUE2240" s="1733"/>
      <c r="QUF2240" s="1733"/>
      <c r="QUG2240" s="1733"/>
      <c r="QUH2240" s="1733"/>
      <c r="QUI2240" s="1733"/>
      <c r="QUJ2240" s="1733"/>
      <c r="QUK2240" s="1733"/>
      <c r="QUL2240" s="1733"/>
      <c r="QUM2240" s="1733"/>
      <c r="QUN2240" s="1733"/>
      <c r="QUO2240" s="1733"/>
      <c r="QUP2240" s="1733"/>
      <c r="QUQ2240" s="1733"/>
      <c r="QUR2240" s="1733"/>
      <c r="QUS2240" s="1733"/>
      <c r="QUT2240" s="1733"/>
      <c r="QUU2240" s="1733"/>
      <c r="QUV2240" s="1733"/>
      <c r="QUW2240" s="1733"/>
      <c r="QUX2240" s="1733"/>
      <c r="QUY2240" s="1733"/>
      <c r="QUZ2240" s="1733"/>
      <c r="QVA2240" s="1733"/>
      <c r="QVB2240" s="1733"/>
      <c r="QVC2240" s="1733"/>
      <c r="QVD2240" s="1733"/>
      <c r="QVE2240" s="1733"/>
      <c r="QVF2240" s="1733"/>
      <c r="QVG2240" s="1733"/>
      <c r="QVH2240" s="1733"/>
      <c r="QVI2240" s="1733"/>
      <c r="QVJ2240" s="1733"/>
      <c r="QVK2240" s="1733"/>
      <c r="QVL2240" s="1733"/>
      <c r="QVM2240" s="1733"/>
      <c r="QVN2240" s="1733"/>
      <c r="QVO2240" s="1733"/>
      <c r="QVP2240" s="1733"/>
      <c r="QVQ2240" s="1733"/>
      <c r="QVR2240" s="1733"/>
      <c r="QVS2240" s="1733"/>
      <c r="QVT2240" s="1733"/>
      <c r="QVU2240" s="1733"/>
      <c r="QVV2240" s="1733"/>
      <c r="QVW2240" s="1733"/>
      <c r="QVX2240" s="1733"/>
      <c r="QVY2240" s="1733"/>
      <c r="QVZ2240" s="1733"/>
      <c r="QWA2240" s="1733"/>
      <c r="QWB2240" s="1733"/>
      <c r="QWC2240" s="1733"/>
      <c r="QWD2240" s="1733"/>
      <c r="QWE2240" s="1733"/>
      <c r="QWF2240" s="1733"/>
      <c r="QWG2240" s="1733"/>
      <c r="QWH2240" s="1733"/>
      <c r="QWI2240" s="1733"/>
      <c r="QWJ2240" s="1733"/>
      <c r="QWK2240" s="1733"/>
      <c r="QWL2240" s="1733"/>
      <c r="QWM2240" s="1733"/>
      <c r="QWN2240" s="1733"/>
      <c r="QWO2240" s="1733"/>
      <c r="QWP2240" s="1733"/>
      <c r="QWQ2240" s="1733"/>
      <c r="QWR2240" s="1733"/>
      <c r="QWS2240" s="1733"/>
      <c r="QWT2240" s="1733"/>
      <c r="QWU2240" s="1733"/>
      <c r="QWV2240" s="1733"/>
      <c r="QWW2240" s="1733"/>
      <c r="QWX2240" s="1733"/>
      <c r="QWY2240" s="1733"/>
      <c r="QWZ2240" s="1733"/>
      <c r="QXA2240" s="1733"/>
      <c r="QXB2240" s="1733"/>
      <c r="QXC2240" s="1733"/>
      <c r="QXD2240" s="1733"/>
      <c r="QXE2240" s="1733"/>
      <c r="QXF2240" s="1733"/>
      <c r="QXG2240" s="1733"/>
      <c r="QXH2240" s="1733"/>
      <c r="QXI2240" s="1733"/>
      <c r="QXJ2240" s="1733"/>
      <c r="QXK2240" s="1733"/>
      <c r="QXL2240" s="1733"/>
      <c r="QXM2240" s="1733"/>
      <c r="QXN2240" s="1733"/>
      <c r="QXO2240" s="1733"/>
      <c r="QXP2240" s="1733"/>
      <c r="QXQ2240" s="1733"/>
      <c r="QXR2240" s="1733"/>
      <c r="QXS2240" s="1733"/>
      <c r="QXT2240" s="1733"/>
      <c r="QXU2240" s="1733"/>
      <c r="QXV2240" s="1733"/>
      <c r="QXW2240" s="1733"/>
      <c r="QXX2240" s="1733"/>
      <c r="QXY2240" s="1733"/>
      <c r="QXZ2240" s="1733"/>
      <c r="QYA2240" s="1733"/>
      <c r="QYB2240" s="1733"/>
      <c r="QYC2240" s="1733"/>
      <c r="QYD2240" s="1733"/>
      <c r="QYE2240" s="1733"/>
      <c r="QYF2240" s="1733"/>
      <c r="QYG2240" s="1733"/>
      <c r="QYH2240" s="1733"/>
      <c r="QYI2240" s="1733"/>
      <c r="QYJ2240" s="1733"/>
      <c r="QYK2240" s="1733"/>
      <c r="QYL2240" s="1733"/>
      <c r="QYM2240" s="1733"/>
      <c r="QYN2240" s="1733"/>
      <c r="QYO2240" s="1733"/>
      <c r="QYP2240" s="1733"/>
      <c r="QYQ2240" s="1733"/>
      <c r="QYR2240" s="1733"/>
      <c r="QYS2240" s="1733"/>
      <c r="QYT2240" s="1733"/>
      <c r="QYU2240" s="1733"/>
      <c r="QYV2240" s="1733"/>
      <c r="QYW2240" s="1733"/>
      <c r="QYX2240" s="1733"/>
      <c r="QYY2240" s="1733"/>
      <c r="QYZ2240" s="1733"/>
      <c r="QZA2240" s="1733"/>
      <c r="QZB2240" s="1733"/>
      <c r="QZC2240" s="1733"/>
      <c r="QZD2240" s="1733"/>
      <c r="QZE2240" s="1733"/>
      <c r="QZF2240" s="1733"/>
      <c r="QZG2240" s="1733"/>
      <c r="QZH2240" s="1733"/>
      <c r="QZI2240" s="1733"/>
      <c r="QZJ2240" s="1733"/>
      <c r="QZK2240" s="1733"/>
      <c r="QZL2240" s="1733"/>
      <c r="QZM2240" s="1733"/>
      <c r="QZN2240" s="1733"/>
      <c r="QZO2240" s="1733"/>
      <c r="QZP2240" s="1733"/>
      <c r="QZQ2240" s="1733"/>
      <c r="QZR2240" s="1733"/>
      <c r="QZS2240" s="1733"/>
      <c r="QZT2240" s="1733"/>
      <c r="QZU2240" s="1733"/>
      <c r="QZV2240" s="1733"/>
      <c r="QZW2240" s="1733"/>
      <c r="QZX2240" s="1733"/>
      <c r="QZY2240" s="1733"/>
      <c r="QZZ2240" s="1733"/>
      <c r="RAA2240" s="1733"/>
      <c r="RAB2240" s="1733"/>
      <c r="RAC2240" s="1733"/>
      <c r="RAD2240" s="1733"/>
      <c r="RAE2240" s="1733"/>
      <c r="RAF2240" s="1733"/>
      <c r="RAG2240" s="1733"/>
      <c r="RAH2240" s="1733"/>
      <c r="RAI2240" s="1733"/>
      <c r="RAJ2240" s="1733"/>
      <c r="RAK2240" s="1733"/>
      <c r="RAL2240" s="1733"/>
      <c r="RAM2240" s="1733"/>
      <c r="RAN2240" s="1733"/>
      <c r="RAO2240" s="1733"/>
      <c r="RAP2240" s="1733"/>
      <c r="RAQ2240" s="1733"/>
      <c r="RAR2240" s="1733"/>
      <c r="RAS2240" s="1733"/>
      <c r="RAT2240" s="1733"/>
      <c r="RAU2240" s="1733"/>
      <c r="RAV2240" s="1733"/>
      <c r="RAW2240" s="1733"/>
      <c r="RAX2240" s="1733"/>
      <c r="RAY2240" s="1733"/>
      <c r="RAZ2240" s="1733"/>
      <c r="RBA2240" s="1733"/>
      <c r="RBB2240" s="1733"/>
      <c r="RBC2240" s="1733"/>
      <c r="RBD2240" s="1733"/>
      <c r="RBE2240" s="1733"/>
      <c r="RBF2240" s="1733"/>
      <c r="RBG2240" s="1733"/>
      <c r="RBH2240" s="1733"/>
      <c r="RBI2240" s="1733"/>
      <c r="RBJ2240" s="1733"/>
      <c r="RBK2240" s="1733"/>
      <c r="RBL2240" s="1733"/>
      <c r="RBM2240" s="1733"/>
      <c r="RBN2240" s="1733"/>
      <c r="RBO2240" s="1733"/>
      <c r="RBP2240" s="1733"/>
      <c r="RBQ2240" s="1733"/>
      <c r="RBR2240" s="1733"/>
      <c r="RBS2240" s="1733"/>
      <c r="RBT2240" s="1733"/>
      <c r="RBU2240" s="1733"/>
      <c r="RBV2240" s="1733"/>
      <c r="RBW2240" s="1733"/>
      <c r="RBX2240" s="1733"/>
      <c r="RBY2240" s="1733"/>
      <c r="RBZ2240" s="1733"/>
      <c r="RCA2240" s="1733"/>
      <c r="RCB2240" s="1733"/>
      <c r="RCC2240" s="1733"/>
      <c r="RCD2240" s="1733"/>
      <c r="RCE2240" s="1733"/>
      <c r="RCF2240" s="1733"/>
      <c r="RCG2240" s="1733"/>
      <c r="RCH2240" s="1733"/>
      <c r="RCI2240" s="1733"/>
      <c r="RCJ2240" s="1733"/>
      <c r="RCK2240" s="1733"/>
      <c r="RCL2240" s="1733"/>
      <c r="RCM2240" s="1733"/>
      <c r="RCN2240" s="1733"/>
      <c r="RCO2240" s="1733"/>
      <c r="RCP2240" s="1733"/>
      <c r="RCQ2240" s="1733"/>
      <c r="RCR2240" s="1733"/>
      <c r="RCS2240" s="1733"/>
      <c r="RCT2240" s="1733"/>
      <c r="RCU2240" s="1733"/>
      <c r="RCV2240" s="1733"/>
      <c r="RCW2240" s="1733"/>
      <c r="RCX2240" s="1733"/>
      <c r="RCY2240" s="1733"/>
      <c r="RCZ2240" s="1733"/>
      <c r="RDA2240" s="1733"/>
      <c r="RDB2240" s="1733"/>
      <c r="RDC2240" s="1733"/>
      <c r="RDD2240" s="1733"/>
      <c r="RDE2240" s="1733"/>
      <c r="RDF2240" s="1733"/>
      <c r="RDG2240" s="1733"/>
      <c r="RDH2240" s="1733"/>
      <c r="RDI2240" s="1733"/>
      <c r="RDJ2240" s="1733"/>
      <c r="RDK2240" s="1733"/>
      <c r="RDL2240" s="1733"/>
      <c r="RDM2240" s="1733"/>
      <c r="RDN2240" s="1733"/>
      <c r="RDO2240" s="1733"/>
      <c r="RDP2240" s="1733"/>
      <c r="RDQ2240" s="1733"/>
      <c r="RDR2240" s="1733"/>
      <c r="RDS2240" s="1733"/>
      <c r="RDT2240" s="1733"/>
      <c r="RDU2240" s="1733"/>
      <c r="RDV2240" s="1733"/>
      <c r="RDW2240" s="1733"/>
      <c r="RDX2240" s="1733"/>
      <c r="RDY2240" s="1733"/>
      <c r="RDZ2240" s="1733"/>
      <c r="REA2240" s="1733"/>
      <c r="REB2240" s="1733"/>
      <c r="REC2240" s="1733"/>
      <c r="RED2240" s="1733"/>
      <c r="REE2240" s="1733"/>
      <c r="REF2240" s="1733"/>
      <c r="REG2240" s="1733"/>
      <c r="REH2240" s="1733"/>
      <c r="REI2240" s="1733"/>
      <c r="REJ2240" s="1733"/>
      <c r="REK2240" s="1733"/>
      <c r="REL2240" s="1733"/>
      <c r="REM2240" s="1733"/>
      <c r="REN2240" s="1733"/>
      <c r="REO2240" s="1733"/>
      <c r="REP2240" s="1733"/>
      <c r="REQ2240" s="1733"/>
      <c r="RER2240" s="1733"/>
      <c r="RES2240" s="1733"/>
      <c r="RET2240" s="1733"/>
      <c r="REU2240" s="1733"/>
      <c r="REV2240" s="1733"/>
      <c r="REW2240" s="1733"/>
      <c r="REX2240" s="1733"/>
      <c r="REY2240" s="1733"/>
      <c r="REZ2240" s="1733"/>
      <c r="RFA2240" s="1733"/>
      <c r="RFB2240" s="1733"/>
      <c r="RFC2240" s="1733"/>
      <c r="RFD2240" s="1733"/>
      <c r="RFE2240" s="1733"/>
      <c r="RFF2240" s="1733"/>
      <c r="RFG2240" s="1733"/>
      <c r="RFH2240" s="1733"/>
      <c r="RFI2240" s="1733"/>
      <c r="RFJ2240" s="1733"/>
      <c r="RFK2240" s="1733"/>
      <c r="RFL2240" s="1733"/>
      <c r="RFM2240" s="1733"/>
      <c r="RFN2240" s="1733"/>
      <c r="RFO2240" s="1733"/>
      <c r="RFP2240" s="1733"/>
      <c r="RFQ2240" s="1733"/>
      <c r="RFR2240" s="1733"/>
      <c r="RFS2240" s="1733"/>
      <c r="RFT2240" s="1733"/>
      <c r="RFU2240" s="1733"/>
      <c r="RFV2240" s="1733"/>
      <c r="RFW2240" s="1733"/>
      <c r="RFX2240" s="1733"/>
      <c r="RFY2240" s="1733"/>
      <c r="RFZ2240" s="1733"/>
      <c r="RGA2240" s="1733"/>
      <c r="RGB2240" s="1733"/>
      <c r="RGC2240" s="1733"/>
      <c r="RGD2240" s="1733"/>
      <c r="RGE2240" s="1733"/>
      <c r="RGF2240" s="1733"/>
      <c r="RGG2240" s="1733"/>
      <c r="RGH2240" s="1733"/>
      <c r="RGI2240" s="1733"/>
      <c r="RGJ2240" s="1733"/>
      <c r="RGK2240" s="1733"/>
      <c r="RGL2240" s="1733"/>
      <c r="RGM2240" s="1733"/>
      <c r="RGN2240" s="1733"/>
      <c r="RGO2240" s="1733"/>
      <c r="RGP2240" s="1733"/>
      <c r="RGQ2240" s="1733"/>
      <c r="RGR2240" s="1733"/>
      <c r="RGS2240" s="1733"/>
      <c r="RGT2240" s="1733"/>
      <c r="RGU2240" s="1733"/>
      <c r="RGV2240" s="1733"/>
      <c r="RGW2240" s="1733"/>
      <c r="RGX2240" s="1733"/>
      <c r="RGY2240" s="1733"/>
      <c r="RGZ2240" s="1733"/>
      <c r="RHA2240" s="1733"/>
      <c r="RHB2240" s="1733"/>
      <c r="RHC2240" s="1733"/>
      <c r="RHD2240" s="1733"/>
      <c r="RHE2240" s="1733"/>
      <c r="RHF2240" s="1733"/>
      <c r="RHG2240" s="1733"/>
      <c r="RHH2240" s="1733"/>
      <c r="RHI2240" s="1733"/>
      <c r="RHJ2240" s="1733"/>
      <c r="RHK2240" s="1733"/>
      <c r="RHL2240" s="1733"/>
      <c r="RHM2240" s="1733"/>
      <c r="RHN2240" s="1733"/>
      <c r="RHO2240" s="1733"/>
      <c r="RHP2240" s="1733"/>
      <c r="RHQ2240" s="1733"/>
      <c r="RHR2240" s="1733"/>
      <c r="RHS2240" s="1733"/>
      <c r="RHT2240" s="1733"/>
      <c r="RHU2240" s="1733"/>
      <c r="RHV2240" s="1733"/>
      <c r="RHW2240" s="1733"/>
      <c r="RHX2240" s="1733"/>
      <c r="RHY2240" s="1733"/>
      <c r="RHZ2240" s="1733"/>
      <c r="RIA2240" s="1733"/>
      <c r="RIB2240" s="1733"/>
      <c r="RIC2240" s="1733"/>
      <c r="RID2240" s="1733"/>
      <c r="RIE2240" s="1733"/>
      <c r="RIF2240" s="1733"/>
      <c r="RIG2240" s="1733"/>
      <c r="RIH2240" s="1733"/>
      <c r="RII2240" s="1733"/>
      <c r="RIJ2240" s="1733"/>
      <c r="RIK2240" s="1733"/>
      <c r="RIL2240" s="1733"/>
      <c r="RIM2240" s="1733"/>
      <c r="RIN2240" s="1733"/>
      <c r="RIO2240" s="1733"/>
      <c r="RIP2240" s="1733"/>
      <c r="RIQ2240" s="1733"/>
      <c r="RIR2240" s="1733"/>
      <c r="RIS2240" s="1733"/>
      <c r="RIT2240" s="1733"/>
      <c r="RIU2240" s="1733"/>
      <c r="RIV2240" s="1733"/>
      <c r="RIW2240" s="1733"/>
      <c r="RIX2240" s="1733"/>
      <c r="RIY2240" s="1733"/>
      <c r="RIZ2240" s="1733"/>
      <c r="RJA2240" s="1733"/>
      <c r="RJB2240" s="1733"/>
      <c r="RJC2240" s="1733"/>
      <c r="RJD2240" s="1733"/>
      <c r="RJE2240" s="1733"/>
      <c r="RJF2240" s="1733"/>
      <c r="RJG2240" s="1733"/>
      <c r="RJH2240" s="1733"/>
      <c r="RJI2240" s="1733"/>
      <c r="RJJ2240" s="1733"/>
      <c r="RJK2240" s="1733"/>
      <c r="RJL2240" s="1733"/>
      <c r="RJM2240" s="1733"/>
      <c r="RJN2240" s="1733"/>
      <c r="RJO2240" s="1733"/>
      <c r="RJP2240" s="1733"/>
      <c r="RJQ2240" s="1733"/>
      <c r="RJR2240" s="1733"/>
      <c r="RJS2240" s="1733"/>
      <c r="RJT2240" s="1733"/>
      <c r="RJU2240" s="1733"/>
      <c r="RJV2240" s="1733"/>
      <c r="RJW2240" s="1733"/>
      <c r="RJX2240" s="1733"/>
      <c r="RJY2240" s="1733"/>
      <c r="RJZ2240" s="1733"/>
      <c r="RKA2240" s="1733"/>
      <c r="RKB2240" s="1733"/>
      <c r="RKC2240" s="1733"/>
      <c r="RKD2240" s="1733"/>
      <c r="RKE2240" s="1733"/>
      <c r="RKF2240" s="1733"/>
      <c r="RKG2240" s="1733"/>
      <c r="RKH2240" s="1733"/>
      <c r="RKI2240" s="1733"/>
      <c r="RKJ2240" s="1733"/>
      <c r="RKK2240" s="1733"/>
      <c r="RKL2240" s="1733"/>
      <c r="RKM2240" s="1733"/>
      <c r="RKN2240" s="1733"/>
      <c r="RKO2240" s="1733"/>
      <c r="RKP2240" s="1733"/>
      <c r="RKQ2240" s="1733"/>
      <c r="RKR2240" s="1733"/>
      <c r="RKS2240" s="1733"/>
      <c r="RKT2240" s="1733"/>
      <c r="RKU2240" s="1733"/>
      <c r="RKV2240" s="1733"/>
      <c r="RKW2240" s="1733"/>
      <c r="RKX2240" s="1733"/>
      <c r="RKY2240" s="1733"/>
      <c r="RKZ2240" s="1733"/>
      <c r="RLA2240" s="1733"/>
      <c r="RLB2240" s="1733"/>
      <c r="RLC2240" s="1733"/>
      <c r="RLD2240" s="1733"/>
      <c r="RLE2240" s="1733"/>
      <c r="RLF2240" s="1733"/>
      <c r="RLG2240" s="1733"/>
      <c r="RLH2240" s="1733"/>
      <c r="RLI2240" s="1733"/>
      <c r="RLJ2240" s="1733"/>
      <c r="RLK2240" s="1733"/>
      <c r="RLL2240" s="1733"/>
      <c r="RLM2240" s="1733"/>
      <c r="RLN2240" s="1733"/>
      <c r="RLO2240" s="1733"/>
      <c r="RLP2240" s="1733"/>
      <c r="RLQ2240" s="1733"/>
      <c r="RLR2240" s="1733"/>
      <c r="RLS2240" s="1733"/>
      <c r="RLT2240" s="1733"/>
      <c r="RLU2240" s="1733"/>
      <c r="RLV2240" s="1733"/>
      <c r="RLW2240" s="1733"/>
      <c r="RLX2240" s="1733"/>
      <c r="RLY2240" s="1733"/>
      <c r="RLZ2240" s="1733"/>
      <c r="RMA2240" s="1733"/>
      <c r="RMB2240" s="1733"/>
      <c r="RMC2240" s="1733"/>
      <c r="RMD2240" s="1733"/>
      <c r="RME2240" s="1733"/>
      <c r="RMF2240" s="1733"/>
      <c r="RMG2240" s="1733"/>
      <c r="RMH2240" s="1733"/>
      <c r="RMI2240" s="1733"/>
      <c r="RMJ2240" s="1733"/>
      <c r="RMK2240" s="1733"/>
      <c r="RML2240" s="1733"/>
      <c r="RMM2240" s="1733"/>
      <c r="RMN2240" s="1733"/>
      <c r="RMO2240" s="1733"/>
      <c r="RMP2240" s="1733"/>
      <c r="RMQ2240" s="1733"/>
      <c r="RMR2240" s="1733"/>
      <c r="RMS2240" s="1733"/>
      <c r="RMT2240" s="1733"/>
      <c r="RMU2240" s="1733"/>
      <c r="RMV2240" s="1733"/>
      <c r="RMW2240" s="1733"/>
      <c r="RMX2240" s="1733"/>
      <c r="RMY2240" s="1733"/>
      <c r="RMZ2240" s="1733"/>
      <c r="RNA2240" s="1733"/>
      <c r="RNB2240" s="1733"/>
      <c r="RNC2240" s="1733"/>
      <c r="RND2240" s="1733"/>
      <c r="RNE2240" s="1733"/>
      <c r="RNF2240" s="1733"/>
      <c r="RNG2240" s="1733"/>
      <c r="RNH2240" s="1733"/>
      <c r="RNI2240" s="1733"/>
      <c r="RNJ2240" s="1733"/>
      <c r="RNK2240" s="1733"/>
      <c r="RNL2240" s="1733"/>
      <c r="RNM2240" s="1733"/>
      <c r="RNN2240" s="1733"/>
      <c r="RNO2240" s="1733"/>
      <c r="RNP2240" s="1733"/>
      <c r="RNQ2240" s="1733"/>
      <c r="RNR2240" s="1733"/>
      <c r="RNS2240" s="1733"/>
      <c r="RNT2240" s="1733"/>
      <c r="RNU2240" s="1733"/>
      <c r="RNV2240" s="1733"/>
      <c r="RNW2240" s="1733"/>
      <c r="RNX2240" s="1733"/>
      <c r="RNY2240" s="1733"/>
      <c r="RNZ2240" s="1733"/>
      <c r="ROA2240" s="1733"/>
      <c r="ROB2240" s="1733"/>
      <c r="ROC2240" s="1733"/>
      <c r="ROD2240" s="1733"/>
      <c r="ROE2240" s="1733"/>
      <c r="ROF2240" s="1733"/>
      <c r="ROG2240" s="1733"/>
      <c r="ROH2240" s="1733"/>
      <c r="ROI2240" s="1733"/>
      <c r="ROJ2240" s="1733"/>
      <c r="ROK2240" s="1733"/>
      <c r="ROL2240" s="1733"/>
      <c r="ROM2240" s="1733"/>
      <c r="RON2240" s="1733"/>
      <c r="ROO2240" s="1733"/>
      <c r="ROP2240" s="1733"/>
      <c r="ROQ2240" s="1733"/>
      <c r="ROR2240" s="1733"/>
      <c r="ROS2240" s="1733"/>
      <c r="ROT2240" s="1733"/>
      <c r="ROU2240" s="1733"/>
      <c r="ROV2240" s="1733"/>
      <c r="ROW2240" s="1733"/>
      <c r="ROX2240" s="1733"/>
      <c r="ROY2240" s="1733"/>
      <c r="ROZ2240" s="1733"/>
      <c r="RPA2240" s="1733"/>
      <c r="RPB2240" s="1733"/>
      <c r="RPC2240" s="1733"/>
      <c r="RPD2240" s="1733"/>
      <c r="RPE2240" s="1733"/>
      <c r="RPF2240" s="1733"/>
      <c r="RPG2240" s="1733"/>
      <c r="RPH2240" s="1733"/>
      <c r="RPI2240" s="1733"/>
      <c r="RPJ2240" s="1733"/>
      <c r="RPK2240" s="1733"/>
      <c r="RPL2240" s="1733"/>
      <c r="RPM2240" s="1733"/>
      <c r="RPN2240" s="1733"/>
      <c r="RPO2240" s="1733"/>
      <c r="RPP2240" s="1733"/>
      <c r="RPQ2240" s="1733"/>
      <c r="RPR2240" s="1733"/>
      <c r="RPS2240" s="1733"/>
      <c r="RPT2240" s="1733"/>
      <c r="RPU2240" s="1733"/>
      <c r="RPV2240" s="1733"/>
      <c r="RPW2240" s="1733"/>
      <c r="RPX2240" s="1733"/>
      <c r="RPY2240" s="1733"/>
      <c r="RPZ2240" s="1733"/>
      <c r="RQA2240" s="1733"/>
      <c r="RQB2240" s="1733"/>
      <c r="RQC2240" s="1733"/>
      <c r="RQD2240" s="1733"/>
      <c r="RQE2240" s="1733"/>
      <c r="RQF2240" s="1733"/>
      <c r="RQG2240" s="1733"/>
      <c r="RQH2240" s="1733"/>
      <c r="RQI2240" s="1733"/>
      <c r="RQJ2240" s="1733"/>
      <c r="RQK2240" s="1733"/>
      <c r="RQL2240" s="1733"/>
      <c r="RQM2240" s="1733"/>
      <c r="RQN2240" s="1733"/>
      <c r="RQO2240" s="1733"/>
      <c r="RQP2240" s="1733"/>
      <c r="RQQ2240" s="1733"/>
      <c r="RQR2240" s="1733"/>
      <c r="RQS2240" s="1733"/>
      <c r="RQT2240" s="1733"/>
      <c r="RQU2240" s="1733"/>
      <c r="RQV2240" s="1733"/>
      <c r="RQW2240" s="1733"/>
      <c r="RQX2240" s="1733"/>
      <c r="RQY2240" s="1733"/>
      <c r="RQZ2240" s="1733"/>
      <c r="RRA2240" s="1733"/>
      <c r="RRB2240" s="1733"/>
      <c r="RRC2240" s="1733"/>
      <c r="RRD2240" s="1733"/>
      <c r="RRE2240" s="1733"/>
      <c r="RRF2240" s="1733"/>
      <c r="RRG2240" s="1733"/>
      <c r="RRH2240" s="1733"/>
      <c r="RRI2240" s="1733"/>
      <c r="RRJ2240" s="1733"/>
      <c r="RRK2240" s="1733"/>
      <c r="RRL2240" s="1733"/>
      <c r="RRM2240" s="1733"/>
      <c r="RRN2240" s="1733"/>
      <c r="RRO2240" s="1733"/>
      <c r="RRP2240" s="1733"/>
      <c r="RRQ2240" s="1733"/>
      <c r="RRR2240" s="1733"/>
      <c r="RRS2240" s="1733"/>
      <c r="RRT2240" s="1733"/>
      <c r="RRU2240" s="1733"/>
      <c r="RRV2240" s="1733"/>
      <c r="RRW2240" s="1733"/>
      <c r="RRX2240" s="1733"/>
      <c r="RRY2240" s="1733"/>
      <c r="RRZ2240" s="1733"/>
      <c r="RSA2240" s="1733"/>
      <c r="RSB2240" s="1733"/>
      <c r="RSC2240" s="1733"/>
      <c r="RSD2240" s="1733"/>
      <c r="RSE2240" s="1733"/>
      <c r="RSF2240" s="1733"/>
      <c r="RSG2240" s="1733"/>
      <c r="RSH2240" s="1733"/>
      <c r="RSI2240" s="1733"/>
      <c r="RSJ2240" s="1733"/>
      <c r="RSK2240" s="1733"/>
      <c r="RSL2240" s="1733"/>
      <c r="RSM2240" s="1733"/>
      <c r="RSN2240" s="1733"/>
      <c r="RSO2240" s="1733"/>
      <c r="RSP2240" s="1733"/>
      <c r="RSQ2240" s="1733"/>
      <c r="RSR2240" s="1733"/>
      <c r="RSS2240" s="1733"/>
      <c r="RST2240" s="1733"/>
      <c r="RSU2240" s="1733"/>
      <c r="RSV2240" s="1733"/>
      <c r="RSW2240" s="1733"/>
      <c r="RSX2240" s="1733"/>
      <c r="RSY2240" s="1733"/>
      <c r="RSZ2240" s="1733"/>
      <c r="RTA2240" s="1733"/>
      <c r="RTB2240" s="1733"/>
      <c r="RTC2240" s="1733"/>
      <c r="RTD2240" s="1733"/>
      <c r="RTE2240" s="1733"/>
      <c r="RTF2240" s="1733"/>
      <c r="RTG2240" s="1733"/>
      <c r="RTH2240" s="1733"/>
      <c r="RTI2240" s="1733"/>
      <c r="RTJ2240" s="1733"/>
      <c r="RTK2240" s="1733"/>
      <c r="RTL2240" s="1733"/>
      <c r="RTM2240" s="1733"/>
      <c r="RTN2240" s="1733"/>
      <c r="RTO2240" s="1733"/>
      <c r="RTP2240" s="1733"/>
      <c r="RTQ2240" s="1733"/>
      <c r="RTR2240" s="1733"/>
      <c r="RTS2240" s="1733"/>
      <c r="RTT2240" s="1733"/>
      <c r="RTU2240" s="1733"/>
      <c r="RTV2240" s="1733"/>
      <c r="RTW2240" s="1733"/>
      <c r="RTX2240" s="1733"/>
      <c r="RTY2240" s="1733"/>
      <c r="RTZ2240" s="1733"/>
      <c r="RUA2240" s="1733"/>
      <c r="RUB2240" s="1733"/>
      <c r="RUC2240" s="1733"/>
      <c r="RUD2240" s="1733"/>
      <c r="RUE2240" s="1733"/>
      <c r="RUF2240" s="1733"/>
      <c r="RUG2240" s="1733"/>
      <c r="RUH2240" s="1733"/>
      <c r="RUI2240" s="1733"/>
      <c r="RUJ2240" s="1733"/>
      <c r="RUK2240" s="1733"/>
      <c r="RUL2240" s="1733"/>
      <c r="RUM2240" s="1733"/>
      <c r="RUN2240" s="1733"/>
      <c r="RUO2240" s="1733"/>
      <c r="RUP2240" s="1733"/>
      <c r="RUQ2240" s="1733"/>
      <c r="RUR2240" s="1733"/>
      <c r="RUS2240" s="1733"/>
      <c r="RUT2240" s="1733"/>
      <c r="RUU2240" s="1733"/>
      <c r="RUV2240" s="1733"/>
      <c r="RUW2240" s="1733"/>
      <c r="RUX2240" s="1733"/>
      <c r="RUY2240" s="1733"/>
      <c r="RUZ2240" s="1733"/>
      <c r="RVA2240" s="1733"/>
      <c r="RVB2240" s="1733"/>
      <c r="RVC2240" s="1733"/>
      <c r="RVD2240" s="1733"/>
      <c r="RVE2240" s="1733"/>
      <c r="RVF2240" s="1733"/>
      <c r="RVG2240" s="1733"/>
      <c r="RVH2240" s="1733"/>
      <c r="RVI2240" s="1733"/>
      <c r="RVJ2240" s="1733"/>
      <c r="RVK2240" s="1733"/>
      <c r="RVL2240" s="1733"/>
      <c r="RVM2240" s="1733"/>
      <c r="RVN2240" s="1733"/>
      <c r="RVO2240" s="1733"/>
      <c r="RVP2240" s="1733"/>
      <c r="RVQ2240" s="1733"/>
      <c r="RVR2240" s="1733"/>
      <c r="RVS2240" s="1733"/>
      <c r="RVT2240" s="1733"/>
      <c r="RVU2240" s="1733"/>
      <c r="RVV2240" s="1733"/>
      <c r="RVW2240" s="1733"/>
      <c r="RVX2240" s="1733"/>
      <c r="RVY2240" s="1733"/>
      <c r="RVZ2240" s="1733"/>
      <c r="RWA2240" s="1733"/>
      <c r="RWB2240" s="1733"/>
      <c r="RWC2240" s="1733"/>
      <c r="RWD2240" s="1733"/>
      <c r="RWE2240" s="1733"/>
      <c r="RWF2240" s="1733"/>
      <c r="RWG2240" s="1733"/>
      <c r="RWH2240" s="1733"/>
      <c r="RWI2240" s="1733"/>
      <c r="RWJ2240" s="1733"/>
      <c r="RWK2240" s="1733"/>
      <c r="RWL2240" s="1733"/>
      <c r="RWM2240" s="1733"/>
      <c r="RWN2240" s="1733"/>
      <c r="RWO2240" s="1733"/>
      <c r="RWP2240" s="1733"/>
      <c r="RWQ2240" s="1733"/>
      <c r="RWR2240" s="1733"/>
      <c r="RWS2240" s="1733"/>
      <c r="RWT2240" s="1733"/>
      <c r="RWU2240" s="1733"/>
      <c r="RWV2240" s="1733"/>
      <c r="RWW2240" s="1733"/>
      <c r="RWX2240" s="1733"/>
      <c r="RWY2240" s="1733"/>
      <c r="RWZ2240" s="1733"/>
      <c r="RXA2240" s="1733"/>
      <c r="RXB2240" s="1733"/>
      <c r="RXC2240" s="1733"/>
      <c r="RXD2240" s="1733"/>
      <c r="RXE2240" s="1733"/>
      <c r="RXF2240" s="1733"/>
      <c r="RXG2240" s="1733"/>
      <c r="RXH2240" s="1733"/>
      <c r="RXI2240" s="1733"/>
      <c r="RXJ2240" s="1733"/>
      <c r="RXK2240" s="1733"/>
      <c r="RXL2240" s="1733"/>
      <c r="RXM2240" s="1733"/>
      <c r="RXN2240" s="1733"/>
      <c r="RXO2240" s="1733"/>
      <c r="RXP2240" s="1733"/>
      <c r="RXQ2240" s="1733"/>
      <c r="RXR2240" s="1733"/>
      <c r="RXS2240" s="1733"/>
      <c r="RXT2240" s="1733"/>
      <c r="RXU2240" s="1733"/>
      <c r="RXV2240" s="1733"/>
      <c r="RXW2240" s="1733"/>
      <c r="RXX2240" s="1733"/>
      <c r="RXY2240" s="1733"/>
      <c r="RXZ2240" s="1733"/>
      <c r="RYA2240" s="1733"/>
      <c r="RYB2240" s="1733"/>
      <c r="RYC2240" s="1733"/>
      <c r="RYD2240" s="1733"/>
      <c r="RYE2240" s="1733"/>
      <c r="RYF2240" s="1733"/>
      <c r="RYG2240" s="1733"/>
      <c r="RYH2240" s="1733"/>
      <c r="RYI2240" s="1733"/>
      <c r="RYJ2240" s="1733"/>
      <c r="RYK2240" s="1733"/>
      <c r="RYL2240" s="1733"/>
      <c r="RYM2240" s="1733"/>
      <c r="RYN2240" s="1733"/>
      <c r="RYO2240" s="1733"/>
      <c r="RYP2240" s="1733"/>
      <c r="RYQ2240" s="1733"/>
      <c r="RYR2240" s="1733"/>
      <c r="RYS2240" s="1733"/>
      <c r="RYT2240" s="1733"/>
      <c r="RYU2240" s="1733"/>
      <c r="RYV2240" s="1733"/>
      <c r="RYW2240" s="1733"/>
      <c r="RYX2240" s="1733"/>
      <c r="RYY2240" s="1733"/>
      <c r="RYZ2240" s="1733"/>
      <c r="RZA2240" s="1733"/>
      <c r="RZB2240" s="1733"/>
      <c r="RZC2240" s="1733"/>
      <c r="RZD2240" s="1733"/>
      <c r="RZE2240" s="1733"/>
      <c r="RZF2240" s="1733"/>
      <c r="RZG2240" s="1733"/>
      <c r="RZH2240" s="1733"/>
      <c r="RZI2240" s="1733"/>
      <c r="RZJ2240" s="1733"/>
      <c r="RZK2240" s="1733"/>
      <c r="RZL2240" s="1733"/>
      <c r="RZM2240" s="1733"/>
      <c r="RZN2240" s="1733"/>
      <c r="RZO2240" s="1733"/>
      <c r="RZP2240" s="1733"/>
      <c r="RZQ2240" s="1733"/>
      <c r="RZR2240" s="1733"/>
      <c r="RZS2240" s="1733"/>
      <c r="RZT2240" s="1733"/>
      <c r="RZU2240" s="1733"/>
      <c r="RZV2240" s="1733"/>
      <c r="RZW2240" s="1733"/>
      <c r="RZX2240" s="1733"/>
      <c r="RZY2240" s="1733"/>
      <c r="RZZ2240" s="1733"/>
      <c r="SAA2240" s="1733"/>
      <c r="SAB2240" s="1733"/>
      <c r="SAC2240" s="1733"/>
      <c r="SAD2240" s="1733"/>
      <c r="SAE2240" s="1733"/>
      <c r="SAF2240" s="1733"/>
      <c r="SAG2240" s="1733"/>
      <c r="SAH2240" s="1733"/>
      <c r="SAI2240" s="1733"/>
      <c r="SAJ2240" s="1733"/>
      <c r="SAK2240" s="1733"/>
      <c r="SAL2240" s="1733"/>
      <c r="SAM2240" s="1733"/>
      <c r="SAN2240" s="1733"/>
      <c r="SAO2240" s="1733"/>
      <c r="SAP2240" s="1733"/>
      <c r="SAQ2240" s="1733"/>
      <c r="SAR2240" s="1733"/>
      <c r="SAS2240" s="1733"/>
      <c r="SAT2240" s="1733"/>
      <c r="SAU2240" s="1733"/>
      <c r="SAV2240" s="1733"/>
      <c r="SAW2240" s="1733"/>
      <c r="SAX2240" s="1733"/>
      <c r="SAY2240" s="1733"/>
      <c r="SAZ2240" s="1733"/>
      <c r="SBA2240" s="1733"/>
      <c r="SBB2240" s="1733"/>
      <c r="SBC2240" s="1733"/>
      <c r="SBD2240" s="1733"/>
      <c r="SBE2240" s="1733"/>
      <c r="SBF2240" s="1733"/>
      <c r="SBG2240" s="1733"/>
      <c r="SBH2240" s="1733"/>
      <c r="SBI2240" s="1733"/>
      <c r="SBJ2240" s="1733"/>
      <c r="SBK2240" s="1733"/>
      <c r="SBL2240" s="1733"/>
      <c r="SBM2240" s="1733"/>
      <c r="SBN2240" s="1733"/>
      <c r="SBO2240" s="1733"/>
      <c r="SBP2240" s="1733"/>
      <c r="SBQ2240" s="1733"/>
      <c r="SBR2240" s="1733"/>
      <c r="SBS2240" s="1733"/>
      <c r="SBT2240" s="1733"/>
      <c r="SBU2240" s="1733"/>
      <c r="SBV2240" s="1733"/>
      <c r="SBW2240" s="1733"/>
      <c r="SBX2240" s="1733"/>
      <c r="SBY2240" s="1733"/>
      <c r="SBZ2240" s="1733"/>
      <c r="SCA2240" s="1733"/>
      <c r="SCB2240" s="1733"/>
      <c r="SCC2240" s="1733"/>
      <c r="SCD2240" s="1733"/>
      <c r="SCE2240" s="1733"/>
      <c r="SCF2240" s="1733"/>
      <c r="SCG2240" s="1733"/>
      <c r="SCH2240" s="1733"/>
      <c r="SCI2240" s="1733"/>
      <c r="SCJ2240" s="1733"/>
      <c r="SCK2240" s="1733"/>
      <c r="SCL2240" s="1733"/>
      <c r="SCM2240" s="1733"/>
      <c r="SCN2240" s="1733"/>
      <c r="SCO2240" s="1733"/>
      <c r="SCP2240" s="1733"/>
      <c r="SCQ2240" s="1733"/>
      <c r="SCR2240" s="1733"/>
      <c r="SCS2240" s="1733"/>
      <c r="SCT2240" s="1733"/>
      <c r="SCU2240" s="1733"/>
      <c r="SCV2240" s="1733"/>
      <c r="SCW2240" s="1733"/>
      <c r="SCX2240" s="1733"/>
      <c r="SCY2240" s="1733"/>
      <c r="SCZ2240" s="1733"/>
      <c r="SDA2240" s="1733"/>
      <c r="SDB2240" s="1733"/>
      <c r="SDC2240" s="1733"/>
      <c r="SDD2240" s="1733"/>
      <c r="SDE2240" s="1733"/>
      <c r="SDF2240" s="1733"/>
      <c r="SDG2240" s="1733"/>
      <c r="SDH2240" s="1733"/>
      <c r="SDI2240" s="1733"/>
      <c r="SDJ2240" s="1733"/>
      <c r="SDK2240" s="1733"/>
      <c r="SDL2240" s="1733"/>
      <c r="SDM2240" s="1733"/>
      <c r="SDN2240" s="1733"/>
      <c r="SDO2240" s="1733"/>
      <c r="SDP2240" s="1733"/>
      <c r="SDQ2240" s="1733"/>
      <c r="SDR2240" s="1733"/>
      <c r="SDS2240" s="1733"/>
      <c r="SDT2240" s="1733"/>
      <c r="SDU2240" s="1733"/>
      <c r="SDV2240" s="1733"/>
      <c r="SDW2240" s="1733"/>
      <c r="SDX2240" s="1733"/>
      <c r="SDY2240" s="1733"/>
      <c r="SDZ2240" s="1733"/>
      <c r="SEA2240" s="1733"/>
      <c r="SEB2240" s="1733"/>
      <c r="SEC2240" s="1733"/>
      <c r="SED2240" s="1733"/>
      <c r="SEE2240" s="1733"/>
      <c r="SEF2240" s="1733"/>
      <c r="SEG2240" s="1733"/>
      <c r="SEH2240" s="1733"/>
      <c r="SEI2240" s="1733"/>
      <c r="SEJ2240" s="1733"/>
      <c r="SEK2240" s="1733"/>
      <c r="SEL2240" s="1733"/>
      <c r="SEM2240" s="1733"/>
      <c r="SEN2240" s="1733"/>
      <c r="SEO2240" s="1733"/>
      <c r="SEP2240" s="1733"/>
      <c r="SEQ2240" s="1733"/>
      <c r="SER2240" s="1733"/>
      <c r="SES2240" s="1733"/>
      <c r="SET2240" s="1733"/>
      <c r="SEU2240" s="1733"/>
      <c r="SEV2240" s="1733"/>
      <c r="SEW2240" s="1733"/>
      <c r="SEX2240" s="1733"/>
      <c r="SEY2240" s="1733"/>
      <c r="SEZ2240" s="1733"/>
      <c r="SFA2240" s="1733"/>
      <c r="SFB2240" s="1733"/>
      <c r="SFC2240" s="1733"/>
      <c r="SFD2240" s="1733"/>
      <c r="SFE2240" s="1733"/>
      <c r="SFF2240" s="1733"/>
      <c r="SFG2240" s="1733"/>
      <c r="SFH2240" s="1733"/>
      <c r="SFI2240" s="1733"/>
      <c r="SFJ2240" s="1733"/>
      <c r="SFK2240" s="1733"/>
      <c r="SFL2240" s="1733"/>
      <c r="SFM2240" s="1733"/>
      <c r="SFN2240" s="1733"/>
      <c r="SFO2240" s="1733"/>
      <c r="SFP2240" s="1733"/>
      <c r="SFQ2240" s="1733"/>
      <c r="SFR2240" s="1733"/>
      <c r="SFS2240" s="1733"/>
      <c r="SFT2240" s="1733"/>
      <c r="SFU2240" s="1733"/>
      <c r="SFV2240" s="1733"/>
      <c r="SFW2240" s="1733"/>
      <c r="SFX2240" s="1733"/>
      <c r="SFY2240" s="1733"/>
      <c r="SFZ2240" s="1733"/>
      <c r="SGA2240" s="1733"/>
      <c r="SGB2240" s="1733"/>
      <c r="SGC2240" s="1733"/>
      <c r="SGD2240" s="1733"/>
      <c r="SGE2240" s="1733"/>
      <c r="SGF2240" s="1733"/>
      <c r="SGG2240" s="1733"/>
      <c r="SGH2240" s="1733"/>
      <c r="SGI2240" s="1733"/>
      <c r="SGJ2240" s="1733"/>
      <c r="SGK2240" s="1733"/>
      <c r="SGL2240" s="1733"/>
      <c r="SGM2240" s="1733"/>
      <c r="SGN2240" s="1733"/>
      <c r="SGO2240" s="1733"/>
      <c r="SGP2240" s="1733"/>
      <c r="SGQ2240" s="1733"/>
      <c r="SGR2240" s="1733"/>
      <c r="SGS2240" s="1733"/>
      <c r="SGT2240" s="1733"/>
      <c r="SGU2240" s="1733"/>
      <c r="SGV2240" s="1733"/>
      <c r="SGW2240" s="1733"/>
      <c r="SGX2240" s="1733"/>
      <c r="SGY2240" s="1733"/>
      <c r="SGZ2240" s="1733"/>
      <c r="SHA2240" s="1733"/>
      <c r="SHB2240" s="1733"/>
      <c r="SHC2240" s="1733"/>
      <c r="SHD2240" s="1733"/>
      <c r="SHE2240" s="1733"/>
      <c r="SHF2240" s="1733"/>
      <c r="SHG2240" s="1733"/>
      <c r="SHH2240" s="1733"/>
      <c r="SHI2240" s="1733"/>
      <c r="SHJ2240" s="1733"/>
      <c r="SHK2240" s="1733"/>
      <c r="SHL2240" s="1733"/>
      <c r="SHM2240" s="1733"/>
      <c r="SHN2240" s="1733"/>
      <c r="SHO2240" s="1733"/>
      <c r="SHP2240" s="1733"/>
      <c r="SHQ2240" s="1733"/>
      <c r="SHR2240" s="1733"/>
      <c r="SHS2240" s="1733"/>
      <c r="SHT2240" s="1733"/>
      <c r="SHU2240" s="1733"/>
      <c r="SHV2240" s="1733"/>
      <c r="SHW2240" s="1733"/>
      <c r="SHX2240" s="1733"/>
      <c r="SHY2240" s="1733"/>
      <c r="SHZ2240" s="1733"/>
      <c r="SIA2240" s="1733"/>
      <c r="SIB2240" s="1733"/>
      <c r="SIC2240" s="1733"/>
      <c r="SID2240" s="1733"/>
      <c r="SIE2240" s="1733"/>
      <c r="SIF2240" s="1733"/>
      <c r="SIG2240" s="1733"/>
      <c r="SIH2240" s="1733"/>
      <c r="SII2240" s="1733"/>
      <c r="SIJ2240" s="1733"/>
      <c r="SIK2240" s="1733"/>
      <c r="SIL2240" s="1733"/>
      <c r="SIM2240" s="1733"/>
      <c r="SIN2240" s="1733"/>
      <c r="SIO2240" s="1733"/>
      <c r="SIP2240" s="1733"/>
      <c r="SIQ2240" s="1733"/>
      <c r="SIR2240" s="1733"/>
      <c r="SIS2240" s="1733"/>
      <c r="SIT2240" s="1733"/>
      <c r="SIU2240" s="1733"/>
      <c r="SIV2240" s="1733"/>
      <c r="SIW2240" s="1733"/>
      <c r="SIX2240" s="1733"/>
      <c r="SIY2240" s="1733"/>
      <c r="SIZ2240" s="1733"/>
      <c r="SJA2240" s="1733"/>
      <c r="SJB2240" s="1733"/>
      <c r="SJC2240" s="1733"/>
      <c r="SJD2240" s="1733"/>
      <c r="SJE2240" s="1733"/>
      <c r="SJF2240" s="1733"/>
      <c r="SJG2240" s="1733"/>
      <c r="SJH2240" s="1733"/>
      <c r="SJI2240" s="1733"/>
      <c r="SJJ2240" s="1733"/>
      <c r="SJK2240" s="1733"/>
      <c r="SJL2240" s="1733"/>
      <c r="SJM2240" s="1733"/>
      <c r="SJN2240" s="1733"/>
      <c r="SJO2240" s="1733"/>
      <c r="SJP2240" s="1733"/>
      <c r="SJQ2240" s="1733"/>
      <c r="SJR2240" s="1733"/>
      <c r="SJS2240" s="1733"/>
      <c r="SJT2240" s="1733"/>
      <c r="SJU2240" s="1733"/>
      <c r="SJV2240" s="1733"/>
      <c r="SJW2240" s="1733"/>
      <c r="SJX2240" s="1733"/>
      <c r="SJY2240" s="1733"/>
      <c r="SJZ2240" s="1733"/>
      <c r="SKA2240" s="1733"/>
      <c r="SKB2240" s="1733"/>
      <c r="SKC2240" s="1733"/>
      <c r="SKD2240" s="1733"/>
      <c r="SKE2240" s="1733"/>
      <c r="SKF2240" s="1733"/>
      <c r="SKG2240" s="1733"/>
      <c r="SKH2240" s="1733"/>
      <c r="SKI2240" s="1733"/>
      <c r="SKJ2240" s="1733"/>
      <c r="SKK2240" s="1733"/>
      <c r="SKL2240" s="1733"/>
      <c r="SKM2240" s="1733"/>
      <c r="SKN2240" s="1733"/>
      <c r="SKO2240" s="1733"/>
      <c r="SKP2240" s="1733"/>
      <c r="SKQ2240" s="1733"/>
      <c r="SKR2240" s="1733"/>
      <c r="SKS2240" s="1733"/>
      <c r="SKT2240" s="1733"/>
      <c r="SKU2240" s="1733"/>
      <c r="SKV2240" s="1733"/>
      <c r="SKW2240" s="1733"/>
      <c r="SKX2240" s="1733"/>
      <c r="SKY2240" s="1733"/>
      <c r="SKZ2240" s="1733"/>
      <c r="SLA2240" s="1733"/>
      <c r="SLB2240" s="1733"/>
      <c r="SLC2240" s="1733"/>
      <c r="SLD2240" s="1733"/>
      <c r="SLE2240" s="1733"/>
      <c r="SLF2240" s="1733"/>
      <c r="SLG2240" s="1733"/>
      <c r="SLH2240" s="1733"/>
      <c r="SLI2240" s="1733"/>
      <c r="SLJ2240" s="1733"/>
      <c r="SLK2240" s="1733"/>
      <c r="SLL2240" s="1733"/>
      <c r="SLM2240" s="1733"/>
      <c r="SLN2240" s="1733"/>
      <c r="SLO2240" s="1733"/>
      <c r="SLP2240" s="1733"/>
      <c r="SLQ2240" s="1733"/>
      <c r="SLR2240" s="1733"/>
      <c r="SLS2240" s="1733"/>
      <c r="SLT2240" s="1733"/>
      <c r="SLU2240" s="1733"/>
      <c r="SLV2240" s="1733"/>
      <c r="SLW2240" s="1733"/>
      <c r="SLX2240" s="1733"/>
      <c r="SLY2240" s="1733"/>
      <c r="SLZ2240" s="1733"/>
      <c r="SMA2240" s="1733"/>
      <c r="SMB2240" s="1733"/>
      <c r="SMC2240" s="1733"/>
      <c r="SMD2240" s="1733"/>
      <c r="SME2240" s="1733"/>
      <c r="SMF2240" s="1733"/>
      <c r="SMG2240" s="1733"/>
      <c r="SMH2240" s="1733"/>
      <c r="SMI2240" s="1733"/>
      <c r="SMJ2240" s="1733"/>
      <c r="SMK2240" s="1733"/>
      <c r="SML2240" s="1733"/>
      <c r="SMM2240" s="1733"/>
      <c r="SMN2240" s="1733"/>
      <c r="SMO2240" s="1733"/>
      <c r="SMP2240" s="1733"/>
      <c r="SMQ2240" s="1733"/>
      <c r="SMR2240" s="1733"/>
      <c r="SMS2240" s="1733"/>
      <c r="SMT2240" s="1733"/>
      <c r="SMU2240" s="1733"/>
      <c r="SMV2240" s="1733"/>
      <c r="SMW2240" s="1733"/>
      <c r="SMX2240" s="1733"/>
      <c r="SMY2240" s="1733"/>
      <c r="SMZ2240" s="1733"/>
      <c r="SNA2240" s="1733"/>
      <c r="SNB2240" s="1733"/>
      <c r="SNC2240" s="1733"/>
      <c r="SND2240" s="1733"/>
      <c r="SNE2240" s="1733"/>
      <c r="SNF2240" s="1733"/>
      <c r="SNG2240" s="1733"/>
      <c r="SNH2240" s="1733"/>
      <c r="SNI2240" s="1733"/>
      <c r="SNJ2240" s="1733"/>
      <c r="SNK2240" s="1733"/>
      <c r="SNL2240" s="1733"/>
      <c r="SNM2240" s="1733"/>
      <c r="SNN2240" s="1733"/>
      <c r="SNO2240" s="1733"/>
      <c r="SNP2240" s="1733"/>
      <c r="SNQ2240" s="1733"/>
      <c r="SNR2240" s="1733"/>
      <c r="SNS2240" s="1733"/>
      <c r="SNT2240" s="1733"/>
      <c r="SNU2240" s="1733"/>
      <c r="SNV2240" s="1733"/>
      <c r="SNW2240" s="1733"/>
      <c r="SNX2240" s="1733"/>
      <c r="SNY2240" s="1733"/>
      <c r="SNZ2240" s="1733"/>
      <c r="SOA2240" s="1733"/>
      <c r="SOB2240" s="1733"/>
      <c r="SOC2240" s="1733"/>
      <c r="SOD2240" s="1733"/>
      <c r="SOE2240" s="1733"/>
      <c r="SOF2240" s="1733"/>
      <c r="SOG2240" s="1733"/>
      <c r="SOH2240" s="1733"/>
      <c r="SOI2240" s="1733"/>
      <c r="SOJ2240" s="1733"/>
      <c r="SOK2240" s="1733"/>
      <c r="SOL2240" s="1733"/>
      <c r="SOM2240" s="1733"/>
      <c r="SON2240" s="1733"/>
      <c r="SOO2240" s="1733"/>
      <c r="SOP2240" s="1733"/>
      <c r="SOQ2240" s="1733"/>
      <c r="SOR2240" s="1733"/>
      <c r="SOS2240" s="1733"/>
      <c r="SOT2240" s="1733"/>
      <c r="SOU2240" s="1733"/>
      <c r="SOV2240" s="1733"/>
      <c r="SOW2240" s="1733"/>
      <c r="SOX2240" s="1733"/>
      <c r="SOY2240" s="1733"/>
      <c r="SOZ2240" s="1733"/>
      <c r="SPA2240" s="1733"/>
      <c r="SPB2240" s="1733"/>
      <c r="SPC2240" s="1733"/>
      <c r="SPD2240" s="1733"/>
      <c r="SPE2240" s="1733"/>
      <c r="SPF2240" s="1733"/>
      <c r="SPG2240" s="1733"/>
      <c r="SPH2240" s="1733"/>
      <c r="SPI2240" s="1733"/>
      <c r="SPJ2240" s="1733"/>
      <c r="SPK2240" s="1733"/>
      <c r="SPL2240" s="1733"/>
      <c r="SPM2240" s="1733"/>
      <c r="SPN2240" s="1733"/>
      <c r="SPO2240" s="1733"/>
      <c r="SPP2240" s="1733"/>
      <c r="SPQ2240" s="1733"/>
      <c r="SPR2240" s="1733"/>
      <c r="SPS2240" s="1733"/>
      <c r="SPT2240" s="1733"/>
      <c r="SPU2240" s="1733"/>
      <c r="SPV2240" s="1733"/>
      <c r="SPW2240" s="1733"/>
      <c r="SPX2240" s="1733"/>
      <c r="SPY2240" s="1733"/>
      <c r="SPZ2240" s="1733"/>
      <c r="SQA2240" s="1733"/>
      <c r="SQB2240" s="1733"/>
      <c r="SQC2240" s="1733"/>
      <c r="SQD2240" s="1733"/>
      <c r="SQE2240" s="1733"/>
      <c r="SQF2240" s="1733"/>
      <c r="SQG2240" s="1733"/>
      <c r="SQH2240" s="1733"/>
      <c r="SQI2240" s="1733"/>
      <c r="SQJ2240" s="1733"/>
      <c r="SQK2240" s="1733"/>
      <c r="SQL2240" s="1733"/>
      <c r="SQM2240" s="1733"/>
      <c r="SQN2240" s="1733"/>
      <c r="SQO2240" s="1733"/>
      <c r="SQP2240" s="1733"/>
      <c r="SQQ2240" s="1733"/>
      <c r="SQR2240" s="1733"/>
      <c r="SQS2240" s="1733"/>
      <c r="SQT2240" s="1733"/>
      <c r="SQU2240" s="1733"/>
      <c r="SQV2240" s="1733"/>
      <c r="SQW2240" s="1733"/>
      <c r="SQX2240" s="1733"/>
      <c r="SQY2240" s="1733"/>
      <c r="SQZ2240" s="1733"/>
      <c r="SRA2240" s="1733"/>
      <c r="SRB2240" s="1733"/>
      <c r="SRC2240" s="1733"/>
      <c r="SRD2240" s="1733"/>
      <c r="SRE2240" s="1733"/>
      <c r="SRF2240" s="1733"/>
      <c r="SRG2240" s="1733"/>
      <c r="SRH2240" s="1733"/>
      <c r="SRI2240" s="1733"/>
      <c r="SRJ2240" s="1733"/>
      <c r="SRK2240" s="1733"/>
      <c r="SRL2240" s="1733"/>
      <c r="SRM2240" s="1733"/>
      <c r="SRN2240" s="1733"/>
      <c r="SRO2240" s="1733"/>
      <c r="SRP2240" s="1733"/>
      <c r="SRQ2240" s="1733"/>
      <c r="SRR2240" s="1733"/>
      <c r="SRS2240" s="1733"/>
      <c r="SRT2240" s="1733"/>
      <c r="SRU2240" s="1733"/>
      <c r="SRV2240" s="1733"/>
      <c r="SRW2240" s="1733"/>
      <c r="SRX2240" s="1733"/>
      <c r="SRY2240" s="1733"/>
      <c r="SRZ2240" s="1733"/>
      <c r="SSA2240" s="1733"/>
      <c r="SSB2240" s="1733"/>
      <c r="SSC2240" s="1733"/>
      <c r="SSD2240" s="1733"/>
      <c r="SSE2240" s="1733"/>
      <c r="SSF2240" s="1733"/>
      <c r="SSG2240" s="1733"/>
      <c r="SSH2240" s="1733"/>
      <c r="SSI2240" s="1733"/>
      <c r="SSJ2240" s="1733"/>
      <c r="SSK2240" s="1733"/>
      <c r="SSL2240" s="1733"/>
      <c r="SSM2240" s="1733"/>
      <c r="SSN2240" s="1733"/>
      <c r="SSO2240" s="1733"/>
      <c r="SSP2240" s="1733"/>
      <c r="SSQ2240" s="1733"/>
      <c r="SSR2240" s="1733"/>
      <c r="SSS2240" s="1733"/>
      <c r="SST2240" s="1733"/>
      <c r="SSU2240" s="1733"/>
      <c r="SSV2240" s="1733"/>
      <c r="SSW2240" s="1733"/>
      <c r="SSX2240" s="1733"/>
      <c r="SSY2240" s="1733"/>
      <c r="SSZ2240" s="1733"/>
      <c r="STA2240" s="1733"/>
      <c r="STB2240" s="1733"/>
      <c r="STC2240" s="1733"/>
      <c r="STD2240" s="1733"/>
      <c r="STE2240" s="1733"/>
      <c r="STF2240" s="1733"/>
      <c r="STG2240" s="1733"/>
      <c r="STH2240" s="1733"/>
      <c r="STI2240" s="1733"/>
      <c r="STJ2240" s="1733"/>
      <c r="STK2240" s="1733"/>
      <c r="STL2240" s="1733"/>
      <c r="STM2240" s="1733"/>
      <c r="STN2240" s="1733"/>
      <c r="STO2240" s="1733"/>
      <c r="STP2240" s="1733"/>
      <c r="STQ2240" s="1733"/>
      <c r="STR2240" s="1733"/>
      <c r="STS2240" s="1733"/>
      <c r="STT2240" s="1733"/>
      <c r="STU2240" s="1733"/>
      <c r="STV2240" s="1733"/>
      <c r="STW2240" s="1733"/>
      <c r="STX2240" s="1733"/>
      <c r="STY2240" s="1733"/>
      <c r="STZ2240" s="1733"/>
      <c r="SUA2240" s="1733"/>
      <c r="SUB2240" s="1733"/>
      <c r="SUC2240" s="1733"/>
      <c r="SUD2240" s="1733"/>
      <c r="SUE2240" s="1733"/>
      <c r="SUF2240" s="1733"/>
      <c r="SUG2240" s="1733"/>
      <c r="SUH2240" s="1733"/>
      <c r="SUI2240" s="1733"/>
      <c r="SUJ2240" s="1733"/>
      <c r="SUK2240" s="1733"/>
      <c r="SUL2240" s="1733"/>
      <c r="SUM2240" s="1733"/>
      <c r="SUN2240" s="1733"/>
      <c r="SUO2240" s="1733"/>
      <c r="SUP2240" s="1733"/>
      <c r="SUQ2240" s="1733"/>
      <c r="SUR2240" s="1733"/>
      <c r="SUS2240" s="1733"/>
      <c r="SUT2240" s="1733"/>
      <c r="SUU2240" s="1733"/>
      <c r="SUV2240" s="1733"/>
      <c r="SUW2240" s="1733"/>
      <c r="SUX2240" s="1733"/>
      <c r="SUY2240" s="1733"/>
      <c r="SUZ2240" s="1733"/>
      <c r="SVA2240" s="1733"/>
      <c r="SVB2240" s="1733"/>
      <c r="SVC2240" s="1733"/>
      <c r="SVD2240" s="1733"/>
      <c r="SVE2240" s="1733"/>
      <c r="SVF2240" s="1733"/>
      <c r="SVG2240" s="1733"/>
      <c r="SVH2240" s="1733"/>
      <c r="SVI2240" s="1733"/>
      <c r="SVJ2240" s="1733"/>
      <c r="SVK2240" s="1733"/>
      <c r="SVL2240" s="1733"/>
      <c r="SVM2240" s="1733"/>
      <c r="SVN2240" s="1733"/>
      <c r="SVO2240" s="1733"/>
      <c r="SVP2240" s="1733"/>
      <c r="SVQ2240" s="1733"/>
      <c r="SVR2240" s="1733"/>
      <c r="SVS2240" s="1733"/>
      <c r="SVT2240" s="1733"/>
      <c r="SVU2240" s="1733"/>
      <c r="SVV2240" s="1733"/>
      <c r="SVW2240" s="1733"/>
      <c r="SVX2240" s="1733"/>
      <c r="SVY2240" s="1733"/>
      <c r="SVZ2240" s="1733"/>
      <c r="SWA2240" s="1733"/>
      <c r="SWB2240" s="1733"/>
      <c r="SWC2240" s="1733"/>
      <c r="SWD2240" s="1733"/>
      <c r="SWE2240" s="1733"/>
      <c r="SWF2240" s="1733"/>
      <c r="SWG2240" s="1733"/>
      <c r="SWH2240" s="1733"/>
      <c r="SWI2240" s="1733"/>
      <c r="SWJ2240" s="1733"/>
      <c r="SWK2240" s="1733"/>
      <c r="SWL2240" s="1733"/>
      <c r="SWM2240" s="1733"/>
      <c r="SWN2240" s="1733"/>
      <c r="SWO2240" s="1733"/>
      <c r="SWP2240" s="1733"/>
      <c r="SWQ2240" s="1733"/>
      <c r="SWR2240" s="1733"/>
      <c r="SWS2240" s="1733"/>
      <c r="SWT2240" s="1733"/>
      <c r="SWU2240" s="1733"/>
      <c r="SWV2240" s="1733"/>
      <c r="SWW2240" s="1733"/>
      <c r="SWX2240" s="1733"/>
      <c r="SWY2240" s="1733"/>
      <c r="SWZ2240" s="1733"/>
      <c r="SXA2240" s="1733"/>
      <c r="SXB2240" s="1733"/>
      <c r="SXC2240" s="1733"/>
      <c r="SXD2240" s="1733"/>
      <c r="SXE2240" s="1733"/>
      <c r="SXF2240" s="1733"/>
      <c r="SXG2240" s="1733"/>
      <c r="SXH2240" s="1733"/>
      <c r="SXI2240" s="1733"/>
      <c r="SXJ2240" s="1733"/>
      <c r="SXK2240" s="1733"/>
      <c r="SXL2240" s="1733"/>
      <c r="SXM2240" s="1733"/>
      <c r="SXN2240" s="1733"/>
      <c r="SXO2240" s="1733"/>
      <c r="SXP2240" s="1733"/>
      <c r="SXQ2240" s="1733"/>
      <c r="SXR2240" s="1733"/>
      <c r="SXS2240" s="1733"/>
      <c r="SXT2240" s="1733"/>
      <c r="SXU2240" s="1733"/>
      <c r="SXV2240" s="1733"/>
      <c r="SXW2240" s="1733"/>
      <c r="SXX2240" s="1733"/>
      <c r="SXY2240" s="1733"/>
      <c r="SXZ2240" s="1733"/>
      <c r="SYA2240" s="1733"/>
      <c r="SYB2240" s="1733"/>
      <c r="SYC2240" s="1733"/>
      <c r="SYD2240" s="1733"/>
      <c r="SYE2240" s="1733"/>
      <c r="SYF2240" s="1733"/>
      <c r="SYG2240" s="1733"/>
      <c r="SYH2240" s="1733"/>
      <c r="SYI2240" s="1733"/>
      <c r="SYJ2240" s="1733"/>
      <c r="SYK2240" s="1733"/>
      <c r="SYL2240" s="1733"/>
      <c r="SYM2240" s="1733"/>
      <c r="SYN2240" s="1733"/>
      <c r="SYO2240" s="1733"/>
      <c r="SYP2240" s="1733"/>
      <c r="SYQ2240" s="1733"/>
      <c r="SYR2240" s="1733"/>
      <c r="SYS2240" s="1733"/>
      <c r="SYT2240" s="1733"/>
      <c r="SYU2240" s="1733"/>
      <c r="SYV2240" s="1733"/>
      <c r="SYW2240" s="1733"/>
      <c r="SYX2240" s="1733"/>
      <c r="SYY2240" s="1733"/>
      <c r="SYZ2240" s="1733"/>
      <c r="SZA2240" s="1733"/>
      <c r="SZB2240" s="1733"/>
      <c r="SZC2240" s="1733"/>
      <c r="SZD2240" s="1733"/>
      <c r="SZE2240" s="1733"/>
      <c r="SZF2240" s="1733"/>
      <c r="SZG2240" s="1733"/>
      <c r="SZH2240" s="1733"/>
      <c r="SZI2240" s="1733"/>
      <c r="SZJ2240" s="1733"/>
      <c r="SZK2240" s="1733"/>
      <c r="SZL2240" s="1733"/>
      <c r="SZM2240" s="1733"/>
      <c r="SZN2240" s="1733"/>
      <c r="SZO2240" s="1733"/>
      <c r="SZP2240" s="1733"/>
      <c r="SZQ2240" s="1733"/>
      <c r="SZR2240" s="1733"/>
      <c r="SZS2240" s="1733"/>
      <c r="SZT2240" s="1733"/>
      <c r="SZU2240" s="1733"/>
      <c r="SZV2240" s="1733"/>
      <c r="SZW2240" s="1733"/>
      <c r="SZX2240" s="1733"/>
      <c r="SZY2240" s="1733"/>
      <c r="SZZ2240" s="1733"/>
      <c r="TAA2240" s="1733"/>
      <c r="TAB2240" s="1733"/>
      <c r="TAC2240" s="1733"/>
      <c r="TAD2240" s="1733"/>
      <c r="TAE2240" s="1733"/>
      <c r="TAF2240" s="1733"/>
      <c r="TAG2240" s="1733"/>
      <c r="TAH2240" s="1733"/>
      <c r="TAI2240" s="1733"/>
      <c r="TAJ2240" s="1733"/>
      <c r="TAK2240" s="1733"/>
      <c r="TAL2240" s="1733"/>
      <c r="TAM2240" s="1733"/>
      <c r="TAN2240" s="1733"/>
      <c r="TAO2240" s="1733"/>
      <c r="TAP2240" s="1733"/>
      <c r="TAQ2240" s="1733"/>
      <c r="TAR2240" s="1733"/>
      <c r="TAS2240" s="1733"/>
      <c r="TAT2240" s="1733"/>
      <c r="TAU2240" s="1733"/>
      <c r="TAV2240" s="1733"/>
      <c r="TAW2240" s="1733"/>
      <c r="TAX2240" s="1733"/>
      <c r="TAY2240" s="1733"/>
      <c r="TAZ2240" s="1733"/>
      <c r="TBA2240" s="1733"/>
      <c r="TBB2240" s="1733"/>
      <c r="TBC2240" s="1733"/>
      <c r="TBD2240" s="1733"/>
      <c r="TBE2240" s="1733"/>
      <c r="TBF2240" s="1733"/>
      <c r="TBG2240" s="1733"/>
      <c r="TBH2240" s="1733"/>
      <c r="TBI2240" s="1733"/>
      <c r="TBJ2240" s="1733"/>
      <c r="TBK2240" s="1733"/>
      <c r="TBL2240" s="1733"/>
      <c r="TBM2240" s="1733"/>
      <c r="TBN2240" s="1733"/>
      <c r="TBO2240" s="1733"/>
      <c r="TBP2240" s="1733"/>
      <c r="TBQ2240" s="1733"/>
      <c r="TBR2240" s="1733"/>
      <c r="TBS2240" s="1733"/>
      <c r="TBT2240" s="1733"/>
      <c r="TBU2240" s="1733"/>
      <c r="TBV2240" s="1733"/>
      <c r="TBW2240" s="1733"/>
      <c r="TBX2240" s="1733"/>
      <c r="TBY2240" s="1733"/>
      <c r="TBZ2240" s="1733"/>
      <c r="TCA2240" s="1733"/>
      <c r="TCB2240" s="1733"/>
      <c r="TCC2240" s="1733"/>
      <c r="TCD2240" s="1733"/>
      <c r="TCE2240" s="1733"/>
      <c r="TCF2240" s="1733"/>
      <c r="TCG2240" s="1733"/>
      <c r="TCH2240" s="1733"/>
      <c r="TCI2240" s="1733"/>
      <c r="TCJ2240" s="1733"/>
      <c r="TCK2240" s="1733"/>
      <c r="TCL2240" s="1733"/>
      <c r="TCM2240" s="1733"/>
      <c r="TCN2240" s="1733"/>
      <c r="TCO2240" s="1733"/>
      <c r="TCP2240" s="1733"/>
      <c r="TCQ2240" s="1733"/>
      <c r="TCR2240" s="1733"/>
      <c r="TCS2240" s="1733"/>
      <c r="TCT2240" s="1733"/>
      <c r="TCU2240" s="1733"/>
      <c r="TCV2240" s="1733"/>
      <c r="TCW2240" s="1733"/>
      <c r="TCX2240" s="1733"/>
      <c r="TCY2240" s="1733"/>
      <c r="TCZ2240" s="1733"/>
      <c r="TDA2240" s="1733"/>
      <c r="TDB2240" s="1733"/>
      <c r="TDC2240" s="1733"/>
      <c r="TDD2240" s="1733"/>
      <c r="TDE2240" s="1733"/>
      <c r="TDF2240" s="1733"/>
      <c r="TDG2240" s="1733"/>
      <c r="TDH2240" s="1733"/>
      <c r="TDI2240" s="1733"/>
      <c r="TDJ2240" s="1733"/>
      <c r="TDK2240" s="1733"/>
      <c r="TDL2240" s="1733"/>
      <c r="TDM2240" s="1733"/>
      <c r="TDN2240" s="1733"/>
      <c r="TDO2240" s="1733"/>
      <c r="TDP2240" s="1733"/>
      <c r="TDQ2240" s="1733"/>
      <c r="TDR2240" s="1733"/>
      <c r="TDS2240" s="1733"/>
      <c r="TDT2240" s="1733"/>
      <c r="TDU2240" s="1733"/>
      <c r="TDV2240" s="1733"/>
      <c r="TDW2240" s="1733"/>
      <c r="TDX2240" s="1733"/>
      <c r="TDY2240" s="1733"/>
      <c r="TDZ2240" s="1733"/>
      <c r="TEA2240" s="1733"/>
      <c r="TEB2240" s="1733"/>
      <c r="TEC2240" s="1733"/>
      <c r="TED2240" s="1733"/>
      <c r="TEE2240" s="1733"/>
      <c r="TEF2240" s="1733"/>
      <c r="TEG2240" s="1733"/>
      <c r="TEH2240" s="1733"/>
      <c r="TEI2240" s="1733"/>
      <c r="TEJ2240" s="1733"/>
      <c r="TEK2240" s="1733"/>
      <c r="TEL2240" s="1733"/>
      <c r="TEM2240" s="1733"/>
      <c r="TEN2240" s="1733"/>
      <c r="TEO2240" s="1733"/>
      <c r="TEP2240" s="1733"/>
      <c r="TEQ2240" s="1733"/>
      <c r="TER2240" s="1733"/>
      <c r="TES2240" s="1733"/>
      <c r="TET2240" s="1733"/>
      <c r="TEU2240" s="1733"/>
      <c r="TEV2240" s="1733"/>
      <c r="TEW2240" s="1733"/>
      <c r="TEX2240" s="1733"/>
      <c r="TEY2240" s="1733"/>
      <c r="TEZ2240" s="1733"/>
      <c r="TFA2240" s="1733"/>
      <c r="TFB2240" s="1733"/>
      <c r="TFC2240" s="1733"/>
      <c r="TFD2240" s="1733"/>
      <c r="TFE2240" s="1733"/>
      <c r="TFF2240" s="1733"/>
      <c r="TFG2240" s="1733"/>
      <c r="TFH2240" s="1733"/>
      <c r="TFI2240" s="1733"/>
      <c r="TFJ2240" s="1733"/>
      <c r="TFK2240" s="1733"/>
      <c r="TFL2240" s="1733"/>
      <c r="TFM2240" s="1733"/>
      <c r="TFN2240" s="1733"/>
      <c r="TFO2240" s="1733"/>
      <c r="TFP2240" s="1733"/>
      <c r="TFQ2240" s="1733"/>
      <c r="TFR2240" s="1733"/>
      <c r="TFS2240" s="1733"/>
      <c r="TFT2240" s="1733"/>
      <c r="TFU2240" s="1733"/>
      <c r="TFV2240" s="1733"/>
      <c r="TFW2240" s="1733"/>
      <c r="TFX2240" s="1733"/>
      <c r="TFY2240" s="1733"/>
      <c r="TFZ2240" s="1733"/>
      <c r="TGA2240" s="1733"/>
      <c r="TGB2240" s="1733"/>
      <c r="TGC2240" s="1733"/>
      <c r="TGD2240" s="1733"/>
      <c r="TGE2240" s="1733"/>
      <c r="TGF2240" s="1733"/>
      <c r="TGG2240" s="1733"/>
      <c r="TGH2240" s="1733"/>
      <c r="TGI2240" s="1733"/>
      <c r="TGJ2240" s="1733"/>
      <c r="TGK2240" s="1733"/>
      <c r="TGL2240" s="1733"/>
      <c r="TGM2240" s="1733"/>
      <c r="TGN2240" s="1733"/>
      <c r="TGO2240" s="1733"/>
      <c r="TGP2240" s="1733"/>
      <c r="TGQ2240" s="1733"/>
      <c r="TGR2240" s="1733"/>
      <c r="TGS2240" s="1733"/>
      <c r="TGT2240" s="1733"/>
      <c r="TGU2240" s="1733"/>
      <c r="TGV2240" s="1733"/>
      <c r="TGW2240" s="1733"/>
      <c r="TGX2240" s="1733"/>
      <c r="TGY2240" s="1733"/>
      <c r="TGZ2240" s="1733"/>
      <c r="THA2240" s="1733"/>
      <c r="THB2240" s="1733"/>
      <c r="THC2240" s="1733"/>
      <c r="THD2240" s="1733"/>
      <c r="THE2240" s="1733"/>
      <c r="THF2240" s="1733"/>
      <c r="THG2240" s="1733"/>
      <c r="THH2240" s="1733"/>
      <c r="THI2240" s="1733"/>
      <c r="THJ2240" s="1733"/>
      <c r="THK2240" s="1733"/>
      <c r="THL2240" s="1733"/>
      <c r="THM2240" s="1733"/>
      <c r="THN2240" s="1733"/>
      <c r="THO2240" s="1733"/>
      <c r="THP2240" s="1733"/>
      <c r="THQ2240" s="1733"/>
      <c r="THR2240" s="1733"/>
      <c r="THS2240" s="1733"/>
      <c r="THT2240" s="1733"/>
      <c r="THU2240" s="1733"/>
      <c r="THV2240" s="1733"/>
      <c r="THW2240" s="1733"/>
      <c r="THX2240" s="1733"/>
      <c r="THY2240" s="1733"/>
      <c r="THZ2240" s="1733"/>
      <c r="TIA2240" s="1733"/>
      <c r="TIB2240" s="1733"/>
      <c r="TIC2240" s="1733"/>
      <c r="TID2240" s="1733"/>
      <c r="TIE2240" s="1733"/>
      <c r="TIF2240" s="1733"/>
      <c r="TIG2240" s="1733"/>
      <c r="TIH2240" s="1733"/>
      <c r="TII2240" s="1733"/>
      <c r="TIJ2240" s="1733"/>
      <c r="TIK2240" s="1733"/>
      <c r="TIL2240" s="1733"/>
      <c r="TIM2240" s="1733"/>
      <c r="TIN2240" s="1733"/>
      <c r="TIO2240" s="1733"/>
      <c r="TIP2240" s="1733"/>
      <c r="TIQ2240" s="1733"/>
      <c r="TIR2240" s="1733"/>
      <c r="TIS2240" s="1733"/>
      <c r="TIT2240" s="1733"/>
      <c r="TIU2240" s="1733"/>
      <c r="TIV2240" s="1733"/>
      <c r="TIW2240" s="1733"/>
      <c r="TIX2240" s="1733"/>
      <c r="TIY2240" s="1733"/>
      <c r="TIZ2240" s="1733"/>
      <c r="TJA2240" s="1733"/>
      <c r="TJB2240" s="1733"/>
      <c r="TJC2240" s="1733"/>
      <c r="TJD2240" s="1733"/>
      <c r="TJE2240" s="1733"/>
      <c r="TJF2240" s="1733"/>
      <c r="TJG2240" s="1733"/>
      <c r="TJH2240" s="1733"/>
      <c r="TJI2240" s="1733"/>
      <c r="TJJ2240" s="1733"/>
      <c r="TJK2240" s="1733"/>
      <c r="TJL2240" s="1733"/>
      <c r="TJM2240" s="1733"/>
      <c r="TJN2240" s="1733"/>
      <c r="TJO2240" s="1733"/>
      <c r="TJP2240" s="1733"/>
      <c r="TJQ2240" s="1733"/>
      <c r="TJR2240" s="1733"/>
      <c r="TJS2240" s="1733"/>
      <c r="TJT2240" s="1733"/>
      <c r="TJU2240" s="1733"/>
      <c r="TJV2240" s="1733"/>
      <c r="TJW2240" s="1733"/>
      <c r="TJX2240" s="1733"/>
      <c r="TJY2240" s="1733"/>
      <c r="TJZ2240" s="1733"/>
      <c r="TKA2240" s="1733"/>
      <c r="TKB2240" s="1733"/>
      <c r="TKC2240" s="1733"/>
      <c r="TKD2240" s="1733"/>
      <c r="TKE2240" s="1733"/>
      <c r="TKF2240" s="1733"/>
      <c r="TKG2240" s="1733"/>
      <c r="TKH2240" s="1733"/>
      <c r="TKI2240" s="1733"/>
      <c r="TKJ2240" s="1733"/>
      <c r="TKK2240" s="1733"/>
      <c r="TKL2240" s="1733"/>
      <c r="TKM2240" s="1733"/>
      <c r="TKN2240" s="1733"/>
      <c r="TKO2240" s="1733"/>
      <c r="TKP2240" s="1733"/>
      <c r="TKQ2240" s="1733"/>
      <c r="TKR2240" s="1733"/>
      <c r="TKS2240" s="1733"/>
      <c r="TKT2240" s="1733"/>
      <c r="TKU2240" s="1733"/>
      <c r="TKV2240" s="1733"/>
      <c r="TKW2240" s="1733"/>
      <c r="TKX2240" s="1733"/>
      <c r="TKY2240" s="1733"/>
      <c r="TKZ2240" s="1733"/>
      <c r="TLA2240" s="1733"/>
      <c r="TLB2240" s="1733"/>
      <c r="TLC2240" s="1733"/>
      <c r="TLD2240" s="1733"/>
      <c r="TLE2240" s="1733"/>
      <c r="TLF2240" s="1733"/>
      <c r="TLG2240" s="1733"/>
      <c r="TLH2240" s="1733"/>
      <c r="TLI2240" s="1733"/>
      <c r="TLJ2240" s="1733"/>
      <c r="TLK2240" s="1733"/>
      <c r="TLL2240" s="1733"/>
      <c r="TLM2240" s="1733"/>
      <c r="TLN2240" s="1733"/>
      <c r="TLO2240" s="1733"/>
      <c r="TLP2240" s="1733"/>
      <c r="TLQ2240" s="1733"/>
      <c r="TLR2240" s="1733"/>
      <c r="TLS2240" s="1733"/>
      <c r="TLT2240" s="1733"/>
      <c r="TLU2240" s="1733"/>
      <c r="TLV2240" s="1733"/>
      <c r="TLW2240" s="1733"/>
      <c r="TLX2240" s="1733"/>
      <c r="TLY2240" s="1733"/>
      <c r="TLZ2240" s="1733"/>
      <c r="TMA2240" s="1733"/>
      <c r="TMB2240" s="1733"/>
      <c r="TMC2240" s="1733"/>
      <c r="TMD2240" s="1733"/>
      <c r="TME2240" s="1733"/>
      <c r="TMF2240" s="1733"/>
      <c r="TMG2240" s="1733"/>
      <c r="TMH2240" s="1733"/>
      <c r="TMI2240" s="1733"/>
      <c r="TMJ2240" s="1733"/>
      <c r="TMK2240" s="1733"/>
      <c r="TML2240" s="1733"/>
      <c r="TMM2240" s="1733"/>
      <c r="TMN2240" s="1733"/>
      <c r="TMO2240" s="1733"/>
      <c r="TMP2240" s="1733"/>
      <c r="TMQ2240" s="1733"/>
      <c r="TMR2240" s="1733"/>
      <c r="TMS2240" s="1733"/>
      <c r="TMT2240" s="1733"/>
      <c r="TMU2240" s="1733"/>
      <c r="TMV2240" s="1733"/>
      <c r="TMW2240" s="1733"/>
      <c r="TMX2240" s="1733"/>
      <c r="TMY2240" s="1733"/>
      <c r="TMZ2240" s="1733"/>
      <c r="TNA2240" s="1733"/>
      <c r="TNB2240" s="1733"/>
      <c r="TNC2240" s="1733"/>
      <c r="TND2240" s="1733"/>
      <c r="TNE2240" s="1733"/>
      <c r="TNF2240" s="1733"/>
      <c r="TNG2240" s="1733"/>
      <c r="TNH2240" s="1733"/>
      <c r="TNI2240" s="1733"/>
      <c r="TNJ2240" s="1733"/>
      <c r="TNK2240" s="1733"/>
      <c r="TNL2240" s="1733"/>
      <c r="TNM2240" s="1733"/>
      <c r="TNN2240" s="1733"/>
      <c r="TNO2240" s="1733"/>
      <c r="TNP2240" s="1733"/>
      <c r="TNQ2240" s="1733"/>
      <c r="TNR2240" s="1733"/>
      <c r="TNS2240" s="1733"/>
      <c r="TNT2240" s="1733"/>
      <c r="TNU2240" s="1733"/>
      <c r="TNV2240" s="1733"/>
      <c r="TNW2240" s="1733"/>
      <c r="TNX2240" s="1733"/>
      <c r="TNY2240" s="1733"/>
      <c r="TNZ2240" s="1733"/>
      <c r="TOA2240" s="1733"/>
      <c r="TOB2240" s="1733"/>
      <c r="TOC2240" s="1733"/>
      <c r="TOD2240" s="1733"/>
      <c r="TOE2240" s="1733"/>
      <c r="TOF2240" s="1733"/>
      <c r="TOG2240" s="1733"/>
      <c r="TOH2240" s="1733"/>
      <c r="TOI2240" s="1733"/>
      <c r="TOJ2240" s="1733"/>
      <c r="TOK2240" s="1733"/>
      <c r="TOL2240" s="1733"/>
      <c r="TOM2240" s="1733"/>
      <c r="TON2240" s="1733"/>
      <c r="TOO2240" s="1733"/>
      <c r="TOP2240" s="1733"/>
      <c r="TOQ2240" s="1733"/>
      <c r="TOR2240" s="1733"/>
      <c r="TOS2240" s="1733"/>
      <c r="TOT2240" s="1733"/>
      <c r="TOU2240" s="1733"/>
      <c r="TOV2240" s="1733"/>
      <c r="TOW2240" s="1733"/>
      <c r="TOX2240" s="1733"/>
      <c r="TOY2240" s="1733"/>
      <c r="TOZ2240" s="1733"/>
      <c r="TPA2240" s="1733"/>
      <c r="TPB2240" s="1733"/>
      <c r="TPC2240" s="1733"/>
      <c r="TPD2240" s="1733"/>
      <c r="TPE2240" s="1733"/>
      <c r="TPF2240" s="1733"/>
      <c r="TPG2240" s="1733"/>
      <c r="TPH2240" s="1733"/>
      <c r="TPI2240" s="1733"/>
      <c r="TPJ2240" s="1733"/>
      <c r="TPK2240" s="1733"/>
      <c r="TPL2240" s="1733"/>
      <c r="TPM2240" s="1733"/>
      <c r="TPN2240" s="1733"/>
      <c r="TPO2240" s="1733"/>
      <c r="TPP2240" s="1733"/>
      <c r="TPQ2240" s="1733"/>
      <c r="TPR2240" s="1733"/>
      <c r="TPS2240" s="1733"/>
      <c r="TPT2240" s="1733"/>
      <c r="TPU2240" s="1733"/>
      <c r="TPV2240" s="1733"/>
      <c r="TPW2240" s="1733"/>
      <c r="TPX2240" s="1733"/>
      <c r="TPY2240" s="1733"/>
      <c r="TPZ2240" s="1733"/>
      <c r="TQA2240" s="1733"/>
      <c r="TQB2240" s="1733"/>
      <c r="TQC2240" s="1733"/>
      <c r="TQD2240" s="1733"/>
      <c r="TQE2240" s="1733"/>
      <c r="TQF2240" s="1733"/>
      <c r="TQG2240" s="1733"/>
      <c r="TQH2240" s="1733"/>
      <c r="TQI2240" s="1733"/>
      <c r="TQJ2240" s="1733"/>
      <c r="TQK2240" s="1733"/>
      <c r="TQL2240" s="1733"/>
      <c r="TQM2240" s="1733"/>
      <c r="TQN2240" s="1733"/>
      <c r="TQO2240" s="1733"/>
      <c r="TQP2240" s="1733"/>
      <c r="TQQ2240" s="1733"/>
      <c r="TQR2240" s="1733"/>
      <c r="TQS2240" s="1733"/>
      <c r="TQT2240" s="1733"/>
      <c r="TQU2240" s="1733"/>
      <c r="TQV2240" s="1733"/>
      <c r="TQW2240" s="1733"/>
      <c r="TQX2240" s="1733"/>
      <c r="TQY2240" s="1733"/>
      <c r="TQZ2240" s="1733"/>
      <c r="TRA2240" s="1733"/>
      <c r="TRB2240" s="1733"/>
      <c r="TRC2240" s="1733"/>
      <c r="TRD2240" s="1733"/>
      <c r="TRE2240" s="1733"/>
      <c r="TRF2240" s="1733"/>
      <c r="TRG2240" s="1733"/>
      <c r="TRH2240" s="1733"/>
      <c r="TRI2240" s="1733"/>
      <c r="TRJ2240" s="1733"/>
      <c r="TRK2240" s="1733"/>
      <c r="TRL2240" s="1733"/>
      <c r="TRM2240" s="1733"/>
      <c r="TRN2240" s="1733"/>
      <c r="TRO2240" s="1733"/>
      <c r="TRP2240" s="1733"/>
      <c r="TRQ2240" s="1733"/>
      <c r="TRR2240" s="1733"/>
      <c r="TRS2240" s="1733"/>
      <c r="TRT2240" s="1733"/>
      <c r="TRU2240" s="1733"/>
      <c r="TRV2240" s="1733"/>
      <c r="TRW2240" s="1733"/>
      <c r="TRX2240" s="1733"/>
      <c r="TRY2240" s="1733"/>
      <c r="TRZ2240" s="1733"/>
      <c r="TSA2240" s="1733"/>
      <c r="TSB2240" s="1733"/>
      <c r="TSC2240" s="1733"/>
      <c r="TSD2240" s="1733"/>
      <c r="TSE2240" s="1733"/>
      <c r="TSF2240" s="1733"/>
      <c r="TSG2240" s="1733"/>
      <c r="TSH2240" s="1733"/>
      <c r="TSI2240" s="1733"/>
      <c r="TSJ2240" s="1733"/>
      <c r="TSK2240" s="1733"/>
      <c r="TSL2240" s="1733"/>
      <c r="TSM2240" s="1733"/>
      <c r="TSN2240" s="1733"/>
      <c r="TSO2240" s="1733"/>
      <c r="TSP2240" s="1733"/>
      <c r="TSQ2240" s="1733"/>
      <c r="TSR2240" s="1733"/>
      <c r="TSS2240" s="1733"/>
      <c r="TST2240" s="1733"/>
      <c r="TSU2240" s="1733"/>
      <c r="TSV2240" s="1733"/>
      <c r="TSW2240" s="1733"/>
      <c r="TSX2240" s="1733"/>
      <c r="TSY2240" s="1733"/>
      <c r="TSZ2240" s="1733"/>
      <c r="TTA2240" s="1733"/>
      <c r="TTB2240" s="1733"/>
      <c r="TTC2240" s="1733"/>
      <c r="TTD2240" s="1733"/>
      <c r="TTE2240" s="1733"/>
      <c r="TTF2240" s="1733"/>
      <c r="TTG2240" s="1733"/>
      <c r="TTH2240" s="1733"/>
      <c r="TTI2240" s="1733"/>
      <c r="TTJ2240" s="1733"/>
      <c r="TTK2240" s="1733"/>
      <c r="TTL2240" s="1733"/>
      <c r="TTM2240" s="1733"/>
      <c r="TTN2240" s="1733"/>
      <c r="TTO2240" s="1733"/>
      <c r="TTP2240" s="1733"/>
      <c r="TTQ2240" s="1733"/>
      <c r="TTR2240" s="1733"/>
      <c r="TTS2240" s="1733"/>
      <c r="TTT2240" s="1733"/>
      <c r="TTU2240" s="1733"/>
      <c r="TTV2240" s="1733"/>
      <c r="TTW2240" s="1733"/>
      <c r="TTX2240" s="1733"/>
      <c r="TTY2240" s="1733"/>
      <c r="TTZ2240" s="1733"/>
      <c r="TUA2240" s="1733"/>
      <c r="TUB2240" s="1733"/>
      <c r="TUC2240" s="1733"/>
      <c r="TUD2240" s="1733"/>
      <c r="TUE2240" s="1733"/>
      <c r="TUF2240" s="1733"/>
      <c r="TUG2240" s="1733"/>
      <c r="TUH2240" s="1733"/>
      <c r="TUI2240" s="1733"/>
      <c r="TUJ2240" s="1733"/>
      <c r="TUK2240" s="1733"/>
      <c r="TUL2240" s="1733"/>
      <c r="TUM2240" s="1733"/>
      <c r="TUN2240" s="1733"/>
      <c r="TUO2240" s="1733"/>
      <c r="TUP2240" s="1733"/>
      <c r="TUQ2240" s="1733"/>
      <c r="TUR2240" s="1733"/>
      <c r="TUS2240" s="1733"/>
      <c r="TUT2240" s="1733"/>
      <c r="TUU2240" s="1733"/>
      <c r="TUV2240" s="1733"/>
      <c r="TUW2240" s="1733"/>
      <c r="TUX2240" s="1733"/>
      <c r="TUY2240" s="1733"/>
      <c r="TUZ2240" s="1733"/>
      <c r="TVA2240" s="1733"/>
      <c r="TVB2240" s="1733"/>
      <c r="TVC2240" s="1733"/>
      <c r="TVD2240" s="1733"/>
      <c r="TVE2240" s="1733"/>
      <c r="TVF2240" s="1733"/>
      <c r="TVG2240" s="1733"/>
      <c r="TVH2240" s="1733"/>
      <c r="TVI2240" s="1733"/>
      <c r="TVJ2240" s="1733"/>
      <c r="TVK2240" s="1733"/>
      <c r="TVL2240" s="1733"/>
      <c r="TVM2240" s="1733"/>
      <c r="TVN2240" s="1733"/>
      <c r="TVO2240" s="1733"/>
      <c r="TVP2240" s="1733"/>
      <c r="TVQ2240" s="1733"/>
      <c r="TVR2240" s="1733"/>
      <c r="TVS2240" s="1733"/>
      <c r="TVT2240" s="1733"/>
      <c r="TVU2240" s="1733"/>
      <c r="TVV2240" s="1733"/>
      <c r="TVW2240" s="1733"/>
      <c r="TVX2240" s="1733"/>
      <c r="TVY2240" s="1733"/>
      <c r="TVZ2240" s="1733"/>
      <c r="TWA2240" s="1733"/>
      <c r="TWB2240" s="1733"/>
      <c r="TWC2240" s="1733"/>
      <c r="TWD2240" s="1733"/>
      <c r="TWE2240" s="1733"/>
      <c r="TWF2240" s="1733"/>
      <c r="TWG2240" s="1733"/>
      <c r="TWH2240" s="1733"/>
      <c r="TWI2240" s="1733"/>
      <c r="TWJ2240" s="1733"/>
      <c r="TWK2240" s="1733"/>
      <c r="TWL2240" s="1733"/>
      <c r="TWM2240" s="1733"/>
      <c r="TWN2240" s="1733"/>
      <c r="TWO2240" s="1733"/>
      <c r="TWP2240" s="1733"/>
      <c r="TWQ2240" s="1733"/>
      <c r="TWR2240" s="1733"/>
      <c r="TWS2240" s="1733"/>
      <c r="TWT2240" s="1733"/>
      <c r="TWU2240" s="1733"/>
      <c r="TWV2240" s="1733"/>
      <c r="TWW2240" s="1733"/>
      <c r="TWX2240" s="1733"/>
      <c r="TWY2240" s="1733"/>
      <c r="TWZ2240" s="1733"/>
      <c r="TXA2240" s="1733"/>
      <c r="TXB2240" s="1733"/>
      <c r="TXC2240" s="1733"/>
      <c r="TXD2240" s="1733"/>
      <c r="TXE2240" s="1733"/>
      <c r="TXF2240" s="1733"/>
      <c r="TXG2240" s="1733"/>
      <c r="TXH2240" s="1733"/>
      <c r="TXI2240" s="1733"/>
      <c r="TXJ2240" s="1733"/>
      <c r="TXK2240" s="1733"/>
      <c r="TXL2240" s="1733"/>
      <c r="TXM2240" s="1733"/>
      <c r="TXN2240" s="1733"/>
      <c r="TXO2240" s="1733"/>
      <c r="TXP2240" s="1733"/>
      <c r="TXQ2240" s="1733"/>
      <c r="TXR2240" s="1733"/>
      <c r="TXS2240" s="1733"/>
      <c r="TXT2240" s="1733"/>
      <c r="TXU2240" s="1733"/>
      <c r="TXV2240" s="1733"/>
      <c r="TXW2240" s="1733"/>
      <c r="TXX2240" s="1733"/>
      <c r="TXY2240" s="1733"/>
      <c r="TXZ2240" s="1733"/>
      <c r="TYA2240" s="1733"/>
      <c r="TYB2240" s="1733"/>
      <c r="TYC2240" s="1733"/>
      <c r="TYD2240" s="1733"/>
      <c r="TYE2240" s="1733"/>
      <c r="TYF2240" s="1733"/>
      <c r="TYG2240" s="1733"/>
      <c r="TYH2240" s="1733"/>
      <c r="TYI2240" s="1733"/>
      <c r="TYJ2240" s="1733"/>
      <c r="TYK2240" s="1733"/>
      <c r="TYL2240" s="1733"/>
      <c r="TYM2240" s="1733"/>
      <c r="TYN2240" s="1733"/>
      <c r="TYO2240" s="1733"/>
      <c r="TYP2240" s="1733"/>
      <c r="TYQ2240" s="1733"/>
      <c r="TYR2240" s="1733"/>
      <c r="TYS2240" s="1733"/>
      <c r="TYT2240" s="1733"/>
      <c r="TYU2240" s="1733"/>
      <c r="TYV2240" s="1733"/>
      <c r="TYW2240" s="1733"/>
      <c r="TYX2240" s="1733"/>
      <c r="TYY2240" s="1733"/>
      <c r="TYZ2240" s="1733"/>
      <c r="TZA2240" s="1733"/>
      <c r="TZB2240" s="1733"/>
      <c r="TZC2240" s="1733"/>
      <c r="TZD2240" s="1733"/>
      <c r="TZE2240" s="1733"/>
      <c r="TZF2240" s="1733"/>
      <c r="TZG2240" s="1733"/>
      <c r="TZH2240" s="1733"/>
      <c r="TZI2240" s="1733"/>
      <c r="TZJ2240" s="1733"/>
      <c r="TZK2240" s="1733"/>
      <c r="TZL2240" s="1733"/>
      <c r="TZM2240" s="1733"/>
      <c r="TZN2240" s="1733"/>
      <c r="TZO2240" s="1733"/>
      <c r="TZP2240" s="1733"/>
      <c r="TZQ2240" s="1733"/>
      <c r="TZR2240" s="1733"/>
      <c r="TZS2240" s="1733"/>
      <c r="TZT2240" s="1733"/>
      <c r="TZU2240" s="1733"/>
      <c r="TZV2240" s="1733"/>
      <c r="TZW2240" s="1733"/>
      <c r="TZX2240" s="1733"/>
      <c r="TZY2240" s="1733"/>
      <c r="TZZ2240" s="1733"/>
      <c r="UAA2240" s="1733"/>
      <c r="UAB2240" s="1733"/>
      <c r="UAC2240" s="1733"/>
      <c r="UAD2240" s="1733"/>
      <c r="UAE2240" s="1733"/>
      <c r="UAF2240" s="1733"/>
      <c r="UAG2240" s="1733"/>
      <c r="UAH2240" s="1733"/>
      <c r="UAI2240" s="1733"/>
      <c r="UAJ2240" s="1733"/>
      <c r="UAK2240" s="1733"/>
      <c r="UAL2240" s="1733"/>
      <c r="UAM2240" s="1733"/>
      <c r="UAN2240" s="1733"/>
      <c r="UAO2240" s="1733"/>
      <c r="UAP2240" s="1733"/>
      <c r="UAQ2240" s="1733"/>
      <c r="UAR2240" s="1733"/>
      <c r="UAS2240" s="1733"/>
      <c r="UAT2240" s="1733"/>
      <c r="UAU2240" s="1733"/>
      <c r="UAV2240" s="1733"/>
      <c r="UAW2240" s="1733"/>
      <c r="UAX2240" s="1733"/>
      <c r="UAY2240" s="1733"/>
      <c r="UAZ2240" s="1733"/>
      <c r="UBA2240" s="1733"/>
      <c r="UBB2240" s="1733"/>
      <c r="UBC2240" s="1733"/>
      <c r="UBD2240" s="1733"/>
      <c r="UBE2240" s="1733"/>
      <c r="UBF2240" s="1733"/>
      <c r="UBG2240" s="1733"/>
      <c r="UBH2240" s="1733"/>
      <c r="UBI2240" s="1733"/>
      <c r="UBJ2240" s="1733"/>
      <c r="UBK2240" s="1733"/>
      <c r="UBL2240" s="1733"/>
      <c r="UBM2240" s="1733"/>
      <c r="UBN2240" s="1733"/>
      <c r="UBO2240" s="1733"/>
      <c r="UBP2240" s="1733"/>
      <c r="UBQ2240" s="1733"/>
      <c r="UBR2240" s="1733"/>
      <c r="UBS2240" s="1733"/>
      <c r="UBT2240" s="1733"/>
      <c r="UBU2240" s="1733"/>
      <c r="UBV2240" s="1733"/>
      <c r="UBW2240" s="1733"/>
      <c r="UBX2240" s="1733"/>
      <c r="UBY2240" s="1733"/>
      <c r="UBZ2240" s="1733"/>
      <c r="UCA2240" s="1733"/>
      <c r="UCB2240" s="1733"/>
      <c r="UCC2240" s="1733"/>
      <c r="UCD2240" s="1733"/>
      <c r="UCE2240" s="1733"/>
      <c r="UCF2240" s="1733"/>
      <c r="UCG2240" s="1733"/>
      <c r="UCH2240" s="1733"/>
      <c r="UCI2240" s="1733"/>
      <c r="UCJ2240" s="1733"/>
      <c r="UCK2240" s="1733"/>
      <c r="UCL2240" s="1733"/>
      <c r="UCM2240" s="1733"/>
      <c r="UCN2240" s="1733"/>
      <c r="UCO2240" s="1733"/>
      <c r="UCP2240" s="1733"/>
      <c r="UCQ2240" s="1733"/>
      <c r="UCR2240" s="1733"/>
      <c r="UCS2240" s="1733"/>
      <c r="UCT2240" s="1733"/>
      <c r="UCU2240" s="1733"/>
      <c r="UCV2240" s="1733"/>
      <c r="UCW2240" s="1733"/>
      <c r="UCX2240" s="1733"/>
      <c r="UCY2240" s="1733"/>
      <c r="UCZ2240" s="1733"/>
      <c r="UDA2240" s="1733"/>
      <c r="UDB2240" s="1733"/>
      <c r="UDC2240" s="1733"/>
      <c r="UDD2240" s="1733"/>
      <c r="UDE2240" s="1733"/>
      <c r="UDF2240" s="1733"/>
      <c r="UDG2240" s="1733"/>
      <c r="UDH2240" s="1733"/>
      <c r="UDI2240" s="1733"/>
      <c r="UDJ2240" s="1733"/>
      <c r="UDK2240" s="1733"/>
      <c r="UDL2240" s="1733"/>
      <c r="UDM2240" s="1733"/>
      <c r="UDN2240" s="1733"/>
      <c r="UDO2240" s="1733"/>
      <c r="UDP2240" s="1733"/>
      <c r="UDQ2240" s="1733"/>
      <c r="UDR2240" s="1733"/>
      <c r="UDS2240" s="1733"/>
      <c r="UDT2240" s="1733"/>
      <c r="UDU2240" s="1733"/>
      <c r="UDV2240" s="1733"/>
      <c r="UDW2240" s="1733"/>
      <c r="UDX2240" s="1733"/>
      <c r="UDY2240" s="1733"/>
      <c r="UDZ2240" s="1733"/>
      <c r="UEA2240" s="1733"/>
      <c r="UEB2240" s="1733"/>
      <c r="UEC2240" s="1733"/>
      <c r="UED2240" s="1733"/>
      <c r="UEE2240" s="1733"/>
      <c r="UEF2240" s="1733"/>
      <c r="UEG2240" s="1733"/>
      <c r="UEH2240" s="1733"/>
      <c r="UEI2240" s="1733"/>
      <c r="UEJ2240" s="1733"/>
      <c r="UEK2240" s="1733"/>
      <c r="UEL2240" s="1733"/>
      <c r="UEM2240" s="1733"/>
      <c r="UEN2240" s="1733"/>
      <c r="UEO2240" s="1733"/>
      <c r="UEP2240" s="1733"/>
      <c r="UEQ2240" s="1733"/>
      <c r="UER2240" s="1733"/>
      <c r="UES2240" s="1733"/>
      <c r="UET2240" s="1733"/>
      <c r="UEU2240" s="1733"/>
      <c r="UEV2240" s="1733"/>
      <c r="UEW2240" s="1733"/>
      <c r="UEX2240" s="1733"/>
      <c r="UEY2240" s="1733"/>
      <c r="UEZ2240" s="1733"/>
      <c r="UFA2240" s="1733"/>
      <c r="UFB2240" s="1733"/>
      <c r="UFC2240" s="1733"/>
      <c r="UFD2240" s="1733"/>
      <c r="UFE2240" s="1733"/>
      <c r="UFF2240" s="1733"/>
      <c r="UFG2240" s="1733"/>
      <c r="UFH2240" s="1733"/>
      <c r="UFI2240" s="1733"/>
      <c r="UFJ2240" s="1733"/>
      <c r="UFK2240" s="1733"/>
      <c r="UFL2240" s="1733"/>
      <c r="UFM2240" s="1733"/>
      <c r="UFN2240" s="1733"/>
      <c r="UFO2240" s="1733"/>
      <c r="UFP2240" s="1733"/>
      <c r="UFQ2240" s="1733"/>
      <c r="UFR2240" s="1733"/>
      <c r="UFS2240" s="1733"/>
      <c r="UFT2240" s="1733"/>
      <c r="UFU2240" s="1733"/>
      <c r="UFV2240" s="1733"/>
      <c r="UFW2240" s="1733"/>
      <c r="UFX2240" s="1733"/>
      <c r="UFY2240" s="1733"/>
      <c r="UFZ2240" s="1733"/>
      <c r="UGA2240" s="1733"/>
      <c r="UGB2240" s="1733"/>
      <c r="UGC2240" s="1733"/>
      <c r="UGD2240" s="1733"/>
      <c r="UGE2240" s="1733"/>
      <c r="UGF2240" s="1733"/>
      <c r="UGG2240" s="1733"/>
      <c r="UGH2240" s="1733"/>
      <c r="UGI2240" s="1733"/>
      <c r="UGJ2240" s="1733"/>
      <c r="UGK2240" s="1733"/>
      <c r="UGL2240" s="1733"/>
      <c r="UGM2240" s="1733"/>
      <c r="UGN2240" s="1733"/>
      <c r="UGO2240" s="1733"/>
      <c r="UGP2240" s="1733"/>
      <c r="UGQ2240" s="1733"/>
      <c r="UGR2240" s="1733"/>
      <c r="UGS2240" s="1733"/>
      <c r="UGT2240" s="1733"/>
      <c r="UGU2240" s="1733"/>
      <c r="UGV2240" s="1733"/>
      <c r="UGW2240" s="1733"/>
      <c r="UGX2240" s="1733"/>
      <c r="UGY2240" s="1733"/>
      <c r="UGZ2240" s="1733"/>
      <c r="UHA2240" s="1733"/>
      <c r="UHB2240" s="1733"/>
      <c r="UHC2240" s="1733"/>
      <c r="UHD2240" s="1733"/>
      <c r="UHE2240" s="1733"/>
      <c r="UHF2240" s="1733"/>
      <c r="UHG2240" s="1733"/>
      <c r="UHH2240" s="1733"/>
      <c r="UHI2240" s="1733"/>
      <c r="UHJ2240" s="1733"/>
      <c r="UHK2240" s="1733"/>
      <c r="UHL2240" s="1733"/>
      <c r="UHM2240" s="1733"/>
      <c r="UHN2240" s="1733"/>
      <c r="UHO2240" s="1733"/>
      <c r="UHP2240" s="1733"/>
      <c r="UHQ2240" s="1733"/>
      <c r="UHR2240" s="1733"/>
      <c r="UHS2240" s="1733"/>
      <c r="UHT2240" s="1733"/>
      <c r="UHU2240" s="1733"/>
      <c r="UHV2240" s="1733"/>
      <c r="UHW2240" s="1733"/>
      <c r="UHX2240" s="1733"/>
      <c r="UHY2240" s="1733"/>
      <c r="UHZ2240" s="1733"/>
      <c r="UIA2240" s="1733"/>
      <c r="UIB2240" s="1733"/>
      <c r="UIC2240" s="1733"/>
      <c r="UID2240" s="1733"/>
      <c r="UIE2240" s="1733"/>
      <c r="UIF2240" s="1733"/>
      <c r="UIG2240" s="1733"/>
      <c r="UIH2240" s="1733"/>
      <c r="UII2240" s="1733"/>
      <c r="UIJ2240" s="1733"/>
      <c r="UIK2240" s="1733"/>
      <c r="UIL2240" s="1733"/>
      <c r="UIM2240" s="1733"/>
      <c r="UIN2240" s="1733"/>
      <c r="UIO2240" s="1733"/>
      <c r="UIP2240" s="1733"/>
      <c r="UIQ2240" s="1733"/>
      <c r="UIR2240" s="1733"/>
      <c r="UIS2240" s="1733"/>
      <c r="UIT2240" s="1733"/>
      <c r="UIU2240" s="1733"/>
      <c r="UIV2240" s="1733"/>
      <c r="UIW2240" s="1733"/>
      <c r="UIX2240" s="1733"/>
      <c r="UIY2240" s="1733"/>
      <c r="UIZ2240" s="1733"/>
      <c r="UJA2240" s="1733"/>
      <c r="UJB2240" s="1733"/>
      <c r="UJC2240" s="1733"/>
      <c r="UJD2240" s="1733"/>
      <c r="UJE2240" s="1733"/>
      <c r="UJF2240" s="1733"/>
      <c r="UJG2240" s="1733"/>
      <c r="UJH2240" s="1733"/>
      <c r="UJI2240" s="1733"/>
      <c r="UJJ2240" s="1733"/>
      <c r="UJK2240" s="1733"/>
      <c r="UJL2240" s="1733"/>
      <c r="UJM2240" s="1733"/>
      <c r="UJN2240" s="1733"/>
      <c r="UJO2240" s="1733"/>
      <c r="UJP2240" s="1733"/>
      <c r="UJQ2240" s="1733"/>
      <c r="UJR2240" s="1733"/>
      <c r="UJS2240" s="1733"/>
      <c r="UJT2240" s="1733"/>
      <c r="UJU2240" s="1733"/>
      <c r="UJV2240" s="1733"/>
      <c r="UJW2240" s="1733"/>
      <c r="UJX2240" s="1733"/>
      <c r="UJY2240" s="1733"/>
      <c r="UJZ2240" s="1733"/>
      <c r="UKA2240" s="1733"/>
      <c r="UKB2240" s="1733"/>
      <c r="UKC2240" s="1733"/>
      <c r="UKD2240" s="1733"/>
      <c r="UKE2240" s="1733"/>
      <c r="UKF2240" s="1733"/>
      <c r="UKG2240" s="1733"/>
      <c r="UKH2240" s="1733"/>
      <c r="UKI2240" s="1733"/>
      <c r="UKJ2240" s="1733"/>
      <c r="UKK2240" s="1733"/>
      <c r="UKL2240" s="1733"/>
      <c r="UKM2240" s="1733"/>
      <c r="UKN2240" s="1733"/>
      <c r="UKO2240" s="1733"/>
      <c r="UKP2240" s="1733"/>
      <c r="UKQ2240" s="1733"/>
      <c r="UKR2240" s="1733"/>
      <c r="UKS2240" s="1733"/>
      <c r="UKT2240" s="1733"/>
      <c r="UKU2240" s="1733"/>
      <c r="UKV2240" s="1733"/>
      <c r="UKW2240" s="1733"/>
      <c r="UKX2240" s="1733"/>
      <c r="UKY2240" s="1733"/>
      <c r="UKZ2240" s="1733"/>
      <c r="ULA2240" s="1733"/>
      <c r="ULB2240" s="1733"/>
      <c r="ULC2240" s="1733"/>
      <c r="ULD2240" s="1733"/>
      <c r="ULE2240" s="1733"/>
      <c r="ULF2240" s="1733"/>
      <c r="ULG2240" s="1733"/>
      <c r="ULH2240" s="1733"/>
      <c r="ULI2240" s="1733"/>
      <c r="ULJ2240" s="1733"/>
      <c r="ULK2240" s="1733"/>
      <c r="ULL2240" s="1733"/>
      <c r="ULM2240" s="1733"/>
      <c r="ULN2240" s="1733"/>
      <c r="ULO2240" s="1733"/>
      <c r="ULP2240" s="1733"/>
      <c r="ULQ2240" s="1733"/>
      <c r="ULR2240" s="1733"/>
      <c r="ULS2240" s="1733"/>
      <c r="ULT2240" s="1733"/>
      <c r="ULU2240" s="1733"/>
      <c r="ULV2240" s="1733"/>
      <c r="ULW2240" s="1733"/>
      <c r="ULX2240" s="1733"/>
      <c r="ULY2240" s="1733"/>
      <c r="ULZ2240" s="1733"/>
      <c r="UMA2240" s="1733"/>
      <c r="UMB2240" s="1733"/>
      <c r="UMC2240" s="1733"/>
      <c r="UMD2240" s="1733"/>
      <c r="UME2240" s="1733"/>
      <c r="UMF2240" s="1733"/>
      <c r="UMG2240" s="1733"/>
      <c r="UMH2240" s="1733"/>
      <c r="UMI2240" s="1733"/>
      <c r="UMJ2240" s="1733"/>
      <c r="UMK2240" s="1733"/>
      <c r="UML2240" s="1733"/>
      <c r="UMM2240" s="1733"/>
      <c r="UMN2240" s="1733"/>
      <c r="UMO2240" s="1733"/>
      <c r="UMP2240" s="1733"/>
      <c r="UMQ2240" s="1733"/>
      <c r="UMR2240" s="1733"/>
      <c r="UMS2240" s="1733"/>
      <c r="UMT2240" s="1733"/>
      <c r="UMU2240" s="1733"/>
      <c r="UMV2240" s="1733"/>
      <c r="UMW2240" s="1733"/>
      <c r="UMX2240" s="1733"/>
      <c r="UMY2240" s="1733"/>
      <c r="UMZ2240" s="1733"/>
      <c r="UNA2240" s="1733"/>
      <c r="UNB2240" s="1733"/>
      <c r="UNC2240" s="1733"/>
      <c r="UND2240" s="1733"/>
      <c r="UNE2240" s="1733"/>
      <c r="UNF2240" s="1733"/>
      <c r="UNG2240" s="1733"/>
      <c r="UNH2240" s="1733"/>
      <c r="UNI2240" s="1733"/>
      <c r="UNJ2240" s="1733"/>
      <c r="UNK2240" s="1733"/>
      <c r="UNL2240" s="1733"/>
      <c r="UNM2240" s="1733"/>
      <c r="UNN2240" s="1733"/>
      <c r="UNO2240" s="1733"/>
      <c r="UNP2240" s="1733"/>
      <c r="UNQ2240" s="1733"/>
      <c r="UNR2240" s="1733"/>
      <c r="UNS2240" s="1733"/>
      <c r="UNT2240" s="1733"/>
      <c r="UNU2240" s="1733"/>
      <c r="UNV2240" s="1733"/>
      <c r="UNW2240" s="1733"/>
      <c r="UNX2240" s="1733"/>
      <c r="UNY2240" s="1733"/>
      <c r="UNZ2240" s="1733"/>
      <c r="UOA2240" s="1733"/>
      <c r="UOB2240" s="1733"/>
      <c r="UOC2240" s="1733"/>
      <c r="UOD2240" s="1733"/>
      <c r="UOE2240" s="1733"/>
      <c r="UOF2240" s="1733"/>
      <c r="UOG2240" s="1733"/>
      <c r="UOH2240" s="1733"/>
      <c r="UOI2240" s="1733"/>
      <c r="UOJ2240" s="1733"/>
      <c r="UOK2240" s="1733"/>
      <c r="UOL2240" s="1733"/>
      <c r="UOM2240" s="1733"/>
      <c r="UON2240" s="1733"/>
      <c r="UOO2240" s="1733"/>
      <c r="UOP2240" s="1733"/>
      <c r="UOQ2240" s="1733"/>
      <c r="UOR2240" s="1733"/>
      <c r="UOS2240" s="1733"/>
      <c r="UOT2240" s="1733"/>
      <c r="UOU2240" s="1733"/>
      <c r="UOV2240" s="1733"/>
      <c r="UOW2240" s="1733"/>
      <c r="UOX2240" s="1733"/>
      <c r="UOY2240" s="1733"/>
      <c r="UOZ2240" s="1733"/>
      <c r="UPA2240" s="1733"/>
      <c r="UPB2240" s="1733"/>
      <c r="UPC2240" s="1733"/>
      <c r="UPD2240" s="1733"/>
      <c r="UPE2240" s="1733"/>
      <c r="UPF2240" s="1733"/>
      <c r="UPG2240" s="1733"/>
      <c r="UPH2240" s="1733"/>
      <c r="UPI2240" s="1733"/>
      <c r="UPJ2240" s="1733"/>
      <c r="UPK2240" s="1733"/>
      <c r="UPL2240" s="1733"/>
      <c r="UPM2240" s="1733"/>
      <c r="UPN2240" s="1733"/>
      <c r="UPO2240" s="1733"/>
      <c r="UPP2240" s="1733"/>
      <c r="UPQ2240" s="1733"/>
      <c r="UPR2240" s="1733"/>
      <c r="UPS2240" s="1733"/>
      <c r="UPT2240" s="1733"/>
      <c r="UPU2240" s="1733"/>
      <c r="UPV2240" s="1733"/>
      <c r="UPW2240" s="1733"/>
      <c r="UPX2240" s="1733"/>
      <c r="UPY2240" s="1733"/>
      <c r="UPZ2240" s="1733"/>
      <c r="UQA2240" s="1733"/>
      <c r="UQB2240" s="1733"/>
      <c r="UQC2240" s="1733"/>
      <c r="UQD2240" s="1733"/>
      <c r="UQE2240" s="1733"/>
      <c r="UQF2240" s="1733"/>
      <c r="UQG2240" s="1733"/>
      <c r="UQH2240" s="1733"/>
      <c r="UQI2240" s="1733"/>
      <c r="UQJ2240" s="1733"/>
      <c r="UQK2240" s="1733"/>
      <c r="UQL2240" s="1733"/>
      <c r="UQM2240" s="1733"/>
      <c r="UQN2240" s="1733"/>
      <c r="UQO2240" s="1733"/>
      <c r="UQP2240" s="1733"/>
      <c r="UQQ2240" s="1733"/>
      <c r="UQR2240" s="1733"/>
      <c r="UQS2240" s="1733"/>
      <c r="UQT2240" s="1733"/>
      <c r="UQU2240" s="1733"/>
      <c r="UQV2240" s="1733"/>
      <c r="UQW2240" s="1733"/>
      <c r="UQX2240" s="1733"/>
      <c r="UQY2240" s="1733"/>
      <c r="UQZ2240" s="1733"/>
      <c r="URA2240" s="1733"/>
      <c r="URB2240" s="1733"/>
      <c r="URC2240" s="1733"/>
      <c r="URD2240" s="1733"/>
      <c r="URE2240" s="1733"/>
      <c r="URF2240" s="1733"/>
      <c r="URG2240" s="1733"/>
      <c r="URH2240" s="1733"/>
      <c r="URI2240" s="1733"/>
      <c r="URJ2240" s="1733"/>
      <c r="URK2240" s="1733"/>
      <c r="URL2240" s="1733"/>
      <c r="URM2240" s="1733"/>
      <c r="URN2240" s="1733"/>
      <c r="URO2240" s="1733"/>
      <c r="URP2240" s="1733"/>
      <c r="URQ2240" s="1733"/>
      <c r="URR2240" s="1733"/>
      <c r="URS2240" s="1733"/>
      <c r="URT2240" s="1733"/>
      <c r="URU2240" s="1733"/>
      <c r="URV2240" s="1733"/>
      <c r="URW2240" s="1733"/>
      <c r="URX2240" s="1733"/>
      <c r="URY2240" s="1733"/>
      <c r="URZ2240" s="1733"/>
      <c r="USA2240" s="1733"/>
      <c r="USB2240" s="1733"/>
      <c r="USC2240" s="1733"/>
      <c r="USD2240" s="1733"/>
      <c r="USE2240" s="1733"/>
      <c r="USF2240" s="1733"/>
      <c r="USG2240" s="1733"/>
      <c r="USH2240" s="1733"/>
      <c r="USI2240" s="1733"/>
      <c r="USJ2240" s="1733"/>
      <c r="USK2240" s="1733"/>
      <c r="USL2240" s="1733"/>
      <c r="USM2240" s="1733"/>
      <c r="USN2240" s="1733"/>
      <c r="USO2240" s="1733"/>
      <c r="USP2240" s="1733"/>
      <c r="USQ2240" s="1733"/>
      <c r="USR2240" s="1733"/>
      <c r="USS2240" s="1733"/>
      <c r="UST2240" s="1733"/>
      <c r="USU2240" s="1733"/>
      <c r="USV2240" s="1733"/>
      <c r="USW2240" s="1733"/>
      <c r="USX2240" s="1733"/>
      <c r="USY2240" s="1733"/>
      <c r="USZ2240" s="1733"/>
      <c r="UTA2240" s="1733"/>
      <c r="UTB2240" s="1733"/>
      <c r="UTC2240" s="1733"/>
      <c r="UTD2240" s="1733"/>
      <c r="UTE2240" s="1733"/>
      <c r="UTF2240" s="1733"/>
      <c r="UTG2240" s="1733"/>
      <c r="UTH2240" s="1733"/>
      <c r="UTI2240" s="1733"/>
      <c r="UTJ2240" s="1733"/>
      <c r="UTK2240" s="1733"/>
      <c r="UTL2240" s="1733"/>
      <c r="UTM2240" s="1733"/>
      <c r="UTN2240" s="1733"/>
      <c r="UTO2240" s="1733"/>
      <c r="UTP2240" s="1733"/>
      <c r="UTQ2240" s="1733"/>
      <c r="UTR2240" s="1733"/>
      <c r="UTS2240" s="1733"/>
      <c r="UTT2240" s="1733"/>
      <c r="UTU2240" s="1733"/>
      <c r="UTV2240" s="1733"/>
      <c r="UTW2240" s="1733"/>
      <c r="UTX2240" s="1733"/>
      <c r="UTY2240" s="1733"/>
      <c r="UTZ2240" s="1733"/>
      <c r="UUA2240" s="1733"/>
      <c r="UUB2240" s="1733"/>
      <c r="UUC2240" s="1733"/>
      <c r="UUD2240" s="1733"/>
      <c r="UUE2240" s="1733"/>
      <c r="UUF2240" s="1733"/>
      <c r="UUG2240" s="1733"/>
      <c r="UUH2240" s="1733"/>
      <c r="UUI2240" s="1733"/>
      <c r="UUJ2240" s="1733"/>
      <c r="UUK2240" s="1733"/>
      <c r="UUL2240" s="1733"/>
      <c r="UUM2240" s="1733"/>
      <c r="UUN2240" s="1733"/>
      <c r="UUO2240" s="1733"/>
      <c r="UUP2240" s="1733"/>
      <c r="UUQ2240" s="1733"/>
      <c r="UUR2240" s="1733"/>
      <c r="UUS2240" s="1733"/>
      <c r="UUT2240" s="1733"/>
      <c r="UUU2240" s="1733"/>
      <c r="UUV2240" s="1733"/>
      <c r="UUW2240" s="1733"/>
      <c r="UUX2240" s="1733"/>
      <c r="UUY2240" s="1733"/>
      <c r="UUZ2240" s="1733"/>
      <c r="UVA2240" s="1733"/>
      <c r="UVB2240" s="1733"/>
      <c r="UVC2240" s="1733"/>
      <c r="UVD2240" s="1733"/>
      <c r="UVE2240" s="1733"/>
      <c r="UVF2240" s="1733"/>
      <c r="UVG2240" s="1733"/>
      <c r="UVH2240" s="1733"/>
      <c r="UVI2240" s="1733"/>
      <c r="UVJ2240" s="1733"/>
      <c r="UVK2240" s="1733"/>
      <c r="UVL2240" s="1733"/>
      <c r="UVM2240" s="1733"/>
      <c r="UVN2240" s="1733"/>
      <c r="UVO2240" s="1733"/>
      <c r="UVP2240" s="1733"/>
      <c r="UVQ2240" s="1733"/>
      <c r="UVR2240" s="1733"/>
      <c r="UVS2240" s="1733"/>
      <c r="UVT2240" s="1733"/>
      <c r="UVU2240" s="1733"/>
      <c r="UVV2240" s="1733"/>
      <c r="UVW2240" s="1733"/>
      <c r="UVX2240" s="1733"/>
      <c r="UVY2240" s="1733"/>
      <c r="UVZ2240" s="1733"/>
      <c r="UWA2240" s="1733"/>
      <c r="UWB2240" s="1733"/>
      <c r="UWC2240" s="1733"/>
      <c r="UWD2240" s="1733"/>
      <c r="UWE2240" s="1733"/>
      <c r="UWF2240" s="1733"/>
      <c r="UWG2240" s="1733"/>
      <c r="UWH2240" s="1733"/>
      <c r="UWI2240" s="1733"/>
      <c r="UWJ2240" s="1733"/>
      <c r="UWK2240" s="1733"/>
      <c r="UWL2240" s="1733"/>
      <c r="UWM2240" s="1733"/>
      <c r="UWN2240" s="1733"/>
      <c r="UWO2240" s="1733"/>
      <c r="UWP2240" s="1733"/>
      <c r="UWQ2240" s="1733"/>
      <c r="UWR2240" s="1733"/>
      <c r="UWS2240" s="1733"/>
      <c r="UWT2240" s="1733"/>
      <c r="UWU2240" s="1733"/>
      <c r="UWV2240" s="1733"/>
      <c r="UWW2240" s="1733"/>
      <c r="UWX2240" s="1733"/>
      <c r="UWY2240" s="1733"/>
      <c r="UWZ2240" s="1733"/>
      <c r="UXA2240" s="1733"/>
      <c r="UXB2240" s="1733"/>
      <c r="UXC2240" s="1733"/>
      <c r="UXD2240" s="1733"/>
      <c r="UXE2240" s="1733"/>
      <c r="UXF2240" s="1733"/>
      <c r="UXG2240" s="1733"/>
      <c r="UXH2240" s="1733"/>
      <c r="UXI2240" s="1733"/>
      <c r="UXJ2240" s="1733"/>
      <c r="UXK2240" s="1733"/>
      <c r="UXL2240" s="1733"/>
      <c r="UXM2240" s="1733"/>
      <c r="UXN2240" s="1733"/>
      <c r="UXO2240" s="1733"/>
      <c r="UXP2240" s="1733"/>
      <c r="UXQ2240" s="1733"/>
      <c r="UXR2240" s="1733"/>
      <c r="UXS2240" s="1733"/>
      <c r="UXT2240" s="1733"/>
      <c r="UXU2240" s="1733"/>
      <c r="UXV2240" s="1733"/>
      <c r="UXW2240" s="1733"/>
      <c r="UXX2240" s="1733"/>
      <c r="UXY2240" s="1733"/>
      <c r="UXZ2240" s="1733"/>
      <c r="UYA2240" s="1733"/>
      <c r="UYB2240" s="1733"/>
      <c r="UYC2240" s="1733"/>
      <c r="UYD2240" s="1733"/>
      <c r="UYE2240" s="1733"/>
      <c r="UYF2240" s="1733"/>
      <c r="UYG2240" s="1733"/>
      <c r="UYH2240" s="1733"/>
      <c r="UYI2240" s="1733"/>
      <c r="UYJ2240" s="1733"/>
      <c r="UYK2240" s="1733"/>
      <c r="UYL2240" s="1733"/>
      <c r="UYM2240" s="1733"/>
      <c r="UYN2240" s="1733"/>
      <c r="UYO2240" s="1733"/>
      <c r="UYP2240" s="1733"/>
      <c r="UYQ2240" s="1733"/>
      <c r="UYR2240" s="1733"/>
      <c r="UYS2240" s="1733"/>
      <c r="UYT2240" s="1733"/>
      <c r="UYU2240" s="1733"/>
      <c r="UYV2240" s="1733"/>
      <c r="UYW2240" s="1733"/>
      <c r="UYX2240" s="1733"/>
      <c r="UYY2240" s="1733"/>
      <c r="UYZ2240" s="1733"/>
      <c r="UZA2240" s="1733"/>
      <c r="UZB2240" s="1733"/>
      <c r="UZC2240" s="1733"/>
      <c r="UZD2240" s="1733"/>
      <c r="UZE2240" s="1733"/>
      <c r="UZF2240" s="1733"/>
      <c r="UZG2240" s="1733"/>
      <c r="UZH2240" s="1733"/>
      <c r="UZI2240" s="1733"/>
      <c r="UZJ2240" s="1733"/>
      <c r="UZK2240" s="1733"/>
      <c r="UZL2240" s="1733"/>
      <c r="UZM2240" s="1733"/>
      <c r="UZN2240" s="1733"/>
      <c r="UZO2240" s="1733"/>
      <c r="UZP2240" s="1733"/>
      <c r="UZQ2240" s="1733"/>
      <c r="UZR2240" s="1733"/>
      <c r="UZS2240" s="1733"/>
      <c r="UZT2240" s="1733"/>
      <c r="UZU2240" s="1733"/>
      <c r="UZV2240" s="1733"/>
      <c r="UZW2240" s="1733"/>
      <c r="UZX2240" s="1733"/>
      <c r="UZY2240" s="1733"/>
      <c r="UZZ2240" s="1733"/>
      <c r="VAA2240" s="1733"/>
      <c r="VAB2240" s="1733"/>
      <c r="VAC2240" s="1733"/>
      <c r="VAD2240" s="1733"/>
      <c r="VAE2240" s="1733"/>
      <c r="VAF2240" s="1733"/>
      <c r="VAG2240" s="1733"/>
      <c r="VAH2240" s="1733"/>
      <c r="VAI2240" s="1733"/>
      <c r="VAJ2240" s="1733"/>
      <c r="VAK2240" s="1733"/>
      <c r="VAL2240" s="1733"/>
      <c r="VAM2240" s="1733"/>
      <c r="VAN2240" s="1733"/>
      <c r="VAO2240" s="1733"/>
      <c r="VAP2240" s="1733"/>
      <c r="VAQ2240" s="1733"/>
      <c r="VAR2240" s="1733"/>
      <c r="VAS2240" s="1733"/>
      <c r="VAT2240" s="1733"/>
      <c r="VAU2240" s="1733"/>
      <c r="VAV2240" s="1733"/>
      <c r="VAW2240" s="1733"/>
      <c r="VAX2240" s="1733"/>
      <c r="VAY2240" s="1733"/>
      <c r="VAZ2240" s="1733"/>
      <c r="VBA2240" s="1733"/>
      <c r="VBB2240" s="1733"/>
      <c r="VBC2240" s="1733"/>
      <c r="VBD2240" s="1733"/>
      <c r="VBE2240" s="1733"/>
      <c r="VBF2240" s="1733"/>
      <c r="VBG2240" s="1733"/>
      <c r="VBH2240" s="1733"/>
      <c r="VBI2240" s="1733"/>
      <c r="VBJ2240" s="1733"/>
      <c r="VBK2240" s="1733"/>
      <c r="VBL2240" s="1733"/>
      <c r="VBM2240" s="1733"/>
      <c r="VBN2240" s="1733"/>
      <c r="VBO2240" s="1733"/>
      <c r="VBP2240" s="1733"/>
      <c r="VBQ2240" s="1733"/>
      <c r="VBR2240" s="1733"/>
      <c r="VBS2240" s="1733"/>
      <c r="VBT2240" s="1733"/>
      <c r="VBU2240" s="1733"/>
      <c r="VBV2240" s="1733"/>
      <c r="VBW2240" s="1733"/>
      <c r="VBX2240" s="1733"/>
      <c r="VBY2240" s="1733"/>
      <c r="VBZ2240" s="1733"/>
      <c r="VCA2240" s="1733"/>
      <c r="VCB2240" s="1733"/>
      <c r="VCC2240" s="1733"/>
      <c r="VCD2240" s="1733"/>
      <c r="VCE2240" s="1733"/>
      <c r="VCF2240" s="1733"/>
      <c r="VCG2240" s="1733"/>
      <c r="VCH2240" s="1733"/>
      <c r="VCI2240" s="1733"/>
      <c r="VCJ2240" s="1733"/>
      <c r="VCK2240" s="1733"/>
      <c r="VCL2240" s="1733"/>
      <c r="VCM2240" s="1733"/>
      <c r="VCN2240" s="1733"/>
      <c r="VCO2240" s="1733"/>
      <c r="VCP2240" s="1733"/>
      <c r="VCQ2240" s="1733"/>
      <c r="VCR2240" s="1733"/>
      <c r="VCS2240" s="1733"/>
      <c r="VCT2240" s="1733"/>
      <c r="VCU2240" s="1733"/>
      <c r="VCV2240" s="1733"/>
      <c r="VCW2240" s="1733"/>
      <c r="VCX2240" s="1733"/>
      <c r="VCY2240" s="1733"/>
      <c r="VCZ2240" s="1733"/>
      <c r="VDA2240" s="1733"/>
      <c r="VDB2240" s="1733"/>
      <c r="VDC2240" s="1733"/>
      <c r="VDD2240" s="1733"/>
      <c r="VDE2240" s="1733"/>
      <c r="VDF2240" s="1733"/>
      <c r="VDG2240" s="1733"/>
      <c r="VDH2240" s="1733"/>
      <c r="VDI2240" s="1733"/>
      <c r="VDJ2240" s="1733"/>
      <c r="VDK2240" s="1733"/>
      <c r="VDL2240" s="1733"/>
      <c r="VDM2240" s="1733"/>
      <c r="VDN2240" s="1733"/>
      <c r="VDO2240" s="1733"/>
      <c r="VDP2240" s="1733"/>
      <c r="VDQ2240" s="1733"/>
      <c r="VDR2240" s="1733"/>
      <c r="VDS2240" s="1733"/>
      <c r="VDT2240" s="1733"/>
      <c r="VDU2240" s="1733"/>
      <c r="VDV2240" s="1733"/>
      <c r="VDW2240" s="1733"/>
      <c r="VDX2240" s="1733"/>
      <c r="VDY2240" s="1733"/>
      <c r="VDZ2240" s="1733"/>
      <c r="VEA2240" s="1733"/>
      <c r="VEB2240" s="1733"/>
      <c r="VEC2240" s="1733"/>
      <c r="VED2240" s="1733"/>
      <c r="VEE2240" s="1733"/>
      <c r="VEF2240" s="1733"/>
      <c r="VEG2240" s="1733"/>
      <c r="VEH2240" s="1733"/>
      <c r="VEI2240" s="1733"/>
      <c r="VEJ2240" s="1733"/>
      <c r="VEK2240" s="1733"/>
      <c r="VEL2240" s="1733"/>
      <c r="VEM2240" s="1733"/>
      <c r="VEN2240" s="1733"/>
      <c r="VEO2240" s="1733"/>
      <c r="VEP2240" s="1733"/>
      <c r="VEQ2240" s="1733"/>
      <c r="VER2240" s="1733"/>
      <c r="VES2240" s="1733"/>
      <c r="VET2240" s="1733"/>
      <c r="VEU2240" s="1733"/>
      <c r="VEV2240" s="1733"/>
      <c r="VEW2240" s="1733"/>
      <c r="VEX2240" s="1733"/>
      <c r="VEY2240" s="1733"/>
      <c r="VEZ2240" s="1733"/>
      <c r="VFA2240" s="1733"/>
      <c r="VFB2240" s="1733"/>
      <c r="VFC2240" s="1733"/>
      <c r="VFD2240" s="1733"/>
      <c r="VFE2240" s="1733"/>
      <c r="VFF2240" s="1733"/>
      <c r="VFG2240" s="1733"/>
      <c r="VFH2240" s="1733"/>
      <c r="VFI2240" s="1733"/>
      <c r="VFJ2240" s="1733"/>
      <c r="VFK2240" s="1733"/>
      <c r="VFL2240" s="1733"/>
      <c r="VFM2240" s="1733"/>
      <c r="VFN2240" s="1733"/>
      <c r="VFO2240" s="1733"/>
      <c r="VFP2240" s="1733"/>
      <c r="VFQ2240" s="1733"/>
      <c r="VFR2240" s="1733"/>
      <c r="VFS2240" s="1733"/>
      <c r="VFT2240" s="1733"/>
      <c r="VFU2240" s="1733"/>
      <c r="VFV2240" s="1733"/>
      <c r="VFW2240" s="1733"/>
      <c r="VFX2240" s="1733"/>
      <c r="VFY2240" s="1733"/>
      <c r="VFZ2240" s="1733"/>
      <c r="VGA2240" s="1733"/>
      <c r="VGB2240" s="1733"/>
      <c r="VGC2240" s="1733"/>
      <c r="VGD2240" s="1733"/>
      <c r="VGE2240" s="1733"/>
      <c r="VGF2240" s="1733"/>
      <c r="VGG2240" s="1733"/>
      <c r="VGH2240" s="1733"/>
      <c r="VGI2240" s="1733"/>
      <c r="VGJ2240" s="1733"/>
      <c r="VGK2240" s="1733"/>
      <c r="VGL2240" s="1733"/>
      <c r="VGM2240" s="1733"/>
      <c r="VGN2240" s="1733"/>
      <c r="VGO2240" s="1733"/>
      <c r="VGP2240" s="1733"/>
      <c r="VGQ2240" s="1733"/>
      <c r="VGR2240" s="1733"/>
      <c r="VGS2240" s="1733"/>
      <c r="VGT2240" s="1733"/>
      <c r="VGU2240" s="1733"/>
      <c r="VGV2240" s="1733"/>
      <c r="VGW2240" s="1733"/>
      <c r="VGX2240" s="1733"/>
      <c r="VGY2240" s="1733"/>
      <c r="VGZ2240" s="1733"/>
      <c r="VHA2240" s="1733"/>
      <c r="VHB2240" s="1733"/>
      <c r="VHC2240" s="1733"/>
      <c r="VHD2240" s="1733"/>
      <c r="VHE2240" s="1733"/>
      <c r="VHF2240" s="1733"/>
      <c r="VHG2240" s="1733"/>
      <c r="VHH2240" s="1733"/>
      <c r="VHI2240" s="1733"/>
      <c r="VHJ2240" s="1733"/>
      <c r="VHK2240" s="1733"/>
      <c r="VHL2240" s="1733"/>
      <c r="VHM2240" s="1733"/>
      <c r="VHN2240" s="1733"/>
      <c r="VHO2240" s="1733"/>
      <c r="VHP2240" s="1733"/>
      <c r="VHQ2240" s="1733"/>
      <c r="VHR2240" s="1733"/>
      <c r="VHS2240" s="1733"/>
      <c r="VHT2240" s="1733"/>
      <c r="VHU2240" s="1733"/>
      <c r="VHV2240" s="1733"/>
      <c r="VHW2240" s="1733"/>
      <c r="VHX2240" s="1733"/>
      <c r="VHY2240" s="1733"/>
      <c r="VHZ2240" s="1733"/>
      <c r="VIA2240" s="1733"/>
      <c r="VIB2240" s="1733"/>
      <c r="VIC2240" s="1733"/>
      <c r="VID2240" s="1733"/>
      <c r="VIE2240" s="1733"/>
      <c r="VIF2240" s="1733"/>
      <c r="VIG2240" s="1733"/>
      <c r="VIH2240" s="1733"/>
      <c r="VII2240" s="1733"/>
      <c r="VIJ2240" s="1733"/>
      <c r="VIK2240" s="1733"/>
      <c r="VIL2240" s="1733"/>
      <c r="VIM2240" s="1733"/>
      <c r="VIN2240" s="1733"/>
      <c r="VIO2240" s="1733"/>
      <c r="VIP2240" s="1733"/>
      <c r="VIQ2240" s="1733"/>
      <c r="VIR2240" s="1733"/>
      <c r="VIS2240" s="1733"/>
      <c r="VIT2240" s="1733"/>
      <c r="VIU2240" s="1733"/>
      <c r="VIV2240" s="1733"/>
      <c r="VIW2240" s="1733"/>
      <c r="VIX2240" s="1733"/>
      <c r="VIY2240" s="1733"/>
      <c r="VIZ2240" s="1733"/>
      <c r="VJA2240" s="1733"/>
      <c r="VJB2240" s="1733"/>
      <c r="VJC2240" s="1733"/>
      <c r="VJD2240" s="1733"/>
      <c r="VJE2240" s="1733"/>
      <c r="VJF2240" s="1733"/>
      <c r="VJG2240" s="1733"/>
      <c r="VJH2240" s="1733"/>
      <c r="VJI2240" s="1733"/>
      <c r="VJJ2240" s="1733"/>
      <c r="VJK2240" s="1733"/>
      <c r="VJL2240" s="1733"/>
      <c r="VJM2240" s="1733"/>
      <c r="VJN2240" s="1733"/>
      <c r="VJO2240" s="1733"/>
      <c r="VJP2240" s="1733"/>
      <c r="VJQ2240" s="1733"/>
      <c r="VJR2240" s="1733"/>
      <c r="VJS2240" s="1733"/>
      <c r="VJT2240" s="1733"/>
      <c r="VJU2240" s="1733"/>
      <c r="VJV2240" s="1733"/>
      <c r="VJW2240" s="1733"/>
      <c r="VJX2240" s="1733"/>
      <c r="VJY2240" s="1733"/>
      <c r="VJZ2240" s="1733"/>
      <c r="VKA2240" s="1733"/>
      <c r="VKB2240" s="1733"/>
      <c r="VKC2240" s="1733"/>
      <c r="VKD2240" s="1733"/>
      <c r="VKE2240" s="1733"/>
      <c r="VKF2240" s="1733"/>
      <c r="VKG2240" s="1733"/>
      <c r="VKH2240" s="1733"/>
      <c r="VKI2240" s="1733"/>
      <c r="VKJ2240" s="1733"/>
      <c r="VKK2240" s="1733"/>
      <c r="VKL2240" s="1733"/>
      <c r="VKM2240" s="1733"/>
      <c r="VKN2240" s="1733"/>
      <c r="VKO2240" s="1733"/>
      <c r="VKP2240" s="1733"/>
      <c r="VKQ2240" s="1733"/>
      <c r="VKR2240" s="1733"/>
      <c r="VKS2240" s="1733"/>
      <c r="VKT2240" s="1733"/>
      <c r="VKU2240" s="1733"/>
      <c r="VKV2240" s="1733"/>
      <c r="VKW2240" s="1733"/>
      <c r="VKX2240" s="1733"/>
      <c r="VKY2240" s="1733"/>
      <c r="VKZ2240" s="1733"/>
      <c r="VLA2240" s="1733"/>
      <c r="VLB2240" s="1733"/>
      <c r="VLC2240" s="1733"/>
      <c r="VLD2240" s="1733"/>
      <c r="VLE2240" s="1733"/>
      <c r="VLF2240" s="1733"/>
      <c r="VLG2240" s="1733"/>
      <c r="VLH2240" s="1733"/>
      <c r="VLI2240" s="1733"/>
      <c r="VLJ2240" s="1733"/>
      <c r="VLK2240" s="1733"/>
      <c r="VLL2240" s="1733"/>
      <c r="VLM2240" s="1733"/>
      <c r="VLN2240" s="1733"/>
      <c r="VLO2240" s="1733"/>
      <c r="VLP2240" s="1733"/>
      <c r="VLQ2240" s="1733"/>
      <c r="VLR2240" s="1733"/>
      <c r="VLS2240" s="1733"/>
      <c r="VLT2240" s="1733"/>
      <c r="VLU2240" s="1733"/>
      <c r="VLV2240" s="1733"/>
      <c r="VLW2240" s="1733"/>
      <c r="VLX2240" s="1733"/>
      <c r="VLY2240" s="1733"/>
      <c r="VLZ2240" s="1733"/>
      <c r="VMA2240" s="1733"/>
      <c r="VMB2240" s="1733"/>
      <c r="VMC2240" s="1733"/>
      <c r="VMD2240" s="1733"/>
      <c r="VME2240" s="1733"/>
      <c r="VMF2240" s="1733"/>
      <c r="VMG2240" s="1733"/>
      <c r="VMH2240" s="1733"/>
      <c r="VMI2240" s="1733"/>
      <c r="VMJ2240" s="1733"/>
      <c r="VMK2240" s="1733"/>
      <c r="VML2240" s="1733"/>
      <c r="VMM2240" s="1733"/>
      <c r="VMN2240" s="1733"/>
      <c r="VMO2240" s="1733"/>
      <c r="VMP2240" s="1733"/>
      <c r="VMQ2240" s="1733"/>
      <c r="VMR2240" s="1733"/>
      <c r="VMS2240" s="1733"/>
      <c r="VMT2240" s="1733"/>
      <c r="VMU2240" s="1733"/>
      <c r="VMV2240" s="1733"/>
      <c r="VMW2240" s="1733"/>
      <c r="VMX2240" s="1733"/>
      <c r="VMY2240" s="1733"/>
      <c r="VMZ2240" s="1733"/>
      <c r="VNA2240" s="1733"/>
      <c r="VNB2240" s="1733"/>
      <c r="VNC2240" s="1733"/>
      <c r="VND2240" s="1733"/>
      <c r="VNE2240" s="1733"/>
      <c r="VNF2240" s="1733"/>
      <c r="VNG2240" s="1733"/>
      <c r="VNH2240" s="1733"/>
      <c r="VNI2240" s="1733"/>
      <c r="VNJ2240" s="1733"/>
      <c r="VNK2240" s="1733"/>
      <c r="VNL2240" s="1733"/>
      <c r="VNM2240" s="1733"/>
      <c r="VNN2240" s="1733"/>
      <c r="VNO2240" s="1733"/>
      <c r="VNP2240" s="1733"/>
      <c r="VNQ2240" s="1733"/>
      <c r="VNR2240" s="1733"/>
      <c r="VNS2240" s="1733"/>
      <c r="VNT2240" s="1733"/>
      <c r="VNU2240" s="1733"/>
      <c r="VNV2240" s="1733"/>
      <c r="VNW2240" s="1733"/>
      <c r="VNX2240" s="1733"/>
      <c r="VNY2240" s="1733"/>
      <c r="VNZ2240" s="1733"/>
      <c r="VOA2240" s="1733"/>
      <c r="VOB2240" s="1733"/>
      <c r="VOC2240" s="1733"/>
      <c r="VOD2240" s="1733"/>
      <c r="VOE2240" s="1733"/>
      <c r="VOF2240" s="1733"/>
      <c r="VOG2240" s="1733"/>
      <c r="VOH2240" s="1733"/>
      <c r="VOI2240" s="1733"/>
      <c r="VOJ2240" s="1733"/>
      <c r="VOK2240" s="1733"/>
      <c r="VOL2240" s="1733"/>
      <c r="VOM2240" s="1733"/>
      <c r="VON2240" s="1733"/>
      <c r="VOO2240" s="1733"/>
      <c r="VOP2240" s="1733"/>
      <c r="VOQ2240" s="1733"/>
      <c r="VOR2240" s="1733"/>
      <c r="VOS2240" s="1733"/>
      <c r="VOT2240" s="1733"/>
      <c r="VOU2240" s="1733"/>
      <c r="VOV2240" s="1733"/>
      <c r="VOW2240" s="1733"/>
      <c r="VOX2240" s="1733"/>
      <c r="VOY2240" s="1733"/>
      <c r="VOZ2240" s="1733"/>
      <c r="VPA2240" s="1733"/>
      <c r="VPB2240" s="1733"/>
      <c r="VPC2240" s="1733"/>
      <c r="VPD2240" s="1733"/>
      <c r="VPE2240" s="1733"/>
      <c r="VPF2240" s="1733"/>
      <c r="VPG2240" s="1733"/>
      <c r="VPH2240" s="1733"/>
      <c r="VPI2240" s="1733"/>
      <c r="VPJ2240" s="1733"/>
      <c r="VPK2240" s="1733"/>
      <c r="VPL2240" s="1733"/>
      <c r="VPM2240" s="1733"/>
      <c r="VPN2240" s="1733"/>
      <c r="VPO2240" s="1733"/>
      <c r="VPP2240" s="1733"/>
      <c r="VPQ2240" s="1733"/>
      <c r="VPR2240" s="1733"/>
      <c r="VPS2240" s="1733"/>
      <c r="VPT2240" s="1733"/>
      <c r="VPU2240" s="1733"/>
      <c r="VPV2240" s="1733"/>
      <c r="VPW2240" s="1733"/>
      <c r="VPX2240" s="1733"/>
      <c r="VPY2240" s="1733"/>
      <c r="VPZ2240" s="1733"/>
      <c r="VQA2240" s="1733"/>
      <c r="VQB2240" s="1733"/>
      <c r="VQC2240" s="1733"/>
      <c r="VQD2240" s="1733"/>
      <c r="VQE2240" s="1733"/>
      <c r="VQF2240" s="1733"/>
      <c r="VQG2240" s="1733"/>
      <c r="VQH2240" s="1733"/>
      <c r="VQI2240" s="1733"/>
      <c r="VQJ2240" s="1733"/>
      <c r="VQK2240" s="1733"/>
      <c r="VQL2240" s="1733"/>
      <c r="VQM2240" s="1733"/>
      <c r="VQN2240" s="1733"/>
      <c r="VQO2240" s="1733"/>
      <c r="VQP2240" s="1733"/>
      <c r="VQQ2240" s="1733"/>
      <c r="VQR2240" s="1733"/>
      <c r="VQS2240" s="1733"/>
      <c r="VQT2240" s="1733"/>
      <c r="VQU2240" s="1733"/>
      <c r="VQV2240" s="1733"/>
      <c r="VQW2240" s="1733"/>
      <c r="VQX2240" s="1733"/>
      <c r="VQY2240" s="1733"/>
      <c r="VQZ2240" s="1733"/>
      <c r="VRA2240" s="1733"/>
      <c r="VRB2240" s="1733"/>
      <c r="VRC2240" s="1733"/>
      <c r="VRD2240" s="1733"/>
      <c r="VRE2240" s="1733"/>
      <c r="VRF2240" s="1733"/>
      <c r="VRG2240" s="1733"/>
      <c r="VRH2240" s="1733"/>
      <c r="VRI2240" s="1733"/>
      <c r="VRJ2240" s="1733"/>
      <c r="VRK2240" s="1733"/>
      <c r="VRL2240" s="1733"/>
      <c r="VRM2240" s="1733"/>
      <c r="VRN2240" s="1733"/>
      <c r="VRO2240" s="1733"/>
      <c r="VRP2240" s="1733"/>
      <c r="VRQ2240" s="1733"/>
      <c r="VRR2240" s="1733"/>
      <c r="VRS2240" s="1733"/>
      <c r="VRT2240" s="1733"/>
      <c r="VRU2240" s="1733"/>
      <c r="VRV2240" s="1733"/>
      <c r="VRW2240" s="1733"/>
      <c r="VRX2240" s="1733"/>
      <c r="VRY2240" s="1733"/>
      <c r="VRZ2240" s="1733"/>
      <c r="VSA2240" s="1733"/>
      <c r="VSB2240" s="1733"/>
      <c r="VSC2240" s="1733"/>
      <c r="VSD2240" s="1733"/>
      <c r="VSE2240" s="1733"/>
      <c r="VSF2240" s="1733"/>
      <c r="VSG2240" s="1733"/>
      <c r="VSH2240" s="1733"/>
      <c r="VSI2240" s="1733"/>
      <c r="VSJ2240" s="1733"/>
      <c r="VSK2240" s="1733"/>
      <c r="VSL2240" s="1733"/>
      <c r="VSM2240" s="1733"/>
      <c r="VSN2240" s="1733"/>
      <c r="VSO2240" s="1733"/>
      <c r="VSP2240" s="1733"/>
      <c r="VSQ2240" s="1733"/>
      <c r="VSR2240" s="1733"/>
      <c r="VSS2240" s="1733"/>
      <c r="VST2240" s="1733"/>
      <c r="VSU2240" s="1733"/>
      <c r="VSV2240" s="1733"/>
      <c r="VSW2240" s="1733"/>
      <c r="VSX2240" s="1733"/>
      <c r="VSY2240" s="1733"/>
      <c r="VSZ2240" s="1733"/>
      <c r="VTA2240" s="1733"/>
      <c r="VTB2240" s="1733"/>
      <c r="VTC2240" s="1733"/>
      <c r="VTD2240" s="1733"/>
      <c r="VTE2240" s="1733"/>
      <c r="VTF2240" s="1733"/>
      <c r="VTG2240" s="1733"/>
      <c r="VTH2240" s="1733"/>
      <c r="VTI2240" s="1733"/>
      <c r="VTJ2240" s="1733"/>
      <c r="VTK2240" s="1733"/>
      <c r="VTL2240" s="1733"/>
      <c r="VTM2240" s="1733"/>
      <c r="VTN2240" s="1733"/>
      <c r="VTO2240" s="1733"/>
      <c r="VTP2240" s="1733"/>
      <c r="VTQ2240" s="1733"/>
      <c r="VTR2240" s="1733"/>
      <c r="VTS2240" s="1733"/>
      <c r="VTT2240" s="1733"/>
      <c r="VTU2240" s="1733"/>
      <c r="VTV2240" s="1733"/>
      <c r="VTW2240" s="1733"/>
      <c r="VTX2240" s="1733"/>
      <c r="VTY2240" s="1733"/>
      <c r="VTZ2240" s="1733"/>
      <c r="VUA2240" s="1733"/>
      <c r="VUB2240" s="1733"/>
      <c r="VUC2240" s="1733"/>
      <c r="VUD2240" s="1733"/>
      <c r="VUE2240" s="1733"/>
      <c r="VUF2240" s="1733"/>
      <c r="VUG2240" s="1733"/>
      <c r="VUH2240" s="1733"/>
      <c r="VUI2240" s="1733"/>
      <c r="VUJ2240" s="1733"/>
      <c r="VUK2240" s="1733"/>
      <c r="VUL2240" s="1733"/>
      <c r="VUM2240" s="1733"/>
      <c r="VUN2240" s="1733"/>
      <c r="VUO2240" s="1733"/>
      <c r="VUP2240" s="1733"/>
      <c r="VUQ2240" s="1733"/>
      <c r="VUR2240" s="1733"/>
      <c r="VUS2240" s="1733"/>
      <c r="VUT2240" s="1733"/>
      <c r="VUU2240" s="1733"/>
      <c r="VUV2240" s="1733"/>
      <c r="VUW2240" s="1733"/>
      <c r="VUX2240" s="1733"/>
      <c r="VUY2240" s="1733"/>
      <c r="VUZ2240" s="1733"/>
      <c r="VVA2240" s="1733"/>
      <c r="VVB2240" s="1733"/>
      <c r="VVC2240" s="1733"/>
      <c r="VVD2240" s="1733"/>
      <c r="VVE2240" s="1733"/>
      <c r="VVF2240" s="1733"/>
      <c r="VVG2240" s="1733"/>
      <c r="VVH2240" s="1733"/>
      <c r="VVI2240" s="1733"/>
      <c r="VVJ2240" s="1733"/>
      <c r="VVK2240" s="1733"/>
      <c r="VVL2240" s="1733"/>
      <c r="VVM2240" s="1733"/>
      <c r="VVN2240" s="1733"/>
      <c r="VVO2240" s="1733"/>
      <c r="VVP2240" s="1733"/>
      <c r="VVQ2240" s="1733"/>
      <c r="VVR2240" s="1733"/>
      <c r="VVS2240" s="1733"/>
      <c r="VVT2240" s="1733"/>
      <c r="VVU2240" s="1733"/>
      <c r="VVV2240" s="1733"/>
      <c r="VVW2240" s="1733"/>
      <c r="VVX2240" s="1733"/>
      <c r="VVY2240" s="1733"/>
      <c r="VVZ2240" s="1733"/>
      <c r="VWA2240" s="1733"/>
      <c r="VWB2240" s="1733"/>
      <c r="VWC2240" s="1733"/>
      <c r="VWD2240" s="1733"/>
      <c r="VWE2240" s="1733"/>
      <c r="VWF2240" s="1733"/>
      <c r="VWG2240" s="1733"/>
      <c r="VWH2240" s="1733"/>
      <c r="VWI2240" s="1733"/>
      <c r="VWJ2240" s="1733"/>
      <c r="VWK2240" s="1733"/>
      <c r="VWL2240" s="1733"/>
      <c r="VWM2240" s="1733"/>
      <c r="VWN2240" s="1733"/>
      <c r="VWO2240" s="1733"/>
      <c r="VWP2240" s="1733"/>
      <c r="VWQ2240" s="1733"/>
      <c r="VWR2240" s="1733"/>
      <c r="VWS2240" s="1733"/>
      <c r="VWT2240" s="1733"/>
      <c r="VWU2240" s="1733"/>
      <c r="VWV2240" s="1733"/>
      <c r="VWW2240" s="1733"/>
      <c r="VWX2240" s="1733"/>
      <c r="VWY2240" s="1733"/>
      <c r="VWZ2240" s="1733"/>
      <c r="VXA2240" s="1733"/>
      <c r="VXB2240" s="1733"/>
      <c r="VXC2240" s="1733"/>
      <c r="VXD2240" s="1733"/>
      <c r="VXE2240" s="1733"/>
      <c r="VXF2240" s="1733"/>
      <c r="VXG2240" s="1733"/>
      <c r="VXH2240" s="1733"/>
      <c r="VXI2240" s="1733"/>
      <c r="VXJ2240" s="1733"/>
      <c r="VXK2240" s="1733"/>
      <c r="VXL2240" s="1733"/>
      <c r="VXM2240" s="1733"/>
      <c r="VXN2240" s="1733"/>
      <c r="VXO2240" s="1733"/>
      <c r="VXP2240" s="1733"/>
      <c r="VXQ2240" s="1733"/>
      <c r="VXR2240" s="1733"/>
      <c r="VXS2240" s="1733"/>
      <c r="VXT2240" s="1733"/>
      <c r="VXU2240" s="1733"/>
      <c r="VXV2240" s="1733"/>
      <c r="VXW2240" s="1733"/>
      <c r="VXX2240" s="1733"/>
      <c r="VXY2240" s="1733"/>
      <c r="VXZ2240" s="1733"/>
      <c r="VYA2240" s="1733"/>
      <c r="VYB2240" s="1733"/>
      <c r="VYC2240" s="1733"/>
      <c r="VYD2240" s="1733"/>
      <c r="VYE2240" s="1733"/>
      <c r="VYF2240" s="1733"/>
      <c r="VYG2240" s="1733"/>
      <c r="VYH2240" s="1733"/>
      <c r="VYI2240" s="1733"/>
      <c r="VYJ2240" s="1733"/>
      <c r="VYK2240" s="1733"/>
      <c r="VYL2240" s="1733"/>
      <c r="VYM2240" s="1733"/>
      <c r="VYN2240" s="1733"/>
      <c r="VYO2240" s="1733"/>
      <c r="VYP2240" s="1733"/>
      <c r="VYQ2240" s="1733"/>
      <c r="VYR2240" s="1733"/>
      <c r="VYS2240" s="1733"/>
      <c r="VYT2240" s="1733"/>
      <c r="VYU2240" s="1733"/>
      <c r="VYV2240" s="1733"/>
      <c r="VYW2240" s="1733"/>
      <c r="VYX2240" s="1733"/>
      <c r="VYY2240" s="1733"/>
      <c r="VYZ2240" s="1733"/>
      <c r="VZA2240" s="1733"/>
      <c r="VZB2240" s="1733"/>
      <c r="VZC2240" s="1733"/>
      <c r="VZD2240" s="1733"/>
      <c r="VZE2240" s="1733"/>
      <c r="VZF2240" s="1733"/>
      <c r="VZG2240" s="1733"/>
      <c r="VZH2240" s="1733"/>
      <c r="VZI2240" s="1733"/>
      <c r="VZJ2240" s="1733"/>
      <c r="VZK2240" s="1733"/>
      <c r="VZL2240" s="1733"/>
      <c r="VZM2240" s="1733"/>
      <c r="VZN2240" s="1733"/>
      <c r="VZO2240" s="1733"/>
      <c r="VZP2240" s="1733"/>
      <c r="VZQ2240" s="1733"/>
      <c r="VZR2240" s="1733"/>
      <c r="VZS2240" s="1733"/>
      <c r="VZT2240" s="1733"/>
      <c r="VZU2240" s="1733"/>
      <c r="VZV2240" s="1733"/>
      <c r="VZW2240" s="1733"/>
      <c r="VZX2240" s="1733"/>
      <c r="VZY2240" s="1733"/>
      <c r="VZZ2240" s="1733"/>
      <c r="WAA2240" s="1733"/>
      <c r="WAB2240" s="1733"/>
      <c r="WAC2240" s="1733"/>
      <c r="WAD2240" s="1733"/>
      <c r="WAE2240" s="1733"/>
      <c r="WAF2240" s="1733"/>
      <c r="WAG2240" s="1733"/>
      <c r="WAH2240" s="1733"/>
      <c r="WAI2240" s="1733"/>
      <c r="WAJ2240" s="1733"/>
      <c r="WAK2240" s="1733"/>
      <c r="WAL2240" s="1733"/>
      <c r="WAM2240" s="1733"/>
      <c r="WAN2240" s="1733"/>
      <c r="WAO2240" s="1733"/>
      <c r="WAP2240" s="1733"/>
      <c r="WAQ2240" s="1733"/>
      <c r="WAR2240" s="1733"/>
      <c r="WAS2240" s="1733"/>
      <c r="WAT2240" s="1733"/>
      <c r="WAU2240" s="1733"/>
      <c r="WAV2240" s="1733"/>
      <c r="WAW2240" s="1733"/>
      <c r="WAX2240" s="1733"/>
      <c r="WAY2240" s="1733"/>
      <c r="WAZ2240" s="1733"/>
      <c r="WBA2240" s="1733"/>
      <c r="WBB2240" s="1733"/>
      <c r="WBC2240" s="1733"/>
      <c r="WBD2240" s="1733"/>
      <c r="WBE2240" s="1733"/>
      <c r="WBF2240" s="1733"/>
      <c r="WBG2240" s="1733"/>
      <c r="WBH2240" s="1733"/>
      <c r="WBI2240" s="1733"/>
      <c r="WBJ2240" s="1733"/>
      <c r="WBK2240" s="1733"/>
      <c r="WBL2240" s="1733"/>
      <c r="WBM2240" s="1733"/>
      <c r="WBN2240" s="1733"/>
      <c r="WBO2240" s="1733"/>
      <c r="WBP2240" s="1733"/>
      <c r="WBQ2240" s="1733"/>
      <c r="WBR2240" s="1733"/>
      <c r="WBS2240" s="1733"/>
      <c r="WBT2240" s="1733"/>
      <c r="WBU2240" s="1733"/>
      <c r="WBV2240" s="1733"/>
      <c r="WBW2240" s="1733"/>
      <c r="WBX2240" s="1733"/>
      <c r="WBY2240" s="1733"/>
      <c r="WBZ2240" s="1733"/>
      <c r="WCA2240" s="1733"/>
      <c r="WCB2240" s="1733"/>
      <c r="WCC2240" s="1733"/>
      <c r="WCD2240" s="1733"/>
      <c r="WCE2240" s="1733"/>
      <c r="WCF2240" s="1733"/>
      <c r="WCG2240" s="1733"/>
      <c r="WCH2240" s="1733"/>
      <c r="WCI2240" s="1733"/>
      <c r="WCJ2240" s="1733"/>
      <c r="WCK2240" s="1733"/>
      <c r="WCL2240" s="1733"/>
      <c r="WCM2240" s="1733"/>
      <c r="WCN2240" s="1733"/>
      <c r="WCO2240" s="1733"/>
      <c r="WCP2240" s="1733"/>
      <c r="WCQ2240" s="1733"/>
      <c r="WCR2240" s="1733"/>
      <c r="WCS2240" s="1733"/>
      <c r="WCT2240" s="1733"/>
      <c r="WCU2240" s="1733"/>
      <c r="WCV2240" s="1733"/>
      <c r="WCW2240" s="1733"/>
      <c r="WCX2240" s="1733"/>
      <c r="WCY2240" s="1733"/>
      <c r="WCZ2240" s="1733"/>
      <c r="WDA2240" s="1733"/>
      <c r="WDB2240" s="1733"/>
      <c r="WDC2240" s="1733"/>
      <c r="WDD2240" s="1733"/>
      <c r="WDE2240" s="1733"/>
      <c r="WDF2240" s="1733"/>
      <c r="WDG2240" s="1733"/>
      <c r="WDH2240" s="1733"/>
      <c r="WDI2240" s="1733"/>
      <c r="WDJ2240" s="1733"/>
      <c r="WDK2240" s="1733"/>
      <c r="WDL2240" s="1733"/>
      <c r="WDM2240" s="1733"/>
      <c r="WDN2240" s="1733"/>
      <c r="WDO2240" s="1733"/>
      <c r="WDP2240" s="1733"/>
      <c r="WDQ2240" s="1733"/>
      <c r="WDR2240" s="1733"/>
      <c r="WDS2240" s="1733"/>
      <c r="WDT2240" s="1733"/>
      <c r="WDU2240" s="1733"/>
      <c r="WDV2240" s="1733"/>
      <c r="WDW2240" s="1733"/>
      <c r="WDX2240" s="1733"/>
      <c r="WDY2240" s="1733"/>
      <c r="WDZ2240" s="1733"/>
      <c r="WEA2240" s="1733"/>
      <c r="WEB2240" s="1733"/>
      <c r="WEC2240" s="1733"/>
      <c r="WED2240" s="1733"/>
      <c r="WEE2240" s="1733"/>
      <c r="WEF2240" s="1733"/>
      <c r="WEG2240" s="1733"/>
      <c r="WEH2240" s="1733"/>
      <c r="WEI2240" s="1733"/>
      <c r="WEJ2240" s="1733"/>
      <c r="WEK2240" s="1733"/>
      <c r="WEL2240" s="1733"/>
      <c r="WEM2240" s="1733"/>
      <c r="WEN2240" s="1733"/>
      <c r="WEO2240" s="1733"/>
      <c r="WEP2240" s="1733"/>
      <c r="WEQ2240" s="1733"/>
      <c r="WER2240" s="1733"/>
      <c r="WES2240" s="1733"/>
      <c r="WET2240" s="1733"/>
      <c r="WEU2240" s="1733"/>
      <c r="WEV2240" s="1733"/>
      <c r="WEW2240" s="1733"/>
      <c r="WEX2240" s="1733"/>
      <c r="WEY2240" s="1733"/>
      <c r="WEZ2240" s="1733"/>
      <c r="WFA2240" s="1733"/>
      <c r="WFB2240" s="1733"/>
      <c r="WFC2240" s="1733"/>
      <c r="WFD2240" s="1733"/>
      <c r="WFE2240" s="1733"/>
      <c r="WFF2240" s="1733"/>
      <c r="WFG2240" s="1733"/>
      <c r="WFH2240" s="1733"/>
      <c r="WFI2240" s="1733"/>
      <c r="WFJ2240" s="1733"/>
      <c r="WFK2240" s="1733"/>
      <c r="WFL2240" s="1733"/>
      <c r="WFM2240" s="1733"/>
      <c r="WFN2240" s="1733"/>
      <c r="WFO2240" s="1733"/>
      <c r="WFP2240" s="1733"/>
      <c r="WFQ2240" s="1733"/>
      <c r="WFR2240" s="1733"/>
      <c r="WFS2240" s="1733"/>
      <c r="WFT2240" s="1733"/>
      <c r="WFU2240" s="1733"/>
      <c r="WFV2240" s="1733"/>
      <c r="WFW2240" s="1733"/>
      <c r="WFX2240" s="1733"/>
      <c r="WFY2240" s="1733"/>
      <c r="WFZ2240" s="1733"/>
      <c r="WGA2240" s="1733"/>
      <c r="WGB2240" s="1733"/>
      <c r="WGC2240" s="1733"/>
      <c r="WGD2240" s="1733"/>
      <c r="WGE2240" s="1733"/>
      <c r="WGF2240" s="1733"/>
      <c r="WGG2240" s="1733"/>
      <c r="WGH2240" s="1733"/>
      <c r="WGI2240" s="1733"/>
      <c r="WGJ2240" s="1733"/>
      <c r="WGK2240" s="1733"/>
      <c r="WGL2240" s="1733"/>
      <c r="WGM2240" s="1733"/>
      <c r="WGN2240" s="1733"/>
      <c r="WGO2240" s="1733"/>
      <c r="WGP2240" s="1733"/>
      <c r="WGQ2240" s="1733"/>
      <c r="WGR2240" s="1733"/>
      <c r="WGS2240" s="1733"/>
      <c r="WGT2240" s="1733"/>
      <c r="WGU2240" s="1733"/>
      <c r="WGV2240" s="1733"/>
      <c r="WGW2240" s="1733"/>
      <c r="WGX2240" s="1733"/>
      <c r="WGY2240" s="1733"/>
      <c r="WGZ2240" s="1733"/>
      <c r="WHA2240" s="1733"/>
      <c r="WHB2240" s="1733"/>
      <c r="WHC2240" s="1733"/>
      <c r="WHD2240" s="1733"/>
      <c r="WHE2240" s="1733"/>
      <c r="WHF2240" s="1733"/>
      <c r="WHG2240" s="1733"/>
      <c r="WHH2240" s="1733"/>
      <c r="WHI2240" s="1733"/>
      <c r="WHJ2240" s="1733"/>
      <c r="WHK2240" s="1733"/>
      <c r="WHL2240" s="1733"/>
      <c r="WHM2240" s="1733"/>
      <c r="WHN2240" s="1733"/>
      <c r="WHO2240" s="1733"/>
      <c r="WHP2240" s="1733"/>
      <c r="WHQ2240" s="1733"/>
      <c r="WHR2240" s="1733"/>
      <c r="WHS2240" s="1733"/>
      <c r="WHT2240" s="1733"/>
      <c r="WHU2240" s="1733"/>
      <c r="WHV2240" s="1733"/>
      <c r="WHW2240" s="1733"/>
      <c r="WHX2240" s="1733"/>
      <c r="WHY2240" s="1733"/>
      <c r="WHZ2240" s="1733"/>
      <c r="WIA2240" s="1733"/>
      <c r="WIB2240" s="1733"/>
      <c r="WIC2240" s="1733"/>
      <c r="WID2240" s="1733"/>
      <c r="WIE2240" s="1733"/>
      <c r="WIF2240" s="1733"/>
      <c r="WIG2240" s="1733"/>
      <c r="WIH2240" s="1733"/>
      <c r="WII2240" s="1733"/>
      <c r="WIJ2240" s="1733"/>
      <c r="WIK2240" s="1733"/>
      <c r="WIL2240" s="1733"/>
      <c r="WIM2240" s="1733"/>
      <c r="WIN2240" s="1733"/>
      <c r="WIO2240" s="1733"/>
      <c r="WIP2240" s="1733"/>
      <c r="WIQ2240" s="1733"/>
      <c r="WIR2240" s="1733"/>
      <c r="WIS2240" s="1733"/>
      <c r="WIT2240" s="1733"/>
      <c r="WIU2240" s="1733"/>
      <c r="WIV2240" s="1733"/>
      <c r="WIW2240" s="1733"/>
      <c r="WIX2240" s="1733"/>
      <c r="WIY2240" s="1733"/>
      <c r="WIZ2240" s="1733"/>
      <c r="WJA2240" s="1733"/>
      <c r="WJB2240" s="1733"/>
      <c r="WJC2240" s="1733"/>
      <c r="WJD2240" s="1733"/>
      <c r="WJE2240" s="1733"/>
      <c r="WJF2240" s="1733"/>
      <c r="WJG2240" s="1733"/>
      <c r="WJH2240" s="1733"/>
      <c r="WJI2240" s="1733"/>
      <c r="WJJ2240" s="1733"/>
      <c r="WJK2240" s="1733"/>
      <c r="WJL2240" s="1733"/>
      <c r="WJM2240" s="1733"/>
      <c r="WJN2240" s="1733"/>
      <c r="WJO2240" s="1733"/>
      <c r="WJP2240" s="1733"/>
      <c r="WJQ2240" s="1733"/>
      <c r="WJR2240" s="1733"/>
      <c r="WJS2240" s="1733"/>
      <c r="WJT2240" s="1733"/>
      <c r="WJU2240" s="1733"/>
      <c r="WJV2240" s="1733"/>
      <c r="WJW2240" s="1733"/>
      <c r="WJX2240" s="1733"/>
      <c r="WJY2240" s="1733"/>
      <c r="WJZ2240" s="1733"/>
      <c r="WKA2240" s="1733"/>
      <c r="WKB2240" s="1733"/>
      <c r="WKC2240" s="1733"/>
      <c r="WKD2240" s="1733"/>
      <c r="WKE2240" s="1733"/>
      <c r="WKF2240" s="1733"/>
      <c r="WKG2240" s="1733"/>
      <c r="WKH2240" s="1733"/>
      <c r="WKI2240" s="1733"/>
      <c r="WKJ2240" s="1733"/>
      <c r="WKK2240" s="1733"/>
      <c r="WKL2240" s="1733"/>
      <c r="WKM2240" s="1733"/>
      <c r="WKN2240" s="1733"/>
      <c r="WKO2240" s="1733"/>
      <c r="WKP2240" s="1733"/>
      <c r="WKQ2240" s="1733"/>
      <c r="WKR2240" s="1733"/>
      <c r="WKS2240" s="1733"/>
      <c r="WKT2240" s="1733"/>
      <c r="WKU2240" s="1733"/>
      <c r="WKV2240" s="1733"/>
      <c r="WKW2240" s="1733"/>
      <c r="WKX2240" s="1733"/>
      <c r="WKY2240" s="1733"/>
      <c r="WKZ2240" s="1733"/>
      <c r="WLA2240" s="1733"/>
      <c r="WLB2240" s="1733"/>
      <c r="WLC2240" s="1733"/>
      <c r="WLD2240" s="1733"/>
      <c r="WLE2240" s="1733"/>
      <c r="WLF2240" s="1733"/>
      <c r="WLG2240" s="1733"/>
      <c r="WLH2240" s="1733"/>
      <c r="WLI2240" s="1733"/>
      <c r="WLJ2240" s="1733"/>
      <c r="WLK2240" s="1733"/>
      <c r="WLL2240" s="1733"/>
      <c r="WLM2240" s="1733"/>
      <c r="WLN2240" s="1733"/>
      <c r="WLO2240" s="1733"/>
      <c r="WLP2240" s="1733"/>
      <c r="WLQ2240" s="1733"/>
      <c r="WLR2240" s="1733"/>
      <c r="WLS2240" s="1733"/>
      <c r="WLT2240" s="1733"/>
      <c r="WLU2240" s="1733"/>
      <c r="WLV2240" s="1733"/>
      <c r="WLW2240" s="1733"/>
      <c r="WLX2240" s="1733"/>
      <c r="WLY2240" s="1733"/>
      <c r="WLZ2240" s="1733"/>
      <c r="WMA2240" s="1733"/>
      <c r="WMB2240" s="1733"/>
      <c r="WMC2240" s="1733"/>
      <c r="WMD2240" s="1733"/>
      <c r="WME2240" s="1733"/>
      <c r="WMF2240" s="1733"/>
      <c r="WMG2240" s="1733"/>
      <c r="WMH2240" s="1733"/>
      <c r="WMI2240" s="1733"/>
      <c r="WMJ2240" s="1733"/>
      <c r="WMK2240" s="1733"/>
      <c r="WML2240" s="1733"/>
      <c r="WMM2240" s="1733"/>
      <c r="WMN2240" s="1733"/>
      <c r="WMO2240" s="1733"/>
      <c r="WMP2240" s="1733"/>
      <c r="WMQ2240" s="1733"/>
      <c r="WMR2240" s="1733"/>
      <c r="WMS2240" s="1733"/>
      <c r="WMT2240" s="1733"/>
      <c r="WMU2240" s="1733"/>
      <c r="WMV2240" s="1733"/>
      <c r="WMW2240" s="1733"/>
      <c r="WMX2240" s="1733"/>
      <c r="WMY2240" s="1733"/>
      <c r="WMZ2240" s="1733"/>
      <c r="WNA2240" s="1733"/>
      <c r="WNB2240" s="1733"/>
      <c r="WNC2240" s="1733"/>
      <c r="WND2240" s="1733"/>
      <c r="WNE2240" s="1733"/>
      <c r="WNF2240" s="1733"/>
      <c r="WNG2240" s="1733"/>
      <c r="WNH2240" s="1733"/>
      <c r="WNI2240" s="1733"/>
      <c r="WNJ2240" s="1733"/>
      <c r="WNK2240" s="1733"/>
      <c r="WNL2240" s="1733"/>
      <c r="WNM2240" s="1733"/>
      <c r="WNN2240" s="1733"/>
      <c r="WNO2240" s="1733"/>
      <c r="WNP2240" s="1733"/>
      <c r="WNQ2240" s="1733"/>
      <c r="WNR2240" s="1733"/>
      <c r="WNS2240" s="1733"/>
      <c r="WNT2240" s="1733"/>
      <c r="WNU2240" s="1733"/>
      <c r="WNV2240" s="1733"/>
      <c r="WNW2240" s="1733"/>
      <c r="WNX2240" s="1733"/>
      <c r="WNY2240" s="1733"/>
      <c r="WNZ2240" s="1733"/>
      <c r="WOA2240" s="1733"/>
      <c r="WOB2240" s="1733"/>
      <c r="WOC2240" s="1733"/>
      <c r="WOD2240" s="1733"/>
      <c r="WOE2240" s="1733"/>
      <c r="WOF2240" s="1733"/>
      <c r="WOG2240" s="1733"/>
      <c r="WOH2240" s="1733"/>
      <c r="WOI2240" s="1733"/>
      <c r="WOJ2240" s="1733"/>
      <c r="WOK2240" s="1733"/>
      <c r="WOL2240" s="1733"/>
      <c r="WOM2240" s="1733"/>
      <c r="WON2240" s="1733"/>
      <c r="WOO2240" s="1733"/>
      <c r="WOP2240" s="1733"/>
      <c r="WOQ2240" s="1733"/>
      <c r="WOR2240" s="1733"/>
      <c r="WOS2240" s="1733"/>
      <c r="WOT2240" s="1733"/>
      <c r="WOU2240" s="1733"/>
      <c r="WOV2240" s="1733"/>
      <c r="WOW2240" s="1733"/>
      <c r="WOX2240" s="1733"/>
      <c r="WOY2240" s="1733"/>
      <c r="WOZ2240" s="1733"/>
      <c r="WPA2240" s="1733"/>
      <c r="WPB2240" s="1733"/>
      <c r="WPC2240" s="1733"/>
      <c r="WPD2240" s="1733"/>
      <c r="WPE2240" s="1733"/>
      <c r="WPF2240" s="1733"/>
      <c r="WPG2240" s="1733"/>
      <c r="WPH2240" s="1733"/>
      <c r="WPI2240" s="1733"/>
      <c r="WPJ2240" s="1733"/>
      <c r="WPK2240" s="1733"/>
      <c r="WPL2240" s="1733"/>
      <c r="WPM2240" s="1733"/>
      <c r="WPN2240" s="1733"/>
      <c r="WPO2240" s="1733"/>
      <c r="WPP2240" s="1733"/>
      <c r="WPQ2240" s="1733"/>
      <c r="WPR2240" s="1733"/>
      <c r="WPS2240" s="1733"/>
      <c r="WPT2240" s="1733"/>
      <c r="WPU2240" s="1733"/>
      <c r="WPV2240" s="1733"/>
      <c r="WPW2240" s="1733"/>
      <c r="WPX2240" s="1733"/>
      <c r="WPY2240" s="1733"/>
      <c r="WPZ2240" s="1733"/>
      <c r="WQA2240" s="1733"/>
      <c r="WQB2240" s="1733"/>
      <c r="WQC2240" s="1733"/>
      <c r="WQD2240" s="1733"/>
      <c r="WQE2240" s="1733"/>
      <c r="WQF2240" s="1733"/>
      <c r="WQG2240" s="1733"/>
      <c r="WQH2240" s="1733"/>
      <c r="WQI2240" s="1733"/>
      <c r="WQJ2240" s="1733"/>
      <c r="WQK2240" s="1733"/>
      <c r="WQL2240" s="1733"/>
      <c r="WQM2240" s="1733"/>
      <c r="WQN2240" s="1733"/>
      <c r="WQO2240" s="1733"/>
      <c r="WQP2240" s="1733"/>
      <c r="WQQ2240" s="1733"/>
      <c r="WQR2240" s="1733"/>
      <c r="WQS2240" s="1733"/>
      <c r="WQT2240" s="1733"/>
      <c r="WQU2240" s="1733"/>
      <c r="WQV2240" s="1733"/>
      <c r="WQW2240" s="1733"/>
      <c r="WQX2240" s="1733"/>
      <c r="WQY2240" s="1733"/>
      <c r="WQZ2240" s="1733"/>
      <c r="WRA2240" s="1733"/>
      <c r="WRB2240" s="1733"/>
      <c r="WRC2240" s="1733"/>
      <c r="WRD2240" s="1733"/>
      <c r="WRE2240" s="1733"/>
      <c r="WRF2240" s="1733"/>
      <c r="WRG2240" s="1733"/>
      <c r="WRH2240" s="1733"/>
      <c r="WRI2240" s="1733"/>
      <c r="WRJ2240" s="1733"/>
      <c r="WRK2240" s="1733"/>
      <c r="WRL2240" s="1733"/>
      <c r="WRM2240" s="1733"/>
      <c r="WRN2240" s="1733"/>
      <c r="WRO2240" s="1733"/>
      <c r="WRP2240" s="1733"/>
      <c r="WRQ2240" s="1733"/>
      <c r="WRR2240" s="1733"/>
      <c r="WRS2240" s="1733"/>
      <c r="WRT2240" s="1733"/>
      <c r="WRU2240" s="1733"/>
      <c r="WRV2240" s="1733"/>
      <c r="WRW2240" s="1733"/>
      <c r="WRX2240" s="1733"/>
      <c r="WRY2240" s="1733"/>
      <c r="WRZ2240" s="1733"/>
      <c r="WSA2240" s="1733"/>
      <c r="WSB2240" s="1733"/>
      <c r="WSC2240" s="1733"/>
      <c r="WSD2240" s="1733"/>
      <c r="WSE2240" s="1733"/>
      <c r="WSF2240" s="1733"/>
      <c r="WSG2240" s="1733"/>
      <c r="WSH2240" s="1733"/>
      <c r="WSI2240" s="1733"/>
      <c r="WSJ2240" s="1733"/>
      <c r="WSK2240" s="1733"/>
      <c r="WSL2240" s="1733"/>
      <c r="WSM2240" s="1733"/>
      <c r="WSN2240" s="1733"/>
      <c r="WSO2240" s="1733"/>
      <c r="WSP2240" s="1733"/>
      <c r="WSQ2240" s="1733"/>
      <c r="WSR2240" s="1733"/>
      <c r="WSS2240" s="1733"/>
      <c r="WST2240" s="1733"/>
      <c r="WSU2240" s="1733"/>
      <c r="WSV2240" s="1733"/>
      <c r="WSW2240" s="1733"/>
      <c r="WSX2240" s="1733"/>
      <c r="WSY2240" s="1733"/>
      <c r="WSZ2240" s="1733"/>
      <c r="WTA2240" s="1733"/>
      <c r="WTB2240" s="1733"/>
      <c r="WTC2240" s="1733"/>
      <c r="WTD2240" s="1733"/>
      <c r="WTE2240" s="1733"/>
      <c r="WTF2240" s="1733"/>
      <c r="WTG2240" s="1733"/>
      <c r="WTH2240" s="1733"/>
      <c r="WTI2240" s="1733"/>
      <c r="WTJ2240" s="1733"/>
      <c r="WTK2240" s="1733"/>
      <c r="WTL2240" s="1733"/>
      <c r="WTM2240" s="1733"/>
      <c r="WTN2240" s="1733"/>
      <c r="WTO2240" s="1733"/>
      <c r="WTP2240" s="1733"/>
      <c r="WTQ2240" s="1733"/>
      <c r="WTR2240" s="1733"/>
      <c r="WTS2240" s="1733"/>
      <c r="WTT2240" s="1733"/>
      <c r="WTU2240" s="1733"/>
      <c r="WTV2240" s="1733"/>
      <c r="WTW2240" s="1733"/>
      <c r="WTX2240" s="1733"/>
      <c r="WTY2240" s="1733"/>
      <c r="WTZ2240" s="1733"/>
      <c r="WUA2240" s="1733"/>
      <c r="WUB2240" s="1733"/>
      <c r="WUC2240" s="1733"/>
      <c r="WUD2240" s="1733"/>
      <c r="WUE2240" s="1733"/>
      <c r="WUF2240" s="1733"/>
      <c r="WUG2240" s="1733"/>
      <c r="WUH2240" s="1733"/>
      <c r="WUI2240" s="1733"/>
      <c r="WUJ2240" s="1733"/>
      <c r="WUK2240" s="1733"/>
      <c r="WUL2240" s="1733"/>
      <c r="WUM2240" s="1733"/>
      <c r="WUN2240" s="1733"/>
      <c r="WUO2240" s="1733"/>
      <c r="WUP2240" s="1733"/>
      <c r="WUQ2240" s="1733"/>
      <c r="WUR2240" s="1733"/>
      <c r="WUS2240" s="1733"/>
      <c r="WUT2240" s="1733"/>
      <c r="WUU2240" s="1733"/>
      <c r="WUV2240" s="1733"/>
      <c r="WUW2240" s="1733"/>
      <c r="WUX2240" s="1733"/>
      <c r="WUY2240" s="1733"/>
      <c r="WUZ2240" s="1733"/>
      <c r="WVA2240" s="1733"/>
      <c r="WVB2240" s="1733"/>
      <c r="WVC2240" s="1733"/>
      <c r="WVD2240" s="1733"/>
      <c r="WVE2240" s="1733"/>
      <c r="WVF2240" s="1733"/>
      <c r="WVG2240" s="1733"/>
      <c r="WVH2240" s="1733"/>
      <c r="WVI2240" s="1733"/>
      <c r="WVJ2240" s="1733"/>
      <c r="WVK2240" s="1733"/>
      <c r="WVL2240" s="1733"/>
      <c r="WVM2240" s="1733"/>
      <c r="WVN2240" s="1733"/>
      <c r="WVO2240" s="1733"/>
      <c r="WVP2240" s="1733"/>
      <c r="WVQ2240" s="1733"/>
      <c r="WVR2240" s="1733"/>
      <c r="WVS2240" s="1733"/>
      <c r="WVT2240" s="1733"/>
      <c r="WVU2240" s="1733"/>
      <c r="WVV2240" s="1733"/>
      <c r="WVW2240" s="1733"/>
      <c r="WVX2240" s="1733"/>
      <c r="WVY2240" s="1733"/>
      <c r="WVZ2240" s="1733"/>
      <c r="WWA2240" s="1733"/>
      <c r="WWB2240" s="1733"/>
      <c r="WWC2240" s="1733"/>
      <c r="WWD2240" s="1733"/>
      <c r="WWE2240" s="1733"/>
      <c r="WWF2240" s="1733"/>
      <c r="WWG2240" s="1733"/>
      <c r="WWH2240" s="1733"/>
      <c r="WWI2240" s="1733"/>
      <c r="WWJ2240" s="1733"/>
      <c r="WWK2240" s="1733"/>
      <c r="WWL2240" s="1733"/>
      <c r="WWM2240" s="1733"/>
      <c r="WWN2240" s="1733"/>
      <c r="WWO2240" s="1733"/>
      <c r="WWP2240" s="1733"/>
      <c r="WWQ2240" s="1733"/>
      <c r="WWR2240" s="1733"/>
      <c r="WWS2240" s="1733"/>
      <c r="WWT2240" s="1733"/>
      <c r="WWU2240" s="1733"/>
      <c r="WWV2240" s="1733"/>
      <c r="WWW2240" s="1733"/>
      <c r="WWX2240" s="1733"/>
      <c r="WWY2240" s="1733"/>
      <c r="WWZ2240" s="1733"/>
      <c r="WXA2240" s="1733"/>
      <c r="WXB2240" s="1733"/>
      <c r="WXC2240" s="1733"/>
      <c r="WXD2240" s="1733"/>
      <c r="WXE2240" s="1733"/>
      <c r="WXF2240" s="1733"/>
      <c r="WXG2240" s="1733"/>
      <c r="WXH2240" s="1733"/>
      <c r="WXI2240" s="1733"/>
      <c r="WXJ2240" s="1733"/>
      <c r="WXK2240" s="1733"/>
      <c r="WXL2240" s="1733"/>
      <c r="WXM2240" s="1733"/>
      <c r="WXN2240" s="1733"/>
      <c r="WXO2240" s="1733"/>
      <c r="WXP2240" s="1733"/>
      <c r="WXQ2240" s="1733"/>
      <c r="WXR2240" s="1733"/>
      <c r="WXS2240" s="1733"/>
      <c r="WXT2240" s="1733"/>
      <c r="WXU2240" s="1733"/>
      <c r="WXV2240" s="1733"/>
      <c r="WXW2240" s="1733"/>
      <c r="WXX2240" s="1733"/>
      <c r="WXY2240" s="1733"/>
      <c r="WXZ2240" s="1733"/>
      <c r="WYA2240" s="1733"/>
      <c r="WYB2240" s="1733"/>
      <c r="WYC2240" s="1733"/>
      <c r="WYD2240" s="1733"/>
      <c r="WYE2240" s="1733"/>
      <c r="WYF2240" s="1733"/>
      <c r="WYG2240" s="1733"/>
      <c r="WYH2240" s="1733"/>
      <c r="WYI2240" s="1733"/>
      <c r="WYJ2240" s="1733"/>
      <c r="WYK2240" s="1733"/>
      <c r="WYL2240" s="1733"/>
      <c r="WYM2240" s="1733"/>
      <c r="WYN2240" s="1733"/>
      <c r="WYO2240" s="1733"/>
      <c r="WYP2240" s="1733"/>
      <c r="WYQ2240" s="1733"/>
      <c r="WYR2240" s="1733"/>
      <c r="WYS2240" s="1733"/>
      <c r="WYT2240" s="1733"/>
      <c r="WYU2240" s="1733"/>
      <c r="WYV2240" s="1733"/>
      <c r="WYW2240" s="1733"/>
      <c r="WYX2240" s="1733"/>
      <c r="WYY2240" s="1733"/>
      <c r="WYZ2240" s="1733"/>
      <c r="WZA2240" s="1733"/>
      <c r="WZB2240" s="1733"/>
      <c r="WZC2240" s="1733"/>
      <c r="WZD2240" s="1733"/>
      <c r="WZE2240" s="1733"/>
      <c r="WZF2240" s="1733"/>
      <c r="WZG2240" s="1733"/>
      <c r="WZH2240" s="1733"/>
      <c r="WZI2240" s="1733"/>
      <c r="WZJ2240" s="1733"/>
      <c r="WZK2240" s="1733"/>
      <c r="WZL2240" s="1733"/>
      <c r="WZM2240" s="1733"/>
      <c r="WZN2240" s="1733"/>
      <c r="WZO2240" s="1733"/>
      <c r="WZP2240" s="1733"/>
      <c r="WZQ2240" s="1733"/>
      <c r="WZR2240" s="1733"/>
      <c r="WZS2240" s="1733"/>
      <c r="WZT2240" s="1733"/>
      <c r="WZU2240" s="1733"/>
      <c r="WZV2240" s="1733"/>
      <c r="WZW2240" s="1733"/>
      <c r="WZX2240" s="1733"/>
      <c r="WZY2240" s="1733"/>
      <c r="WZZ2240" s="1733"/>
      <c r="XAA2240" s="1733"/>
      <c r="XAB2240" s="1733"/>
      <c r="XAC2240" s="1733"/>
      <c r="XAD2240" s="1733"/>
      <c r="XAE2240" s="1733"/>
      <c r="XAF2240" s="1733"/>
      <c r="XAG2240" s="1733"/>
      <c r="XAH2240" s="1733"/>
      <c r="XAI2240" s="1733"/>
      <c r="XAJ2240" s="1733"/>
      <c r="XAK2240" s="1733"/>
      <c r="XAL2240" s="1733"/>
      <c r="XAM2240" s="1733"/>
      <c r="XAN2240" s="1733"/>
      <c r="XAO2240" s="1733"/>
      <c r="XAP2240" s="1733"/>
      <c r="XAQ2240" s="1733"/>
      <c r="XAR2240" s="1733"/>
      <c r="XAS2240" s="1733"/>
      <c r="XAT2240" s="1733"/>
      <c r="XAU2240" s="1733"/>
      <c r="XAV2240" s="1733"/>
      <c r="XAW2240" s="1733"/>
      <c r="XAX2240" s="1733"/>
      <c r="XAY2240" s="1733"/>
      <c r="XAZ2240" s="1733"/>
      <c r="XBA2240" s="1733"/>
      <c r="XBB2240" s="1733"/>
      <c r="XBC2240" s="1733"/>
      <c r="XBD2240" s="1733"/>
      <c r="XBE2240" s="1733"/>
      <c r="XBF2240" s="1733"/>
      <c r="XBG2240" s="1733"/>
      <c r="XBH2240" s="1733"/>
      <c r="XBI2240" s="1733"/>
      <c r="XBJ2240" s="1733"/>
      <c r="XBK2240" s="1733"/>
      <c r="XBL2240" s="1733"/>
      <c r="XBM2240" s="1733"/>
      <c r="XBN2240" s="1733"/>
      <c r="XBO2240" s="1733"/>
      <c r="XBP2240" s="1733"/>
      <c r="XBQ2240" s="1733"/>
      <c r="XBR2240" s="1733"/>
      <c r="XBS2240" s="1733"/>
      <c r="XBT2240" s="1733"/>
      <c r="XBU2240" s="1733"/>
      <c r="XBV2240" s="1733"/>
      <c r="XBW2240" s="1733"/>
      <c r="XBX2240" s="1733"/>
      <c r="XBY2240" s="1733"/>
      <c r="XBZ2240" s="1733"/>
      <c r="XCA2240" s="1733"/>
      <c r="XCB2240" s="1733"/>
      <c r="XCC2240" s="1733"/>
      <c r="XCD2240" s="1733"/>
      <c r="XCE2240" s="1733"/>
      <c r="XCF2240" s="1733"/>
      <c r="XCG2240" s="1733"/>
      <c r="XCH2240" s="1733"/>
      <c r="XCI2240" s="1733"/>
      <c r="XCJ2240" s="1733"/>
      <c r="XCK2240" s="1733"/>
      <c r="XCL2240" s="1733"/>
      <c r="XCM2240" s="1733"/>
      <c r="XCN2240" s="1733"/>
      <c r="XCO2240" s="1733"/>
      <c r="XCP2240" s="1733"/>
      <c r="XCQ2240" s="1733"/>
      <c r="XCR2240" s="1733"/>
      <c r="XCS2240" s="1733"/>
      <c r="XCT2240" s="1733"/>
      <c r="XCU2240" s="1733"/>
      <c r="XCV2240" s="1733"/>
      <c r="XCW2240" s="1733"/>
      <c r="XCX2240" s="1733"/>
      <c r="XCY2240" s="1733"/>
      <c r="XCZ2240" s="1733"/>
      <c r="XDA2240" s="1733"/>
      <c r="XDB2240" s="1733"/>
      <c r="XDC2240" s="1733"/>
      <c r="XDD2240" s="1733"/>
      <c r="XDE2240" s="1733"/>
      <c r="XDF2240" s="1733"/>
      <c r="XDG2240" s="1733"/>
      <c r="XDH2240" s="1733"/>
      <c r="XDI2240" s="1733"/>
      <c r="XDJ2240" s="1733"/>
      <c r="XDK2240" s="1733"/>
      <c r="XDL2240" s="1733"/>
      <c r="XDM2240" s="1733"/>
      <c r="XDN2240" s="1733"/>
      <c r="XDO2240" s="1733"/>
      <c r="XDP2240" s="1733"/>
      <c r="XDQ2240" s="1733"/>
      <c r="XDR2240" s="1733"/>
      <c r="XDS2240" s="1733"/>
      <c r="XDT2240" s="1733"/>
      <c r="XDU2240" s="1733"/>
      <c r="XDV2240" s="1733"/>
      <c r="XDW2240" s="1733"/>
      <c r="XDX2240" s="1733"/>
      <c r="XDY2240" s="1733"/>
      <c r="XDZ2240" s="1733"/>
      <c r="XEA2240" s="1733"/>
      <c r="XEB2240" s="1733"/>
      <c r="XEC2240" s="1733"/>
      <c r="XED2240" s="1733"/>
      <c r="XEE2240" s="1733"/>
      <c r="XEF2240" s="1733"/>
      <c r="XEG2240" s="1733"/>
      <c r="XEH2240" s="1733"/>
      <c r="XEI2240" s="1733"/>
      <c r="XEJ2240" s="1733"/>
      <c r="XEK2240" s="1733"/>
      <c r="XEL2240" s="1733"/>
      <c r="XEM2240" s="1733"/>
      <c r="XEN2240" s="1733"/>
      <c r="XEO2240" s="1733"/>
      <c r="XEP2240" s="1733"/>
      <c r="XEQ2240" s="1733"/>
      <c r="XER2240" s="1733"/>
      <c r="XES2240" s="1733"/>
      <c r="XET2240" s="1733"/>
      <c r="XEU2240" s="1733"/>
      <c r="XEV2240" s="1733"/>
      <c r="XEW2240" s="1733"/>
      <c r="XEX2240" s="1733"/>
      <c r="XEY2240" s="1733"/>
      <c r="XEZ2240" s="1733"/>
    </row>
    <row r="2241" spans="1:12">
      <c r="A2241" s="83" t="s">
        <v>11688</v>
      </c>
      <c r="B2241" s="83" t="s">
        <v>6617</v>
      </c>
      <c r="C2241" s="83" t="s">
        <v>11688</v>
      </c>
      <c r="D2241" s="83" t="s">
        <v>6626</v>
      </c>
      <c r="E2241" s="83" cm="1">
        <f t="array" ref="E2241">mental_cases_suicide_learners_after_lastsy_jul</f>
        <v>0</v>
      </c>
      <c r="F2241" s="83" t="b">
        <v>1</v>
      </c>
      <c r="G2241" s="83"/>
      <c r="H2241" s="83"/>
    </row>
    <row r="2242" spans="1:12">
      <c r="A2242" s="83" t="s">
        <v>11689</v>
      </c>
      <c r="B2242" s="83" t="s">
        <v>6617</v>
      </c>
      <c r="C2242" s="83" t="s">
        <v>11689</v>
      </c>
      <c r="D2242" s="83" t="s">
        <v>6627</v>
      </c>
      <c r="E2242" s="83" cm="1">
        <f t="array" ref="E2242">mental_cases_suicide_learners_after_lastsy_aug</f>
        <v>0</v>
      </c>
      <c r="F2242" s="83" t="b">
        <v>1</v>
      </c>
      <c r="G2242" s="83"/>
      <c r="H2242" s="83"/>
    </row>
    <row r="2243" spans="1:12" s="1737" customFormat="1">
      <c r="A2243" s="1736" t="s">
        <v>11844</v>
      </c>
      <c r="B2243" s="1736" t="s">
        <v>6617</v>
      </c>
      <c r="C2243" s="1736" t="s">
        <v>11844</v>
      </c>
      <c r="D2243" s="1736" t="s">
        <v>6628</v>
      </c>
      <c r="E2243" s="1736" cm="1">
        <f t="array" ref="E2243">mental_cases_suicide_learners_currsy_aug</f>
        <v>0</v>
      </c>
      <c r="F2243" s="1736" t="b">
        <v>1</v>
      </c>
      <c r="G2243" s="1736"/>
      <c r="H2243" s="109"/>
      <c r="I2243" s="109"/>
      <c r="J2243" s="109"/>
      <c r="K2243" s="109"/>
      <c r="L2243" s="1737" t="s">
        <v>11841</v>
      </c>
    </row>
    <row r="2244" spans="1:12">
      <c r="A2244" s="83" t="s">
        <v>11724</v>
      </c>
      <c r="B2244" s="83" t="s">
        <v>6617</v>
      </c>
      <c r="C2244" s="83" t="s">
        <v>11724</v>
      </c>
      <c r="D2244" s="83" t="s">
        <v>6629</v>
      </c>
      <c r="E2244" s="83" cm="1">
        <f t="array" ref="E2244">mental_cases_suicide_learners_currsy_sep</f>
        <v>0</v>
      </c>
      <c r="F2244" s="83" t="b">
        <v>1</v>
      </c>
      <c r="G2244" s="83"/>
      <c r="H2244" s="83"/>
    </row>
    <row r="2245" spans="1:12">
      <c r="A2245" s="83" t="s">
        <v>11725</v>
      </c>
      <c r="B2245" s="83" t="s">
        <v>6617</v>
      </c>
      <c r="C2245" s="83" t="s">
        <v>11725</v>
      </c>
      <c r="D2245" s="83" t="s">
        <v>6630</v>
      </c>
      <c r="E2245" s="83" cm="1">
        <f t="array" ref="E2245">mental_cases_suicide_learners_currsy_oct</f>
        <v>0</v>
      </c>
      <c r="F2245" s="83" t="b">
        <v>1</v>
      </c>
      <c r="G2245" s="83"/>
      <c r="H2245" s="83"/>
    </row>
    <row r="2246" spans="1:12">
      <c r="A2246" s="83" t="s">
        <v>11726</v>
      </c>
      <c r="B2246" s="83" t="s">
        <v>6617</v>
      </c>
      <c r="C2246" s="83" t="s">
        <v>11726</v>
      </c>
      <c r="D2246" s="83" t="s">
        <v>6631</v>
      </c>
      <c r="E2246" s="83" cm="1">
        <f t="array" ref="E2246">mental_cases_suicide_learners_currsy_nov</f>
        <v>0</v>
      </c>
      <c r="F2246" s="83" t="b">
        <v>1</v>
      </c>
      <c r="G2246" s="83"/>
      <c r="H2246" s="83"/>
    </row>
    <row r="2247" spans="1:12">
      <c r="A2247" s="83" t="s">
        <v>11703</v>
      </c>
      <c r="B2247" s="83" t="s">
        <v>6617</v>
      </c>
      <c r="C2247" s="83" t="s">
        <v>11703</v>
      </c>
      <c r="D2247" s="83" t="s">
        <v>6632</v>
      </c>
      <c r="E2247" s="83" cm="1">
        <f t="array" ref="E2247">mental_cases_suicide_personnel_lastsy_dec</f>
        <v>0</v>
      </c>
      <c r="F2247" s="83" t="b">
        <v>1</v>
      </c>
      <c r="G2247" s="83"/>
      <c r="H2247" s="83"/>
    </row>
    <row r="2248" spans="1:12">
      <c r="A2248" s="83" t="s">
        <v>11704</v>
      </c>
      <c r="B2248" s="83" t="s">
        <v>6617</v>
      </c>
      <c r="C2248" s="83" t="s">
        <v>11704</v>
      </c>
      <c r="D2248" s="83" t="s">
        <v>6633</v>
      </c>
      <c r="E2248" s="83" cm="1">
        <f t="array" ref="E2248">mental_cases_suicide_personnel_lastsy_jan</f>
        <v>0</v>
      </c>
      <c r="F2248" s="83" t="b">
        <v>1</v>
      </c>
      <c r="G2248" s="83"/>
      <c r="H2248" s="83"/>
    </row>
    <row r="2249" spans="1:12">
      <c r="A2249" s="83" t="s">
        <v>11705</v>
      </c>
      <c r="B2249" s="83" t="s">
        <v>6617</v>
      </c>
      <c r="C2249" s="83" t="s">
        <v>11705</v>
      </c>
      <c r="D2249" s="83" t="s">
        <v>6634</v>
      </c>
      <c r="E2249" s="83" cm="1">
        <f t="array" ref="E2249">mental_cases_suicide_personnel_lastsy_feb</f>
        <v>0</v>
      </c>
      <c r="F2249" s="83" t="b">
        <v>1</v>
      </c>
      <c r="G2249" s="83"/>
      <c r="H2249" s="83"/>
    </row>
    <row r="2250" spans="1:12">
      <c r="A2250" s="83" t="s">
        <v>11706</v>
      </c>
      <c r="B2250" s="83" t="s">
        <v>6617</v>
      </c>
      <c r="C2250" s="83" t="s">
        <v>11706</v>
      </c>
      <c r="D2250" s="83" t="s">
        <v>6635</v>
      </c>
      <c r="E2250" s="83" cm="1">
        <f t="array" ref="E2250">mental_cases_suicide_personnel_lastsy_mar</f>
        <v>0</v>
      </c>
      <c r="F2250" s="83" t="b">
        <v>1</v>
      </c>
      <c r="G2250" s="83"/>
      <c r="H2250" s="83"/>
    </row>
    <row r="2251" spans="1:12">
      <c r="A2251" s="83" t="s">
        <v>11707</v>
      </c>
      <c r="B2251" s="83" t="s">
        <v>6617</v>
      </c>
      <c r="C2251" s="83" t="s">
        <v>11707</v>
      </c>
      <c r="D2251" s="83" t="s">
        <v>6636</v>
      </c>
      <c r="E2251" s="83" cm="1">
        <f t="array" ref="E2251">mental_cases_suicide_personnel_lastsy_apr</f>
        <v>0</v>
      </c>
      <c r="F2251" s="83" t="b">
        <v>1</v>
      </c>
      <c r="G2251" s="83"/>
      <c r="H2251" s="83"/>
    </row>
    <row r="2252" spans="1:12">
      <c r="A2252" s="83" t="s">
        <v>11708</v>
      </c>
      <c r="B2252" s="83" t="s">
        <v>6617</v>
      </c>
      <c r="C2252" s="83" t="s">
        <v>11708</v>
      </c>
      <c r="D2252" s="83" t="s">
        <v>6637</v>
      </c>
      <c r="E2252" s="83" cm="1">
        <f t="array" ref="E2252">mental_cases_suicide_personnel_lastsy_may</f>
        <v>0</v>
      </c>
      <c r="F2252" s="83" t="b">
        <v>1</v>
      </c>
      <c r="G2252" s="83"/>
      <c r="H2252" s="83"/>
    </row>
    <row r="2253" spans="1:12">
      <c r="A2253" s="83" t="s">
        <v>11709</v>
      </c>
      <c r="B2253" s="83" t="s">
        <v>6617</v>
      </c>
      <c r="C2253" s="83" t="s">
        <v>11709</v>
      </c>
      <c r="D2253" s="83" t="s">
        <v>6638</v>
      </c>
      <c r="E2253" s="83" cm="1">
        <f t="array" ref="E2253">mental_cases_suicide_personnel_lastsy_jun</f>
        <v>0</v>
      </c>
      <c r="F2253" s="83" t="b">
        <v>1</v>
      </c>
      <c r="G2253" s="83"/>
      <c r="H2253" s="83"/>
    </row>
    <row r="2254" spans="1:12" s="1737" customFormat="1">
      <c r="A2254" s="1736" t="s">
        <v>11846</v>
      </c>
      <c r="B2254" s="1736" t="s">
        <v>6617</v>
      </c>
      <c r="C2254" s="1736" t="s">
        <v>11846</v>
      </c>
      <c r="D2254" s="1736" t="s">
        <v>6640</v>
      </c>
      <c r="E2254" s="1738" cm="1">
        <f t="array" ref="E2254">mental_cases_suicide_personnel_after_lastsy_jun</f>
        <v>0</v>
      </c>
      <c r="F2254" s="1736" t="b">
        <v>1</v>
      </c>
      <c r="H2254" s="109"/>
      <c r="I2254" s="109"/>
      <c r="J2254" s="109"/>
      <c r="K2254" s="109"/>
      <c r="L2254" s="1737" t="s">
        <v>11841</v>
      </c>
    </row>
    <row r="2255" spans="1:12">
      <c r="A2255" s="83" t="s">
        <v>11690</v>
      </c>
      <c r="B2255" s="83" t="s">
        <v>6617</v>
      </c>
      <c r="C2255" s="83" t="s">
        <v>11690</v>
      </c>
      <c r="D2255" s="83" t="s">
        <v>6639</v>
      </c>
      <c r="E2255" s="83" cm="1">
        <f t="array" ref="E2255">mental_cases_suicide_personnel_after_lastsy_jul</f>
        <v>0</v>
      </c>
      <c r="F2255" s="83" t="b">
        <v>1</v>
      </c>
      <c r="G2255" s="83"/>
      <c r="H2255" s="83"/>
    </row>
    <row r="2256" spans="1:12">
      <c r="A2256" s="83" t="s">
        <v>11691</v>
      </c>
      <c r="B2256" s="83" t="s">
        <v>6617</v>
      </c>
      <c r="C2256" s="83" t="s">
        <v>11691</v>
      </c>
      <c r="D2256" s="83" t="s">
        <v>6641</v>
      </c>
      <c r="E2256" s="83" cm="1">
        <f t="array" ref="E2256">mental_cases_suicide_personnel_after_lastsy_aug</f>
        <v>0</v>
      </c>
      <c r="F2256" s="83" t="b">
        <v>1</v>
      </c>
      <c r="G2256" s="83"/>
      <c r="H2256" s="83"/>
    </row>
    <row r="2257" spans="1:12" s="1737" customFormat="1">
      <c r="A2257" s="1736" t="s">
        <v>11848</v>
      </c>
      <c r="B2257" s="1736" t="s">
        <v>6617</v>
      </c>
      <c r="C2257" s="1736" t="s">
        <v>11848</v>
      </c>
      <c r="D2257" s="1736" t="s">
        <v>6642</v>
      </c>
      <c r="E2257" s="1736" cm="1">
        <f t="array" ref="E2257">mental_cases_suicide_personnel_currsy_aug</f>
        <v>0</v>
      </c>
      <c r="F2257" s="1736" t="b">
        <v>1</v>
      </c>
      <c r="G2257" s="1736"/>
      <c r="H2257" s="109"/>
      <c r="I2257" s="109"/>
      <c r="J2257" s="109"/>
      <c r="K2257" s="109"/>
      <c r="L2257" s="1737" t="s">
        <v>11841</v>
      </c>
    </row>
    <row r="2258" spans="1:12">
      <c r="A2258" s="83" t="s">
        <v>11727</v>
      </c>
      <c r="B2258" s="83" t="s">
        <v>6617</v>
      </c>
      <c r="C2258" s="83" t="s">
        <v>11727</v>
      </c>
      <c r="D2258" s="83" t="s">
        <v>6643</v>
      </c>
      <c r="E2258" s="83" cm="1">
        <f t="array" ref="E2258">mental_cases_suicide_personnel_currsy_sep</f>
        <v>0</v>
      </c>
      <c r="F2258" s="83" t="b">
        <v>1</v>
      </c>
      <c r="G2258" s="83"/>
      <c r="H2258" s="83"/>
    </row>
    <row r="2259" spans="1:12">
      <c r="A2259" s="83" t="s">
        <v>11728</v>
      </c>
      <c r="B2259" s="83" t="s">
        <v>6617</v>
      </c>
      <c r="C2259" s="83" t="s">
        <v>11728</v>
      </c>
      <c r="D2259" s="83" t="s">
        <v>6644</v>
      </c>
      <c r="E2259" s="83" cm="1">
        <f t="array" ref="E2259">mental_cases_suicide_personnel_currsy_oct</f>
        <v>0</v>
      </c>
      <c r="F2259" s="83" t="b">
        <v>1</v>
      </c>
      <c r="G2259" s="83"/>
      <c r="H2259" s="83"/>
    </row>
    <row r="2260" spans="1:12">
      <c r="A2260" s="83" t="s">
        <v>11729</v>
      </c>
      <c r="B2260" s="83" t="s">
        <v>6617</v>
      </c>
      <c r="C2260" s="83" t="s">
        <v>11729</v>
      </c>
      <c r="D2260" s="83" t="s">
        <v>6645</v>
      </c>
      <c r="E2260" s="83" cm="1">
        <f t="array" ref="E2260">mental_cases_suicide_personnel_currsy_nov</f>
        <v>0</v>
      </c>
      <c r="F2260" s="83" t="b">
        <v>1</v>
      </c>
      <c r="G2260" s="83"/>
      <c r="H2260" s="83"/>
    </row>
    <row r="2261" spans="1:12">
      <c r="A2261" s="83" t="s">
        <v>11710</v>
      </c>
      <c r="B2261" s="83" t="s">
        <v>6617</v>
      </c>
      <c r="C2261" s="83" t="s">
        <v>11710</v>
      </c>
      <c r="D2261" s="83" t="s">
        <v>6646</v>
      </c>
      <c r="E2261" s="83" cm="1">
        <f t="array" ref="E2261">mental_cases_attemptsuicide_learners_lastsy_dec</f>
        <v>0</v>
      </c>
      <c r="F2261" s="83" t="b">
        <v>1</v>
      </c>
      <c r="G2261" s="83"/>
      <c r="H2261" s="83"/>
    </row>
    <row r="2262" spans="1:12">
      <c r="A2262" s="83" t="s">
        <v>11711</v>
      </c>
      <c r="B2262" s="83" t="s">
        <v>6617</v>
      </c>
      <c r="C2262" s="83" t="s">
        <v>11711</v>
      </c>
      <c r="D2262" s="83" t="s">
        <v>6647</v>
      </c>
      <c r="E2262" s="83" cm="1">
        <f t="array" ref="E2262">mental_cases_attemptsuicide_learners_lastsy_jan</f>
        <v>0</v>
      </c>
      <c r="F2262" s="83" t="b">
        <v>1</v>
      </c>
      <c r="G2262" s="83"/>
      <c r="H2262" s="83"/>
    </row>
    <row r="2263" spans="1:12">
      <c r="A2263" s="83" t="s">
        <v>11712</v>
      </c>
      <c r="B2263" s="83" t="s">
        <v>6617</v>
      </c>
      <c r="C2263" s="83" t="s">
        <v>11712</v>
      </c>
      <c r="D2263" s="83" t="s">
        <v>6648</v>
      </c>
      <c r="E2263" s="83" cm="1">
        <f t="array" ref="E2263">mental_cases_attemptsuicide_learners_lastsy_feb</f>
        <v>0</v>
      </c>
      <c r="F2263" s="83" t="b">
        <v>1</v>
      </c>
      <c r="G2263" s="83"/>
      <c r="H2263" s="83"/>
    </row>
    <row r="2264" spans="1:12">
      <c r="A2264" s="83" t="s">
        <v>11713</v>
      </c>
      <c r="B2264" s="83" t="s">
        <v>6617</v>
      </c>
      <c r="C2264" s="83" t="s">
        <v>11713</v>
      </c>
      <c r="D2264" s="83" t="s">
        <v>6649</v>
      </c>
      <c r="E2264" s="83" cm="1">
        <f t="array" ref="E2264">mental_cases_attemptsuicide_learners_lastsy_mar</f>
        <v>0</v>
      </c>
      <c r="F2264" s="83" t="b">
        <v>1</v>
      </c>
      <c r="G2264" s="83"/>
      <c r="H2264" s="83"/>
    </row>
    <row r="2265" spans="1:12">
      <c r="A2265" s="83" t="s">
        <v>11714</v>
      </c>
      <c r="B2265" s="83" t="s">
        <v>6617</v>
      </c>
      <c r="C2265" s="83" t="s">
        <v>11714</v>
      </c>
      <c r="D2265" s="83" t="s">
        <v>6650</v>
      </c>
      <c r="E2265" s="83" cm="1">
        <f t="array" ref="E2265">mental_cases_attemptsuicide_learners_lastsy_apr</f>
        <v>0</v>
      </c>
      <c r="F2265" s="83" t="b">
        <v>1</v>
      </c>
      <c r="G2265" s="83"/>
      <c r="H2265" s="83"/>
    </row>
    <row r="2266" spans="1:12">
      <c r="A2266" s="83" t="s">
        <v>11715</v>
      </c>
      <c r="B2266" s="83" t="s">
        <v>6617</v>
      </c>
      <c r="C2266" s="83" t="s">
        <v>11715</v>
      </c>
      <c r="D2266" s="83" t="s">
        <v>6651</v>
      </c>
      <c r="E2266" s="83" cm="1">
        <f t="array" ref="E2266">mental_cases_attemptsuicide_learners_lastsy_may</f>
        <v>0</v>
      </c>
      <c r="F2266" s="83" t="b">
        <v>1</v>
      </c>
      <c r="G2266" s="83"/>
      <c r="H2266" s="83"/>
    </row>
    <row r="2267" spans="1:12">
      <c r="A2267" s="83" t="s">
        <v>11716</v>
      </c>
      <c r="B2267" s="83" t="s">
        <v>6617</v>
      </c>
      <c r="C2267" s="83" t="s">
        <v>11716</v>
      </c>
      <c r="D2267" s="83" t="s">
        <v>6652</v>
      </c>
      <c r="E2267" s="83" cm="1">
        <f t="array" ref="E2267">mental_cases_attemptsuicide_learners_lastsy_jun</f>
        <v>0</v>
      </c>
      <c r="F2267" s="83" t="b">
        <v>1</v>
      </c>
      <c r="G2267" s="83"/>
      <c r="H2267" s="83"/>
    </row>
    <row r="2268" spans="1:12" s="1737" customFormat="1">
      <c r="A2268" s="1736" t="s">
        <v>11843</v>
      </c>
      <c r="B2268" s="1736" t="s">
        <v>6617</v>
      </c>
      <c r="C2268" s="1736" t="s">
        <v>11843</v>
      </c>
      <c r="D2268" s="1736" t="s">
        <v>6653</v>
      </c>
      <c r="E2268" s="1736" cm="1">
        <f t="array" ref="E2268">mental_cases_attemptsuicide_learners_after_lastsy_jun</f>
        <v>0</v>
      </c>
      <c r="F2268" s="1736" t="b">
        <v>1</v>
      </c>
      <c r="G2268" s="1736"/>
      <c r="H2268" s="109"/>
      <c r="I2268" s="109"/>
      <c r="J2268" s="109"/>
      <c r="K2268" s="109"/>
      <c r="L2268" s="1737" t="s">
        <v>11841</v>
      </c>
    </row>
    <row r="2269" spans="1:12">
      <c r="A2269" s="83" t="s">
        <v>11692</v>
      </c>
      <c r="B2269" s="83" t="s">
        <v>6617</v>
      </c>
      <c r="C2269" s="83" t="s">
        <v>11692</v>
      </c>
      <c r="D2269" s="83" t="s">
        <v>6654</v>
      </c>
      <c r="E2269" s="83" cm="1">
        <f t="array" ref="E2269">mental_cases_attemptsuicide_learners_after_lastsy_jul</f>
        <v>0</v>
      </c>
      <c r="F2269" s="83" t="b">
        <v>1</v>
      </c>
      <c r="G2269" s="83"/>
      <c r="H2269" s="83"/>
    </row>
    <row r="2270" spans="1:12">
      <c r="A2270" s="83" t="s">
        <v>11693</v>
      </c>
      <c r="B2270" s="83" t="s">
        <v>6617</v>
      </c>
      <c r="C2270" s="83" t="s">
        <v>11693</v>
      </c>
      <c r="D2270" s="83" t="s">
        <v>6655</v>
      </c>
      <c r="E2270" s="83" cm="1">
        <f t="array" ref="E2270">mental_cases_attemptsuicide_learners_after_lastsy_aug</f>
        <v>0</v>
      </c>
      <c r="F2270" s="83" t="b">
        <v>1</v>
      </c>
      <c r="G2270" s="83"/>
      <c r="H2270" s="83"/>
    </row>
    <row r="2271" spans="1:12" s="1737" customFormat="1">
      <c r="A2271" s="1736" t="s">
        <v>11845</v>
      </c>
      <c r="B2271" s="1736" t="s">
        <v>6617</v>
      </c>
      <c r="C2271" s="1736" t="s">
        <v>11845</v>
      </c>
      <c r="D2271" s="1736" t="s">
        <v>6656</v>
      </c>
      <c r="E2271" s="1736" cm="1">
        <f t="array" ref="E2271">mental_cases_attemptsuicide_learners_currsy_aug</f>
        <v>0</v>
      </c>
      <c r="F2271" s="1736" t="b">
        <v>1</v>
      </c>
      <c r="G2271" s="1736"/>
      <c r="H2271" s="109"/>
      <c r="I2271" s="109"/>
      <c r="J2271" s="109"/>
      <c r="K2271" s="109"/>
      <c r="L2271" s="1737" t="s">
        <v>11841</v>
      </c>
    </row>
    <row r="2272" spans="1:12">
      <c r="A2272" s="83" t="s">
        <v>11730</v>
      </c>
      <c r="B2272" s="83" t="s">
        <v>6617</v>
      </c>
      <c r="C2272" s="83" t="s">
        <v>11730</v>
      </c>
      <c r="D2272" s="83" t="s">
        <v>6657</v>
      </c>
      <c r="E2272" s="83" cm="1">
        <f t="array" ref="E2272">mental_cases_attemptsuicide_learners_currsy_sep</f>
        <v>0</v>
      </c>
      <c r="F2272" s="83" t="b">
        <v>1</v>
      </c>
      <c r="G2272" s="83"/>
      <c r="H2272" s="83"/>
    </row>
    <row r="2273" spans="1:12">
      <c r="A2273" s="83" t="s">
        <v>11731</v>
      </c>
      <c r="B2273" s="83" t="s">
        <v>6617</v>
      </c>
      <c r="C2273" s="83" t="s">
        <v>11731</v>
      </c>
      <c r="D2273" s="83" t="s">
        <v>6658</v>
      </c>
      <c r="E2273" s="83" cm="1">
        <f t="array" ref="E2273">mental_cases_attemptsuicide_learners_currsy_oct</f>
        <v>0</v>
      </c>
      <c r="F2273" s="83" t="b">
        <v>1</v>
      </c>
      <c r="G2273" s="83"/>
      <c r="H2273" s="83"/>
    </row>
    <row r="2274" spans="1:12">
      <c r="A2274" s="83" t="s">
        <v>11732</v>
      </c>
      <c r="B2274" s="83" t="s">
        <v>6617</v>
      </c>
      <c r="C2274" s="83" t="s">
        <v>11732</v>
      </c>
      <c r="D2274" s="83" t="s">
        <v>6659</v>
      </c>
      <c r="E2274" s="83" cm="1">
        <f t="array" ref="E2274">mental_cases_attemptsuicide_learners_currsy_nov</f>
        <v>0</v>
      </c>
      <c r="F2274" s="83" t="b">
        <v>1</v>
      </c>
      <c r="G2274" s="83"/>
      <c r="H2274" s="83"/>
    </row>
    <row r="2275" spans="1:12">
      <c r="A2275" s="83" t="s">
        <v>11717</v>
      </c>
      <c r="B2275" s="83" t="s">
        <v>6617</v>
      </c>
      <c r="C2275" s="83" t="s">
        <v>11717</v>
      </c>
      <c r="D2275" s="83" t="s">
        <v>6660</v>
      </c>
      <c r="E2275" s="83" cm="1">
        <f t="array" ref="E2275">mental_cases_attemptsuicide_personnel_lastsy_dec</f>
        <v>0</v>
      </c>
      <c r="F2275" s="83" t="b">
        <v>1</v>
      </c>
      <c r="G2275" s="83"/>
      <c r="H2275" s="83"/>
    </row>
    <row r="2276" spans="1:12">
      <c r="A2276" s="83" t="s">
        <v>11718</v>
      </c>
      <c r="B2276" s="83" t="s">
        <v>6617</v>
      </c>
      <c r="C2276" s="83" t="s">
        <v>11718</v>
      </c>
      <c r="D2276" s="83" t="s">
        <v>6661</v>
      </c>
      <c r="E2276" s="83" cm="1">
        <f t="array" ref="E2276">mental_cases_attemptsuicide_personnel_lastsy_jan</f>
        <v>0</v>
      </c>
      <c r="F2276" s="83" t="b">
        <v>1</v>
      </c>
      <c r="G2276" s="83"/>
      <c r="H2276" s="83"/>
    </row>
    <row r="2277" spans="1:12">
      <c r="A2277" s="83" t="s">
        <v>11719</v>
      </c>
      <c r="B2277" s="83" t="s">
        <v>6617</v>
      </c>
      <c r="C2277" s="83" t="s">
        <v>11719</v>
      </c>
      <c r="D2277" s="83" t="s">
        <v>6662</v>
      </c>
      <c r="E2277" s="83" cm="1">
        <f t="array" ref="E2277">mental_cases_attemptsuicide_personnel_lastsy_feb</f>
        <v>0</v>
      </c>
      <c r="F2277" s="83" t="b">
        <v>1</v>
      </c>
      <c r="G2277" s="83"/>
      <c r="H2277" s="83"/>
    </row>
    <row r="2278" spans="1:12">
      <c r="A2278" s="83" t="s">
        <v>11720</v>
      </c>
      <c r="B2278" s="83" t="s">
        <v>6617</v>
      </c>
      <c r="C2278" s="83" t="s">
        <v>11720</v>
      </c>
      <c r="D2278" s="83" t="s">
        <v>6663</v>
      </c>
      <c r="E2278" s="83" cm="1">
        <f t="array" ref="E2278">mental_cases_attemptsuicide_personnel_lastsy_mar</f>
        <v>0</v>
      </c>
      <c r="F2278" s="83" t="b">
        <v>1</v>
      </c>
      <c r="G2278" s="83"/>
      <c r="H2278" s="83"/>
    </row>
    <row r="2279" spans="1:12">
      <c r="A2279" s="83" t="s">
        <v>11721</v>
      </c>
      <c r="B2279" s="83" t="s">
        <v>6617</v>
      </c>
      <c r="C2279" s="83" t="s">
        <v>11721</v>
      </c>
      <c r="D2279" s="83" t="s">
        <v>6664</v>
      </c>
      <c r="E2279" s="83" cm="1">
        <f t="array" ref="E2279">mental_cases_attemptsuicide_personnel_lastsy_apr</f>
        <v>0</v>
      </c>
      <c r="F2279" s="83" t="b">
        <v>1</v>
      </c>
      <c r="G2279" s="83"/>
      <c r="H2279" s="83"/>
    </row>
    <row r="2280" spans="1:12">
      <c r="A2280" s="83" t="s">
        <v>11722</v>
      </c>
      <c r="B2280" s="83" t="s">
        <v>6617</v>
      </c>
      <c r="C2280" s="83" t="s">
        <v>11722</v>
      </c>
      <c r="D2280" s="83" t="s">
        <v>6665</v>
      </c>
      <c r="E2280" s="83" cm="1">
        <f t="array" ref="E2280">mental_cases_attemptsuicide_personnel_lastsy_may</f>
        <v>0</v>
      </c>
      <c r="F2280" s="83" t="b">
        <v>1</v>
      </c>
      <c r="G2280" s="83"/>
      <c r="H2280" s="83"/>
    </row>
    <row r="2281" spans="1:12">
      <c r="A2281" s="83" t="s">
        <v>11723</v>
      </c>
      <c r="B2281" s="83" t="s">
        <v>6617</v>
      </c>
      <c r="C2281" s="83" t="s">
        <v>11723</v>
      </c>
      <c r="D2281" s="83" t="s">
        <v>6666</v>
      </c>
      <c r="E2281" s="83" cm="1">
        <f t="array" ref="E2281">mental_cases_attemptsuicide_personnel_lastsy_jun</f>
        <v>0</v>
      </c>
      <c r="F2281" s="83" t="b">
        <v>1</v>
      </c>
      <c r="G2281" s="83"/>
      <c r="H2281" s="83"/>
    </row>
    <row r="2282" spans="1:12" s="1737" customFormat="1">
      <c r="A2282" s="1736" t="s">
        <v>11849</v>
      </c>
      <c r="B2282" s="1736" t="s">
        <v>6617</v>
      </c>
      <c r="C2282" s="1736" t="s">
        <v>11849</v>
      </c>
      <c r="D2282" s="1736" t="s">
        <v>6667</v>
      </c>
      <c r="E2282" s="1736" cm="1">
        <f t="array" ref="E2282">mental_cases_attemptsuicide_personnel_after_lastsy_jun</f>
        <v>0</v>
      </c>
      <c r="F2282" s="1736" t="b">
        <v>1</v>
      </c>
      <c r="G2282" s="1736"/>
      <c r="H2282" s="109"/>
      <c r="I2282" s="109"/>
      <c r="J2282" s="109"/>
      <c r="K2282" s="109"/>
      <c r="L2282" s="1737" t="s">
        <v>11841</v>
      </c>
    </row>
    <row r="2283" spans="1:12">
      <c r="A2283" s="83" t="s">
        <v>11694</v>
      </c>
      <c r="B2283" s="83" t="s">
        <v>6617</v>
      </c>
      <c r="C2283" s="83" t="s">
        <v>11694</v>
      </c>
      <c r="D2283" s="83" t="s">
        <v>6668</v>
      </c>
      <c r="E2283" s="83" cm="1">
        <f t="array" ref="E2283">mental_cases_attemptsuicide_personnel_after_lastsy_jul</f>
        <v>0</v>
      </c>
      <c r="F2283" s="83" t="b">
        <v>1</v>
      </c>
      <c r="G2283" s="83"/>
      <c r="H2283" s="83"/>
    </row>
    <row r="2284" spans="1:12">
      <c r="A2284" s="83" t="s">
        <v>11695</v>
      </c>
      <c r="B2284" s="83" t="s">
        <v>6617</v>
      </c>
      <c r="C2284" s="83" t="s">
        <v>11695</v>
      </c>
      <c r="D2284" s="83" t="s">
        <v>6669</v>
      </c>
      <c r="E2284" s="83" cm="1">
        <f t="array" ref="E2284">mental_cases_attemptsuicide_personnel_after_lastsy_aug</f>
        <v>0</v>
      </c>
      <c r="F2284" s="83" t="b">
        <v>1</v>
      </c>
      <c r="G2284" s="83"/>
      <c r="H2284" s="83"/>
    </row>
    <row r="2285" spans="1:12" s="1737" customFormat="1">
      <c r="A2285" s="1736" t="s">
        <v>11850</v>
      </c>
      <c r="B2285" s="1736" t="s">
        <v>6617</v>
      </c>
      <c r="C2285" s="1736" t="s">
        <v>11850</v>
      </c>
      <c r="D2285" s="1736" t="s">
        <v>6670</v>
      </c>
      <c r="E2285" s="1736" cm="1">
        <f t="array" ref="E2285">mental_cases_attemptsuicide_personnel_currsy_aug</f>
        <v>0</v>
      </c>
      <c r="F2285" s="1736" t="b">
        <v>1</v>
      </c>
      <c r="H2285" s="109"/>
      <c r="I2285" s="109"/>
      <c r="J2285" s="109"/>
      <c r="K2285" s="109"/>
      <c r="L2285" s="1737" t="s">
        <v>11841</v>
      </c>
    </row>
    <row r="2286" spans="1:12">
      <c r="A2286" s="83" t="s">
        <v>11733</v>
      </c>
      <c r="B2286" s="83" t="s">
        <v>6617</v>
      </c>
      <c r="C2286" s="83" t="s">
        <v>11733</v>
      </c>
      <c r="D2286" s="83" t="s">
        <v>6671</v>
      </c>
      <c r="E2286" s="83" cm="1">
        <f t="array" ref="E2286">mental_cases_attemptsuicide_personnel_currsy_sep</f>
        <v>0</v>
      </c>
      <c r="F2286" s="83" t="b">
        <v>1</v>
      </c>
      <c r="G2286" s="83"/>
      <c r="H2286" s="83"/>
    </row>
    <row r="2287" spans="1:12">
      <c r="A2287" s="83" t="s">
        <v>11734</v>
      </c>
      <c r="B2287" s="83" t="s">
        <v>6617</v>
      </c>
      <c r="C2287" s="83" t="s">
        <v>11734</v>
      </c>
      <c r="D2287" s="83" t="s">
        <v>6672</v>
      </c>
      <c r="E2287" s="83" cm="1">
        <f t="array" ref="E2287">mental_cases_attemptsuicide_personnel_currsy_oct</f>
        <v>0</v>
      </c>
      <c r="F2287" s="83" t="b">
        <v>1</v>
      </c>
      <c r="G2287" s="83"/>
      <c r="H2287" s="83"/>
    </row>
    <row r="2288" spans="1:12" ht="16" thickBot="1">
      <c r="A2288" s="85" t="s">
        <v>11735</v>
      </c>
      <c r="B2288" s="85" t="s">
        <v>6617</v>
      </c>
      <c r="C2288" s="85" t="s">
        <v>11735</v>
      </c>
      <c r="D2288" s="85" t="s">
        <v>6673</v>
      </c>
      <c r="E2288" s="85" cm="1">
        <f t="array" ref="E2288">mental_cases_attemptsuicide_personnel_currsy_nov</f>
        <v>0</v>
      </c>
      <c r="F2288" s="85" t="b">
        <v>1</v>
      </c>
      <c r="G2288" s="85"/>
      <c r="H2288" s="85"/>
    </row>
    <row r="2289" spans="1:8">
      <c r="A2289" s="83" t="s">
        <v>6674</v>
      </c>
      <c r="B2289" s="83" t="s">
        <v>6675</v>
      </c>
      <c r="C2289" s="83" t="s">
        <v>6674</v>
      </c>
      <c r="D2289" s="83" t="s">
        <v>6772</v>
      </c>
      <c r="E2289" s="84" t="b">
        <f>sch_guidanceofc_ifyes</f>
        <v>0</v>
      </c>
      <c r="F2289" s="83" t="b">
        <f t="shared" ref="F2289:F2290" si="40">OR(E2289=TRUE, E2289=FALSE)</f>
        <v>1</v>
      </c>
      <c r="G2289" s="83" t="s">
        <v>2287</v>
      </c>
      <c r="H2289" s="83"/>
    </row>
    <row r="2290" spans="1:8">
      <c r="A2290" s="83" t="s">
        <v>6676</v>
      </c>
      <c r="B2290" s="83" t="s">
        <v>6675</v>
      </c>
      <c r="C2290" s="83" t="s">
        <v>6676</v>
      </c>
      <c r="D2290" s="83" t="s">
        <v>6773</v>
      </c>
      <c r="E2290" s="84" t="b">
        <f>sch_pic_guidanceofc_regguidancecounselor_ifyes</f>
        <v>0</v>
      </c>
      <c r="F2290" s="83" t="b">
        <f t="shared" si="40"/>
        <v>1</v>
      </c>
      <c r="G2290" s="83" t="s">
        <v>2287</v>
      </c>
      <c r="H2290" s="83"/>
    </row>
    <row r="2291" spans="1:8">
      <c r="A2291" s="83" t="s">
        <v>6677</v>
      </c>
      <c r="B2291" s="83" t="s">
        <v>6675</v>
      </c>
      <c r="C2291" s="83" t="s">
        <v>6677</v>
      </c>
      <c r="D2291" s="83" t="s">
        <v>6774</v>
      </c>
      <c r="E2291" s="84">
        <f>mental_learners_guidance_k</f>
        <v>0</v>
      </c>
      <c r="F2291" s="83" t="b">
        <v>1</v>
      </c>
      <c r="G2291" s="83"/>
      <c r="H2291" s="83"/>
    </row>
    <row r="2292" spans="1:8">
      <c r="A2292" s="83" t="s">
        <v>6678</v>
      </c>
      <c r="B2292" s="83" t="s">
        <v>6675</v>
      </c>
      <c r="C2292" s="83" t="s">
        <v>6678</v>
      </c>
      <c r="D2292" s="83" t="s">
        <v>6775</v>
      </c>
      <c r="E2292" s="84">
        <f>mental_learners_guidance_g1</f>
        <v>0</v>
      </c>
      <c r="F2292" s="83" t="b">
        <v>1</v>
      </c>
      <c r="G2292" s="83"/>
      <c r="H2292" s="83"/>
    </row>
    <row r="2293" spans="1:8">
      <c r="A2293" s="83" t="s">
        <v>6679</v>
      </c>
      <c r="B2293" s="83" t="s">
        <v>6675</v>
      </c>
      <c r="C2293" s="83" t="s">
        <v>6679</v>
      </c>
      <c r="D2293" s="83" t="s">
        <v>6776</v>
      </c>
      <c r="E2293" s="84">
        <f>mental_learners_guidance_g2</f>
        <v>0</v>
      </c>
      <c r="F2293" s="83" t="b">
        <v>1</v>
      </c>
      <c r="G2293" s="83"/>
      <c r="H2293" s="83"/>
    </row>
    <row r="2294" spans="1:8">
      <c r="A2294" s="83" t="s">
        <v>6680</v>
      </c>
      <c r="B2294" s="83" t="s">
        <v>6675</v>
      </c>
      <c r="C2294" s="83" t="s">
        <v>6680</v>
      </c>
      <c r="D2294" s="83" t="s">
        <v>6777</v>
      </c>
      <c r="E2294" s="84">
        <f>mental_learners_guidance_g3</f>
        <v>0</v>
      </c>
      <c r="F2294" s="83" t="b">
        <v>1</v>
      </c>
      <c r="G2294" s="83"/>
      <c r="H2294" s="83"/>
    </row>
    <row r="2295" spans="1:8">
      <c r="A2295" s="83" t="s">
        <v>6681</v>
      </c>
      <c r="B2295" s="83" t="s">
        <v>6675</v>
      </c>
      <c r="C2295" s="83" t="s">
        <v>6681</v>
      </c>
      <c r="D2295" s="83" t="s">
        <v>6778</v>
      </c>
      <c r="E2295" s="84">
        <f>mental_learners_guidance_g4</f>
        <v>0</v>
      </c>
      <c r="F2295" s="83" t="b">
        <v>1</v>
      </c>
      <c r="G2295" s="83"/>
      <c r="H2295" s="83"/>
    </row>
    <row r="2296" spans="1:8">
      <c r="A2296" s="83" t="s">
        <v>6682</v>
      </c>
      <c r="B2296" s="83" t="s">
        <v>6675</v>
      </c>
      <c r="C2296" s="83" t="s">
        <v>6682</v>
      </c>
      <c r="D2296" s="83" t="s">
        <v>6779</v>
      </c>
      <c r="E2296" s="84">
        <f>mental_learners_guidance_g5</f>
        <v>0</v>
      </c>
      <c r="F2296" s="83" t="b">
        <v>1</v>
      </c>
      <c r="G2296" s="83"/>
      <c r="H2296" s="83"/>
    </row>
    <row r="2297" spans="1:8">
      <c r="A2297" s="83" t="s">
        <v>6683</v>
      </c>
      <c r="B2297" s="83" t="s">
        <v>6675</v>
      </c>
      <c r="C2297" s="83" t="s">
        <v>6683</v>
      </c>
      <c r="D2297" s="83" t="s">
        <v>6780</v>
      </c>
      <c r="E2297" s="84">
        <f>mental_learners_guidance_g6</f>
        <v>0</v>
      </c>
      <c r="F2297" s="83" t="b">
        <v>1</v>
      </c>
      <c r="G2297" s="83"/>
      <c r="H2297" s="83"/>
    </row>
    <row r="2298" spans="1:8">
      <c r="A2298" s="83" t="s">
        <v>6684</v>
      </c>
      <c r="B2298" s="83" t="s">
        <v>6675</v>
      </c>
      <c r="C2298" s="83" t="s">
        <v>6684</v>
      </c>
      <c r="D2298" s="83" t="s">
        <v>6781</v>
      </c>
      <c r="E2298" s="84" t="b">
        <f>sch_screentool_riskmentalcond_ifyes</f>
        <v>0</v>
      </c>
      <c r="F2298" s="83" t="b">
        <f t="shared" ref="F2298:F2300" si="41">OR(E2298=TRUE, E2298=FALSE)</f>
        <v>1</v>
      </c>
      <c r="G2298" s="83" t="s">
        <v>2287</v>
      </c>
      <c r="H2298" s="83"/>
    </row>
    <row r="2299" spans="1:8">
      <c r="A2299" s="83" t="s">
        <v>6685</v>
      </c>
      <c r="B2299" s="83" t="s">
        <v>6675</v>
      </c>
      <c r="C2299" s="83" t="s">
        <v>6685</v>
      </c>
      <c r="D2299" s="83" t="s">
        <v>6782</v>
      </c>
      <c r="E2299" s="84" t="b">
        <f>sch_celeb_natlmentalhealthwk_oct_ifyes</f>
        <v>1</v>
      </c>
      <c r="F2299" s="83" t="b">
        <f t="shared" si="41"/>
        <v>1</v>
      </c>
      <c r="G2299" s="83" t="s">
        <v>2287</v>
      </c>
      <c r="H2299" s="83"/>
    </row>
    <row r="2300" spans="1:8">
      <c r="A2300" s="83" t="s">
        <v>6686</v>
      </c>
      <c r="B2300" s="83" t="s">
        <v>6675</v>
      </c>
      <c r="C2300" s="83" t="s">
        <v>6686</v>
      </c>
      <c r="D2300" s="83" t="s">
        <v>6783</v>
      </c>
      <c r="E2300" s="84" t="b">
        <f>sch_conduct_menttraining_learners_ifyes</f>
        <v>0</v>
      </c>
      <c r="F2300" s="83" t="b">
        <f t="shared" si="41"/>
        <v>1</v>
      </c>
      <c r="G2300" s="83" t="s">
        <v>2287</v>
      </c>
      <c r="H2300" s="83"/>
    </row>
    <row r="2301" spans="1:8">
      <c r="A2301" s="83" t="s">
        <v>6687</v>
      </c>
      <c r="B2301" s="83" t="s">
        <v>6675</v>
      </c>
      <c r="C2301" s="83" t="s">
        <v>6687</v>
      </c>
      <c r="D2301" s="83" t="s">
        <v>6784</v>
      </c>
      <c r="E2301" s="84">
        <f>num_lrnrs_participate_menttraining_bullying_k</f>
        <v>0</v>
      </c>
      <c r="F2301" s="83" t="b">
        <v>1</v>
      </c>
      <c r="G2301" s="83"/>
      <c r="H2301" s="83"/>
    </row>
    <row r="2302" spans="1:8">
      <c r="A2302" s="83" t="s">
        <v>6688</v>
      </c>
      <c r="B2302" s="83" t="s">
        <v>6675</v>
      </c>
      <c r="C2302" s="83" t="s">
        <v>6688</v>
      </c>
      <c r="D2302" s="83" t="s">
        <v>6785</v>
      </c>
      <c r="E2302" s="84">
        <f>num_lrnrs_participate_menttraining_mhpicdepression_k</f>
        <v>0</v>
      </c>
      <c r="F2302" s="83" t="b">
        <v>1</v>
      </c>
      <c r="G2302" s="83"/>
      <c r="H2302" s="83"/>
    </row>
    <row r="2303" spans="1:8">
      <c r="A2303" s="83" t="s">
        <v>6689</v>
      </c>
      <c r="B2303" s="83" t="s">
        <v>6675</v>
      </c>
      <c r="C2303" s="83" t="s">
        <v>6689</v>
      </c>
      <c r="D2303" s="83" t="s">
        <v>6786</v>
      </c>
      <c r="E2303" s="84">
        <f>num_lrnrs_participate_menttraining_suicideprevention_k</f>
        <v>0</v>
      </c>
      <c r="F2303" s="83" t="b">
        <v>1</v>
      </c>
      <c r="G2303" s="83"/>
      <c r="H2303" s="83"/>
    </row>
    <row r="2304" spans="1:8">
      <c r="A2304" s="83" t="s">
        <v>6690</v>
      </c>
      <c r="B2304" s="83" t="s">
        <v>6675</v>
      </c>
      <c r="C2304" s="83" t="s">
        <v>6690</v>
      </c>
      <c r="D2304" s="83" t="s">
        <v>6787</v>
      </c>
      <c r="E2304" s="84">
        <f>num_lrnrs_participate_menttraining_selfcare_k</f>
        <v>0</v>
      </c>
      <c r="F2304" s="83" t="b">
        <v>1</v>
      </c>
      <c r="G2304" s="83"/>
      <c r="H2304" s="83"/>
    </row>
    <row r="2305" spans="1:8">
      <c r="A2305" s="83" t="s">
        <v>6691</v>
      </c>
      <c r="B2305" s="83" t="s">
        <v>6675</v>
      </c>
      <c r="C2305" s="83" t="s">
        <v>6691</v>
      </c>
      <c r="D2305" s="83" t="s">
        <v>6788</v>
      </c>
      <c r="E2305" s="84">
        <f>num_lrnrs_participate_menttraining_psycfirstaid_k</f>
        <v>0</v>
      </c>
      <c r="F2305" s="83" t="b">
        <v>1</v>
      </c>
      <c r="G2305" s="83"/>
      <c r="H2305" s="83"/>
    </row>
    <row r="2306" spans="1:8">
      <c r="A2306" s="83" t="s">
        <v>6692</v>
      </c>
      <c r="B2306" s="83" t="s">
        <v>6675</v>
      </c>
      <c r="C2306" s="83" t="s">
        <v>6692</v>
      </c>
      <c r="D2306" s="83" t="s">
        <v>6789</v>
      </c>
      <c r="E2306" s="84">
        <f>num_lrnrs_participate_menttraining_othertopics_k</f>
        <v>0</v>
      </c>
      <c r="F2306" s="83" t="b">
        <v>1</v>
      </c>
      <c r="G2306" s="83"/>
      <c r="H2306" s="83"/>
    </row>
    <row r="2307" spans="1:8">
      <c r="A2307" s="83" t="s">
        <v>6693</v>
      </c>
      <c r="B2307" s="83" t="s">
        <v>6675</v>
      </c>
      <c r="C2307" s="83" t="s">
        <v>6693</v>
      </c>
      <c r="D2307" s="83" t="s">
        <v>6790</v>
      </c>
      <c r="E2307" s="84">
        <f>num_lrnrs_participate_menttraining_bullying_g1</f>
        <v>0</v>
      </c>
      <c r="F2307" s="83" t="b">
        <v>1</v>
      </c>
      <c r="G2307" s="83"/>
      <c r="H2307" s="83"/>
    </row>
    <row r="2308" spans="1:8">
      <c r="A2308" s="83" t="s">
        <v>6694</v>
      </c>
      <c r="B2308" s="83" t="s">
        <v>6675</v>
      </c>
      <c r="C2308" s="83" t="s">
        <v>6694</v>
      </c>
      <c r="D2308" s="83" t="s">
        <v>6791</v>
      </c>
      <c r="E2308" s="84">
        <f>num_lrnrs_participate_menttraining_mhpicdepression_g1</f>
        <v>0</v>
      </c>
      <c r="F2308" s="83" t="b">
        <v>1</v>
      </c>
      <c r="G2308" s="83"/>
      <c r="H2308" s="83"/>
    </row>
    <row r="2309" spans="1:8">
      <c r="A2309" s="83" t="s">
        <v>6695</v>
      </c>
      <c r="B2309" s="83" t="s">
        <v>6675</v>
      </c>
      <c r="C2309" s="83" t="s">
        <v>6695</v>
      </c>
      <c r="D2309" s="83" t="s">
        <v>6792</v>
      </c>
      <c r="E2309" s="84">
        <f>num_lrnrs_participate_menttraining_suicideprevention_g1</f>
        <v>0</v>
      </c>
      <c r="F2309" s="83" t="b">
        <v>1</v>
      </c>
      <c r="G2309" s="83"/>
      <c r="H2309" s="83"/>
    </row>
    <row r="2310" spans="1:8">
      <c r="A2310" s="83" t="s">
        <v>6696</v>
      </c>
      <c r="B2310" s="83" t="s">
        <v>6675</v>
      </c>
      <c r="C2310" s="83" t="s">
        <v>6696</v>
      </c>
      <c r="D2310" s="83" t="s">
        <v>6793</v>
      </c>
      <c r="E2310" s="84">
        <f>num_lrnrs_participate_menttraining_selfcare_g1</f>
        <v>0</v>
      </c>
      <c r="F2310" s="83" t="b">
        <v>1</v>
      </c>
      <c r="G2310" s="83"/>
      <c r="H2310" s="83"/>
    </row>
    <row r="2311" spans="1:8">
      <c r="A2311" s="83" t="s">
        <v>6697</v>
      </c>
      <c r="B2311" s="83" t="s">
        <v>6675</v>
      </c>
      <c r="C2311" s="83" t="s">
        <v>6697</v>
      </c>
      <c r="D2311" s="83" t="s">
        <v>6794</v>
      </c>
      <c r="E2311" s="84">
        <f>num_lrnrs_participate_menttraining_psycfirstaid_g1</f>
        <v>0</v>
      </c>
      <c r="F2311" s="83" t="b">
        <v>1</v>
      </c>
      <c r="G2311" s="83"/>
      <c r="H2311" s="83"/>
    </row>
    <row r="2312" spans="1:8">
      <c r="A2312" s="83" t="s">
        <v>6698</v>
      </c>
      <c r="B2312" s="83" t="s">
        <v>6675</v>
      </c>
      <c r="C2312" s="83" t="s">
        <v>6698</v>
      </c>
      <c r="D2312" s="83" t="s">
        <v>6795</v>
      </c>
      <c r="E2312" s="84">
        <f>num_lrnrs_participate_menttraining_othertopics_g1</f>
        <v>0</v>
      </c>
      <c r="F2312" s="83" t="b">
        <v>1</v>
      </c>
      <c r="G2312" s="83"/>
      <c r="H2312" s="83"/>
    </row>
    <row r="2313" spans="1:8">
      <c r="A2313" s="83" t="s">
        <v>6699</v>
      </c>
      <c r="B2313" s="83" t="s">
        <v>6675</v>
      </c>
      <c r="C2313" s="83" t="s">
        <v>6699</v>
      </c>
      <c r="D2313" s="83" t="s">
        <v>6796</v>
      </c>
      <c r="E2313" s="84">
        <f>num_lrnrs_participate_menttraining_bullying_g2</f>
        <v>0</v>
      </c>
      <c r="F2313" s="83" t="b">
        <v>1</v>
      </c>
      <c r="G2313" s="83"/>
      <c r="H2313" s="83"/>
    </row>
    <row r="2314" spans="1:8">
      <c r="A2314" s="83" t="s">
        <v>6700</v>
      </c>
      <c r="B2314" s="83" t="s">
        <v>6675</v>
      </c>
      <c r="C2314" s="83" t="s">
        <v>6700</v>
      </c>
      <c r="D2314" s="83" t="s">
        <v>6797</v>
      </c>
      <c r="E2314" s="84">
        <f>num_lrnrs_participate_menttraining_mhpicdepression_g2</f>
        <v>0</v>
      </c>
      <c r="F2314" s="83" t="b">
        <v>1</v>
      </c>
      <c r="G2314" s="83"/>
      <c r="H2314" s="83"/>
    </row>
    <row r="2315" spans="1:8">
      <c r="A2315" s="83" t="s">
        <v>6701</v>
      </c>
      <c r="B2315" s="83" t="s">
        <v>6675</v>
      </c>
      <c r="C2315" s="83" t="s">
        <v>6701</v>
      </c>
      <c r="D2315" s="83" t="s">
        <v>6798</v>
      </c>
      <c r="E2315" s="84">
        <f>num_lrnrs_participate_menttraining_suicideprevention_g2</f>
        <v>0</v>
      </c>
      <c r="F2315" s="83" t="b">
        <v>1</v>
      </c>
      <c r="G2315" s="83"/>
      <c r="H2315" s="83"/>
    </row>
    <row r="2316" spans="1:8">
      <c r="A2316" s="83" t="s">
        <v>6702</v>
      </c>
      <c r="B2316" s="83" t="s">
        <v>6675</v>
      </c>
      <c r="C2316" s="83" t="s">
        <v>6702</v>
      </c>
      <c r="D2316" s="83" t="s">
        <v>6799</v>
      </c>
      <c r="E2316" s="84">
        <f>num_lrnrs_participate_menttraining_selfcare_g2</f>
        <v>0</v>
      </c>
      <c r="F2316" s="83" t="b">
        <v>1</v>
      </c>
      <c r="G2316" s="83"/>
      <c r="H2316" s="83"/>
    </row>
    <row r="2317" spans="1:8">
      <c r="A2317" s="83" t="s">
        <v>6703</v>
      </c>
      <c r="B2317" s="83" t="s">
        <v>6675</v>
      </c>
      <c r="C2317" s="83" t="s">
        <v>6703</v>
      </c>
      <c r="D2317" s="83" t="s">
        <v>6800</v>
      </c>
      <c r="E2317" s="84">
        <f>num_lrnrs_participate_menttraining_psycfirstaid_g2</f>
        <v>0</v>
      </c>
      <c r="F2317" s="83" t="b">
        <v>1</v>
      </c>
      <c r="G2317" s="83"/>
      <c r="H2317" s="83"/>
    </row>
    <row r="2318" spans="1:8">
      <c r="A2318" s="83" t="s">
        <v>6704</v>
      </c>
      <c r="B2318" s="83" t="s">
        <v>6675</v>
      </c>
      <c r="C2318" s="83" t="s">
        <v>6704</v>
      </c>
      <c r="D2318" s="83" t="s">
        <v>6801</v>
      </c>
      <c r="E2318" s="84">
        <f>num_lrnrs_participate_menttraining_othertopics_g2</f>
        <v>0</v>
      </c>
      <c r="F2318" s="83" t="b">
        <v>1</v>
      </c>
      <c r="G2318" s="83"/>
      <c r="H2318" s="83"/>
    </row>
    <row r="2319" spans="1:8">
      <c r="A2319" s="83" t="s">
        <v>6705</v>
      </c>
      <c r="B2319" s="83" t="s">
        <v>6675</v>
      </c>
      <c r="C2319" s="83" t="s">
        <v>6705</v>
      </c>
      <c r="D2319" s="83" t="s">
        <v>6802</v>
      </c>
      <c r="E2319" s="84">
        <f>num_lrnrs_participate_menttraining_bullying_g3</f>
        <v>0</v>
      </c>
      <c r="F2319" s="83" t="b">
        <v>1</v>
      </c>
      <c r="G2319" s="83"/>
      <c r="H2319" s="83"/>
    </row>
    <row r="2320" spans="1:8">
      <c r="A2320" s="83" t="s">
        <v>6706</v>
      </c>
      <c r="B2320" s="83" t="s">
        <v>6675</v>
      </c>
      <c r="C2320" s="83" t="s">
        <v>6706</v>
      </c>
      <c r="D2320" s="83" t="s">
        <v>6803</v>
      </c>
      <c r="E2320" s="84">
        <f>num_lrnrs_participate_menttraining_mhpicdepression_g3</f>
        <v>0</v>
      </c>
      <c r="F2320" s="83" t="b">
        <v>1</v>
      </c>
      <c r="G2320" s="83"/>
      <c r="H2320" s="83"/>
    </row>
    <row r="2321" spans="1:8">
      <c r="A2321" s="83" t="s">
        <v>6707</v>
      </c>
      <c r="B2321" s="83" t="s">
        <v>6675</v>
      </c>
      <c r="C2321" s="83" t="s">
        <v>6707</v>
      </c>
      <c r="D2321" s="83" t="s">
        <v>6804</v>
      </c>
      <c r="E2321" s="84">
        <f>num_lrnrs_participate_menttraining_suicideprevention_g3</f>
        <v>0</v>
      </c>
      <c r="F2321" s="83" t="b">
        <v>1</v>
      </c>
      <c r="G2321" s="83"/>
      <c r="H2321" s="83"/>
    </row>
    <row r="2322" spans="1:8">
      <c r="A2322" s="83" t="s">
        <v>6708</v>
      </c>
      <c r="B2322" s="83" t="s">
        <v>6675</v>
      </c>
      <c r="C2322" s="83" t="s">
        <v>6708</v>
      </c>
      <c r="D2322" s="83" t="s">
        <v>6805</v>
      </c>
      <c r="E2322" s="84">
        <f>num_lrnrs_participate_menttraining_selfcare_g3</f>
        <v>0</v>
      </c>
      <c r="F2322" s="83" t="b">
        <v>1</v>
      </c>
      <c r="G2322" s="83"/>
      <c r="H2322" s="83"/>
    </row>
    <row r="2323" spans="1:8">
      <c r="A2323" s="83" t="s">
        <v>6709</v>
      </c>
      <c r="B2323" s="83" t="s">
        <v>6675</v>
      </c>
      <c r="C2323" s="83" t="s">
        <v>6709</v>
      </c>
      <c r="D2323" s="83" t="s">
        <v>6806</v>
      </c>
      <c r="E2323" s="84">
        <f>num_lrnrs_participate_menttraining_psycfirstaid_g3</f>
        <v>0</v>
      </c>
      <c r="F2323" s="83" t="b">
        <v>1</v>
      </c>
      <c r="G2323" s="83"/>
      <c r="H2323" s="83"/>
    </row>
    <row r="2324" spans="1:8">
      <c r="A2324" s="83" t="s">
        <v>6710</v>
      </c>
      <c r="B2324" s="83" t="s">
        <v>6675</v>
      </c>
      <c r="C2324" s="83" t="s">
        <v>6710</v>
      </c>
      <c r="D2324" s="83" t="s">
        <v>6807</v>
      </c>
      <c r="E2324" s="84">
        <f>num_lrnrs_participate_menttraining_othertopics_g3</f>
        <v>0</v>
      </c>
      <c r="F2324" s="83" t="b">
        <v>1</v>
      </c>
      <c r="G2324" s="83"/>
      <c r="H2324" s="83"/>
    </row>
    <row r="2325" spans="1:8">
      <c r="A2325" s="83" t="s">
        <v>6711</v>
      </c>
      <c r="B2325" s="83" t="s">
        <v>6675</v>
      </c>
      <c r="C2325" s="83" t="s">
        <v>6711</v>
      </c>
      <c r="D2325" s="83" t="s">
        <v>6808</v>
      </c>
      <c r="E2325" s="84">
        <f>num_lrnrs_participate_menttraining_bullying_g4</f>
        <v>0</v>
      </c>
      <c r="F2325" s="83" t="b">
        <v>1</v>
      </c>
      <c r="G2325" s="83"/>
      <c r="H2325" s="83"/>
    </row>
    <row r="2326" spans="1:8">
      <c r="A2326" s="83" t="s">
        <v>6712</v>
      </c>
      <c r="B2326" s="83" t="s">
        <v>6675</v>
      </c>
      <c r="C2326" s="83" t="s">
        <v>6712</v>
      </c>
      <c r="D2326" s="83" t="s">
        <v>6809</v>
      </c>
      <c r="E2326" s="84">
        <f>num_lrnrs_participate_menttraining_mhpicdepression_g4</f>
        <v>0</v>
      </c>
      <c r="F2326" s="83" t="b">
        <v>1</v>
      </c>
      <c r="G2326" s="83"/>
      <c r="H2326" s="83"/>
    </row>
    <row r="2327" spans="1:8">
      <c r="A2327" s="83" t="s">
        <v>6713</v>
      </c>
      <c r="B2327" s="83" t="s">
        <v>6675</v>
      </c>
      <c r="C2327" s="83" t="s">
        <v>6713</v>
      </c>
      <c r="D2327" s="83" t="s">
        <v>6810</v>
      </c>
      <c r="E2327" s="84">
        <f>num_lrnrs_participate_menttraining_suicideprevention_g4</f>
        <v>0</v>
      </c>
      <c r="F2327" s="83" t="b">
        <v>1</v>
      </c>
      <c r="G2327" s="83"/>
      <c r="H2327" s="83"/>
    </row>
    <row r="2328" spans="1:8">
      <c r="A2328" s="83" t="s">
        <v>6714</v>
      </c>
      <c r="B2328" s="83" t="s">
        <v>6675</v>
      </c>
      <c r="C2328" s="83" t="s">
        <v>6714</v>
      </c>
      <c r="D2328" s="83" t="s">
        <v>6811</v>
      </c>
      <c r="E2328" s="84">
        <f>num_lrnrs_participate_menttraining_selfcare_g4</f>
        <v>0</v>
      </c>
      <c r="F2328" s="83" t="b">
        <v>1</v>
      </c>
      <c r="G2328" s="83"/>
      <c r="H2328" s="83"/>
    </row>
    <row r="2329" spans="1:8">
      <c r="A2329" s="83" t="s">
        <v>6715</v>
      </c>
      <c r="B2329" s="83" t="s">
        <v>6675</v>
      </c>
      <c r="C2329" s="83" t="s">
        <v>6715</v>
      </c>
      <c r="D2329" s="83" t="s">
        <v>6812</v>
      </c>
      <c r="E2329" s="84">
        <f>num_lrnrs_participate_menttraining_psycfirstaid_g4</f>
        <v>0</v>
      </c>
      <c r="F2329" s="83" t="b">
        <v>1</v>
      </c>
      <c r="G2329" s="83"/>
      <c r="H2329" s="83"/>
    </row>
    <row r="2330" spans="1:8">
      <c r="A2330" s="83" t="s">
        <v>6716</v>
      </c>
      <c r="B2330" s="83" t="s">
        <v>6675</v>
      </c>
      <c r="C2330" s="83" t="s">
        <v>6716</v>
      </c>
      <c r="D2330" s="83" t="s">
        <v>6813</v>
      </c>
      <c r="E2330" s="84">
        <f>num_lrnrs_participate_menttraining_othertopics_g4</f>
        <v>0</v>
      </c>
      <c r="F2330" s="83" t="b">
        <v>1</v>
      </c>
      <c r="G2330" s="83"/>
      <c r="H2330" s="83"/>
    </row>
    <row r="2331" spans="1:8">
      <c r="A2331" s="83" t="s">
        <v>6717</v>
      </c>
      <c r="B2331" s="83" t="s">
        <v>6675</v>
      </c>
      <c r="C2331" s="83" t="s">
        <v>6717</v>
      </c>
      <c r="D2331" s="83" t="s">
        <v>6814</v>
      </c>
      <c r="E2331" s="84">
        <f>num_lrnrs_participate_menttraining_bullying_g5</f>
        <v>0</v>
      </c>
      <c r="F2331" s="83" t="b">
        <v>1</v>
      </c>
      <c r="G2331" s="83"/>
      <c r="H2331" s="83"/>
    </row>
    <row r="2332" spans="1:8">
      <c r="A2332" s="83" t="s">
        <v>6718</v>
      </c>
      <c r="B2332" s="83" t="s">
        <v>6675</v>
      </c>
      <c r="C2332" s="83" t="s">
        <v>6718</v>
      </c>
      <c r="D2332" s="83" t="s">
        <v>6815</v>
      </c>
      <c r="E2332" s="84">
        <f>num_lrnrs_participate_menttraining_mhpicdepression_g5</f>
        <v>0</v>
      </c>
      <c r="F2332" s="83" t="b">
        <v>1</v>
      </c>
      <c r="G2332" s="83"/>
      <c r="H2332" s="83"/>
    </row>
    <row r="2333" spans="1:8">
      <c r="A2333" s="83" t="s">
        <v>6719</v>
      </c>
      <c r="B2333" s="83" t="s">
        <v>6675</v>
      </c>
      <c r="C2333" s="83" t="s">
        <v>6719</v>
      </c>
      <c r="D2333" s="83" t="s">
        <v>6816</v>
      </c>
      <c r="E2333" s="84">
        <f>num_lrnrs_participate_menttraining_suicideprevention_g5</f>
        <v>0</v>
      </c>
      <c r="F2333" s="83" t="b">
        <v>1</v>
      </c>
      <c r="G2333" s="83"/>
      <c r="H2333" s="83"/>
    </row>
    <row r="2334" spans="1:8">
      <c r="A2334" s="83" t="s">
        <v>6720</v>
      </c>
      <c r="B2334" s="83" t="s">
        <v>6675</v>
      </c>
      <c r="C2334" s="83" t="s">
        <v>6720</v>
      </c>
      <c r="D2334" s="83" t="s">
        <v>6817</v>
      </c>
      <c r="E2334" s="84">
        <f>num_lrnrs_participate_menttraining_selfcare_g5</f>
        <v>0</v>
      </c>
      <c r="F2334" s="83" t="b">
        <v>1</v>
      </c>
      <c r="G2334" s="83"/>
      <c r="H2334" s="83"/>
    </row>
    <row r="2335" spans="1:8">
      <c r="A2335" s="83" t="s">
        <v>6721</v>
      </c>
      <c r="B2335" s="83" t="s">
        <v>6675</v>
      </c>
      <c r="C2335" s="83" t="s">
        <v>6721</v>
      </c>
      <c r="D2335" s="83" t="s">
        <v>6818</v>
      </c>
      <c r="E2335" s="84">
        <f>num_lrnrs_participate_menttraining_psycfirstaid_g5</f>
        <v>0</v>
      </c>
      <c r="F2335" s="83" t="b">
        <v>1</v>
      </c>
      <c r="G2335" s="83"/>
      <c r="H2335" s="83"/>
    </row>
    <row r="2336" spans="1:8">
      <c r="A2336" s="83" t="s">
        <v>6722</v>
      </c>
      <c r="B2336" s="83" t="s">
        <v>6675</v>
      </c>
      <c r="C2336" s="83" t="s">
        <v>6722</v>
      </c>
      <c r="D2336" s="83" t="s">
        <v>6819</v>
      </c>
      <c r="E2336" s="84">
        <f>num_lrnrs_participate_menttraining_othertopics_g5</f>
        <v>0</v>
      </c>
      <c r="F2336" s="83" t="b">
        <v>1</v>
      </c>
      <c r="G2336" s="83"/>
      <c r="H2336" s="83"/>
    </row>
    <row r="2337" spans="1:8">
      <c r="A2337" s="83" t="s">
        <v>6723</v>
      </c>
      <c r="B2337" s="83" t="s">
        <v>6675</v>
      </c>
      <c r="C2337" s="83" t="s">
        <v>6723</v>
      </c>
      <c r="D2337" s="83" t="s">
        <v>6820</v>
      </c>
      <c r="E2337" s="84">
        <f>num_lrnrs_participate_menttraining_bullying_g6</f>
        <v>0</v>
      </c>
      <c r="F2337" s="83" t="b">
        <v>1</v>
      </c>
      <c r="G2337" s="83"/>
      <c r="H2337" s="83"/>
    </row>
    <row r="2338" spans="1:8">
      <c r="A2338" s="83" t="s">
        <v>6724</v>
      </c>
      <c r="B2338" s="83" t="s">
        <v>6675</v>
      </c>
      <c r="C2338" s="83" t="s">
        <v>6724</v>
      </c>
      <c r="D2338" s="83" t="s">
        <v>6821</v>
      </c>
      <c r="E2338" s="84">
        <f>num_lrnrs_participate_menttraining_mhpicdepression_g6</f>
        <v>0</v>
      </c>
      <c r="F2338" s="83" t="b">
        <v>1</v>
      </c>
      <c r="G2338" s="83"/>
      <c r="H2338" s="83"/>
    </row>
    <row r="2339" spans="1:8">
      <c r="A2339" s="83" t="s">
        <v>6725</v>
      </c>
      <c r="B2339" s="83" t="s">
        <v>6675</v>
      </c>
      <c r="C2339" s="83" t="s">
        <v>6725</v>
      </c>
      <c r="D2339" s="83" t="s">
        <v>6822</v>
      </c>
      <c r="E2339" s="84">
        <f>num_lrnrs_participate_menttraining_suicideprevention_g6</f>
        <v>0</v>
      </c>
      <c r="F2339" s="83" t="b">
        <v>1</v>
      </c>
      <c r="G2339" s="83"/>
      <c r="H2339" s="83"/>
    </row>
    <row r="2340" spans="1:8">
      <c r="A2340" s="83" t="s">
        <v>6726</v>
      </c>
      <c r="B2340" s="83" t="s">
        <v>6675</v>
      </c>
      <c r="C2340" s="83" t="s">
        <v>6726</v>
      </c>
      <c r="D2340" s="83" t="s">
        <v>6823</v>
      </c>
      <c r="E2340" s="84">
        <f>num_lrnrs_participate_menttraining_selfcare_g6</f>
        <v>0</v>
      </c>
      <c r="F2340" s="83" t="b">
        <v>1</v>
      </c>
      <c r="G2340" s="83"/>
      <c r="H2340" s="83"/>
    </row>
    <row r="2341" spans="1:8">
      <c r="A2341" s="83" t="s">
        <v>6727</v>
      </c>
      <c r="B2341" s="83" t="s">
        <v>6675</v>
      </c>
      <c r="C2341" s="83" t="s">
        <v>6727</v>
      </c>
      <c r="D2341" s="83" t="s">
        <v>6824</v>
      </c>
      <c r="E2341" s="84">
        <f>num_lrnrs_participate_menttraining_psycfirstaid_g6</f>
        <v>0</v>
      </c>
      <c r="F2341" s="83" t="b">
        <v>1</v>
      </c>
      <c r="G2341" s="83"/>
      <c r="H2341" s="83"/>
    </row>
    <row r="2342" spans="1:8">
      <c r="A2342" s="83" t="s">
        <v>6728</v>
      </c>
      <c r="B2342" s="83" t="s">
        <v>6675</v>
      </c>
      <c r="C2342" s="83" t="s">
        <v>6728</v>
      </c>
      <c r="D2342" s="83" t="s">
        <v>6825</v>
      </c>
      <c r="E2342" s="84">
        <f>num_lrnrs_participate_menttraining_othertopics_g6</f>
        <v>0</v>
      </c>
      <c r="F2342" s="83" t="b">
        <v>1</v>
      </c>
      <c r="G2342" s="83"/>
      <c r="H2342" s="83"/>
    </row>
    <row r="2343" spans="1:8">
      <c r="A2343" s="83" t="s">
        <v>6729</v>
      </c>
      <c r="B2343" s="83" t="s">
        <v>6675</v>
      </c>
      <c r="C2343" s="83" t="s">
        <v>6729</v>
      </c>
      <c r="D2343" s="83" t="s">
        <v>6826</v>
      </c>
      <c r="E2343" s="84" t="b">
        <f>sch_conduct_menttraining_teachers_ifyes</f>
        <v>0</v>
      </c>
      <c r="F2343" s="83" t="b">
        <f t="shared" ref="F2343" si="42">OR(E2343=TRUE, E2343=FALSE)</f>
        <v>1</v>
      </c>
      <c r="G2343" s="83" t="s">
        <v>2287</v>
      </c>
      <c r="H2343" s="83"/>
    </row>
    <row r="2344" spans="1:8">
      <c r="A2344" s="83" t="s">
        <v>6730</v>
      </c>
      <c r="B2344" s="83" t="s">
        <v>6675</v>
      </c>
      <c r="C2344" s="83" t="s">
        <v>6730</v>
      </c>
      <c r="D2344" s="83" t="s">
        <v>6827</v>
      </c>
      <c r="E2344" s="84">
        <f>num_teachers_participate_menttraining_bullying_k</f>
        <v>0</v>
      </c>
      <c r="F2344" s="83" t="b">
        <v>1</v>
      </c>
      <c r="G2344" s="83"/>
      <c r="H2344" s="83"/>
    </row>
    <row r="2345" spans="1:8">
      <c r="A2345" s="83" t="s">
        <v>6731</v>
      </c>
      <c r="B2345" s="83" t="s">
        <v>6675</v>
      </c>
      <c r="C2345" s="83" t="s">
        <v>6731</v>
      </c>
      <c r="D2345" s="83" t="s">
        <v>6828</v>
      </c>
      <c r="E2345" s="84">
        <f>num_teachers_participate_menttraining_mhpicdepression_k</f>
        <v>0</v>
      </c>
      <c r="F2345" s="83" t="b">
        <v>1</v>
      </c>
      <c r="G2345" s="83"/>
      <c r="H2345" s="83"/>
    </row>
    <row r="2346" spans="1:8">
      <c r="A2346" s="83" t="s">
        <v>6732</v>
      </c>
      <c r="B2346" s="83" t="s">
        <v>6675</v>
      </c>
      <c r="C2346" s="83" t="s">
        <v>6732</v>
      </c>
      <c r="D2346" s="83" t="s">
        <v>6829</v>
      </c>
      <c r="E2346" s="84">
        <f>num_teachers_participate_menttraining_suicideprevention_k</f>
        <v>0</v>
      </c>
      <c r="F2346" s="83" t="b">
        <v>1</v>
      </c>
      <c r="G2346" s="83"/>
      <c r="H2346" s="83"/>
    </row>
    <row r="2347" spans="1:8">
      <c r="A2347" s="83" t="s">
        <v>6733</v>
      </c>
      <c r="B2347" s="83" t="s">
        <v>6675</v>
      </c>
      <c r="C2347" s="83" t="s">
        <v>6733</v>
      </c>
      <c r="D2347" s="83" t="s">
        <v>6830</v>
      </c>
      <c r="E2347" s="84">
        <f>num_teachers_participate_menttraining_selfcare_k</f>
        <v>0</v>
      </c>
      <c r="F2347" s="83" t="b">
        <v>1</v>
      </c>
      <c r="G2347" s="83"/>
      <c r="H2347" s="83"/>
    </row>
    <row r="2348" spans="1:8">
      <c r="A2348" s="83" t="s">
        <v>6734</v>
      </c>
      <c r="B2348" s="83" t="s">
        <v>6675</v>
      </c>
      <c r="C2348" s="83" t="s">
        <v>6734</v>
      </c>
      <c r="D2348" s="83" t="s">
        <v>6831</v>
      </c>
      <c r="E2348" s="84">
        <f>num_teachers_participate_menttraining_psycfirstaid_k</f>
        <v>0</v>
      </c>
      <c r="F2348" s="83" t="b">
        <v>1</v>
      </c>
      <c r="G2348" s="83"/>
      <c r="H2348" s="83"/>
    </row>
    <row r="2349" spans="1:8">
      <c r="A2349" s="83" t="s">
        <v>6735</v>
      </c>
      <c r="B2349" s="83" t="s">
        <v>6675</v>
      </c>
      <c r="C2349" s="83" t="s">
        <v>6735</v>
      </c>
      <c r="D2349" s="83" t="s">
        <v>6832</v>
      </c>
      <c r="E2349" s="84">
        <f>num_teachers_participate_menttraining_othertopics_k</f>
        <v>0</v>
      </c>
      <c r="F2349" s="83" t="b">
        <v>1</v>
      </c>
      <c r="G2349" s="83"/>
      <c r="H2349" s="83"/>
    </row>
    <row r="2350" spans="1:8">
      <c r="A2350" s="83" t="s">
        <v>6736</v>
      </c>
      <c r="B2350" s="83" t="s">
        <v>6675</v>
      </c>
      <c r="C2350" s="83" t="s">
        <v>6736</v>
      </c>
      <c r="D2350" s="83" t="s">
        <v>6833</v>
      </c>
      <c r="E2350" s="84">
        <f>num_teachers_participate_menttraining_bullying_g1</f>
        <v>0</v>
      </c>
      <c r="F2350" s="83" t="b">
        <v>1</v>
      </c>
      <c r="G2350" s="83"/>
      <c r="H2350" s="83"/>
    </row>
    <row r="2351" spans="1:8">
      <c r="A2351" s="83" t="s">
        <v>6737</v>
      </c>
      <c r="B2351" s="83" t="s">
        <v>6675</v>
      </c>
      <c r="C2351" s="83" t="s">
        <v>6737</v>
      </c>
      <c r="D2351" s="83" t="s">
        <v>6834</v>
      </c>
      <c r="E2351" s="84">
        <f>num_teachers_participate_menttraining_mhpicdepression_g1</f>
        <v>0</v>
      </c>
      <c r="F2351" s="83" t="b">
        <v>1</v>
      </c>
      <c r="G2351" s="83"/>
      <c r="H2351" s="83"/>
    </row>
    <row r="2352" spans="1:8">
      <c r="A2352" s="83" t="s">
        <v>6738</v>
      </c>
      <c r="B2352" s="83" t="s">
        <v>6675</v>
      </c>
      <c r="C2352" s="83" t="s">
        <v>6738</v>
      </c>
      <c r="D2352" s="83" t="s">
        <v>6835</v>
      </c>
      <c r="E2352" s="84">
        <f>num_teachers_participate_menttraining_suicideprevention_g1</f>
        <v>0</v>
      </c>
      <c r="F2352" s="83" t="b">
        <v>1</v>
      </c>
      <c r="G2352" s="83"/>
      <c r="H2352" s="83"/>
    </row>
    <row r="2353" spans="1:8">
      <c r="A2353" s="83" t="s">
        <v>6739</v>
      </c>
      <c r="B2353" s="83" t="s">
        <v>6675</v>
      </c>
      <c r="C2353" s="83" t="s">
        <v>6739</v>
      </c>
      <c r="D2353" s="83" t="s">
        <v>6836</v>
      </c>
      <c r="E2353" s="84">
        <f>num_teachers_participate_menttraining_selfcare_g1</f>
        <v>0</v>
      </c>
      <c r="F2353" s="83" t="b">
        <v>1</v>
      </c>
      <c r="G2353" s="83"/>
      <c r="H2353" s="83"/>
    </row>
    <row r="2354" spans="1:8">
      <c r="A2354" s="83" t="s">
        <v>6740</v>
      </c>
      <c r="B2354" s="83" t="s">
        <v>6675</v>
      </c>
      <c r="C2354" s="83" t="s">
        <v>6740</v>
      </c>
      <c r="D2354" s="83" t="s">
        <v>6837</v>
      </c>
      <c r="E2354" s="84">
        <f>num_teachers_participate_menttraining_psycfirstaid_g1</f>
        <v>0</v>
      </c>
      <c r="F2354" s="83" t="b">
        <v>1</v>
      </c>
      <c r="G2354" s="83"/>
      <c r="H2354" s="83"/>
    </row>
    <row r="2355" spans="1:8">
      <c r="A2355" s="83" t="s">
        <v>6741</v>
      </c>
      <c r="B2355" s="83" t="s">
        <v>6675</v>
      </c>
      <c r="C2355" s="83" t="s">
        <v>6741</v>
      </c>
      <c r="D2355" s="83" t="s">
        <v>6838</v>
      </c>
      <c r="E2355" s="84">
        <f>num_teachers_participate_menttraining_othertopics_g1</f>
        <v>0</v>
      </c>
      <c r="F2355" s="83" t="b">
        <v>1</v>
      </c>
      <c r="G2355" s="83"/>
      <c r="H2355" s="83"/>
    </row>
    <row r="2356" spans="1:8">
      <c r="A2356" s="83" t="s">
        <v>6742</v>
      </c>
      <c r="B2356" s="83" t="s">
        <v>6675</v>
      </c>
      <c r="C2356" s="83" t="s">
        <v>6742</v>
      </c>
      <c r="D2356" s="83" t="s">
        <v>6839</v>
      </c>
      <c r="E2356" s="84">
        <f>num_teachers_participate_menttraining_bullying_g2</f>
        <v>0</v>
      </c>
      <c r="F2356" s="83" t="b">
        <v>1</v>
      </c>
      <c r="G2356" s="83"/>
      <c r="H2356" s="83"/>
    </row>
    <row r="2357" spans="1:8">
      <c r="A2357" s="83" t="s">
        <v>6743</v>
      </c>
      <c r="B2357" s="83" t="s">
        <v>6675</v>
      </c>
      <c r="C2357" s="83" t="s">
        <v>6743</v>
      </c>
      <c r="D2357" s="83" t="s">
        <v>6840</v>
      </c>
      <c r="E2357" s="84">
        <f>num_teachers_participate_menttraining_mhpicdepression_g2</f>
        <v>0</v>
      </c>
      <c r="F2357" s="83" t="b">
        <v>1</v>
      </c>
      <c r="G2357" s="83"/>
      <c r="H2357" s="83"/>
    </row>
    <row r="2358" spans="1:8">
      <c r="A2358" s="83" t="s">
        <v>6744</v>
      </c>
      <c r="B2358" s="83" t="s">
        <v>6675</v>
      </c>
      <c r="C2358" s="83" t="s">
        <v>6744</v>
      </c>
      <c r="D2358" s="83" t="s">
        <v>6841</v>
      </c>
      <c r="E2358" s="84">
        <f>num_teachers_participate_menttraining_suicideprevention_g2</f>
        <v>0</v>
      </c>
      <c r="F2358" s="83" t="b">
        <v>1</v>
      </c>
      <c r="G2358" s="83"/>
      <c r="H2358" s="83"/>
    </row>
    <row r="2359" spans="1:8">
      <c r="A2359" s="83" t="s">
        <v>6745</v>
      </c>
      <c r="B2359" s="83" t="s">
        <v>6675</v>
      </c>
      <c r="C2359" s="83" t="s">
        <v>6745</v>
      </c>
      <c r="D2359" s="83" t="s">
        <v>6842</v>
      </c>
      <c r="E2359" s="84">
        <f>num_teachers_participate_menttraining_selfcare_g2</f>
        <v>0</v>
      </c>
      <c r="F2359" s="83" t="b">
        <v>1</v>
      </c>
      <c r="G2359" s="83"/>
      <c r="H2359" s="83"/>
    </row>
    <row r="2360" spans="1:8">
      <c r="A2360" s="83" t="s">
        <v>6746</v>
      </c>
      <c r="B2360" s="83" t="s">
        <v>6675</v>
      </c>
      <c r="C2360" s="83" t="s">
        <v>6746</v>
      </c>
      <c r="D2360" s="83" t="s">
        <v>6843</v>
      </c>
      <c r="E2360" s="84">
        <f>num_teachers_participate_menttraining_psycfirstaid_g2</f>
        <v>0</v>
      </c>
      <c r="F2360" s="83" t="b">
        <v>1</v>
      </c>
      <c r="G2360" s="83"/>
      <c r="H2360" s="83"/>
    </row>
    <row r="2361" spans="1:8">
      <c r="A2361" s="83" t="s">
        <v>6747</v>
      </c>
      <c r="B2361" s="83" t="s">
        <v>6675</v>
      </c>
      <c r="C2361" s="83" t="s">
        <v>6747</v>
      </c>
      <c r="D2361" s="83" t="s">
        <v>6844</v>
      </c>
      <c r="E2361" s="84">
        <f>num_teachers_participate_menttraining_othertopics_g2</f>
        <v>0</v>
      </c>
      <c r="F2361" s="83" t="b">
        <v>1</v>
      </c>
      <c r="G2361" s="83"/>
      <c r="H2361" s="83"/>
    </row>
    <row r="2362" spans="1:8">
      <c r="A2362" s="83" t="s">
        <v>6748</v>
      </c>
      <c r="B2362" s="83" t="s">
        <v>6675</v>
      </c>
      <c r="C2362" s="83" t="s">
        <v>6748</v>
      </c>
      <c r="D2362" s="83" t="s">
        <v>6845</v>
      </c>
      <c r="E2362" s="84">
        <f>num_teachers_participate_menttraining_bullying_g3</f>
        <v>0</v>
      </c>
      <c r="F2362" s="83" t="b">
        <v>1</v>
      </c>
      <c r="G2362" s="83"/>
      <c r="H2362" s="83"/>
    </row>
    <row r="2363" spans="1:8">
      <c r="A2363" s="83" t="s">
        <v>6749</v>
      </c>
      <c r="B2363" s="83" t="s">
        <v>6675</v>
      </c>
      <c r="C2363" s="83" t="s">
        <v>6749</v>
      </c>
      <c r="D2363" s="83" t="s">
        <v>6846</v>
      </c>
      <c r="E2363" s="84">
        <f>num_teachers_participate_menttraining_mhpicdepression_g3</f>
        <v>0</v>
      </c>
      <c r="F2363" s="83" t="b">
        <v>1</v>
      </c>
      <c r="G2363" s="83"/>
      <c r="H2363" s="83"/>
    </row>
    <row r="2364" spans="1:8">
      <c r="A2364" s="83" t="s">
        <v>6750</v>
      </c>
      <c r="B2364" s="83" t="s">
        <v>6675</v>
      </c>
      <c r="C2364" s="83" t="s">
        <v>6750</v>
      </c>
      <c r="D2364" s="83" t="s">
        <v>6847</v>
      </c>
      <c r="E2364" s="84">
        <f>num_teachers_participate_menttraining_suicideprevention_g3</f>
        <v>0</v>
      </c>
      <c r="F2364" s="83" t="b">
        <v>1</v>
      </c>
      <c r="G2364" s="83"/>
      <c r="H2364" s="83"/>
    </row>
    <row r="2365" spans="1:8">
      <c r="A2365" s="83" t="s">
        <v>6751</v>
      </c>
      <c r="B2365" s="83" t="s">
        <v>6675</v>
      </c>
      <c r="C2365" s="83" t="s">
        <v>6751</v>
      </c>
      <c r="D2365" s="83" t="s">
        <v>6848</v>
      </c>
      <c r="E2365" s="84">
        <f>num_teachers_participate_menttraining_selfcare_g3</f>
        <v>0</v>
      </c>
      <c r="F2365" s="83" t="b">
        <v>1</v>
      </c>
      <c r="G2365" s="83"/>
      <c r="H2365" s="83"/>
    </row>
    <row r="2366" spans="1:8">
      <c r="A2366" s="83" t="s">
        <v>6752</v>
      </c>
      <c r="B2366" s="83" t="s">
        <v>6675</v>
      </c>
      <c r="C2366" s="83" t="s">
        <v>6752</v>
      </c>
      <c r="D2366" s="83" t="s">
        <v>6849</v>
      </c>
      <c r="E2366" s="84">
        <f>num_teachers_participate_menttraining_psycfirstaid_g3</f>
        <v>0</v>
      </c>
      <c r="F2366" s="83" t="b">
        <v>1</v>
      </c>
      <c r="G2366" s="83"/>
      <c r="H2366" s="83"/>
    </row>
    <row r="2367" spans="1:8">
      <c r="A2367" s="83" t="s">
        <v>6753</v>
      </c>
      <c r="B2367" s="83" t="s">
        <v>6675</v>
      </c>
      <c r="C2367" s="83" t="s">
        <v>6753</v>
      </c>
      <c r="D2367" s="83" t="s">
        <v>6850</v>
      </c>
      <c r="E2367" s="84">
        <f>num_teachers_participate_menttraining_othertopics_g3</f>
        <v>0</v>
      </c>
      <c r="F2367" s="83" t="b">
        <v>1</v>
      </c>
      <c r="G2367" s="83"/>
      <c r="H2367" s="83"/>
    </row>
    <row r="2368" spans="1:8">
      <c r="A2368" s="83" t="s">
        <v>6754</v>
      </c>
      <c r="B2368" s="83" t="s">
        <v>6675</v>
      </c>
      <c r="C2368" s="83" t="s">
        <v>6754</v>
      </c>
      <c r="D2368" s="83" t="s">
        <v>6851</v>
      </c>
      <c r="E2368" s="84">
        <f>num_teachers_participate_menttraining_bullying_g4</f>
        <v>0</v>
      </c>
      <c r="F2368" s="83" t="b">
        <v>1</v>
      </c>
      <c r="G2368" s="83"/>
      <c r="H2368" s="83"/>
    </row>
    <row r="2369" spans="1:8">
      <c r="A2369" s="83" t="s">
        <v>6755</v>
      </c>
      <c r="B2369" s="83" t="s">
        <v>6675</v>
      </c>
      <c r="C2369" s="83" t="s">
        <v>6755</v>
      </c>
      <c r="D2369" s="83" t="s">
        <v>6852</v>
      </c>
      <c r="E2369" s="84">
        <f>num_teachers_participate_menttraining_mhpicdepression_g4</f>
        <v>0</v>
      </c>
      <c r="F2369" s="83" t="b">
        <v>1</v>
      </c>
      <c r="G2369" s="83"/>
      <c r="H2369" s="83"/>
    </row>
    <row r="2370" spans="1:8">
      <c r="A2370" s="83" t="s">
        <v>6756</v>
      </c>
      <c r="B2370" s="83" t="s">
        <v>6675</v>
      </c>
      <c r="C2370" s="83" t="s">
        <v>6756</v>
      </c>
      <c r="D2370" s="83" t="s">
        <v>6853</v>
      </c>
      <c r="E2370" s="84">
        <f>num_teachers_participate_menttraining_suicideprevention_g4</f>
        <v>0</v>
      </c>
      <c r="F2370" s="83" t="b">
        <v>1</v>
      </c>
      <c r="G2370" s="83"/>
      <c r="H2370" s="83"/>
    </row>
    <row r="2371" spans="1:8">
      <c r="A2371" s="83" t="s">
        <v>6757</v>
      </c>
      <c r="B2371" s="83" t="s">
        <v>6675</v>
      </c>
      <c r="C2371" s="83" t="s">
        <v>6757</v>
      </c>
      <c r="D2371" s="83" t="s">
        <v>6854</v>
      </c>
      <c r="E2371" s="84">
        <f>num_teachers_participate_menttraining_selfcare_g4</f>
        <v>0</v>
      </c>
      <c r="F2371" s="83" t="b">
        <v>1</v>
      </c>
      <c r="G2371" s="83"/>
      <c r="H2371" s="83"/>
    </row>
    <row r="2372" spans="1:8">
      <c r="A2372" s="83" t="s">
        <v>6758</v>
      </c>
      <c r="B2372" s="83" t="s">
        <v>6675</v>
      </c>
      <c r="C2372" s="83" t="s">
        <v>6758</v>
      </c>
      <c r="D2372" s="83" t="s">
        <v>6855</v>
      </c>
      <c r="E2372" s="84">
        <f>num_teachers_participate_menttraining_psycfirstaid_g4</f>
        <v>0</v>
      </c>
      <c r="F2372" s="83" t="b">
        <v>1</v>
      </c>
      <c r="G2372" s="83"/>
      <c r="H2372" s="83"/>
    </row>
    <row r="2373" spans="1:8">
      <c r="A2373" s="83" t="s">
        <v>6759</v>
      </c>
      <c r="B2373" s="83" t="s">
        <v>6675</v>
      </c>
      <c r="C2373" s="83" t="s">
        <v>6759</v>
      </c>
      <c r="D2373" s="83" t="s">
        <v>6856</v>
      </c>
      <c r="E2373" s="84">
        <f>num_teachers_participate_menttraining_othertopics_g4</f>
        <v>0</v>
      </c>
      <c r="F2373" s="83" t="b">
        <v>1</v>
      </c>
      <c r="G2373" s="83"/>
      <c r="H2373" s="83"/>
    </row>
    <row r="2374" spans="1:8">
      <c r="A2374" s="83" t="s">
        <v>6760</v>
      </c>
      <c r="B2374" s="83" t="s">
        <v>6675</v>
      </c>
      <c r="C2374" s="83" t="s">
        <v>6760</v>
      </c>
      <c r="D2374" s="83" t="s">
        <v>6857</v>
      </c>
      <c r="E2374" s="84">
        <f>num_teachers_participate_menttraining_bullying_g5</f>
        <v>0</v>
      </c>
      <c r="F2374" s="83" t="b">
        <v>1</v>
      </c>
      <c r="G2374" s="83"/>
      <c r="H2374" s="83"/>
    </row>
    <row r="2375" spans="1:8">
      <c r="A2375" s="83" t="s">
        <v>6761</v>
      </c>
      <c r="B2375" s="83" t="s">
        <v>6675</v>
      </c>
      <c r="C2375" s="83" t="s">
        <v>6761</v>
      </c>
      <c r="D2375" s="83" t="s">
        <v>6858</v>
      </c>
      <c r="E2375" s="84">
        <f>num_teachers_participate_menttraining_mhpicdepression_g5</f>
        <v>0</v>
      </c>
      <c r="F2375" s="83" t="b">
        <v>1</v>
      </c>
      <c r="G2375" s="83"/>
      <c r="H2375" s="83"/>
    </row>
    <row r="2376" spans="1:8">
      <c r="A2376" s="83" t="s">
        <v>6762</v>
      </c>
      <c r="B2376" s="83" t="s">
        <v>6675</v>
      </c>
      <c r="C2376" s="83" t="s">
        <v>6762</v>
      </c>
      <c r="D2376" s="83" t="s">
        <v>6859</v>
      </c>
      <c r="E2376" s="84">
        <f>num_teachers_participate_menttraining_suicideprevention_g5</f>
        <v>0</v>
      </c>
      <c r="F2376" s="83" t="b">
        <v>1</v>
      </c>
      <c r="G2376" s="83"/>
      <c r="H2376" s="83"/>
    </row>
    <row r="2377" spans="1:8">
      <c r="A2377" s="83" t="s">
        <v>6763</v>
      </c>
      <c r="B2377" s="83" t="s">
        <v>6675</v>
      </c>
      <c r="C2377" s="83" t="s">
        <v>6763</v>
      </c>
      <c r="D2377" s="83" t="s">
        <v>6860</v>
      </c>
      <c r="E2377" s="84">
        <f>num_teachers_participate_menttraining_selfcare_g5</f>
        <v>0</v>
      </c>
      <c r="F2377" s="83" t="b">
        <v>1</v>
      </c>
      <c r="G2377" s="83"/>
      <c r="H2377" s="83"/>
    </row>
    <row r="2378" spans="1:8">
      <c r="A2378" s="83" t="s">
        <v>6764</v>
      </c>
      <c r="B2378" s="83" t="s">
        <v>6675</v>
      </c>
      <c r="C2378" s="83" t="s">
        <v>6764</v>
      </c>
      <c r="D2378" s="83" t="s">
        <v>6861</v>
      </c>
      <c r="E2378" s="84">
        <f>num_teachers_participate_menttraining_psycfirstaid_g5</f>
        <v>0</v>
      </c>
      <c r="F2378" s="83" t="b">
        <v>1</v>
      </c>
      <c r="G2378" s="83"/>
      <c r="H2378" s="83"/>
    </row>
    <row r="2379" spans="1:8">
      <c r="A2379" s="83" t="s">
        <v>6765</v>
      </c>
      <c r="B2379" s="83" t="s">
        <v>6675</v>
      </c>
      <c r="C2379" s="83" t="s">
        <v>6765</v>
      </c>
      <c r="D2379" s="83" t="s">
        <v>6862</v>
      </c>
      <c r="E2379" s="84">
        <f>num_teachers_participate_menttraining_othertopics_g5</f>
        <v>0</v>
      </c>
      <c r="F2379" s="83" t="b">
        <v>1</v>
      </c>
      <c r="G2379" s="83"/>
      <c r="H2379" s="83"/>
    </row>
    <row r="2380" spans="1:8">
      <c r="A2380" s="83" t="s">
        <v>6766</v>
      </c>
      <c r="B2380" s="83" t="s">
        <v>6675</v>
      </c>
      <c r="C2380" s="83" t="s">
        <v>6766</v>
      </c>
      <c r="D2380" s="83" t="s">
        <v>6863</v>
      </c>
      <c r="E2380" s="84">
        <f>num_teachers_participate_menttraining_bullying_g6</f>
        <v>0</v>
      </c>
      <c r="F2380" s="83" t="b">
        <v>1</v>
      </c>
      <c r="G2380" s="83"/>
      <c r="H2380" s="83"/>
    </row>
    <row r="2381" spans="1:8">
      <c r="A2381" s="83" t="s">
        <v>6767</v>
      </c>
      <c r="B2381" s="83" t="s">
        <v>6675</v>
      </c>
      <c r="C2381" s="83" t="s">
        <v>6767</v>
      </c>
      <c r="D2381" s="83" t="s">
        <v>6864</v>
      </c>
      <c r="E2381" s="84">
        <f>num_teachers_participate_menttraining_mhpicdepression_g6</f>
        <v>0</v>
      </c>
      <c r="F2381" s="83" t="b">
        <v>1</v>
      </c>
      <c r="G2381" s="83"/>
      <c r="H2381" s="83"/>
    </row>
    <row r="2382" spans="1:8">
      <c r="A2382" s="83" t="s">
        <v>6768</v>
      </c>
      <c r="B2382" s="83" t="s">
        <v>6675</v>
      </c>
      <c r="C2382" s="83" t="s">
        <v>6768</v>
      </c>
      <c r="D2382" s="83" t="s">
        <v>6865</v>
      </c>
      <c r="E2382" s="84">
        <f>num_teachers_participate_menttraining_suicideprevention_g6</f>
        <v>0</v>
      </c>
      <c r="F2382" s="83" t="b">
        <v>1</v>
      </c>
      <c r="G2382" s="83"/>
      <c r="H2382" s="83"/>
    </row>
    <row r="2383" spans="1:8">
      <c r="A2383" s="83" t="s">
        <v>6769</v>
      </c>
      <c r="B2383" s="83" t="s">
        <v>6675</v>
      </c>
      <c r="C2383" s="83" t="s">
        <v>6769</v>
      </c>
      <c r="D2383" s="83" t="s">
        <v>6866</v>
      </c>
      <c r="E2383" s="84">
        <f>num_teachers_participate_menttraining_selfcare_g6</f>
        <v>0</v>
      </c>
      <c r="F2383" s="83" t="b">
        <v>1</v>
      </c>
      <c r="G2383" s="83"/>
      <c r="H2383" s="83"/>
    </row>
    <row r="2384" spans="1:8">
      <c r="A2384" s="83" t="s">
        <v>6770</v>
      </c>
      <c r="B2384" s="83" t="s">
        <v>6675</v>
      </c>
      <c r="C2384" s="83" t="s">
        <v>6770</v>
      </c>
      <c r="D2384" s="83" t="s">
        <v>6867</v>
      </c>
      <c r="E2384" s="84">
        <f>num_teachers_participate_menttraining_psycfirstaid_g6</f>
        <v>0</v>
      </c>
      <c r="F2384" s="83" t="b">
        <v>1</v>
      </c>
      <c r="G2384" s="83"/>
      <c r="H2384" s="83"/>
    </row>
    <row r="2385" spans="1:8" s="112" customFormat="1" ht="16" thickBot="1">
      <c r="A2385" s="85" t="s">
        <v>6771</v>
      </c>
      <c r="B2385" s="85" t="s">
        <v>6675</v>
      </c>
      <c r="C2385" s="85" t="s">
        <v>6771</v>
      </c>
      <c r="D2385" s="85" t="s">
        <v>6868</v>
      </c>
      <c r="E2385" s="86">
        <f>num_teachers_participate_menttraining_othertopics_g6</f>
        <v>0</v>
      </c>
      <c r="F2385" s="85" t="b">
        <v>1</v>
      </c>
      <c r="G2385" s="85"/>
      <c r="H2385" s="85"/>
    </row>
    <row r="2386" spans="1:8">
      <c r="A2386" s="83" t="s">
        <v>6869</v>
      </c>
      <c r="B2386" s="83" t="s">
        <v>6870</v>
      </c>
      <c r="C2386" s="83" t="s">
        <v>6869</v>
      </c>
      <c r="D2386" s="83" t="s">
        <v>6894</v>
      </c>
      <c r="E2386" s="84">
        <f>num_lrnrs_leukemia_cancerpatients</f>
        <v>0</v>
      </c>
      <c r="F2386" s="83" t="b">
        <v>1</v>
      </c>
      <c r="G2386" s="83"/>
      <c r="H2386" s="83"/>
    </row>
    <row r="2387" spans="1:8">
      <c r="A2387" s="83" t="s">
        <v>6871</v>
      </c>
      <c r="B2387" s="83" t="s">
        <v>6870</v>
      </c>
      <c r="C2387" s="83" t="s">
        <v>6871</v>
      </c>
      <c r="D2387" s="83" t="s">
        <v>6895</v>
      </c>
      <c r="E2387" s="84">
        <f>num_lrnrs_leukemia_livingwcancer</f>
        <v>0</v>
      </c>
      <c r="F2387" s="83" t="b">
        <v>1</v>
      </c>
      <c r="G2387" s="83"/>
      <c r="H2387" s="83"/>
    </row>
    <row r="2388" spans="1:8">
      <c r="A2388" s="83" t="s">
        <v>6872</v>
      </c>
      <c r="B2388" s="83" t="s">
        <v>6870</v>
      </c>
      <c r="C2388" s="83" t="s">
        <v>6872</v>
      </c>
      <c r="D2388" s="83" t="s">
        <v>6896</v>
      </c>
      <c r="E2388" s="84">
        <f>num_lrnrs_leukemia_cancersurvivor</f>
        <v>0</v>
      </c>
      <c r="F2388" s="83" t="b">
        <v>1</v>
      </c>
      <c r="G2388" s="83"/>
      <c r="H2388" s="83"/>
    </row>
    <row r="2389" spans="1:8">
      <c r="A2389" s="83" t="s">
        <v>6873</v>
      </c>
      <c r="B2389" s="83" t="s">
        <v>6870</v>
      </c>
      <c r="C2389" s="83" t="s">
        <v>6873</v>
      </c>
      <c r="D2389" s="83" t="s">
        <v>6897</v>
      </c>
      <c r="E2389" s="84">
        <f>num_lrnrs_leukemia_diedtocancer</f>
        <v>0</v>
      </c>
      <c r="F2389" s="83" t="b">
        <v>1</v>
      </c>
      <c r="G2389" s="83"/>
      <c r="H2389" s="83"/>
    </row>
    <row r="2390" spans="1:8">
      <c r="A2390" s="83" t="s">
        <v>6874</v>
      </c>
      <c r="B2390" s="83" t="s">
        <v>6870</v>
      </c>
      <c r="C2390" s="83" t="s">
        <v>6874</v>
      </c>
      <c r="D2390" s="83" t="s">
        <v>6898</v>
      </c>
      <c r="E2390" s="84">
        <f>num_lrnrs_brainspinal_cancerpatients</f>
        <v>0</v>
      </c>
      <c r="F2390" s="83" t="b">
        <v>1</v>
      </c>
      <c r="G2390" s="83"/>
      <c r="H2390" s="83"/>
    </row>
    <row r="2391" spans="1:8">
      <c r="A2391" s="83" t="s">
        <v>6875</v>
      </c>
      <c r="B2391" s="83" t="s">
        <v>6870</v>
      </c>
      <c r="C2391" s="83" t="s">
        <v>6875</v>
      </c>
      <c r="D2391" s="83" t="s">
        <v>6899</v>
      </c>
      <c r="E2391" s="84">
        <f>num_lrnrs_brainspinal_livingwcancer</f>
        <v>0</v>
      </c>
      <c r="F2391" s="83" t="b">
        <v>1</v>
      </c>
      <c r="G2391" s="83"/>
      <c r="H2391" s="83"/>
    </row>
    <row r="2392" spans="1:8">
      <c r="A2392" s="83" t="s">
        <v>6876</v>
      </c>
      <c r="B2392" s="83" t="s">
        <v>6870</v>
      </c>
      <c r="C2392" s="83" t="s">
        <v>6876</v>
      </c>
      <c r="D2392" s="83" t="s">
        <v>6900</v>
      </c>
      <c r="E2392" s="84">
        <f>num_lrnrs_brainspinal_cancersurvivor</f>
        <v>0</v>
      </c>
      <c r="F2392" s="83" t="b">
        <v>1</v>
      </c>
      <c r="G2392" s="83"/>
      <c r="H2392" s="83"/>
    </row>
    <row r="2393" spans="1:8">
      <c r="A2393" s="83" t="s">
        <v>6877</v>
      </c>
      <c r="B2393" s="83" t="s">
        <v>6870</v>
      </c>
      <c r="C2393" s="83" t="s">
        <v>6877</v>
      </c>
      <c r="D2393" s="83" t="s">
        <v>6901</v>
      </c>
      <c r="E2393" s="84">
        <f>num_lrnrs_brainspinal_diedtocancer</f>
        <v>0</v>
      </c>
      <c r="F2393" s="83" t="b">
        <v>1</v>
      </c>
      <c r="G2393" s="83"/>
      <c r="H2393" s="83"/>
    </row>
    <row r="2394" spans="1:8">
      <c r="A2394" s="83" t="s">
        <v>6878</v>
      </c>
      <c r="B2394" s="83" t="s">
        <v>6870</v>
      </c>
      <c r="C2394" s="83" t="s">
        <v>6878</v>
      </c>
      <c r="D2394" s="83" t="s">
        <v>6902</v>
      </c>
      <c r="E2394" s="84">
        <f>num_lrnrs_others_cancerpatients</f>
        <v>0</v>
      </c>
      <c r="F2394" s="83" t="b">
        <v>1</v>
      </c>
      <c r="G2394" s="83"/>
      <c r="H2394" s="83"/>
    </row>
    <row r="2395" spans="1:8">
      <c r="A2395" s="83" t="s">
        <v>6879</v>
      </c>
      <c r="B2395" s="83" t="s">
        <v>6870</v>
      </c>
      <c r="C2395" s="83" t="s">
        <v>6879</v>
      </c>
      <c r="D2395" s="83" t="s">
        <v>6903</v>
      </c>
      <c r="E2395" s="84">
        <f>num_lrnrs_others_livingwcancer</f>
        <v>0</v>
      </c>
      <c r="F2395" s="83" t="b">
        <v>1</v>
      </c>
      <c r="G2395" s="83"/>
      <c r="H2395" s="83"/>
    </row>
    <row r="2396" spans="1:8">
      <c r="A2396" s="83" t="s">
        <v>6880</v>
      </c>
      <c r="B2396" s="83" t="s">
        <v>6870</v>
      </c>
      <c r="C2396" s="83" t="s">
        <v>6880</v>
      </c>
      <c r="D2396" s="83" t="s">
        <v>6904</v>
      </c>
      <c r="E2396" s="84">
        <f>num_lrnrs_others_cancersurvivor</f>
        <v>0</v>
      </c>
      <c r="F2396" s="83" t="b">
        <v>1</v>
      </c>
      <c r="G2396" s="83"/>
      <c r="H2396" s="83"/>
    </row>
    <row r="2397" spans="1:8">
      <c r="A2397" s="83" t="s">
        <v>6881</v>
      </c>
      <c r="B2397" s="83" t="s">
        <v>6870</v>
      </c>
      <c r="C2397" s="83" t="s">
        <v>6881</v>
      </c>
      <c r="D2397" s="83" t="s">
        <v>6905</v>
      </c>
      <c r="E2397" s="84">
        <f>num_lrnrs_others_diedtocancer</f>
        <v>0</v>
      </c>
      <c r="F2397" s="83" t="b">
        <v>1</v>
      </c>
      <c r="G2397" s="83"/>
      <c r="H2397" s="83"/>
    </row>
    <row r="2398" spans="1:8">
      <c r="A2398" s="83" t="s">
        <v>6882</v>
      </c>
      <c r="B2398" s="83" t="s">
        <v>6870</v>
      </c>
      <c r="C2398" s="83" t="s">
        <v>6882</v>
      </c>
      <c r="D2398" s="83" t="s">
        <v>6906</v>
      </c>
      <c r="E2398" s="84">
        <f>num_schpersonnel_breast_cancerpatients</f>
        <v>0</v>
      </c>
      <c r="F2398" s="83" t="b">
        <v>1</v>
      </c>
      <c r="G2398" s="83"/>
      <c r="H2398" s="83"/>
    </row>
    <row r="2399" spans="1:8">
      <c r="A2399" s="83" t="s">
        <v>6883</v>
      </c>
      <c r="B2399" s="83" t="s">
        <v>6870</v>
      </c>
      <c r="C2399" s="83" t="s">
        <v>6883</v>
      </c>
      <c r="D2399" s="83" t="s">
        <v>6907</v>
      </c>
      <c r="E2399" s="84">
        <f>num_schpersonnel_breast_livingwcancer</f>
        <v>0</v>
      </c>
      <c r="F2399" s="83" t="b">
        <v>1</v>
      </c>
      <c r="G2399" s="83"/>
      <c r="H2399" s="83"/>
    </row>
    <row r="2400" spans="1:8">
      <c r="A2400" s="83" t="s">
        <v>6884</v>
      </c>
      <c r="B2400" s="83" t="s">
        <v>6870</v>
      </c>
      <c r="C2400" s="83" t="s">
        <v>6884</v>
      </c>
      <c r="D2400" s="83" t="s">
        <v>6908</v>
      </c>
      <c r="E2400" s="84">
        <f>num_schpersonnel_breast_cancersurvivor</f>
        <v>0</v>
      </c>
      <c r="F2400" s="83" t="b">
        <v>1</v>
      </c>
      <c r="G2400" s="83"/>
      <c r="H2400" s="83"/>
    </row>
    <row r="2401" spans="1:8">
      <c r="A2401" s="83" t="s">
        <v>6885</v>
      </c>
      <c r="B2401" s="83" t="s">
        <v>6870</v>
      </c>
      <c r="C2401" s="83" t="s">
        <v>6885</v>
      </c>
      <c r="D2401" s="83" t="s">
        <v>6909</v>
      </c>
      <c r="E2401" s="84">
        <f>num_schpersonnel_breast_diedtocancer</f>
        <v>0</v>
      </c>
      <c r="F2401" s="83" t="b">
        <v>1</v>
      </c>
      <c r="G2401" s="83"/>
      <c r="H2401" s="83"/>
    </row>
    <row r="2402" spans="1:8">
      <c r="A2402" s="83" t="s">
        <v>6886</v>
      </c>
      <c r="B2402" s="83" t="s">
        <v>6870</v>
      </c>
      <c r="C2402" s="83" t="s">
        <v>6886</v>
      </c>
      <c r="D2402" s="83" t="s">
        <v>6910</v>
      </c>
      <c r="E2402" s="84">
        <f>num_schpersonnel_lung_cancerpatients</f>
        <v>0</v>
      </c>
      <c r="F2402" s="83" t="b">
        <v>1</v>
      </c>
      <c r="G2402" s="83"/>
      <c r="H2402" s="83"/>
    </row>
    <row r="2403" spans="1:8">
      <c r="A2403" s="83" t="s">
        <v>6887</v>
      </c>
      <c r="B2403" s="83" t="s">
        <v>6870</v>
      </c>
      <c r="C2403" s="83" t="s">
        <v>6887</v>
      </c>
      <c r="D2403" s="83" t="s">
        <v>6911</v>
      </c>
      <c r="E2403" s="84">
        <f>num_schpersonnel_lung_livingwcancer</f>
        <v>0</v>
      </c>
      <c r="F2403" s="83" t="b">
        <v>1</v>
      </c>
      <c r="G2403" s="83"/>
      <c r="H2403" s="83"/>
    </row>
    <row r="2404" spans="1:8">
      <c r="A2404" s="83" t="s">
        <v>6888</v>
      </c>
      <c r="B2404" s="83" t="s">
        <v>6870</v>
      </c>
      <c r="C2404" s="83" t="s">
        <v>6888</v>
      </c>
      <c r="D2404" s="83" t="s">
        <v>6912</v>
      </c>
      <c r="E2404" s="84">
        <f>num_schpersonnel_lung_cancersurvivor</f>
        <v>0</v>
      </c>
      <c r="F2404" s="83" t="b">
        <v>1</v>
      </c>
      <c r="G2404" s="83"/>
      <c r="H2404" s="83"/>
    </row>
    <row r="2405" spans="1:8">
      <c r="A2405" s="83" t="s">
        <v>6889</v>
      </c>
      <c r="B2405" s="83" t="s">
        <v>6870</v>
      </c>
      <c r="C2405" s="83" t="s">
        <v>6889</v>
      </c>
      <c r="D2405" s="83" t="s">
        <v>6913</v>
      </c>
      <c r="E2405" s="84">
        <f>num_schpersonnel_lung_diedtocancer</f>
        <v>0</v>
      </c>
      <c r="F2405" s="83" t="b">
        <v>1</v>
      </c>
      <c r="G2405" s="83"/>
      <c r="H2405" s="83"/>
    </row>
    <row r="2406" spans="1:8">
      <c r="A2406" s="83" t="s">
        <v>6890</v>
      </c>
      <c r="B2406" s="83" t="s">
        <v>6870</v>
      </c>
      <c r="C2406" s="83" t="s">
        <v>6890</v>
      </c>
      <c r="D2406" s="83" t="s">
        <v>6914</v>
      </c>
      <c r="E2406" s="84">
        <f>num_schpersonnel_others_cancerpatients</f>
        <v>0</v>
      </c>
      <c r="F2406" s="83" t="b">
        <v>1</v>
      </c>
      <c r="G2406" s="83"/>
      <c r="H2406" s="83"/>
    </row>
    <row r="2407" spans="1:8">
      <c r="A2407" s="83" t="s">
        <v>6891</v>
      </c>
      <c r="B2407" s="83" t="s">
        <v>6870</v>
      </c>
      <c r="C2407" s="83" t="s">
        <v>6891</v>
      </c>
      <c r="D2407" s="83" t="s">
        <v>6915</v>
      </c>
      <c r="E2407" s="84">
        <f>num_schpersonnel_others_livingwcancer</f>
        <v>0</v>
      </c>
      <c r="F2407" s="83" t="b">
        <v>1</v>
      </c>
      <c r="G2407" s="83"/>
      <c r="H2407" s="83"/>
    </row>
    <row r="2408" spans="1:8">
      <c r="A2408" s="83" t="s">
        <v>6892</v>
      </c>
      <c r="B2408" s="83" t="s">
        <v>6870</v>
      </c>
      <c r="C2408" s="83" t="s">
        <v>6892</v>
      </c>
      <c r="D2408" s="83" t="s">
        <v>6916</v>
      </c>
      <c r="E2408" s="84">
        <f>num_schpersonnel_others_cancersurvivor</f>
        <v>0</v>
      </c>
      <c r="F2408" s="83" t="b">
        <v>1</v>
      </c>
      <c r="G2408" s="83"/>
      <c r="H2408" s="83"/>
    </row>
    <row r="2409" spans="1:8" s="112" customFormat="1" ht="16" thickBot="1">
      <c r="A2409" s="85" t="s">
        <v>6893</v>
      </c>
      <c r="B2409" s="85" t="s">
        <v>6870</v>
      </c>
      <c r="C2409" s="85" t="s">
        <v>6893</v>
      </c>
      <c r="D2409" s="85" t="s">
        <v>6917</v>
      </c>
      <c r="E2409" s="86">
        <f>num_schpersonnel_others_diedtocancer</f>
        <v>0</v>
      </c>
      <c r="F2409" s="85" t="b">
        <v>1</v>
      </c>
      <c r="G2409" s="85"/>
      <c r="H2409" s="85"/>
    </row>
    <row r="2410" spans="1:8">
      <c r="A2410" s="83" t="s">
        <v>6918</v>
      </c>
      <c r="B2410" s="83" t="s">
        <v>6919</v>
      </c>
      <c r="C2410" s="83" t="s">
        <v>6918</v>
      </c>
      <c r="D2410" s="83" t="s">
        <v>6974</v>
      </c>
      <c r="E2410" s="84">
        <f>num_lrnrs_pregnant_insch_g4</f>
        <v>0</v>
      </c>
      <c r="F2410" s="83" t="b">
        <v>1</v>
      </c>
      <c r="G2410" s="83"/>
      <c r="H2410" s="83"/>
    </row>
    <row r="2411" spans="1:8">
      <c r="A2411" s="83" t="s">
        <v>6920</v>
      </c>
      <c r="B2411" s="83" t="s">
        <v>6919</v>
      </c>
      <c r="C2411" s="83" t="s">
        <v>6920</v>
      </c>
      <c r="D2411" s="83" t="s">
        <v>6975</v>
      </c>
      <c r="E2411" s="84">
        <f>num_lrnrs_pregnant_adm_g4</f>
        <v>0</v>
      </c>
      <c r="F2411" s="83" t="b">
        <v>1</v>
      </c>
      <c r="G2411" s="83"/>
      <c r="H2411" s="83"/>
    </row>
    <row r="2412" spans="1:8">
      <c r="A2412" s="83" t="s">
        <v>6921</v>
      </c>
      <c r="B2412" s="83" t="s">
        <v>6919</v>
      </c>
      <c r="C2412" s="83" t="s">
        <v>6921</v>
      </c>
      <c r="D2412" s="83" t="s">
        <v>6976</v>
      </c>
      <c r="E2412" s="84">
        <f>num_lrnrs_pregnant_transin_g4</f>
        <v>0</v>
      </c>
      <c r="F2412" s="83" t="b">
        <v>1</v>
      </c>
      <c r="G2412" s="83"/>
      <c r="H2412" s="83"/>
    </row>
    <row r="2413" spans="1:8">
      <c r="A2413" s="83" t="s">
        <v>6922</v>
      </c>
      <c r="B2413" s="83" t="s">
        <v>6919</v>
      </c>
      <c r="C2413" s="83" t="s">
        <v>6922</v>
      </c>
      <c r="D2413" s="83" t="s">
        <v>6977</v>
      </c>
      <c r="E2413" s="84">
        <f>num_lrnrs_pregnant_transout_g4</f>
        <v>0</v>
      </c>
      <c r="F2413" s="83" t="b">
        <v>1</v>
      </c>
      <c r="G2413" s="83"/>
      <c r="H2413" s="83"/>
    </row>
    <row r="2414" spans="1:8">
      <c r="A2414" s="83" t="s">
        <v>6923</v>
      </c>
      <c r="B2414" s="83" t="s">
        <v>6919</v>
      </c>
      <c r="C2414" s="83" t="s">
        <v>6923</v>
      </c>
      <c r="D2414" s="83" t="s">
        <v>6978</v>
      </c>
      <c r="E2414" s="84">
        <f>num_lrnrs_pregnant_dropped_g4</f>
        <v>0</v>
      </c>
      <c r="F2414" s="83" t="b">
        <v>1</v>
      </c>
      <c r="G2414" s="83"/>
      <c r="H2414" s="83"/>
    </row>
    <row r="2415" spans="1:8">
      <c r="A2415" s="83" t="s">
        <v>6924</v>
      </c>
      <c r="B2415" s="83" t="s">
        <v>6919</v>
      </c>
      <c r="C2415" s="83" t="s">
        <v>6924</v>
      </c>
      <c r="D2415" s="83" t="s">
        <v>6979</v>
      </c>
      <c r="E2415" s="84">
        <f>num_lrnrs_pregnant_insch_g5</f>
        <v>0</v>
      </c>
      <c r="F2415" s="83" t="b">
        <v>1</v>
      </c>
      <c r="G2415" s="83"/>
      <c r="H2415" s="83"/>
    </row>
    <row r="2416" spans="1:8">
      <c r="A2416" s="83" t="s">
        <v>6925</v>
      </c>
      <c r="B2416" s="83" t="s">
        <v>6919</v>
      </c>
      <c r="C2416" s="83" t="s">
        <v>6925</v>
      </c>
      <c r="D2416" s="83" t="s">
        <v>6980</v>
      </c>
      <c r="E2416" s="84">
        <f>num_lrnrs_pregnant_adm_g5</f>
        <v>0</v>
      </c>
      <c r="F2416" s="83" t="b">
        <v>1</v>
      </c>
      <c r="G2416" s="83"/>
      <c r="H2416" s="83"/>
    </row>
    <row r="2417" spans="1:8">
      <c r="A2417" s="83" t="s">
        <v>6926</v>
      </c>
      <c r="B2417" s="83" t="s">
        <v>6919</v>
      </c>
      <c r="C2417" s="83" t="s">
        <v>6926</v>
      </c>
      <c r="D2417" s="83" t="s">
        <v>6981</v>
      </c>
      <c r="E2417" s="84">
        <f>num_lrnrs_pregnant_transin_g5</f>
        <v>0</v>
      </c>
      <c r="F2417" s="83" t="b">
        <v>1</v>
      </c>
      <c r="G2417" s="83"/>
      <c r="H2417" s="83"/>
    </row>
    <row r="2418" spans="1:8">
      <c r="A2418" s="83" t="s">
        <v>6927</v>
      </c>
      <c r="B2418" s="83" t="s">
        <v>6919</v>
      </c>
      <c r="C2418" s="83" t="s">
        <v>6927</v>
      </c>
      <c r="D2418" s="83" t="s">
        <v>6982</v>
      </c>
      <c r="E2418" s="84">
        <f>num_lrnrs_pregnant_transout_g5</f>
        <v>0</v>
      </c>
      <c r="F2418" s="83" t="b">
        <v>1</v>
      </c>
      <c r="G2418" s="83"/>
      <c r="H2418" s="83"/>
    </row>
    <row r="2419" spans="1:8">
      <c r="A2419" s="83" t="s">
        <v>6928</v>
      </c>
      <c r="B2419" s="83" t="s">
        <v>6919</v>
      </c>
      <c r="C2419" s="83" t="s">
        <v>6928</v>
      </c>
      <c r="D2419" s="83" t="s">
        <v>6983</v>
      </c>
      <c r="E2419" s="84">
        <f>num_lrnrs_pregnant_dropped_g5</f>
        <v>0</v>
      </c>
      <c r="F2419" s="83" t="b">
        <v>1</v>
      </c>
      <c r="G2419" s="83"/>
      <c r="H2419" s="83"/>
    </row>
    <row r="2420" spans="1:8">
      <c r="A2420" s="83" t="s">
        <v>6929</v>
      </c>
      <c r="B2420" s="83" t="s">
        <v>6919</v>
      </c>
      <c r="C2420" s="83" t="s">
        <v>6929</v>
      </c>
      <c r="D2420" s="83" t="s">
        <v>6984</v>
      </c>
      <c r="E2420" s="84">
        <f>num_lrnrs_pregnant_insch_g6</f>
        <v>0</v>
      </c>
      <c r="F2420" s="83" t="b">
        <v>1</v>
      </c>
      <c r="G2420" s="83"/>
      <c r="H2420" s="83"/>
    </row>
    <row r="2421" spans="1:8">
      <c r="A2421" s="83" t="s">
        <v>6930</v>
      </c>
      <c r="B2421" s="83" t="s">
        <v>6919</v>
      </c>
      <c r="C2421" s="83" t="s">
        <v>6930</v>
      </c>
      <c r="D2421" s="83" t="s">
        <v>6985</v>
      </c>
      <c r="E2421" s="84">
        <f>num_lrnrs_pregnant_adm_g6</f>
        <v>0</v>
      </c>
      <c r="F2421" s="83" t="b">
        <v>1</v>
      </c>
      <c r="G2421" s="83"/>
      <c r="H2421" s="83"/>
    </row>
    <row r="2422" spans="1:8">
      <c r="A2422" s="83" t="s">
        <v>6931</v>
      </c>
      <c r="B2422" s="83" t="s">
        <v>6919</v>
      </c>
      <c r="C2422" s="83" t="s">
        <v>6931</v>
      </c>
      <c r="D2422" s="83" t="s">
        <v>6986</v>
      </c>
      <c r="E2422" s="84">
        <f>num_lrnrs_pregnant_transin_g6</f>
        <v>0</v>
      </c>
      <c r="F2422" s="83" t="b">
        <v>1</v>
      </c>
      <c r="G2422" s="83"/>
      <c r="H2422" s="83"/>
    </row>
    <row r="2423" spans="1:8">
      <c r="A2423" s="83" t="s">
        <v>6932</v>
      </c>
      <c r="B2423" s="83" t="s">
        <v>6919</v>
      </c>
      <c r="C2423" s="83" t="s">
        <v>6932</v>
      </c>
      <c r="D2423" s="83" t="s">
        <v>6987</v>
      </c>
      <c r="E2423" s="84">
        <f>num_lrnrs_pregnant_transout_g6</f>
        <v>0</v>
      </c>
      <c r="F2423" s="83" t="b">
        <v>1</v>
      </c>
      <c r="G2423" s="83"/>
      <c r="H2423" s="83"/>
    </row>
    <row r="2424" spans="1:8">
      <c r="A2424" s="83" t="s">
        <v>6933</v>
      </c>
      <c r="B2424" s="83" t="s">
        <v>6919</v>
      </c>
      <c r="C2424" s="83" t="s">
        <v>6933</v>
      </c>
      <c r="D2424" s="83" t="s">
        <v>6988</v>
      </c>
      <c r="E2424" s="84">
        <f>num_lrnrs_pregnant_dropped_g6</f>
        <v>0</v>
      </c>
      <c r="F2424" s="83" t="b">
        <v>1</v>
      </c>
      <c r="G2424" s="83"/>
      <c r="H2424" s="83"/>
    </row>
    <row r="2425" spans="1:8">
      <c r="A2425" s="83" t="s">
        <v>6934</v>
      </c>
      <c r="B2425" s="83" t="s">
        <v>6919</v>
      </c>
      <c r="C2425" s="83" t="s">
        <v>6934</v>
      </c>
      <c r="D2425" s="83" t="s">
        <v>6989</v>
      </c>
      <c r="E2425" s="84">
        <f>num_lrnrs_impregnator_insch_g4</f>
        <v>0</v>
      </c>
      <c r="F2425" s="83" t="b">
        <v>1</v>
      </c>
      <c r="G2425" s="83"/>
      <c r="H2425" s="83"/>
    </row>
    <row r="2426" spans="1:8">
      <c r="A2426" s="83" t="s">
        <v>6935</v>
      </c>
      <c r="B2426" s="83" t="s">
        <v>6919</v>
      </c>
      <c r="C2426" s="83" t="s">
        <v>6935</v>
      </c>
      <c r="D2426" s="83" t="s">
        <v>6990</v>
      </c>
      <c r="E2426" s="84">
        <f>num_lrnrs_impregnator_adm_g4</f>
        <v>0</v>
      </c>
      <c r="F2426" s="83" t="b">
        <v>1</v>
      </c>
      <c r="G2426" s="83"/>
      <c r="H2426" s="83"/>
    </row>
    <row r="2427" spans="1:8">
      <c r="A2427" s="83" t="s">
        <v>6936</v>
      </c>
      <c r="B2427" s="83" t="s">
        <v>6919</v>
      </c>
      <c r="C2427" s="83" t="s">
        <v>6936</v>
      </c>
      <c r="D2427" s="83" t="s">
        <v>6991</v>
      </c>
      <c r="E2427" s="84">
        <f>num_lrnrs_impregnator_transin_g4</f>
        <v>0</v>
      </c>
      <c r="F2427" s="83" t="b">
        <v>1</v>
      </c>
      <c r="G2427" s="83"/>
      <c r="H2427" s="83"/>
    </row>
    <row r="2428" spans="1:8">
      <c r="A2428" s="83" t="s">
        <v>6937</v>
      </c>
      <c r="B2428" s="83" t="s">
        <v>6919</v>
      </c>
      <c r="C2428" s="83" t="s">
        <v>6937</v>
      </c>
      <c r="D2428" s="83" t="s">
        <v>6992</v>
      </c>
      <c r="E2428" s="84">
        <f>num_lrnrs_impregnator_transout_g4</f>
        <v>0</v>
      </c>
      <c r="F2428" s="83" t="b">
        <v>1</v>
      </c>
      <c r="G2428" s="83"/>
      <c r="H2428" s="83"/>
    </row>
    <row r="2429" spans="1:8">
      <c r="A2429" s="83" t="s">
        <v>6938</v>
      </c>
      <c r="B2429" s="83" t="s">
        <v>6919</v>
      </c>
      <c r="C2429" s="83" t="s">
        <v>6938</v>
      </c>
      <c r="D2429" s="83" t="s">
        <v>6993</v>
      </c>
      <c r="E2429" s="84">
        <f>num_lrnrs_impregnator_dropped_g4</f>
        <v>0</v>
      </c>
      <c r="F2429" s="83" t="b">
        <v>1</v>
      </c>
      <c r="G2429" s="83"/>
      <c r="H2429" s="83"/>
    </row>
    <row r="2430" spans="1:8">
      <c r="A2430" s="83" t="s">
        <v>6939</v>
      </c>
      <c r="B2430" s="83" t="s">
        <v>6919</v>
      </c>
      <c r="C2430" s="83" t="s">
        <v>6939</v>
      </c>
      <c r="D2430" s="83" t="s">
        <v>6994</v>
      </c>
      <c r="E2430" s="84">
        <f>num_lrnrs_impregnator_insch_g5</f>
        <v>0</v>
      </c>
      <c r="F2430" s="83" t="b">
        <v>1</v>
      </c>
      <c r="G2430" s="83"/>
      <c r="H2430" s="83"/>
    </row>
    <row r="2431" spans="1:8">
      <c r="A2431" s="83" t="s">
        <v>6940</v>
      </c>
      <c r="B2431" s="83" t="s">
        <v>6919</v>
      </c>
      <c r="C2431" s="83" t="s">
        <v>6940</v>
      </c>
      <c r="D2431" s="83" t="s">
        <v>6995</v>
      </c>
      <c r="E2431" s="84">
        <f>num_lrnrs_impregnator_adm_g5</f>
        <v>0</v>
      </c>
      <c r="F2431" s="83" t="b">
        <v>1</v>
      </c>
      <c r="G2431" s="83"/>
      <c r="H2431" s="83"/>
    </row>
    <row r="2432" spans="1:8">
      <c r="A2432" s="83" t="s">
        <v>6941</v>
      </c>
      <c r="B2432" s="83" t="s">
        <v>6919</v>
      </c>
      <c r="C2432" s="83" t="s">
        <v>6941</v>
      </c>
      <c r="D2432" s="83" t="s">
        <v>6996</v>
      </c>
      <c r="E2432" s="84">
        <f>num_lrnrs_impregnator_transin_g5</f>
        <v>0</v>
      </c>
      <c r="F2432" s="83" t="b">
        <v>1</v>
      </c>
      <c r="G2432" s="83"/>
      <c r="H2432" s="83"/>
    </row>
    <row r="2433" spans="1:8">
      <c r="A2433" s="83" t="s">
        <v>6942</v>
      </c>
      <c r="B2433" s="83" t="s">
        <v>6919</v>
      </c>
      <c r="C2433" s="83" t="s">
        <v>6942</v>
      </c>
      <c r="D2433" s="83" t="s">
        <v>6997</v>
      </c>
      <c r="E2433" s="84">
        <f>num_lrnrs_impregnator_transout_g5</f>
        <v>0</v>
      </c>
      <c r="F2433" s="83" t="b">
        <v>1</v>
      </c>
      <c r="G2433" s="83"/>
      <c r="H2433" s="83"/>
    </row>
    <row r="2434" spans="1:8">
      <c r="A2434" s="83" t="s">
        <v>6943</v>
      </c>
      <c r="B2434" s="83" t="s">
        <v>6919</v>
      </c>
      <c r="C2434" s="83" t="s">
        <v>6943</v>
      </c>
      <c r="D2434" s="83" t="s">
        <v>6998</v>
      </c>
      <c r="E2434" s="84">
        <f>num_lrnrs_impregnator_dropped_g5</f>
        <v>0</v>
      </c>
      <c r="F2434" s="83" t="b">
        <v>1</v>
      </c>
      <c r="G2434" s="83"/>
      <c r="H2434" s="83"/>
    </row>
    <row r="2435" spans="1:8">
      <c r="A2435" s="83" t="s">
        <v>6944</v>
      </c>
      <c r="B2435" s="83" t="s">
        <v>6919</v>
      </c>
      <c r="C2435" s="83" t="s">
        <v>6944</v>
      </c>
      <c r="D2435" s="83" t="s">
        <v>6999</v>
      </c>
      <c r="E2435" s="84">
        <f>num_lrnrs_impregnator_insch_g6</f>
        <v>0</v>
      </c>
      <c r="F2435" s="83" t="b">
        <v>1</v>
      </c>
      <c r="G2435" s="83"/>
      <c r="H2435" s="83"/>
    </row>
    <row r="2436" spans="1:8">
      <c r="A2436" s="83" t="s">
        <v>6945</v>
      </c>
      <c r="B2436" s="83" t="s">
        <v>6919</v>
      </c>
      <c r="C2436" s="83" t="s">
        <v>6945</v>
      </c>
      <c r="D2436" s="83" t="s">
        <v>7000</v>
      </c>
      <c r="E2436" s="84">
        <f>num_lrnrs_impregnator_adm_g6</f>
        <v>0</v>
      </c>
      <c r="F2436" s="83" t="b">
        <v>1</v>
      </c>
      <c r="G2436" s="83"/>
      <c r="H2436" s="83"/>
    </row>
    <row r="2437" spans="1:8">
      <c r="A2437" s="83" t="s">
        <v>6946</v>
      </c>
      <c r="B2437" s="83" t="s">
        <v>6919</v>
      </c>
      <c r="C2437" s="83" t="s">
        <v>6946</v>
      </c>
      <c r="D2437" s="83" t="s">
        <v>7001</v>
      </c>
      <c r="E2437" s="84">
        <f>num_lrnrs_impregnator_transin_g6</f>
        <v>0</v>
      </c>
      <c r="F2437" s="83" t="b">
        <v>1</v>
      </c>
      <c r="G2437" s="83"/>
      <c r="H2437" s="83"/>
    </row>
    <row r="2438" spans="1:8">
      <c r="A2438" s="83" t="s">
        <v>6947</v>
      </c>
      <c r="B2438" s="83" t="s">
        <v>6919</v>
      </c>
      <c r="C2438" s="83" t="s">
        <v>6947</v>
      </c>
      <c r="D2438" s="83" t="s">
        <v>7002</v>
      </c>
      <c r="E2438" s="84">
        <f>num_lrnrs_impregnator_transout_g6</f>
        <v>0</v>
      </c>
      <c r="F2438" s="83" t="b">
        <v>1</v>
      </c>
      <c r="G2438" s="83"/>
      <c r="H2438" s="83"/>
    </row>
    <row r="2439" spans="1:8">
      <c r="A2439" s="83" t="s">
        <v>6948</v>
      </c>
      <c r="B2439" s="83" t="s">
        <v>6919</v>
      </c>
      <c r="C2439" s="83" t="s">
        <v>6948</v>
      </c>
      <c r="D2439" s="83" t="s">
        <v>7003</v>
      </c>
      <c r="E2439" s="84">
        <f>num_lrnrs_impregnator_dropped_g6</f>
        <v>0</v>
      </c>
      <c r="F2439" s="83" t="b">
        <v>1</v>
      </c>
      <c r="G2439" s="83"/>
      <c r="H2439" s="83"/>
    </row>
    <row r="2440" spans="1:8">
      <c r="A2440" s="83" t="s">
        <v>6949</v>
      </c>
      <c r="B2440" s="83" t="s">
        <v>6919</v>
      </c>
      <c r="C2440" s="83" t="s">
        <v>6949</v>
      </c>
      <c r="D2440" s="83" t="s">
        <v>7004</v>
      </c>
      <c r="E2440" s="84">
        <f>sch_operational_teen_ctr_ifyes</f>
        <v>0</v>
      </c>
      <c r="F2440" s="83" t="b">
        <f>OR(E2440=TRUE, E2440=FALSE)</f>
        <v>0</v>
      </c>
      <c r="G2440" s="83" t="s">
        <v>2287</v>
      </c>
      <c r="H2440" s="83"/>
    </row>
    <row r="2441" spans="1:8">
      <c r="A2441" s="83" t="s">
        <v>6950</v>
      </c>
      <c r="B2441" s="83" t="s">
        <v>6919</v>
      </c>
      <c r="C2441" s="83" t="s">
        <v>6950</v>
      </c>
      <c r="D2441" s="83" t="s">
        <v>7005</v>
      </c>
      <c r="E2441" s="84">
        <f>num_lrnrs_participate_hivtraining_g4</f>
        <v>0</v>
      </c>
      <c r="F2441" s="83" t="b">
        <v>1</v>
      </c>
      <c r="G2441" s="83"/>
      <c r="H2441" s="83"/>
    </row>
    <row r="2442" spans="1:8">
      <c r="A2442" s="83" t="s">
        <v>6951</v>
      </c>
      <c r="B2442" s="83" t="s">
        <v>6919</v>
      </c>
      <c r="C2442" s="83" t="s">
        <v>6951</v>
      </c>
      <c r="D2442" s="83" t="s">
        <v>7006</v>
      </c>
      <c r="E2442" s="84">
        <f>num_lrnrs_trained_peered_asrh_g4</f>
        <v>0</v>
      </c>
      <c r="F2442" s="83" t="b">
        <v>1</v>
      </c>
      <c r="G2442" s="83"/>
      <c r="H2442" s="83"/>
    </row>
    <row r="2443" spans="1:8">
      <c r="A2443" s="83" t="s">
        <v>6952</v>
      </c>
      <c r="B2443" s="83" t="s">
        <v>6919</v>
      </c>
      <c r="C2443" s="83" t="s">
        <v>6952</v>
      </c>
      <c r="D2443" s="83" t="s">
        <v>7007</v>
      </c>
      <c r="E2443" s="84">
        <f>num_lrnrs_screen_ashconcern_g4</f>
        <v>0</v>
      </c>
      <c r="F2443" s="83" t="b">
        <v>1</v>
      </c>
      <c r="G2443" s="83"/>
      <c r="H2443" s="83"/>
    </row>
    <row r="2444" spans="1:8">
      <c r="A2444" s="83" t="s">
        <v>6953</v>
      </c>
      <c r="B2444" s="83" t="s">
        <v>6919</v>
      </c>
      <c r="C2444" s="83" t="s">
        <v>6953</v>
      </c>
      <c r="D2444" s="83" t="s">
        <v>7008</v>
      </c>
      <c r="E2444" s="84">
        <f>num_lrnrs_catered_teenctr_g4</f>
        <v>0</v>
      </c>
      <c r="F2444" s="83" t="b">
        <v>1</v>
      </c>
      <c r="G2444" s="83"/>
      <c r="H2444" s="83"/>
    </row>
    <row r="2445" spans="1:8">
      <c r="A2445" s="83" t="s">
        <v>6954</v>
      </c>
      <c r="B2445" s="83" t="s">
        <v>6919</v>
      </c>
      <c r="C2445" s="83" t="s">
        <v>6954</v>
      </c>
      <c r="D2445" s="83" t="s">
        <v>7009</v>
      </c>
      <c r="E2445" s="84">
        <f>num_lrnrs_redcrossyouth_g4</f>
        <v>0</v>
      </c>
      <c r="F2445" s="83" t="b">
        <v>1</v>
      </c>
      <c r="G2445" s="83"/>
      <c r="H2445" s="83"/>
    </row>
    <row r="2446" spans="1:8">
      <c r="A2446" s="83" t="s">
        <v>6955</v>
      </c>
      <c r="B2446" s="83" t="s">
        <v>6919</v>
      </c>
      <c r="C2446" s="83" t="s">
        <v>6955</v>
      </c>
      <c r="D2446" s="83" t="s">
        <v>7010</v>
      </c>
      <c r="E2446" s="84">
        <f>num_lrnrs_participate_hivtraining_g5</f>
        <v>0</v>
      </c>
      <c r="F2446" s="83" t="b">
        <v>1</v>
      </c>
      <c r="G2446" s="83"/>
      <c r="H2446" s="83"/>
    </row>
    <row r="2447" spans="1:8">
      <c r="A2447" s="83" t="s">
        <v>6956</v>
      </c>
      <c r="B2447" s="83" t="s">
        <v>6919</v>
      </c>
      <c r="C2447" s="83" t="s">
        <v>6956</v>
      </c>
      <c r="D2447" s="83" t="s">
        <v>7011</v>
      </c>
      <c r="E2447" s="84">
        <f>num_lrnrs_trained_peered_asrh_g5</f>
        <v>0</v>
      </c>
      <c r="F2447" s="83" t="b">
        <v>1</v>
      </c>
      <c r="G2447" s="83"/>
      <c r="H2447" s="83"/>
    </row>
    <row r="2448" spans="1:8">
      <c r="A2448" s="83" t="s">
        <v>6957</v>
      </c>
      <c r="B2448" s="83" t="s">
        <v>6919</v>
      </c>
      <c r="C2448" s="83" t="s">
        <v>6957</v>
      </c>
      <c r="D2448" s="83" t="s">
        <v>7012</v>
      </c>
      <c r="E2448" s="84">
        <f>num_lrnrs_screen_ashconcern_g5</f>
        <v>0</v>
      </c>
      <c r="F2448" s="83" t="b">
        <v>1</v>
      </c>
      <c r="G2448" s="83"/>
      <c r="H2448" s="83"/>
    </row>
    <row r="2449" spans="1:8">
      <c r="A2449" s="83" t="s">
        <v>6958</v>
      </c>
      <c r="B2449" s="83" t="s">
        <v>6919</v>
      </c>
      <c r="C2449" s="83" t="s">
        <v>6958</v>
      </c>
      <c r="D2449" s="83" t="s">
        <v>7013</v>
      </c>
      <c r="E2449" s="84">
        <f>num_lrnrs_catered_teenctr_g5</f>
        <v>0</v>
      </c>
      <c r="F2449" s="83" t="b">
        <v>1</v>
      </c>
      <c r="G2449" s="83"/>
      <c r="H2449" s="83"/>
    </row>
    <row r="2450" spans="1:8">
      <c r="A2450" s="83" t="s">
        <v>6959</v>
      </c>
      <c r="B2450" s="83" t="s">
        <v>6919</v>
      </c>
      <c r="C2450" s="83" t="s">
        <v>6959</v>
      </c>
      <c r="D2450" s="83" t="s">
        <v>7014</v>
      </c>
      <c r="E2450" s="84">
        <f>num_lrnrs_redcrossyouth_g5</f>
        <v>0</v>
      </c>
      <c r="F2450" s="83" t="b">
        <v>1</v>
      </c>
      <c r="G2450" s="83"/>
      <c r="H2450" s="83"/>
    </row>
    <row r="2451" spans="1:8">
      <c r="A2451" s="83" t="s">
        <v>6960</v>
      </c>
      <c r="B2451" s="83" t="s">
        <v>6919</v>
      </c>
      <c r="C2451" s="83" t="s">
        <v>6960</v>
      </c>
      <c r="D2451" s="83" t="s">
        <v>7015</v>
      </c>
      <c r="E2451" s="84">
        <f>num_lrnrs_participate_hivtraining_g6</f>
        <v>0</v>
      </c>
      <c r="F2451" s="83" t="b">
        <v>1</v>
      </c>
      <c r="G2451" s="83"/>
      <c r="H2451" s="83"/>
    </row>
    <row r="2452" spans="1:8">
      <c r="A2452" s="83" t="s">
        <v>6961</v>
      </c>
      <c r="B2452" s="83" t="s">
        <v>6919</v>
      </c>
      <c r="C2452" s="83" t="s">
        <v>6961</v>
      </c>
      <c r="D2452" s="83" t="s">
        <v>7016</v>
      </c>
      <c r="E2452" s="84">
        <f>num_lrnrs_trained_peered_asrh_g6</f>
        <v>0</v>
      </c>
      <c r="F2452" s="83" t="b">
        <v>1</v>
      </c>
      <c r="G2452" s="83"/>
      <c r="H2452" s="83"/>
    </row>
    <row r="2453" spans="1:8">
      <c r="A2453" s="83" t="s">
        <v>6962</v>
      </c>
      <c r="B2453" s="83" t="s">
        <v>6919</v>
      </c>
      <c r="C2453" s="83" t="s">
        <v>6962</v>
      </c>
      <c r="D2453" s="83" t="s">
        <v>7017</v>
      </c>
      <c r="E2453" s="84">
        <f>num_lrnrs_screen_ashconcern_g6</f>
        <v>0</v>
      </c>
      <c r="F2453" s="83" t="b">
        <v>1</v>
      </c>
      <c r="G2453" s="83"/>
      <c r="H2453" s="83"/>
    </row>
    <row r="2454" spans="1:8">
      <c r="A2454" s="83" t="s">
        <v>6963</v>
      </c>
      <c r="B2454" s="83" t="s">
        <v>6919</v>
      </c>
      <c r="C2454" s="83" t="s">
        <v>6963</v>
      </c>
      <c r="D2454" s="83" t="s">
        <v>7018</v>
      </c>
      <c r="E2454" s="84">
        <f>num_lrnrs_catered_teenctr_g6</f>
        <v>0</v>
      </c>
      <c r="F2454" s="83" t="b">
        <v>1</v>
      </c>
      <c r="G2454" s="83"/>
      <c r="H2454" s="83"/>
    </row>
    <row r="2455" spans="1:8">
      <c r="A2455" s="83" t="s">
        <v>6964</v>
      </c>
      <c r="B2455" s="83" t="s">
        <v>6919</v>
      </c>
      <c r="C2455" s="83" t="s">
        <v>6964</v>
      </c>
      <c r="D2455" s="83" t="s">
        <v>7019</v>
      </c>
      <c r="E2455" s="84">
        <f>num_lrnrs_redcrossyouth_g6</f>
        <v>0</v>
      </c>
      <c r="F2455" s="83" t="b">
        <v>1</v>
      </c>
      <c r="G2455" s="83"/>
      <c r="H2455" s="83"/>
    </row>
    <row r="2456" spans="1:8">
      <c r="A2456" s="83" t="s">
        <v>6965</v>
      </c>
      <c r="B2456" s="83" t="s">
        <v>6919</v>
      </c>
      <c r="C2456" s="83" t="s">
        <v>6965</v>
      </c>
      <c r="D2456" s="83" t="s">
        <v>7020</v>
      </c>
      <c r="E2456" s="84">
        <f>num_teachers_trained_aja_g4</f>
        <v>0</v>
      </c>
      <c r="F2456" s="83" t="b">
        <v>1</v>
      </c>
      <c r="G2456" s="83"/>
      <c r="H2456" s="83"/>
    </row>
    <row r="2457" spans="1:8">
      <c r="A2457" s="83" t="s">
        <v>6966</v>
      </c>
      <c r="B2457" s="83" t="s">
        <v>6919</v>
      </c>
      <c r="C2457" s="83" t="s">
        <v>6966</v>
      </c>
      <c r="D2457" s="83" t="s">
        <v>7021</v>
      </c>
      <c r="E2457" s="84">
        <f>num_teachers_trained_adept_g4</f>
        <v>0</v>
      </c>
      <c r="F2457" s="83" t="b">
        <v>1</v>
      </c>
      <c r="G2457" s="83"/>
      <c r="H2457" s="83"/>
    </row>
    <row r="2458" spans="1:8">
      <c r="A2458" s="83" t="s">
        <v>6967</v>
      </c>
      <c r="B2458" s="83" t="s">
        <v>6919</v>
      </c>
      <c r="C2458" s="83" t="s">
        <v>6967</v>
      </c>
      <c r="D2458" s="83" t="s">
        <v>7022</v>
      </c>
      <c r="E2458" s="84">
        <f>num_teachers_hivtraining_g4</f>
        <v>0</v>
      </c>
      <c r="F2458" s="83" t="b">
        <v>1</v>
      </c>
      <c r="G2458" s="83"/>
      <c r="H2458" s="83"/>
    </row>
    <row r="2459" spans="1:8">
      <c r="A2459" s="83" t="s">
        <v>6968</v>
      </c>
      <c r="B2459" s="83" t="s">
        <v>6919</v>
      </c>
      <c r="C2459" s="83" t="s">
        <v>6968</v>
      </c>
      <c r="D2459" s="83" t="s">
        <v>7023</v>
      </c>
      <c r="E2459" s="84">
        <f>num_teachers_trained_aja_g5</f>
        <v>0</v>
      </c>
      <c r="F2459" s="83" t="b">
        <v>1</v>
      </c>
      <c r="G2459" s="83"/>
      <c r="H2459" s="83"/>
    </row>
    <row r="2460" spans="1:8">
      <c r="A2460" s="83" t="s">
        <v>6969</v>
      </c>
      <c r="B2460" s="83" t="s">
        <v>6919</v>
      </c>
      <c r="C2460" s="83" t="s">
        <v>6969</v>
      </c>
      <c r="D2460" s="83" t="s">
        <v>7024</v>
      </c>
      <c r="E2460" s="84">
        <f>num_teachers_trained_adept_g5</f>
        <v>0</v>
      </c>
      <c r="F2460" s="83" t="b">
        <v>1</v>
      </c>
      <c r="G2460" s="83"/>
      <c r="H2460" s="83"/>
    </row>
    <row r="2461" spans="1:8">
      <c r="A2461" s="83" t="s">
        <v>6970</v>
      </c>
      <c r="B2461" s="83" t="s">
        <v>6919</v>
      </c>
      <c r="C2461" s="83" t="s">
        <v>6970</v>
      </c>
      <c r="D2461" s="83" t="s">
        <v>7025</v>
      </c>
      <c r="E2461" s="84">
        <f>num_teachers_hivtraining_g5</f>
        <v>0</v>
      </c>
      <c r="F2461" s="83" t="b">
        <v>1</v>
      </c>
      <c r="G2461" s="83"/>
      <c r="H2461" s="83"/>
    </row>
    <row r="2462" spans="1:8">
      <c r="A2462" s="83" t="s">
        <v>6971</v>
      </c>
      <c r="B2462" s="83" t="s">
        <v>6919</v>
      </c>
      <c r="C2462" s="83" t="s">
        <v>6971</v>
      </c>
      <c r="D2462" s="83" t="s">
        <v>7026</v>
      </c>
      <c r="E2462" s="84">
        <f>num_teachers_trained_aja_g6</f>
        <v>0</v>
      </c>
      <c r="F2462" s="83" t="b">
        <v>1</v>
      </c>
      <c r="G2462" s="83"/>
      <c r="H2462" s="83"/>
    </row>
    <row r="2463" spans="1:8">
      <c r="A2463" s="83" t="s">
        <v>6972</v>
      </c>
      <c r="B2463" s="83" t="s">
        <v>6919</v>
      </c>
      <c r="C2463" s="83" t="s">
        <v>6972</v>
      </c>
      <c r="D2463" s="83" t="s">
        <v>7027</v>
      </c>
      <c r="E2463" s="84">
        <f>num_teachers_trained_adept_g6</f>
        <v>0</v>
      </c>
      <c r="F2463" s="83" t="b">
        <v>1</v>
      </c>
      <c r="G2463" s="83"/>
      <c r="H2463" s="83"/>
    </row>
    <row r="2464" spans="1:8" s="112" customFormat="1" ht="16" thickBot="1">
      <c r="A2464" s="85" t="s">
        <v>6973</v>
      </c>
      <c r="B2464" s="85" t="s">
        <v>6919</v>
      </c>
      <c r="C2464" s="85" t="s">
        <v>6973</v>
      </c>
      <c r="D2464" s="85" t="s">
        <v>7028</v>
      </c>
      <c r="E2464" s="86">
        <f>num_teachers_hivtraining_g6</f>
        <v>0</v>
      </c>
      <c r="F2464" s="85" t="b">
        <v>1</v>
      </c>
      <c r="G2464" s="85"/>
      <c r="H2464" s="85"/>
    </row>
    <row r="2465" spans="1:8">
      <c r="A2465" s="83" t="s">
        <v>7029</v>
      </c>
      <c r="B2465" s="83" t="s">
        <v>7030</v>
      </c>
      <c r="C2465" s="83" t="s">
        <v>7029</v>
      </c>
      <c r="D2465" s="83" t="s">
        <v>7083</v>
      </c>
      <c r="E2465" s="84" t="b">
        <f>sch_nosmoking_sign_yes</f>
        <v>1</v>
      </c>
      <c r="F2465" s="83" t="b">
        <f t="shared" ref="F2465:F2468" si="43">OR(E2465=TRUE, E2465=FALSE)</f>
        <v>1</v>
      </c>
      <c r="G2465" s="83" t="s">
        <v>2287</v>
      </c>
      <c r="H2465" s="83"/>
    </row>
    <row r="2466" spans="1:8">
      <c r="A2466" s="83" t="s">
        <v>7031</v>
      </c>
      <c r="B2466" s="83" t="s">
        <v>7030</v>
      </c>
      <c r="C2466" s="83" t="s">
        <v>7031</v>
      </c>
      <c r="D2466" s="83" t="s">
        <v>7084</v>
      </c>
      <c r="E2466" s="84" t="b">
        <f>sch_nosmoking_postsch_chkgate_yes</f>
        <v>1</v>
      </c>
      <c r="F2466" s="83" t="b">
        <f t="shared" si="43"/>
        <v>1</v>
      </c>
      <c r="G2466" s="83" t="s">
        <v>2287</v>
      </c>
      <c r="H2466" s="83"/>
    </row>
    <row r="2467" spans="1:8">
      <c r="A2467" s="83" t="s">
        <v>7032</v>
      </c>
      <c r="B2467" s="83" t="s">
        <v>7030</v>
      </c>
      <c r="C2467" s="83" t="s">
        <v>7032</v>
      </c>
      <c r="D2467" s="83" t="s">
        <v>7085</v>
      </c>
      <c r="E2467" s="84" t="b">
        <f>store_win_100m_frsch_sell_tobacco</f>
        <v>1</v>
      </c>
      <c r="F2467" s="83" t="b">
        <f t="shared" si="43"/>
        <v>1</v>
      </c>
      <c r="G2467" s="83" t="s">
        <v>2287</v>
      </c>
      <c r="H2467" s="83"/>
    </row>
    <row r="2468" spans="1:8">
      <c r="A2468" s="83" t="s">
        <v>7033</v>
      </c>
      <c r="B2468" s="83" t="s">
        <v>7030</v>
      </c>
      <c r="C2468" s="83" t="s">
        <v>7033</v>
      </c>
      <c r="D2468" s="83" t="s">
        <v>7086</v>
      </c>
      <c r="E2468" s="84" t="b">
        <f>store_win_100m_frsch_sell_vape_ecig</f>
        <v>1</v>
      </c>
      <c r="F2468" s="83" t="b">
        <f t="shared" si="43"/>
        <v>1</v>
      </c>
      <c r="G2468" s="83" t="s">
        <v>2287</v>
      </c>
      <c r="H2468" s="83"/>
    </row>
    <row r="2469" spans="1:8">
      <c r="A2469" s="83" t="s">
        <v>7034</v>
      </c>
      <c r="B2469" s="83" t="s">
        <v>7030</v>
      </c>
      <c r="C2469" s="83" t="s">
        <v>7034</v>
      </c>
      <c r="D2469" s="83" t="s">
        <v>7087</v>
      </c>
      <c r="E2469" s="84">
        <f>sch_measureati_partner_may2017aug2018_num</f>
        <v>0</v>
      </c>
      <c r="F2469" s="83" t="b">
        <v>1</v>
      </c>
      <c r="G2469" s="83"/>
      <c r="H2469" s="83"/>
    </row>
    <row r="2470" spans="1:8">
      <c r="A2470" s="83" t="s">
        <v>7035</v>
      </c>
      <c r="B2470" s="83" t="s">
        <v>7030</v>
      </c>
      <c r="C2470" s="83" t="s">
        <v>7035</v>
      </c>
      <c r="D2470" s="83" t="s">
        <v>7088</v>
      </c>
      <c r="E2470" s="84">
        <f>sch_measureati_partner_num_withmoa</f>
        <v>0</v>
      </c>
      <c r="F2470" s="83" t="b">
        <v>1</v>
      </c>
      <c r="G2470" s="83"/>
      <c r="H2470" s="83"/>
    </row>
    <row r="2471" spans="1:8">
      <c r="A2471" s="83" t="s">
        <v>7036</v>
      </c>
      <c r="B2471" s="83" t="s">
        <v>7030</v>
      </c>
      <c r="C2471" s="83" t="s">
        <v>7036</v>
      </c>
      <c r="D2471" s="83" t="s">
        <v>7089</v>
      </c>
      <c r="E2471" s="84">
        <f>sch_measureati_partner_num_withdod</f>
        <v>0</v>
      </c>
      <c r="F2471" s="83" t="b">
        <v>1</v>
      </c>
      <c r="G2471" s="83"/>
      <c r="H2471" s="83"/>
    </row>
    <row r="2472" spans="1:8">
      <c r="A2472" s="83" t="s">
        <v>7037</v>
      </c>
      <c r="B2472" s="83" t="s">
        <v>7030</v>
      </c>
      <c r="C2472" s="83" t="s">
        <v>7037</v>
      </c>
      <c r="D2472" s="83" t="s">
        <v>7090</v>
      </c>
      <c r="E2472" s="84" t="b">
        <f>sch_head_tobaccosmoker</f>
        <v>0</v>
      </c>
      <c r="F2472" s="83" t="b">
        <f t="shared" ref="F2472:F2475" si="44">OR(E2472=TRUE, E2472=FALSE)</f>
        <v>1</v>
      </c>
      <c r="G2472" s="83" t="s">
        <v>2287</v>
      </c>
      <c r="H2472" s="83"/>
    </row>
    <row r="2473" spans="1:8">
      <c r="A2473" s="83" t="s">
        <v>7038</v>
      </c>
      <c r="B2473" s="83" t="s">
        <v>7030</v>
      </c>
      <c r="C2473" s="83" t="s">
        <v>7038</v>
      </c>
      <c r="D2473" s="83" t="s">
        <v>7091</v>
      </c>
      <c r="E2473" s="84" t="b">
        <f>sch_head_endsennds_user</f>
        <v>0</v>
      </c>
      <c r="F2473" s="83" t="b">
        <f t="shared" si="44"/>
        <v>1</v>
      </c>
      <c r="G2473" s="83" t="s">
        <v>2287</v>
      </c>
      <c r="H2473" s="83"/>
    </row>
    <row r="2474" spans="1:8">
      <c r="A2474" s="83" t="s">
        <v>7039</v>
      </c>
      <c r="B2474" s="83" t="s">
        <v>7030</v>
      </c>
      <c r="C2474" s="83" t="s">
        <v>7039</v>
      </c>
      <c r="D2474" s="83" t="s">
        <v>7092</v>
      </c>
      <c r="E2474" s="84" t="b">
        <f>sch_head_both_tobaccosmoker_endsennds_user</f>
        <v>0</v>
      </c>
      <c r="F2474" s="83" t="b">
        <f t="shared" si="44"/>
        <v>1</v>
      </c>
      <c r="G2474" s="83" t="s">
        <v>2287</v>
      </c>
      <c r="H2474" s="83"/>
    </row>
    <row r="2475" spans="1:8">
      <c r="A2475" s="83" t="s">
        <v>7040</v>
      </c>
      <c r="B2475" s="83" t="s">
        <v>7030</v>
      </c>
      <c r="C2475" s="83" t="s">
        <v>7040</v>
      </c>
      <c r="D2475" s="83" t="s">
        <v>7093</v>
      </c>
      <c r="E2475" s="84" t="b">
        <f>sch_head_tobaccosmoker_nor_endsennds_user</f>
        <v>1</v>
      </c>
      <c r="F2475" s="83" t="b">
        <f t="shared" si="44"/>
        <v>1</v>
      </c>
      <c r="G2475" s="83" t="s">
        <v>2287</v>
      </c>
      <c r="H2475" s="83"/>
    </row>
    <row r="2476" spans="1:8">
      <c r="A2476" s="83" t="s">
        <v>7041</v>
      </c>
      <c r="B2476" s="83" t="s">
        <v>7030</v>
      </c>
      <c r="C2476" s="83" t="s">
        <v>7041</v>
      </c>
      <c r="D2476" s="83" t="s">
        <v>7094</v>
      </c>
      <c r="E2476" s="84">
        <f>num_teachers_tobaccosmoker_k</f>
        <v>0</v>
      </c>
      <c r="F2476" s="83" t="b">
        <v>1</v>
      </c>
      <c r="G2476" s="83"/>
      <c r="H2476" s="83"/>
    </row>
    <row r="2477" spans="1:8">
      <c r="A2477" s="83" t="s">
        <v>7042</v>
      </c>
      <c r="B2477" s="83" t="s">
        <v>7030</v>
      </c>
      <c r="C2477" s="83" t="s">
        <v>7042</v>
      </c>
      <c r="D2477" s="83" t="s">
        <v>7095</v>
      </c>
      <c r="E2477" s="84">
        <f>num_teachers_endsennds_user_k</f>
        <v>0</v>
      </c>
      <c r="F2477" s="83" t="b">
        <v>1</v>
      </c>
      <c r="G2477" s="83"/>
      <c r="H2477" s="83"/>
    </row>
    <row r="2478" spans="1:8">
      <c r="A2478" s="83" t="s">
        <v>7043</v>
      </c>
      <c r="B2478" s="83" t="s">
        <v>7030</v>
      </c>
      <c r="C2478" s="83" t="s">
        <v>7043</v>
      </c>
      <c r="D2478" s="83" t="s">
        <v>7096</v>
      </c>
      <c r="E2478" s="84">
        <f>num_teachers_both_tobaccosmoker_endsennds_user_k</f>
        <v>0</v>
      </c>
      <c r="F2478" s="83" t="b">
        <v>1</v>
      </c>
      <c r="G2478" s="83"/>
      <c r="H2478" s="83"/>
    </row>
    <row r="2479" spans="1:8">
      <c r="A2479" s="83" t="s">
        <v>7044</v>
      </c>
      <c r="B2479" s="83" t="s">
        <v>7030</v>
      </c>
      <c r="C2479" s="83" t="s">
        <v>7044</v>
      </c>
      <c r="D2479" s="83" t="s">
        <v>7097</v>
      </c>
      <c r="E2479" s="84">
        <f>num_teachers_tobaccosmoker_g1</f>
        <v>0</v>
      </c>
      <c r="F2479" s="83" t="b">
        <v>1</v>
      </c>
      <c r="G2479" s="83"/>
      <c r="H2479" s="83"/>
    </row>
    <row r="2480" spans="1:8">
      <c r="A2480" s="83" t="s">
        <v>7045</v>
      </c>
      <c r="B2480" s="83" t="s">
        <v>7030</v>
      </c>
      <c r="C2480" s="83" t="s">
        <v>7045</v>
      </c>
      <c r="D2480" s="83" t="s">
        <v>7098</v>
      </c>
      <c r="E2480" s="84">
        <f>num_teachers_endsennds_user_g1</f>
        <v>0</v>
      </c>
      <c r="F2480" s="83" t="b">
        <v>1</v>
      </c>
      <c r="G2480" s="83"/>
      <c r="H2480" s="83"/>
    </row>
    <row r="2481" spans="1:8">
      <c r="A2481" s="83" t="s">
        <v>7046</v>
      </c>
      <c r="B2481" s="83" t="s">
        <v>7030</v>
      </c>
      <c r="C2481" s="83" t="s">
        <v>7046</v>
      </c>
      <c r="D2481" s="83" t="s">
        <v>7099</v>
      </c>
      <c r="E2481" s="84">
        <f>num_teachers_both_tobaccosmoker_endsennds_user_g1</f>
        <v>0</v>
      </c>
      <c r="F2481" s="83" t="b">
        <v>1</v>
      </c>
      <c r="G2481" s="83"/>
      <c r="H2481" s="83"/>
    </row>
    <row r="2482" spans="1:8">
      <c r="A2482" s="83" t="s">
        <v>7047</v>
      </c>
      <c r="B2482" s="83" t="s">
        <v>7030</v>
      </c>
      <c r="C2482" s="83" t="s">
        <v>7047</v>
      </c>
      <c r="D2482" s="83" t="s">
        <v>7100</v>
      </c>
      <c r="E2482" s="84">
        <f>num_teachers_tobaccosmoker_g2</f>
        <v>0</v>
      </c>
      <c r="F2482" s="83" t="b">
        <v>1</v>
      </c>
      <c r="G2482" s="83"/>
      <c r="H2482" s="83"/>
    </row>
    <row r="2483" spans="1:8">
      <c r="A2483" s="83" t="s">
        <v>7048</v>
      </c>
      <c r="B2483" s="83" t="s">
        <v>7030</v>
      </c>
      <c r="C2483" s="83" t="s">
        <v>7048</v>
      </c>
      <c r="D2483" s="83" t="s">
        <v>7101</v>
      </c>
      <c r="E2483" s="84">
        <f>num_teachers_endsennds_user_g2</f>
        <v>0</v>
      </c>
      <c r="F2483" s="83" t="b">
        <v>1</v>
      </c>
      <c r="G2483" s="83"/>
      <c r="H2483" s="83"/>
    </row>
    <row r="2484" spans="1:8">
      <c r="A2484" s="83" t="s">
        <v>7049</v>
      </c>
      <c r="B2484" s="83" t="s">
        <v>7030</v>
      </c>
      <c r="C2484" s="83" t="s">
        <v>7049</v>
      </c>
      <c r="D2484" s="83" t="s">
        <v>7102</v>
      </c>
      <c r="E2484" s="84">
        <f>num_teachers_both_tobaccosmoker_endsennds_user_g2</f>
        <v>0</v>
      </c>
      <c r="F2484" s="83" t="b">
        <v>1</v>
      </c>
      <c r="G2484" s="83"/>
      <c r="H2484" s="83"/>
    </row>
    <row r="2485" spans="1:8">
      <c r="A2485" s="83" t="s">
        <v>7050</v>
      </c>
      <c r="B2485" s="83" t="s">
        <v>7030</v>
      </c>
      <c r="C2485" s="83" t="s">
        <v>7050</v>
      </c>
      <c r="D2485" s="83" t="s">
        <v>7103</v>
      </c>
      <c r="E2485" s="84">
        <f>num_teachers_tobaccosmoker_g3</f>
        <v>0</v>
      </c>
      <c r="F2485" s="83" t="b">
        <v>1</v>
      </c>
      <c r="G2485" s="83"/>
      <c r="H2485" s="83"/>
    </row>
    <row r="2486" spans="1:8">
      <c r="A2486" s="83" t="s">
        <v>7051</v>
      </c>
      <c r="B2486" s="83" t="s">
        <v>7030</v>
      </c>
      <c r="C2486" s="83" t="s">
        <v>7051</v>
      </c>
      <c r="D2486" s="83" t="s">
        <v>7104</v>
      </c>
      <c r="E2486" s="84">
        <f>num_teachers_endsennds_user_g3</f>
        <v>0</v>
      </c>
      <c r="F2486" s="83" t="b">
        <v>1</v>
      </c>
      <c r="G2486" s="83"/>
      <c r="H2486" s="83"/>
    </row>
    <row r="2487" spans="1:8">
      <c r="A2487" s="83" t="s">
        <v>7052</v>
      </c>
      <c r="B2487" s="83" t="s">
        <v>7030</v>
      </c>
      <c r="C2487" s="83" t="s">
        <v>7052</v>
      </c>
      <c r="D2487" s="83" t="s">
        <v>7105</v>
      </c>
      <c r="E2487" s="84">
        <f>num_teachers_both_tobaccosmoker_endsennds_user_g3</f>
        <v>0</v>
      </c>
      <c r="F2487" s="83" t="b">
        <v>1</v>
      </c>
      <c r="G2487" s="83"/>
      <c r="H2487" s="83"/>
    </row>
    <row r="2488" spans="1:8">
      <c r="A2488" s="83" t="s">
        <v>7053</v>
      </c>
      <c r="B2488" s="83" t="s">
        <v>7030</v>
      </c>
      <c r="C2488" s="83" t="s">
        <v>7053</v>
      </c>
      <c r="D2488" s="83" t="s">
        <v>7106</v>
      </c>
      <c r="E2488" s="84">
        <f>num_teachers_tobaccosmoker_g4</f>
        <v>0</v>
      </c>
      <c r="F2488" s="83" t="b">
        <v>1</v>
      </c>
      <c r="G2488" s="83"/>
      <c r="H2488" s="83"/>
    </row>
    <row r="2489" spans="1:8">
      <c r="A2489" s="83" t="s">
        <v>7054</v>
      </c>
      <c r="B2489" s="83" t="s">
        <v>7030</v>
      </c>
      <c r="C2489" s="83" t="s">
        <v>7054</v>
      </c>
      <c r="D2489" s="83" t="s">
        <v>7107</v>
      </c>
      <c r="E2489" s="84">
        <f>num_teachers_endsennds_user_g4</f>
        <v>0</v>
      </c>
      <c r="F2489" s="83" t="b">
        <v>1</v>
      </c>
      <c r="G2489" s="83"/>
      <c r="H2489" s="83"/>
    </row>
    <row r="2490" spans="1:8">
      <c r="A2490" s="83" t="s">
        <v>7055</v>
      </c>
      <c r="B2490" s="83" t="s">
        <v>7030</v>
      </c>
      <c r="C2490" s="83" t="s">
        <v>7055</v>
      </c>
      <c r="D2490" s="83" t="s">
        <v>7108</v>
      </c>
      <c r="E2490" s="84">
        <f>num_teachers_both_tobaccosmoker_endsennds_user_g4</f>
        <v>0</v>
      </c>
      <c r="F2490" s="83" t="b">
        <v>1</v>
      </c>
      <c r="G2490" s="83"/>
      <c r="H2490" s="83"/>
    </row>
    <row r="2491" spans="1:8">
      <c r="A2491" s="83" t="s">
        <v>7056</v>
      </c>
      <c r="B2491" s="83" t="s">
        <v>7030</v>
      </c>
      <c r="C2491" s="83" t="s">
        <v>7056</v>
      </c>
      <c r="D2491" s="83" t="s">
        <v>7109</v>
      </c>
      <c r="E2491" s="84">
        <f>num_teachers_tobaccosmoker_g5</f>
        <v>0</v>
      </c>
      <c r="F2491" s="83" t="b">
        <v>1</v>
      </c>
      <c r="G2491" s="83"/>
      <c r="H2491" s="83"/>
    </row>
    <row r="2492" spans="1:8">
      <c r="A2492" s="83" t="s">
        <v>7057</v>
      </c>
      <c r="B2492" s="83" t="s">
        <v>7030</v>
      </c>
      <c r="C2492" s="83" t="s">
        <v>7057</v>
      </c>
      <c r="D2492" s="83" t="s">
        <v>7110</v>
      </c>
      <c r="E2492" s="84">
        <f>num_teachers_endsennds_user_g5</f>
        <v>0</v>
      </c>
      <c r="F2492" s="83" t="b">
        <v>1</v>
      </c>
      <c r="G2492" s="83"/>
      <c r="H2492" s="83"/>
    </row>
    <row r="2493" spans="1:8">
      <c r="A2493" s="83" t="s">
        <v>7058</v>
      </c>
      <c r="B2493" s="83" t="s">
        <v>7030</v>
      </c>
      <c r="C2493" s="83" t="s">
        <v>7058</v>
      </c>
      <c r="D2493" s="83" t="s">
        <v>7111</v>
      </c>
      <c r="E2493" s="84">
        <f>num_teachers_both_tobaccosmoker_endsennds_user_g5</f>
        <v>0</v>
      </c>
      <c r="F2493" s="83" t="b">
        <v>1</v>
      </c>
      <c r="G2493" s="83"/>
      <c r="H2493" s="83"/>
    </row>
    <row r="2494" spans="1:8">
      <c r="A2494" s="83" t="s">
        <v>7059</v>
      </c>
      <c r="B2494" s="83" t="s">
        <v>7030</v>
      </c>
      <c r="C2494" s="83" t="s">
        <v>7059</v>
      </c>
      <c r="D2494" s="83" t="s">
        <v>7112</v>
      </c>
      <c r="E2494" s="84">
        <f>num_teachers_tobaccosmoker_g6</f>
        <v>0</v>
      </c>
      <c r="F2494" s="83" t="b">
        <v>1</v>
      </c>
      <c r="G2494" s="83"/>
      <c r="H2494" s="83"/>
    </row>
    <row r="2495" spans="1:8">
      <c r="A2495" s="83" t="s">
        <v>7060</v>
      </c>
      <c r="B2495" s="83" t="s">
        <v>7030</v>
      </c>
      <c r="C2495" s="83" t="s">
        <v>7060</v>
      </c>
      <c r="D2495" s="83" t="s">
        <v>7113</v>
      </c>
      <c r="E2495" s="84">
        <f>num_teachers_endsennds_user_g6</f>
        <v>0</v>
      </c>
      <c r="F2495" s="83" t="b">
        <v>1</v>
      </c>
      <c r="G2495" s="83"/>
      <c r="H2495" s="83"/>
    </row>
    <row r="2496" spans="1:8">
      <c r="A2496" s="83" t="s">
        <v>7061</v>
      </c>
      <c r="B2496" s="83" t="s">
        <v>7030</v>
      </c>
      <c r="C2496" s="83" t="s">
        <v>7061</v>
      </c>
      <c r="D2496" s="83" t="s">
        <v>7114</v>
      </c>
      <c r="E2496" s="84">
        <f>num_teachers_both_tobaccosmoker_endsennds_user_g6</f>
        <v>0</v>
      </c>
      <c r="F2496" s="83" t="b">
        <v>1</v>
      </c>
      <c r="G2496" s="83"/>
      <c r="H2496" s="83"/>
    </row>
    <row r="2497" spans="1:8">
      <c r="A2497" s="83" t="s">
        <v>7062</v>
      </c>
      <c r="B2497" s="83" t="s">
        <v>7030</v>
      </c>
      <c r="C2497" s="83" t="s">
        <v>7062</v>
      </c>
      <c r="D2497" s="83" t="s">
        <v>7115</v>
      </c>
      <c r="E2497" s="84">
        <f>num_lrnrs_smokedtobacco_k</f>
        <v>0</v>
      </c>
      <c r="F2497" s="83" t="b">
        <v>1</v>
      </c>
      <c r="G2497" s="83"/>
      <c r="H2497" s="83"/>
    </row>
    <row r="2498" spans="1:8">
      <c r="A2498" s="83" t="s">
        <v>7063</v>
      </c>
      <c r="B2498" s="83" t="s">
        <v>7030</v>
      </c>
      <c r="C2498" s="83" t="s">
        <v>7063</v>
      </c>
      <c r="D2498" s="83" t="s">
        <v>7116</v>
      </c>
      <c r="E2498" s="84">
        <f>num_lrnrs_usedendsennds_k</f>
        <v>0</v>
      </c>
      <c r="F2498" s="83" t="b">
        <v>1</v>
      </c>
      <c r="G2498" s="83"/>
      <c r="H2498" s="83"/>
    </row>
    <row r="2499" spans="1:8">
      <c r="A2499" s="83" t="s">
        <v>7064</v>
      </c>
      <c r="B2499" s="83" t="s">
        <v>7030</v>
      </c>
      <c r="C2499" s="83" t="s">
        <v>7064</v>
      </c>
      <c r="D2499" s="83" t="s">
        <v>7117</v>
      </c>
      <c r="E2499" s="84">
        <f>num_lrnrs_both_smokedtobacco_usedendsennds_k</f>
        <v>0</v>
      </c>
      <c r="F2499" s="83" t="b">
        <v>1</v>
      </c>
      <c r="G2499" s="83"/>
      <c r="H2499" s="83"/>
    </row>
    <row r="2500" spans="1:8">
      <c r="A2500" s="83" t="s">
        <v>7065</v>
      </c>
      <c r="B2500" s="83" t="s">
        <v>7030</v>
      </c>
      <c r="C2500" s="83" t="s">
        <v>7065</v>
      </c>
      <c r="D2500" s="83" t="s">
        <v>7118</v>
      </c>
      <c r="E2500" s="84">
        <f>num_lrnrs_smokedtobacco_g1</f>
        <v>0</v>
      </c>
      <c r="F2500" s="83" t="b">
        <v>1</v>
      </c>
      <c r="G2500" s="83"/>
      <c r="H2500" s="83"/>
    </row>
    <row r="2501" spans="1:8">
      <c r="A2501" s="83" t="s">
        <v>7066</v>
      </c>
      <c r="B2501" s="83" t="s">
        <v>7030</v>
      </c>
      <c r="C2501" s="83" t="s">
        <v>7066</v>
      </c>
      <c r="D2501" s="83" t="s">
        <v>7119</v>
      </c>
      <c r="E2501" s="84">
        <f>num_lrnrs_usedendsennds_g1</f>
        <v>0</v>
      </c>
      <c r="F2501" s="83" t="b">
        <v>1</v>
      </c>
      <c r="G2501" s="83"/>
      <c r="H2501" s="83"/>
    </row>
    <row r="2502" spans="1:8">
      <c r="A2502" s="83" t="s">
        <v>7067</v>
      </c>
      <c r="B2502" s="83" t="s">
        <v>7030</v>
      </c>
      <c r="C2502" s="83" t="s">
        <v>7067</v>
      </c>
      <c r="D2502" s="83" t="s">
        <v>7120</v>
      </c>
      <c r="E2502" s="84">
        <f>num_lrnrs_both_smokedtobacco_usedendsennds_g1</f>
        <v>0</v>
      </c>
      <c r="F2502" s="83" t="b">
        <v>1</v>
      </c>
      <c r="G2502" s="83"/>
      <c r="H2502" s="83"/>
    </row>
    <row r="2503" spans="1:8">
      <c r="A2503" s="83" t="s">
        <v>7068</v>
      </c>
      <c r="B2503" s="83" t="s">
        <v>7030</v>
      </c>
      <c r="C2503" s="83" t="s">
        <v>7068</v>
      </c>
      <c r="D2503" s="83" t="s">
        <v>7121</v>
      </c>
      <c r="E2503" s="84">
        <f>num_lrnrs_smokedtobacco_g2</f>
        <v>0</v>
      </c>
      <c r="F2503" s="83" t="b">
        <v>1</v>
      </c>
      <c r="G2503" s="83"/>
      <c r="H2503" s="83"/>
    </row>
    <row r="2504" spans="1:8">
      <c r="A2504" s="83" t="s">
        <v>7069</v>
      </c>
      <c r="B2504" s="83" t="s">
        <v>7030</v>
      </c>
      <c r="C2504" s="83" t="s">
        <v>7069</v>
      </c>
      <c r="D2504" s="83" t="s">
        <v>7122</v>
      </c>
      <c r="E2504" s="84">
        <f>num_lrnrs_usedendsennds_g2</f>
        <v>0</v>
      </c>
      <c r="F2504" s="83" t="b">
        <v>1</v>
      </c>
      <c r="G2504" s="83"/>
      <c r="H2504" s="83"/>
    </row>
    <row r="2505" spans="1:8">
      <c r="A2505" s="83" t="s">
        <v>7070</v>
      </c>
      <c r="B2505" s="83" t="s">
        <v>7030</v>
      </c>
      <c r="C2505" s="83" t="s">
        <v>7070</v>
      </c>
      <c r="D2505" s="83" t="s">
        <v>7123</v>
      </c>
      <c r="E2505" s="84">
        <f>num_lrnrs_both_smokedtobacco_usedendsennds_g2</f>
        <v>0</v>
      </c>
      <c r="F2505" s="83" t="b">
        <v>1</v>
      </c>
      <c r="G2505" s="83"/>
      <c r="H2505" s="83"/>
    </row>
    <row r="2506" spans="1:8">
      <c r="A2506" s="83" t="s">
        <v>7071</v>
      </c>
      <c r="B2506" s="83" t="s">
        <v>7030</v>
      </c>
      <c r="C2506" s="83" t="s">
        <v>7071</v>
      </c>
      <c r="D2506" s="83" t="s">
        <v>7124</v>
      </c>
      <c r="E2506" s="84">
        <f>num_lrnrs_smokedtobacco_g3</f>
        <v>0</v>
      </c>
      <c r="F2506" s="83" t="b">
        <v>1</v>
      </c>
      <c r="G2506" s="83"/>
      <c r="H2506" s="83"/>
    </row>
    <row r="2507" spans="1:8">
      <c r="A2507" s="83" t="s">
        <v>7072</v>
      </c>
      <c r="B2507" s="83" t="s">
        <v>7030</v>
      </c>
      <c r="C2507" s="83" t="s">
        <v>7072</v>
      </c>
      <c r="D2507" s="83" t="s">
        <v>7125</v>
      </c>
      <c r="E2507" s="84">
        <f>num_lrnrs_usedendsennds_g3</f>
        <v>0</v>
      </c>
      <c r="F2507" s="83" t="b">
        <v>1</v>
      </c>
      <c r="G2507" s="83"/>
      <c r="H2507" s="83"/>
    </row>
    <row r="2508" spans="1:8">
      <c r="A2508" s="83" t="s">
        <v>7073</v>
      </c>
      <c r="B2508" s="83" t="s">
        <v>7030</v>
      </c>
      <c r="C2508" s="83" t="s">
        <v>7073</v>
      </c>
      <c r="D2508" s="83" t="s">
        <v>7126</v>
      </c>
      <c r="E2508" s="84">
        <f>num_lrnrs_both_smokedtobacco_usedendsennds_g3</f>
        <v>0</v>
      </c>
      <c r="F2508" s="83" t="b">
        <v>1</v>
      </c>
      <c r="G2508" s="83"/>
      <c r="H2508" s="83"/>
    </row>
    <row r="2509" spans="1:8">
      <c r="A2509" s="83" t="s">
        <v>7074</v>
      </c>
      <c r="B2509" s="83" t="s">
        <v>7030</v>
      </c>
      <c r="C2509" s="83" t="s">
        <v>7074</v>
      </c>
      <c r="D2509" s="83" t="s">
        <v>7127</v>
      </c>
      <c r="E2509" s="84">
        <f>num_lrnrs_smokedtobacco_g4</f>
        <v>0</v>
      </c>
      <c r="F2509" s="83" t="b">
        <v>1</v>
      </c>
      <c r="G2509" s="83"/>
      <c r="H2509" s="83"/>
    </row>
    <row r="2510" spans="1:8">
      <c r="A2510" s="83" t="s">
        <v>7075</v>
      </c>
      <c r="B2510" s="83" t="s">
        <v>7030</v>
      </c>
      <c r="C2510" s="83" t="s">
        <v>7075</v>
      </c>
      <c r="D2510" s="83" t="s">
        <v>7128</v>
      </c>
      <c r="E2510" s="84">
        <f>num_lrnrs_usedendsennds_g4</f>
        <v>0</v>
      </c>
      <c r="F2510" s="83" t="b">
        <v>1</v>
      </c>
      <c r="G2510" s="83"/>
      <c r="H2510" s="83"/>
    </row>
    <row r="2511" spans="1:8">
      <c r="A2511" s="83" t="s">
        <v>7076</v>
      </c>
      <c r="B2511" s="83" t="s">
        <v>7030</v>
      </c>
      <c r="C2511" s="83" t="s">
        <v>7076</v>
      </c>
      <c r="D2511" s="83" t="s">
        <v>7129</v>
      </c>
      <c r="E2511" s="84">
        <f>num_lrnrs_both_smokedtobacco_usedendsennds_g4</f>
        <v>0</v>
      </c>
      <c r="F2511" s="83" t="b">
        <v>1</v>
      </c>
      <c r="G2511" s="83"/>
      <c r="H2511" s="83"/>
    </row>
    <row r="2512" spans="1:8">
      <c r="A2512" s="83" t="s">
        <v>7077</v>
      </c>
      <c r="B2512" s="83" t="s">
        <v>7030</v>
      </c>
      <c r="C2512" s="83" t="s">
        <v>7077</v>
      </c>
      <c r="D2512" s="83" t="s">
        <v>7130</v>
      </c>
      <c r="E2512" s="84">
        <f>num_lrnrs_smokedtobacco_g5</f>
        <v>0</v>
      </c>
      <c r="F2512" s="83" t="b">
        <v>1</v>
      </c>
      <c r="G2512" s="83"/>
      <c r="H2512" s="83"/>
    </row>
    <row r="2513" spans="1:8">
      <c r="A2513" s="83" t="s">
        <v>7078</v>
      </c>
      <c r="B2513" s="83" t="s">
        <v>7030</v>
      </c>
      <c r="C2513" s="83" t="s">
        <v>7078</v>
      </c>
      <c r="D2513" s="83" t="s">
        <v>7131</v>
      </c>
      <c r="E2513" s="84">
        <f>num_lrnrs_usedendsennds_g5</f>
        <v>0</v>
      </c>
      <c r="F2513" s="83" t="b">
        <v>1</v>
      </c>
      <c r="G2513" s="83"/>
      <c r="H2513" s="83"/>
    </row>
    <row r="2514" spans="1:8">
      <c r="A2514" s="83" t="s">
        <v>7079</v>
      </c>
      <c r="B2514" s="83" t="s">
        <v>7030</v>
      </c>
      <c r="C2514" s="83" t="s">
        <v>7079</v>
      </c>
      <c r="D2514" s="83" t="s">
        <v>7132</v>
      </c>
      <c r="E2514" s="84">
        <f>num_lrnrs_both_smokedtobacco_usedendsennds_g5</f>
        <v>0</v>
      </c>
      <c r="F2514" s="83" t="b">
        <v>1</v>
      </c>
      <c r="G2514" s="83"/>
      <c r="H2514" s="83"/>
    </row>
    <row r="2515" spans="1:8">
      <c r="A2515" s="83" t="s">
        <v>7080</v>
      </c>
      <c r="B2515" s="83" t="s">
        <v>7030</v>
      </c>
      <c r="C2515" s="83" t="s">
        <v>7080</v>
      </c>
      <c r="D2515" s="83" t="s">
        <v>7133</v>
      </c>
      <c r="E2515" s="84">
        <f>num_lrnrs_smokedtobacco_g6</f>
        <v>0</v>
      </c>
      <c r="F2515" s="83" t="b">
        <v>1</v>
      </c>
      <c r="G2515" s="83"/>
      <c r="H2515" s="83"/>
    </row>
    <row r="2516" spans="1:8">
      <c r="A2516" s="83" t="s">
        <v>7081</v>
      </c>
      <c r="B2516" s="83" t="s">
        <v>7030</v>
      </c>
      <c r="C2516" s="83" t="s">
        <v>7081</v>
      </c>
      <c r="D2516" s="83" t="s">
        <v>7134</v>
      </c>
      <c r="E2516" s="84">
        <f>num_lrnrs_usedendsennds_g6</f>
        <v>0</v>
      </c>
      <c r="F2516" s="83" t="b">
        <v>1</v>
      </c>
      <c r="G2516" s="83"/>
      <c r="H2516" s="83"/>
    </row>
    <row r="2517" spans="1:8" s="112" customFormat="1" ht="16" thickBot="1">
      <c r="A2517" s="85" t="s">
        <v>7082</v>
      </c>
      <c r="B2517" s="85" t="s">
        <v>7030</v>
      </c>
      <c r="C2517" s="85" t="s">
        <v>7082</v>
      </c>
      <c r="D2517" s="85" t="s">
        <v>7135</v>
      </c>
      <c r="E2517" s="86">
        <f>num_lrnrs_both_smokedtobacco_usedendsennds_g6</f>
        <v>0</v>
      </c>
      <c r="F2517" s="85" t="b">
        <v>1</v>
      </c>
      <c r="G2517" s="85"/>
      <c r="H2517" s="85"/>
    </row>
    <row r="2518" spans="1:8">
      <c r="A2518" s="83" t="s">
        <v>7136</v>
      </c>
      <c r="B2518" s="83" t="s">
        <v>7137</v>
      </c>
      <c r="C2518" s="83" t="s">
        <v>7136</v>
      </c>
      <c r="D2518" s="83" t="s">
        <v>7196</v>
      </c>
      <c r="E2518" s="84" t="b">
        <f>sch_natpdruged_implement_yes</f>
        <v>1</v>
      </c>
      <c r="F2518" s="83" t="b">
        <f t="shared" ref="F2518:F2522" si="45">OR(E2518=TRUE, E2518=FALSE)</f>
        <v>1</v>
      </c>
      <c r="G2518" s="83" t="s">
        <v>2287</v>
      </c>
      <c r="H2518" s="83"/>
    </row>
    <row r="2519" spans="1:8">
      <c r="A2519" s="83" t="s">
        <v>7138</v>
      </c>
      <c r="B2519" s="83" t="s">
        <v>7137</v>
      </c>
      <c r="C2519" s="83" t="s">
        <v>7138</v>
      </c>
      <c r="D2519" s="83" t="s">
        <v>7197</v>
      </c>
      <c r="E2519" s="84" t="b">
        <f>sch_natpdruged_compart_curriculumin</f>
        <v>1</v>
      </c>
      <c r="F2519" s="83" t="b">
        <f t="shared" si="45"/>
        <v>1</v>
      </c>
      <c r="G2519" s="83" t="s">
        <v>2287</v>
      </c>
      <c r="H2519" s="83"/>
    </row>
    <row r="2520" spans="1:8">
      <c r="A2520" s="83" t="s">
        <v>7139</v>
      </c>
      <c r="B2520" s="83" t="s">
        <v>7137</v>
      </c>
      <c r="C2520" s="83" t="s">
        <v>7139</v>
      </c>
      <c r="D2520" s="83" t="s">
        <v>7198</v>
      </c>
      <c r="E2520" s="84" t="b">
        <f>sch_natpdruged_compart_extrcurriact</f>
        <v>0</v>
      </c>
      <c r="F2520" s="83" t="b">
        <f t="shared" si="45"/>
        <v>1</v>
      </c>
      <c r="G2520" s="83" t="s">
        <v>2287</v>
      </c>
      <c r="H2520" s="83"/>
    </row>
    <row r="2521" spans="1:8">
      <c r="A2521" s="83" t="s">
        <v>7140</v>
      </c>
      <c r="B2521" s="83" t="s">
        <v>7137</v>
      </c>
      <c r="C2521" s="83" t="s">
        <v>7140</v>
      </c>
      <c r="D2521" s="83" t="s">
        <v>7199</v>
      </c>
      <c r="E2521" s="84" t="b">
        <f>sch_natpdruged_compart_partnwbadac</f>
        <v>1</v>
      </c>
      <c r="F2521" s="83" t="b">
        <f t="shared" si="45"/>
        <v>1</v>
      </c>
      <c r="G2521" s="83" t="s">
        <v>2287</v>
      </c>
      <c r="H2521" s="83"/>
    </row>
    <row r="2522" spans="1:8">
      <c r="A2522" s="83" t="s">
        <v>7141</v>
      </c>
      <c r="B2522" s="83" t="s">
        <v>7137</v>
      </c>
      <c r="C2522" s="83" t="s">
        <v>7141</v>
      </c>
      <c r="D2522" s="83" t="s">
        <v>7200</v>
      </c>
      <c r="E2522" s="84" t="b">
        <f>sch_natpdruged_compart_otherspec</f>
        <v>0</v>
      </c>
      <c r="F2522" s="83" t="b">
        <f t="shared" si="45"/>
        <v>1</v>
      </c>
      <c r="G2522" s="83" t="s">
        <v>2287</v>
      </c>
      <c r="H2522" s="83"/>
    </row>
    <row r="2523" spans="1:8">
      <c r="A2523" s="83" t="s">
        <v>7142</v>
      </c>
      <c r="B2523" s="83" t="s">
        <v>7137</v>
      </c>
      <c r="C2523" s="83" t="s">
        <v>7142</v>
      </c>
      <c r="D2523" s="83" t="s">
        <v>7201</v>
      </c>
      <c r="E2523" s="84">
        <f>sch_natpdruged_compart_otherspec_specify</f>
        <v>0</v>
      </c>
      <c r="F2523" s="83" t="b">
        <v>1</v>
      </c>
      <c r="G2523" s="83"/>
      <c r="H2523" s="83"/>
    </row>
    <row r="2524" spans="1:8">
      <c r="A2524" s="83" t="s">
        <v>7143</v>
      </c>
      <c r="B2524" s="83" t="s">
        <v>7137</v>
      </c>
      <c r="C2524" s="83" t="s">
        <v>7143</v>
      </c>
      <c r="D2524" s="83" t="s">
        <v>7202</v>
      </c>
      <c r="E2524" s="84" t="b">
        <f>sch_natpdruged_coord_yes</f>
        <v>1</v>
      </c>
      <c r="F2524" s="83" t="b">
        <f t="shared" ref="F2524" si="46">OR(E2524=TRUE, E2524=FALSE)</f>
        <v>1</v>
      </c>
      <c r="G2524" s="83" t="s">
        <v>2287</v>
      </c>
      <c r="H2524" s="83"/>
    </row>
    <row r="2525" spans="1:8" s="112" customFormat="1" ht="16" thickBot="1">
      <c r="A2525" s="85" t="s">
        <v>7144</v>
      </c>
      <c r="B2525" s="85" t="s">
        <v>7137</v>
      </c>
      <c r="C2525" s="85" t="s">
        <v>7144</v>
      </c>
      <c r="D2525" s="85" t="s">
        <v>7203</v>
      </c>
      <c r="E2525" s="86">
        <f>sch_ndep_corners_classrooms</f>
        <v>21</v>
      </c>
      <c r="F2525" s="85" t="b">
        <v>1</v>
      </c>
      <c r="G2525" s="85"/>
      <c r="H2525" s="85"/>
    </row>
    <row r="2526" spans="1:8">
      <c r="A2526" s="83" t="s">
        <v>7145</v>
      </c>
      <c r="B2526" s="83" t="s">
        <v>7146</v>
      </c>
      <c r="C2526" s="83" t="s">
        <v>7145</v>
      </c>
      <c r="D2526" s="83" t="s">
        <v>7204</v>
      </c>
      <c r="E2526" s="84" t="b">
        <f>sch_designated_OK_deped_focalperson_ifyes</f>
        <v>1</v>
      </c>
      <c r="F2526" s="83" t="b">
        <f t="shared" ref="F2526:F2528" si="47">OR(E2526=TRUE, E2526=FALSE)</f>
        <v>1</v>
      </c>
      <c r="G2526" s="83" t="s">
        <v>2287</v>
      </c>
      <c r="H2526" s="83"/>
    </row>
    <row r="2527" spans="1:8">
      <c r="A2527" s="83" t="s">
        <v>7147</v>
      </c>
      <c r="B2527" s="83" t="s">
        <v>7146</v>
      </c>
      <c r="C2527" s="83" t="s">
        <v>7147</v>
      </c>
      <c r="D2527" s="83" t="s">
        <v>7205</v>
      </c>
      <c r="E2527" s="84" t="b">
        <f>sch_observe_onehealthwk_prevsy</f>
        <v>1</v>
      </c>
      <c r="F2527" s="83" t="b">
        <f t="shared" si="47"/>
        <v>1</v>
      </c>
      <c r="G2527" s="83" t="s">
        <v>2287</v>
      </c>
      <c r="H2527" s="83"/>
    </row>
    <row r="2528" spans="1:8">
      <c r="A2528" s="83" t="s">
        <v>7148</v>
      </c>
      <c r="B2528" s="83" t="s">
        <v>7146</v>
      </c>
      <c r="C2528" s="83" t="s">
        <v>7148</v>
      </c>
      <c r="D2528" s="83" t="s">
        <v>7206</v>
      </c>
      <c r="E2528" s="84" t="b">
        <f>sch_officially_manage_FBpage_ifyes</f>
        <v>0</v>
      </c>
      <c r="F2528" s="83" t="b">
        <f t="shared" si="47"/>
        <v>1</v>
      </c>
      <c r="G2528" s="83" t="s">
        <v>2287</v>
      </c>
      <c r="H2528" s="83"/>
    </row>
    <row r="2529" spans="1:8" s="112" customFormat="1" ht="16" thickBot="1">
      <c r="A2529" s="85" t="s">
        <v>7149</v>
      </c>
      <c r="B2529" s="85" t="s">
        <v>7146</v>
      </c>
      <c r="C2529" s="85" t="s">
        <v>7149</v>
      </c>
      <c r="D2529" s="85" t="s">
        <v>7207</v>
      </c>
      <c r="E2529" s="86">
        <f>sch_officially_manage_FBpage_address</f>
        <v>0</v>
      </c>
      <c r="F2529" s="85" t="b">
        <v>1</v>
      </c>
      <c r="G2529" s="85"/>
      <c r="H2529" s="85"/>
    </row>
    <row r="2530" spans="1:8">
      <c r="A2530" s="83" t="s">
        <v>7150</v>
      </c>
      <c r="B2530" s="83" t="s">
        <v>7151</v>
      </c>
      <c r="C2530" s="83" t="s">
        <v>7150</v>
      </c>
      <c r="D2530" s="83" t="s">
        <v>7208</v>
      </c>
      <c r="E2530" s="84" t="b">
        <f>feeding_school_has_yes</f>
        <v>1</v>
      </c>
      <c r="F2530" s="83" t="b">
        <f t="shared" ref="F2530:F2538" si="48">OR(E2530=TRUE, E2530=FALSE)</f>
        <v>1</v>
      </c>
      <c r="G2530" s="83" t="s">
        <v>2287</v>
      </c>
      <c r="H2530" s="83"/>
    </row>
    <row r="2531" spans="1:8">
      <c r="A2531" s="83" t="s">
        <v>7152</v>
      </c>
      <c r="B2531" s="83" t="s">
        <v>7151</v>
      </c>
      <c r="C2531" s="83" t="s">
        <v>7152</v>
      </c>
      <c r="D2531" s="83" t="s">
        <v>7209</v>
      </c>
      <c r="E2531" s="84" t="b">
        <f>feeding_school_fund_mooe</f>
        <v>0</v>
      </c>
      <c r="F2531" s="83" t="b">
        <f t="shared" si="48"/>
        <v>1</v>
      </c>
      <c r="G2531" s="83" t="s">
        <v>2287</v>
      </c>
      <c r="H2531" s="83"/>
    </row>
    <row r="2532" spans="1:8">
      <c r="A2532" s="83" t="s">
        <v>7153</v>
      </c>
      <c r="B2532" s="83" t="s">
        <v>7151</v>
      </c>
      <c r="C2532" s="83" t="s">
        <v>7153</v>
      </c>
      <c r="D2532" s="83" t="s">
        <v>7210</v>
      </c>
      <c r="E2532" s="84" t="b">
        <f>feeding_school_fund_canteen</f>
        <v>0</v>
      </c>
      <c r="F2532" s="83" t="b">
        <f t="shared" si="48"/>
        <v>1</v>
      </c>
      <c r="G2532" s="83" t="s">
        <v>2287</v>
      </c>
      <c r="H2532" s="83"/>
    </row>
    <row r="2533" spans="1:8">
      <c r="A2533" s="83" t="s">
        <v>7154</v>
      </c>
      <c r="B2533" s="83" t="s">
        <v>7151</v>
      </c>
      <c r="C2533" s="83" t="s">
        <v>7154</v>
      </c>
      <c r="D2533" s="83" t="s">
        <v>7211</v>
      </c>
      <c r="E2533" s="84" t="b">
        <f>feeding_school_fund_lgu</f>
        <v>0</v>
      </c>
      <c r="F2533" s="83" t="b">
        <f t="shared" si="48"/>
        <v>1</v>
      </c>
      <c r="G2533" s="83" t="s">
        <v>2287</v>
      </c>
      <c r="H2533" s="83"/>
    </row>
    <row r="2534" spans="1:8">
      <c r="A2534" s="83" t="s">
        <v>7155</v>
      </c>
      <c r="B2534" s="83" t="s">
        <v>7151</v>
      </c>
      <c r="C2534" s="83" t="s">
        <v>7155</v>
      </c>
      <c r="D2534" s="83" t="s">
        <v>7212</v>
      </c>
      <c r="E2534" s="84" t="b">
        <f>feeding_school_fund_pta</f>
        <v>0</v>
      </c>
      <c r="F2534" s="83" t="b">
        <f t="shared" si="48"/>
        <v>1</v>
      </c>
      <c r="G2534" s="83" t="s">
        <v>2287</v>
      </c>
      <c r="H2534" s="83"/>
    </row>
    <row r="2535" spans="1:8">
      <c r="A2535" s="83" t="s">
        <v>7156</v>
      </c>
      <c r="B2535" s="83" t="s">
        <v>7151</v>
      </c>
      <c r="C2535" s="83" t="s">
        <v>7156</v>
      </c>
      <c r="D2535" s="83" t="s">
        <v>7213</v>
      </c>
      <c r="E2535" s="84" t="b">
        <f>feeding_school_fund_barangay</f>
        <v>0</v>
      </c>
      <c r="F2535" s="83" t="b">
        <f t="shared" si="48"/>
        <v>1</v>
      </c>
      <c r="G2535" s="83" t="s">
        <v>2287</v>
      </c>
      <c r="H2535" s="83"/>
    </row>
    <row r="2536" spans="1:8">
      <c r="A2536" s="83" t="s">
        <v>7157</v>
      </c>
      <c r="B2536" s="83" t="s">
        <v>7151</v>
      </c>
      <c r="C2536" s="83" t="s">
        <v>7157</v>
      </c>
      <c r="D2536" s="83" t="s">
        <v>7214</v>
      </c>
      <c r="E2536" s="84" t="b">
        <f>feeding_school_fund_privatesector</f>
        <v>0</v>
      </c>
      <c r="F2536" s="83" t="b">
        <f t="shared" si="48"/>
        <v>1</v>
      </c>
      <c r="G2536" s="83" t="s">
        <v>2287</v>
      </c>
      <c r="H2536" s="83"/>
    </row>
    <row r="2537" spans="1:8">
      <c r="A2537" s="83" t="s">
        <v>7158</v>
      </c>
      <c r="B2537" s="83" t="s">
        <v>7151</v>
      </c>
      <c r="C2537" s="83" t="s">
        <v>7158</v>
      </c>
      <c r="D2537" s="83" t="s">
        <v>7215</v>
      </c>
      <c r="E2537" s="84" t="b">
        <f>feeding_school_fund_sbfp</f>
        <v>1</v>
      </c>
      <c r="F2537" s="83" t="b">
        <f t="shared" si="48"/>
        <v>1</v>
      </c>
      <c r="G2537" s="83" t="s">
        <v>2287</v>
      </c>
      <c r="H2537" s="83"/>
    </row>
    <row r="2538" spans="1:8">
      <c r="A2538" s="83" t="s">
        <v>7159</v>
      </c>
      <c r="B2538" s="83" t="s">
        <v>7151</v>
      </c>
      <c r="C2538" s="83" t="s">
        <v>7159</v>
      </c>
      <c r="D2538" s="83" t="s">
        <v>7216</v>
      </c>
      <c r="E2538" s="84" t="b">
        <f>feeding_school_fund_others</f>
        <v>0</v>
      </c>
      <c r="F2538" s="83" t="b">
        <f t="shared" si="48"/>
        <v>1</v>
      </c>
      <c r="G2538" s="83" t="s">
        <v>2287</v>
      </c>
      <c r="H2538" s="83"/>
    </row>
    <row r="2539" spans="1:8">
      <c r="A2539" s="83" t="s">
        <v>7160</v>
      </c>
      <c r="B2539" s="83" t="s">
        <v>7151</v>
      </c>
      <c r="C2539" s="83" t="s">
        <v>7160</v>
      </c>
      <c r="D2539" s="83" t="s">
        <v>7217</v>
      </c>
      <c r="E2539" s="84">
        <f>feeding_school_fund_others_value</f>
        <v>0</v>
      </c>
      <c r="F2539" s="83" t="b">
        <v>1</v>
      </c>
      <c r="G2539" s="83"/>
      <c r="H2539" s="83"/>
    </row>
    <row r="2540" spans="1:8">
      <c r="A2540" s="83" t="s">
        <v>7161</v>
      </c>
      <c r="B2540" s="83" t="s">
        <v>7151</v>
      </c>
      <c r="C2540" s="83" t="s">
        <v>7161</v>
      </c>
      <c r="D2540" s="83" t="s">
        <v>7218</v>
      </c>
      <c r="E2540" s="84" t="b">
        <f>feeding_agriculture_gulayan</f>
        <v>1</v>
      </c>
      <c r="F2540" s="83" t="b">
        <f t="shared" ref="F2540:F2548" si="49">OR(E2540=TRUE, E2540=FALSE)</f>
        <v>1</v>
      </c>
      <c r="G2540" s="83" t="s">
        <v>2287</v>
      </c>
      <c r="H2540" s="83"/>
    </row>
    <row r="2541" spans="1:8">
      <c r="A2541" s="83" t="s">
        <v>7162</v>
      </c>
      <c r="B2541" s="83" t="s">
        <v>7151</v>
      </c>
      <c r="C2541" s="83" t="s">
        <v>7162</v>
      </c>
      <c r="D2541" s="83" t="s">
        <v>7219</v>
      </c>
      <c r="E2541" s="84" t="b">
        <f>feeding_agriculture_gulayan_legumes</f>
        <v>0</v>
      </c>
      <c r="F2541" s="83" t="b">
        <f t="shared" si="49"/>
        <v>1</v>
      </c>
      <c r="G2541" s="83" t="s">
        <v>2287</v>
      </c>
      <c r="H2541" s="83"/>
    </row>
    <row r="2542" spans="1:8">
      <c r="A2542" s="83" t="s">
        <v>7163</v>
      </c>
      <c r="B2542" s="83" t="s">
        <v>7151</v>
      </c>
      <c r="C2542" s="83" t="s">
        <v>7163</v>
      </c>
      <c r="D2542" s="83" t="s">
        <v>7220</v>
      </c>
      <c r="E2542" s="84" t="b">
        <f>feeding_agriculture_gulayan_vegetables</f>
        <v>1</v>
      </c>
      <c r="F2542" s="83" t="b">
        <f t="shared" si="49"/>
        <v>1</v>
      </c>
      <c r="G2542" s="83" t="s">
        <v>2287</v>
      </c>
      <c r="H2542" s="83"/>
    </row>
    <row r="2543" spans="1:8">
      <c r="A2543" s="83" t="s">
        <v>7164</v>
      </c>
      <c r="B2543" s="83" t="s">
        <v>7151</v>
      </c>
      <c r="C2543" s="83" t="s">
        <v>7164</v>
      </c>
      <c r="D2543" s="83" t="s">
        <v>7221</v>
      </c>
      <c r="E2543" s="84" t="b">
        <f>feeding_agriculture_gulayan_fruits</f>
        <v>1</v>
      </c>
      <c r="F2543" s="83" t="b">
        <f t="shared" si="49"/>
        <v>1</v>
      </c>
      <c r="G2543" s="83" t="s">
        <v>2287</v>
      </c>
      <c r="H2543" s="83"/>
    </row>
    <row r="2544" spans="1:8">
      <c r="A2544" s="83" t="s">
        <v>7165</v>
      </c>
      <c r="B2544" s="83" t="s">
        <v>7151</v>
      </c>
      <c r="C2544" s="83" t="s">
        <v>7165</v>
      </c>
      <c r="D2544" s="83" t="s">
        <v>7222</v>
      </c>
      <c r="E2544" s="84" t="b">
        <f>feeding_agriculture_gulayan_rootcrops</f>
        <v>0</v>
      </c>
      <c r="F2544" s="83" t="b">
        <f t="shared" si="49"/>
        <v>1</v>
      </c>
      <c r="G2544" s="83" t="s">
        <v>2287</v>
      </c>
      <c r="H2544" s="83"/>
    </row>
    <row r="2545" spans="1:8">
      <c r="A2545" s="83" t="s">
        <v>7166</v>
      </c>
      <c r="B2545" s="83" t="s">
        <v>7151</v>
      </c>
      <c r="C2545" s="83" t="s">
        <v>7166</v>
      </c>
      <c r="D2545" s="83" t="s">
        <v>7223</v>
      </c>
      <c r="E2545" s="84" t="b">
        <f>feeding_agriculture_fishpond</f>
        <v>1</v>
      </c>
      <c r="F2545" s="83" t="b">
        <f t="shared" si="49"/>
        <v>1</v>
      </c>
      <c r="G2545" s="83" t="s">
        <v>2287</v>
      </c>
      <c r="H2545" s="83"/>
    </row>
    <row r="2546" spans="1:8">
      <c r="A2546" s="83" t="s">
        <v>7167</v>
      </c>
      <c r="B2546" s="83" t="s">
        <v>7151</v>
      </c>
      <c r="C2546" s="83" t="s">
        <v>7167</v>
      </c>
      <c r="D2546" s="83" t="s">
        <v>7224</v>
      </c>
      <c r="E2546" s="84" t="b">
        <f>feeding_agriculture_agicrops</f>
        <v>0</v>
      </c>
      <c r="F2546" s="83" t="b">
        <f t="shared" si="49"/>
        <v>1</v>
      </c>
      <c r="G2546" s="83" t="s">
        <v>2287</v>
      </c>
      <c r="H2546" s="83"/>
    </row>
    <row r="2547" spans="1:8">
      <c r="A2547" s="83" t="s">
        <v>7168</v>
      </c>
      <c r="B2547" s="83" t="s">
        <v>7151</v>
      </c>
      <c r="C2547" s="83" t="s">
        <v>7168</v>
      </c>
      <c r="D2547" s="83" t="s">
        <v>7225</v>
      </c>
      <c r="E2547" s="84" t="b">
        <f>feeding_agriculture_livestock</f>
        <v>0</v>
      </c>
      <c r="F2547" s="83" t="b">
        <f t="shared" si="49"/>
        <v>1</v>
      </c>
      <c r="G2547" s="83" t="s">
        <v>2287</v>
      </c>
      <c r="H2547" s="83"/>
    </row>
    <row r="2548" spans="1:8">
      <c r="A2548" s="83" t="s">
        <v>7169</v>
      </c>
      <c r="B2548" s="83" t="s">
        <v>7151</v>
      </c>
      <c r="C2548" s="83" t="s">
        <v>7169</v>
      </c>
      <c r="D2548" s="83" t="s">
        <v>7226</v>
      </c>
      <c r="E2548" s="84" t="b">
        <f>feeding_agriculture_others</f>
        <v>0</v>
      </c>
      <c r="F2548" s="83" t="b">
        <f t="shared" si="49"/>
        <v>1</v>
      </c>
      <c r="G2548" s="83" t="s">
        <v>2287</v>
      </c>
      <c r="H2548" s="83"/>
    </row>
    <row r="2549" spans="1:8">
      <c r="A2549" s="83" t="s">
        <v>7170</v>
      </c>
      <c r="B2549" s="83" t="s">
        <v>7151</v>
      </c>
      <c r="C2549" s="83" t="s">
        <v>7170</v>
      </c>
      <c r="D2549" s="83" t="s">
        <v>7228</v>
      </c>
      <c r="E2549" s="84">
        <f>feeding_agriculture_others_values</f>
        <v>0</v>
      </c>
      <c r="F2549" s="83" t="b">
        <v>1</v>
      </c>
      <c r="G2549" s="83"/>
      <c r="H2549" s="83"/>
    </row>
    <row r="2550" spans="1:8">
      <c r="A2550" s="83" t="s">
        <v>7171</v>
      </c>
      <c r="B2550" s="83" t="s">
        <v>7151</v>
      </c>
      <c r="C2550" s="83" t="s">
        <v>7171</v>
      </c>
      <c r="D2550" s="83" t="s">
        <v>7227</v>
      </c>
      <c r="E2550" s="84" t="b">
        <f>feeding_agriculture_none</f>
        <v>0</v>
      </c>
      <c r="F2550" s="83" t="b">
        <f t="shared" ref="F2550:F2558" si="50">OR(E2550=TRUE, E2550=FALSE)</f>
        <v>1</v>
      </c>
      <c r="G2550" s="83" t="s">
        <v>2287</v>
      </c>
      <c r="H2550" s="83"/>
    </row>
    <row r="2551" spans="1:8">
      <c r="A2551" s="83" t="s">
        <v>7172</v>
      </c>
      <c r="B2551" s="83" t="s">
        <v>7151</v>
      </c>
      <c r="C2551" s="83" t="s">
        <v>7172</v>
      </c>
      <c r="D2551" s="83" t="s">
        <v>7229</v>
      </c>
      <c r="E2551" s="84" t="b">
        <f>feeding_agriculture_used_has_yes</f>
        <v>0</v>
      </c>
      <c r="F2551" s="83" t="b">
        <f t="shared" si="50"/>
        <v>1</v>
      </c>
      <c r="G2551" s="83" t="s">
        <v>2287</v>
      </c>
      <c r="H2551" s="83"/>
    </row>
    <row r="2552" spans="1:8">
      <c r="A2552" s="83" t="s">
        <v>7173</v>
      </c>
      <c r="B2552" s="83" t="s">
        <v>7151</v>
      </c>
      <c r="C2552" s="83" t="s">
        <v>7173</v>
      </c>
      <c r="D2552" s="83" t="s">
        <v>7230</v>
      </c>
      <c r="E2552" s="84" t="b">
        <f>feeding_agriculture_used_fund_mooe</f>
        <v>0</v>
      </c>
      <c r="F2552" s="83" t="b">
        <f t="shared" si="50"/>
        <v>1</v>
      </c>
      <c r="G2552" s="83" t="s">
        <v>2287</v>
      </c>
      <c r="H2552" s="83"/>
    </row>
    <row r="2553" spans="1:8">
      <c r="A2553" s="83" t="s">
        <v>7174</v>
      </c>
      <c r="B2553" s="83" t="s">
        <v>7151</v>
      </c>
      <c r="C2553" s="83" t="s">
        <v>7174</v>
      </c>
      <c r="D2553" s="83" t="s">
        <v>7231</v>
      </c>
      <c r="E2553" s="84" t="b">
        <f>feeding_agriculture_used_fund_canteen</f>
        <v>0</v>
      </c>
      <c r="F2553" s="83" t="b">
        <f t="shared" si="50"/>
        <v>1</v>
      </c>
      <c r="G2553" s="83" t="s">
        <v>2287</v>
      </c>
      <c r="H2553" s="83"/>
    </row>
    <row r="2554" spans="1:8">
      <c r="A2554" s="83" t="s">
        <v>7175</v>
      </c>
      <c r="B2554" s="83" t="s">
        <v>7151</v>
      </c>
      <c r="C2554" s="83" t="s">
        <v>7175</v>
      </c>
      <c r="D2554" s="83" t="s">
        <v>7232</v>
      </c>
      <c r="E2554" s="84" t="b">
        <f>feeding_agriculture_used_fund_lgu</f>
        <v>0</v>
      </c>
      <c r="F2554" s="83" t="b">
        <f t="shared" si="50"/>
        <v>1</v>
      </c>
      <c r="G2554" s="83" t="s">
        <v>2287</v>
      </c>
      <c r="H2554" s="83"/>
    </row>
    <row r="2555" spans="1:8">
      <c r="A2555" s="83" t="s">
        <v>7176</v>
      </c>
      <c r="B2555" s="83" t="s">
        <v>7151</v>
      </c>
      <c r="C2555" s="83" t="s">
        <v>7176</v>
      </c>
      <c r="D2555" s="83" t="s">
        <v>7233</v>
      </c>
      <c r="E2555" s="84" t="b">
        <f>feeding_agriculture_used_fund_pta</f>
        <v>0</v>
      </c>
      <c r="F2555" s="83" t="b">
        <f t="shared" si="50"/>
        <v>1</v>
      </c>
      <c r="G2555" s="83" t="s">
        <v>2287</v>
      </c>
      <c r="H2555" s="83"/>
    </row>
    <row r="2556" spans="1:8">
      <c r="A2556" s="83" t="s">
        <v>7177</v>
      </c>
      <c r="B2556" s="83" t="s">
        <v>7151</v>
      </c>
      <c r="C2556" s="83" t="s">
        <v>7177</v>
      </c>
      <c r="D2556" s="83" t="s">
        <v>7234</v>
      </c>
      <c r="E2556" s="84" t="b">
        <f>feeding_agriculture_used_fund_barangay</f>
        <v>0</v>
      </c>
      <c r="F2556" s="83" t="b">
        <f t="shared" si="50"/>
        <v>1</v>
      </c>
      <c r="G2556" s="83" t="s">
        <v>2287</v>
      </c>
      <c r="H2556" s="83"/>
    </row>
    <row r="2557" spans="1:8">
      <c r="A2557" s="83" t="s">
        <v>7178</v>
      </c>
      <c r="B2557" s="83" t="s">
        <v>7151</v>
      </c>
      <c r="C2557" s="83" t="s">
        <v>7178</v>
      </c>
      <c r="D2557" s="83" t="s">
        <v>7235</v>
      </c>
      <c r="E2557" s="84" t="b">
        <f>feeding_agriculture_used_fund_privatesector</f>
        <v>0</v>
      </c>
      <c r="F2557" s="83" t="b">
        <f t="shared" si="50"/>
        <v>1</v>
      </c>
      <c r="G2557" s="83" t="s">
        <v>2287</v>
      </c>
      <c r="H2557" s="83"/>
    </row>
    <row r="2558" spans="1:8">
      <c r="A2558" s="83" t="s">
        <v>7179</v>
      </c>
      <c r="B2558" s="83" t="s">
        <v>7151</v>
      </c>
      <c r="C2558" s="83" t="s">
        <v>7179</v>
      </c>
      <c r="D2558" s="83" t="s">
        <v>7236</v>
      </c>
      <c r="E2558" s="84" t="b">
        <f>feeding_agriculture_used_fund_others</f>
        <v>0</v>
      </c>
      <c r="F2558" s="83" t="b">
        <f t="shared" si="50"/>
        <v>1</v>
      </c>
      <c r="G2558" s="83" t="s">
        <v>2287</v>
      </c>
      <c r="H2558" s="83"/>
    </row>
    <row r="2559" spans="1:8" s="112" customFormat="1" ht="16" thickBot="1">
      <c r="A2559" s="85" t="s">
        <v>7180</v>
      </c>
      <c r="B2559" s="85" t="s">
        <v>7151</v>
      </c>
      <c r="C2559" s="85" t="s">
        <v>7180</v>
      </c>
      <c r="D2559" s="85" t="s">
        <v>7237</v>
      </c>
      <c r="E2559" s="86">
        <f>feeding_agriculture_used_fund_others_value</f>
        <v>0</v>
      </c>
      <c r="F2559" s="85" t="b">
        <v>1</v>
      </c>
      <c r="G2559" s="85"/>
      <c r="H2559" s="85"/>
    </row>
    <row r="2560" spans="1:8">
      <c r="A2560" s="83" t="s">
        <v>7181</v>
      </c>
      <c r="B2560" s="83" t="s">
        <v>7182</v>
      </c>
      <c r="C2560" s="83" t="s">
        <v>7181</v>
      </c>
      <c r="D2560" s="83" t="s">
        <v>7238</v>
      </c>
      <c r="E2560" s="84" t="b">
        <f>handling_school_canteen_has_yes</f>
        <v>1</v>
      </c>
      <c r="F2560" s="83" t="b">
        <f t="shared" ref="F2560:F2561" si="51">OR(E2560=TRUE, E2560=FALSE)</f>
        <v>1</v>
      </c>
      <c r="G2560" s="83" t="s">
        <v>2287</v>
      </c>
      <c r="H2560" s="83"/>
    </row>
    <row r="2561" spans="1:8">
      <c r="A2561" s="83" t="s">
        <v>7183</v>
      </c>
      <c r="B2561" s="83" t="s">
        <v>7182</v>
      </c>
      <c r="C2561" s="83" t="s">
        <v>7183</v>
      </c>
      <c r="D2561" s="83" t="s">
        <v>7239</v>
      </c>
      <c r="E2561" s="84" t="b">
        <f>handling_school_canteen_managed_school</f>
        <v>1</v>
      </c>
      <c r="F2561" s="83" t="b">
        <f t="shared" si="51"/>
        <v>1</v>
      </c>
      <c r="G2561" s="83" t="s">
        <v>2287</v>
      </c>
      <c r="H2561" s="83"/>
    </row>
    <row r="2562" spans="1:8">
      <c r="A2562" s="83" t="s">
        <v>7184</v>
      </c>
      <c r="B2562" s="83" t="s">
        <v>7182</v>
      </c>
      <c r="C2562" s="83" t="s">
        <v>7184</v>
      </c>
      <c r="D2562" s="83" t="s">
        <v>7240</v>
      </c>
      <c r="E2562" s="84">
        <f>handling_school_canteen_managed_school_sanitarypermit</f>
        <v>0</v>
      </c>
      <c r="F2562" s="83" t="b">
        <v>1</v>
      </c>
      <c r="G2562" s="83"/>
      <c r="H2562" s="83"/>
    </row>
    <row r="2563" spans="1:8">
      <c r="A2563" s="83" t="s">
        <v>7185</v>
      </c>
      <c r="B2563" s="83" t="s">
        <v>7182</v>
      </c>
      <c r="C2563" s="83" t="s">
        <v>7185</v>
      </c>
      <c r="D2563" s="83" t="s">
        <v>7241</v>
      </c>
      <c r="E2563" s="115">
        <f>handling_school_canteen_managed_school_validity</f>
        <v>0</v>
      </c>
      <c r="F2563" s="83" t="b">
        <v>1</v>
      </c>
      <c r="G2563" s="83"/>
      <c r="H2563" s="83"/>
    </row>
    <row r="2564" spans="1:8">
      <c r="A2564" s="83" t="s">
        <v>7186</v>
      </c>
      <c r="B2564" s="83" t="s">
        <v>7182</v>
      </c>
      <c r="C2564" s="83" t="s">
        <v>7186</v>
      </c>
      <c r="D2564" s="83" t="s">
        <v>7242</v>
      </c>
      <c r="E2564" s="84" t="b">
        <f>handling_canteen_school_healthcertificate_yes</f>
        <v>0</v>
      </c>
      <c r="F2564" s="83" t="b">
        <f t="shared" ref="F2564:F2565" si="52">OR(E2564=TRUE, E2564=FALSE)</f>
        <v>1</v>
      </c>
      <c r="G2564" s="83" t="s">
        <v>2287</v>
      </c>
      <c r="H2564" s="83"/>
    </row>
    <row r="2565" spans="1:8">
      <c r="A2565" s="83" t="s">
        <v>7187</v>
      </c>
      <c r="B2565" s="83" t="s">
        <v>7182</v>
      </c>
      <c r="C2565" s="83" t="s">
        <v>7187</v>
      </c>
      <c r="D2565" s="83" t="s">
        <v>7243</v>
      </c>
      <c r="E2565" s="84" t="b">
        <f>handling_school_canteen_managed_teachercoop</f>
        <v>0</v>
      </c>
      <c r="F2565" s="83" t="b">
        <f t="shared" si="52"/>
        <v>1</v>
      </c>
      <c r="G2565" s="83" t="s">
        <v>2287</v>
      </c>
      <c r="H2565" s="83"/>
    </row>
    <row r="2566" spans="1:8">
      <c r="A2566" s="83" t="s">
        <v>7188</v>
      </c>
      <c r="B2566" s="83" t="s">
        <v>7182</v>
      </c>
      <c r="C2566" s="83" t="s">
        <v>7188</v>
      </c>
      <c r="D2566" s="83" t="s">
        <v>7244</v>
      </c>
      <c r="E2566" s="84">
        <f>handling_school_canteen_managed_teachercoop_sanitarypermit</f>
        <v>0</v>
      </c>
      <c r="F2566" s="83" t="b">
        <v>1</v>
      </c>
      <c r="G2566" s="83"/>
      <c r="H2566" s="83"/>
    </row>
    <row r="2567" spans="1:8">
      <c r="A2567" s="83" t="s">
        <v>7189</v>
      </c>
      <c r="B2567" s="83" t="s">
        <v>7182</v>
      </c>
      <c r="C2567" s="83" t="s">
        <v>7189</v>
      </c>
      <c r="D2567" s="83" t="s">
        <v>7245</v>
      </c>
      <c r="E2567" s="115">
        <f>handling_school_canteen_managed_teachercoop_validity</f>
        <v>0</v>
      </c>
      <c r="F2567" s="83" t="b">
        <v>1</v>
      </c>
      <c r="G2567" s="83"/>
      <c r="H2567" s="83"/>
    </row>
    <row r="2568" spans="1:8">
      <c r="A2568" s="83" t="s">
        <v>7190</v>
      </c>
      <c r="B2568" s="83" t="s">
        <v>7182</v>
      </c>
      <c r="C2568" s="83" t="s">
        <v>7190</v>
      </c>
      <c r="D2568" s="83" t="s">
        <v>7246</v>
      </c>
      <c r="E2568" s="84" t="b">
        <f>handling_canteen_teachercoop_healthcertificate_yes</f>
        <v>0</v>
      </c>
      <c r="F2568" s="83" t="b">
        <f t="shared" ref="F2568:F2569" si="53">OR(E2568=TRUE, E2568=FALSE)</f>
        <v>1</v>
      </c>
      <c r="G2568" s="83" t="s">
        <v>2287</v>
      </c>
      <c r="H2568" s="83"/>
    </row>
    <row r="2569" spans="1:8">
      <c r="A2569" s="83" t="s">
        <v>7191</v>
      </c>
      <c r="B2569" s="83" t="s">
        <v>7182</v>
      </c>
      <c r="C2569" s="83" t="s">
        <v>7191</v>
      </c>
      <c r="D2569" s="83" t="s">
        <v>7247</v>
      </c>
      <c r="E2569" s="84" t="b">
        <f>handling_school_canteen_managed_others</f>
        <v>0</v>
      </c>
      <c r="F2569" s="83" t="b">
        <f t="shared" si="53"/>
        <v>1</v>
      </c>
      <c r="G2569" s="83" t="s">
        <v>2287</v>
      </c>
      <c r="H2569" s="83"/>
    </row>
    <row r="2570" spans="1:8">
      <c r="A2570" s="83" t="s">
        <v>7192</v>
      </c>
      <c r="B2570" s="83" t="s">
        <v>7182</v>
      </c>
      <c r="C2570" s="83" t="s">
        <v>7192</v>
      </c>
      <c r="D2570" s="83" t="s">
        <v>7248</v>
      </c>
      <c r="E2570" s="84">
        <f>handling_school_canteen_managed_others_value</f>
        <v>0</v>
      </c>
      <c r="F2570" s="83" t="b">
        <v>1</v>
      </c>
      <c r="G2570" s="83"/>
      <c r="H2570" s="83"/>
    </row>
    <row r="2571" spans="1:8">
      <c r="A2571" s="83" t="s">
        <v>7193</v>
      </c>
      <c r="B2571" s="83" t="s">
        <v>7182</v>
      </c>
      <c r="C2571" s="83" t="s">
        <v>7193</v>
      </c>
      <c r="D2571" s="83" t="s">
        <v>7249</v>
      </c>
      <c r="E2571" s="84">
        <f>handling_school_canteen_managed_others_sanitarypermit</f>
        <v>0</v>
      </c>
      <c r="F2571" s="83" t="b">
        <v>1</v>
      </c>
      <c r="G2571" s="83"/>
      <c r="H2571" s="83"/>
    </row>
    <row r="2572" spans="1:8">
      <c r="A2572" s="83" t="s">
        <v>7194</v>
      </c>
      <c r="B2572" s="83" t="s">
        <v>7182</v>
      </c>
      <c r="C2572" s="83" t="s">
        <v>7194</v>
      </c>
      <c r="D2572" s="83" t="s">
        <v>7250</v>
      </c>
      <c r="E2572" s="115">
        <f>handling_school_canteen_managed_others_validity</f>
        <v>0</v>
      </c>
      <c r="F2572" s="83" t="b">
        <v>1</v>
      </c>
      <c r="G2572" s="83"/>
      <c r="H2572" s="83"/>
    </row>
    <row r="2573" spans="1:8" s="112" customFormat="1" ht="16" thickBot="1">
      <c r="A2573" s="85" t="s">
        <v>7195</v>
      </c>
      <c r="B2573" s="85" t="s">
        <v>7182</v>
      </c>
      <c r="C2573" s="85" t="s">
        <v>7195</v>
      </c>
      <c r="D2573" s="85" t="s">
        <v>7251</v>
      </c>
      <c r="E2573" s="86" t="b">
        <f>handling_canteen_others_healthcertificate_yes</f>
        <v>0</v>
      </c>
      <c r="F2573" s="85" t="b">
        <f t="shared" ref="F2573:F2593" si="54">OR(E2573=TRUE, E2573=FALSE)</f>
        <v>1</v>
      </c>
      <c r="G2573" s="85" t="s">
        <v>2287</v>
      </c>
      <c r="H2573" s="85"/>
    </row>
    <row r="2574" spans="1:8">
      <c r="A2574" s="83" t="s">
        <v>7252</v>
      </c>
      <c r="B2574" s="83" t="s">
        <v>7253</v>
      </c>
      <c r="C2574" s="83" t="s">
        <v>7252</v>
      </c>
      <c r="D2574" s="83" t="s">
        <v>7289</v>
      </c>
      <c r="E2574" s="84" t="b">
        <f>solidwm_complieswma_yes</f>
        <v>1</v>
      </c>
      <c r="F2574" s="83" t="b">
        <f t="shared" si="54"/>
        <v>1</v>
      </c>
      <c r="G2574" s="83" t="s">
        <v>2287</v>
      </c>
      <c r="H2574" s="83"/>
    </row>
    <row r="2575" spans="1:8">
      <c r="A2575" s="83" t="s">
        <v>7254</v>
      </c>
      <c r="B2575" s="83" t="s">
        <v>7253</v>
      </c>
      <c r="C2575" s="83" t="s">
        <v>7254</v>
      </c>
      <c r="D2575" s="83" t="s">
        <v>7290</v>
      </c>
      <c r="E2575" s="84" t="b">
        <f>implesolidwm_composting</f>
        <v>1</v>
      </c>
      <c r="F2575" s="83" t="b">
        <f t="shared" si="54"/>
        <v>1</v>
      </c>
      <c r="G2575" s="83" t="s">
        <v>2287</v>
      </c>
      <c r="H2575" s="83"/>
    </row>
    <row r="2576" spans="1:8">
      <c r="A2576" s="83" t="s">
        <v>7255</v>
      </c>
      <c r="B2576" s="83" t="s">
        <v>7253</v>
      </c>
      <c r="C2576" s="83" t="s">
        <v>7255</v>
      </c>
      <c r="D2576" s="83" t="s">
        <v>7291</v>
      </c>
      <c r="E2576" s="84" t="b">
        <f>implesolidwm_dtcp</f>
        <v>1</v>
      </c>
      <c r="F2576" s="83" t="b">
        <f t="shared" si="54"/>
        <v>1</v>
      </c>
      <c r="G2576" s="83" t="s">
        <v>2287</v>
      </c>
      <c r="H2576" s="83"/>
    </row>
    <row r="2577" spans="1:8">
      <c r="A2577" s="83" t="s">
        <v>7256</v>
      </c>
      <c r="B2577" s="83" t="s">
        <v>7253</v>
      </c>
      <c r="C2577" s="83" t="s">
        <v>7256</v>
      </c>
      <c r="D2577" s="83" t="s">
        <v>7292</v>
      </c>
      <c r="E2577" s="84" t="b">
        <f>implesolidwm_pmsmcon</f>
        <v>0</v>
      </c>
      <c r="F2577" s="83" t="b">
        <f t="shared" si="54"/>
        <v>1</v>
      </c>
      <c r="G2577" s="83" t="s">
        <v>2287</v>
      </c>
      <c r="H2577" s="83"/>
    </row>
    <row r="2578" spans="1:8">
      <c r="A2578" s="83" t="s">
        <v>7257</v>
      </c>
      <c r="B2578" s="83" t="s">
        <v>7253</v>
      </c>
      <c r="C2578" s="83" t="s">
        <v>7257</v>
      </c>
      <c r="D2578" s="83" t="s">
        <v>7293</v>
      </c>
      <c r="E2578" s="84" t="b">
        <f>implesolidwm_postsign</f>
        <v>1</v>
      </c>
      <c r="F2578" s="83" t="b">
        <f t="shared" si="54"/>
        <v>1</v>
      </c>
      <c r="G2578" s="83" t="s">
        <v>2287</v>
      </c>
      <c r="H2578" s="83"/>
    </row>
    <row r="2579" spans="1:8">
      <c r="A2579" s="83" t="s">
        <v>7258</v>
      </c>
      <c r="B2579" s="83" t="s">
        <v>7253</v>
      </c>
      <c r="C2579" s="83" t="s">
        <v>7258</v>
      </c>
      <c r="D2579" s="83" t="s">
        <v>7294</v>
      </c>
      <c r="E2579" s="84" t="b">
        <f>implesolidwm_recyclingpr</f>
        <v>0</v>
      </c>
      <c r="F2579" s="83" t="b">
        <f t="shared" si="54"/>
        <v>1</v>
      </c>
      <c r="G2579" s="83" t="s">
        <v>2287</v>
      </c>
      <c r="H2579" s="83"/>
    </row>
    <row r="2580" spans="1:8">
      <c r="A2580" s="83" t="s">
        <v>7259</v>
      </c>
      <c r="B2580" s="83" t="s">
        <v>7253</v>
      </c>
      <c r="C2580" s="83" t="s">
        <v>7259</v>
      </c>
      <c r="D2580" s="83" t="s">
        <v>7295</v>
      </c>
      <c r="E2580" s="84" t="b">
        <f>implesolidwmes_schrbs</f>
        <v>0</v>
      </c>
      <c r="F2580" s="83" t="b">
        <f t="shared" si="54"/>
        <v>1</v>
      </c>
      <c r="G2580" s="83" t="s">
        <v>2287</v>
      </c>
      <c r="H2580" s="83"/>
    </row>
    <row r="2581" spans="1:8">
      <c r="A2581" s="83" t="s">
        <v>7260</v>
      </c>
      <c r="B2581" s="83" t="s">
        <v>7253</v>
      </c>
      <c r="C2581" s="83" t="s">
        <v>7260</v>
      </c>
      <c r="D2581" s="83" t="s">
        <v>7296</v>
      </c>
      <c r="E2581" s="84" t="b">
        <f>implesolidwm_usppcip</f>
        <v>0</v>
      </c>
      <c r="F2581" s="83" t="b">
        <f t="shared" si="54"/>
        <v>1</v>
      </c>
      <c r="G2581" s="83" t="s">
        <v>2287</v>
      </c>
      <c r="H2581" s="83"/>
    </row>
    <row r="2582" spans="1:8">
      <c r="A2582" s="83" t="s">
        <v>7261</v>
      </c>
      <c r="B2582" s="83" t="s">
        <v>7253</v>
      </c>
      <c r="C2582" s="83" t="s">
        <v>7261</v>
      </c>
      <c r="D2582" s="83" t="s">
        <v>7297</v>
      </c>
      <c r="E2582" s="84" t="b">
        <f>implesolidwm_usrmtt</f>
        <v>0</v>
      </c>
      <c r="F2582" s="83" t="b">
        <f t="shared" si="54"/>
        <v>1</v>
      </c>
      <c r="G2582" s="83" t="s">
        <v>2287</v>
      </c>
      <c r="H2582" s="83"/>
    </row>
    <row r="2583" spans="1:8">
      <c r="A2583" s="83" t="s">
        <v>7262</v>
      </c>
      <c r="B2583" s="83" t="s">
        <v>7253</v>
      </c>
      <c r="C2583" s="83" t="s">
        <v>7262</v>
      </c>
      <c r="D2583" s="83" t="s">
        <v>7298</v>
      </c>
      <c r="E2583" s="84" t="b">
        <f>implesolidwm_urfc</f>
        <v>0</v>
      </c>
      <c r="F2583" s="83" t="b">
        <f t="shared" si="54"/>
        <v>1</v>
      </c>
      <c r="G2583" s="83" t="s">
        <v>2287</v>
      </c>
      <c r="H2583" s="83"/>
    </row>
    <row r="2584" spans="1:8">
      <c r="A2584" s="83" t="s">
        <v>7263</v>
      </c>
      <c r="B2584" s="83" t="s">
        <v>7253</v>
      </c>
      <c r="C2584" s="83" t="s">
        <v>7263</v>
      </c>
      <c r="D2584" s="83" t="s">
        <v>7299</v>
      </c>
      <c r="E2584" s="84" t="b">
        <f>implesolidwm_wasteseg</f>
        <v>1</v>
      </c>
      <c r="F2584" s="83" t="b">
        <f t="shared" si="54"/>
        <v>1</v>
      </c>
      <c r="G2584" s="83" t="s">
        <v>2287</v>
      </c>
      <c r="H2584" s="83"/>
    </row>
    <row r="2585" spans="1:8">
      <c r="A2585" s="83" t="s">
        <v>7264</v>
      </c>
      <c r="B2585" s="83" t="s">
        <v>7253</v>
      </c>
      <c r="C2585" s="83" t="s">
        <v>7264</v>
      </c>
      <c r="D2585" s="83" t="s">
        <v>7300</v>
      </c>
      <c r="E2585" s="84" t="b">
        <f>implesolidwn_stakeholder_brgy</f>
        <v>1</v>
      </c>
      <c r="F2585" s="83" t="b">
        <f t="shared" si="54"/>
        <v>1</v>
      </c>
      <c r="G2585" s="83" t="s">
        <v>2287</v>
      </c>
      <c r="H2585" s="83"/>
    </row>
    <row r="2586" spans="1:8">
      <c r="A2586" s="83" t="s">
        <v>7265</v>
      </c>
      <c r="B2586" s="83" t="s">
        <v>7253</v>
      </c>
      <c r="C2586" s="83" t="s">
        <v>7265</v>
      </c>
      <c r="D2586" s="83" t="s">
        <v>7301</v>
      </c>
      <c r="E2586" s="84" t="b">
        <f>implesolidwn_stakeholder_commulead</f>
        <v>1</v>
      </c>
      <c r="F2586" s="83" t="b">
        <f t="shared" si="54"/>
        <v>1</v>
      </c>
      <c r="G2586" s="83" t="s">
        <v>2287</v>
      </c>
      <c r="H2586" s="83"/>
    </row>
    <row r="2587" spans="1:8">
      <c r="A2587" s="83" t="s">
        <v>7266</v>
      </c>
      <c r="B2587" s="83" t="s">
        <v>7253</v>
      </c>
      <c r="C2587" s="83" t="s">
        <v>7266</v>
      </c>
      <c r="D2587" s="83" t="s">
        <v>7302</v>
      </c>
      <c r="E2587" s="84" t="b">
        <f>implesolidwn_stakeholder_localbusp</f>
        <v>0</v>
      </c>
      <c r="F2587" s="83" t="b">
        <f t="shared" si="54"/>
        <v>1</v>
      </c>
      <c r="G2587" s="83" t="s">
        <v>2287</v>
      </c>
      <c r="H2587" s="83"/>
    </row>
    <row r="2588" spans="1:8">
      <c r="A2588" s="83" t="s">
        <v>7267</v>
      </c>
      <c r="B2588" s="83" t="s">
        <v>7253</v>
      </c>
      <c r="C2588" s="83" t="s">
        <v>7267</v>
      </c>
      <c r="D2588" s="83" t="s">
        <v>7303</v>
      </c>
      <c r="E2588" s="84" t="b">
        <f>implesolidwn_stakeholder_mun_city</f>
        <v>1</v>
      </c>
      <c r="F2588" s="83" t="b">
        <f t="shared" si="54"/>
        <v>1</v>
      </c>
      <c r="G2588" s="83" t="s">
        <v>2287</v>
      </c>
      <c r="H2588" s="83"/>
    </row>
    <row r="2589" spans="1:8" s="112" customFormat="1" ht="16" thickBot="1">
      <c r="A2589" s="85" t="s">
        <v>7268</v>
      </c>
      <c r="B2589" s="85" t="s">
        <v>7253</v>
      </c>
      <c r="C2589" s="85" t="s">
        <v>7268</v>
      </c>
      <c r="D2589" s="85" t="s">
        <v>7304</v>
      </c>
      <c r="E2589" s="86" t="b">
        <f>implesolidwn_stakeholder_parents</f>
        <v>1</v>
      </c>
      <c r="F2589" s="85" t="b">
        <f t="shared" si="54"/>
        <v>1</v>
      </c>
      <c r="G2589" s="85" t="s">
        <v>2287</v>
      </c>
      <c r="H2589" s="85"/>
    </row>
    <row r="2590" spans="1:8">
      <c r="A2590" s="83" t="s">
        <v>7269</v>
      </c>
      <c r="B2590" s="83" t="s">
        <v>7270</v>
      </c>
      <c r="C2590" s="83" t="s">
        <v>7269</v>
      </c>
      <c r="D2590" s="83" t="s">
        <v>7305</v>
      </c>
      <c r="E2590" s="84" t="b">
        <f>opmainsanf_sanfclean_daily</f>
        <v>1</v>
      </c>
      <c r="F2590" s="83" t="b">
        <f t="shared" si="54"/>
        <v>1</v>
      </c>
      <c r="G2590" s="83" t="s">
        <v>2287</v>
      </c>
      <c r="H2590" s="83"/>
    </row>
    <row r="2591" spans="1:8">
      <c r="A2591" s="83" t="s">
        <v>7271</v>
      </c>
      <c r="B2591" s="83" t="s">
        <v>7270</v>
      </c>
      <c r="C2591" s="83" t="s">
        <v>7271</v>
      </c>
      <c r="D2591" s="83" t="s">
        <v>7306</v>
      </c>
      <c r="E2591" s="84" t="b">
        <f>opmainsanf_sanfclean_attwiceawk</f>
        <v>0</v>
      </c>
      <c r="F2591" s="83" t="b">
        <f t="shared" si="54"/>
        <v>1</v>
      </c>
      <c r="G2591" s="83" t="s">
        <v>2287</v>
      </c>
      <c r="H2591" s="83"/>
    </row>
    <row r="2592" spans="1:8">
      <c r="A2592" s="83" t="s">
        <v>7272</v>
      </c>
      <c r="B2592" s="83" t="s">
        <v>7270</v>
      </c>
      <c r="C2592" s="83" t="s">
        <v>7272</v>
      </c>
      <c r="D2592" s="83" t="s">
        <v>7307</v>
      </c>
      <c r="E2592" s="84" t="b">
        <f>opmainsanf_sanfclean_onceawk</f>
        <v>0</v>
      </c>
      <c r="F2592" s="83" t="b">
        <f t="shared" si="54"/>
        <v>1</v>
      </c>
      <c r="G2592" s="83" t="s">
        <v>2287</v>
      </c>
      <c r="H2592" s="83"/>
    </row>
    <row r="2593" spans="1:8">
      <c r="A2593" s="83" t="s">
        <v>7273</v>
      </c>
      <c r="B2593" s="83" t="s">
        <v>7270</v>
      </c>
      <c r="C2593" s="83" t="s">
        <v>7273</v>
      </c>
      <c r="D2593" s="83" t="s">
        <v>7308</v>
      </c>
      <c r="E2593" s="84" t="b">
        <f>opmainsanf_sanfclean_lessonceawk</f>
        <v>0</v>
      </c>
      <c r="F2593" s="83" t="b">
        <f t="shared" si="54"/>
        <v>1</v>
      </c>
      <c r="G2593" s="83" t="s">
        <v>2287</v>
      </c>
      <c r="H2593" s="83"/>
    </row>
    <row r="2594" spans="1:8">
      <c r="A2594" s="83" t="s">
        <v>7274</v>
      </c>
      <c r="B2594" s="83" t="s">
        <v>7270</v>
      </c>
      <c r="C2594" s="83" t="s">
        <v>7274</v>
      </c>
      <c r="D2594" s="83" t="s">
        <v>7309</v>
      </c>
      <c r="E2594" s="84">
        <f>opmainsanf_sanfclean_avecos_monbm_amount</f>
        <v>450</v>
      </c>
      <c r="F2594" s="83" t="b">
        <v>1</v>
      </c>
      <c r="G2594" s="83"/>
      <c r="H2594" s="83"/>
    </row>
    <row r="2595" spans="1:8">
      <c r="A2595" s="83" t="s">
        <v>7275</v>
      </c>
      <c r="B2595" s="83" t="s">
        <v>7270</v>
      </c>
      <c r="C2595" s="83" t="s">
        <v>7275</v>
      </c>
      <c r="D2595" s="83" t="s">
        <v>7310</v>
      </c>
      <c r="E2595" s="84" t="b">
        <f>opmainsanf_sanfclean_payavecos_monbmes_schmooe</f>
        <v>1</v>
      </c>
      <c r="F2595" s="83" t="b">
        <f t="shared" ref="F2595:F2600" si="55">OR(E2595=TRUE, E2595=FALSE)</f>
        <v>1</v>
      </c>
      <c r="G2595" s="83" t="s">
        <v>2287</v>
      </c>
      <c r="H2595" s="83"/>
    </row>
    <row r="2596" spans="1:8">
      <c r="A2596" s="83" t="s">
        <v>7276</v>
      </c>
      <c r="B2596" s="83" t="s">
        <v>7270</v>
      </c>
      <c r="C2596" s="83" t="s">
        <v>7276</v>
      </c>
      <c r="D2596" s="83" t="s">
        <v>7311</v>
      </c>
      <c r="E2596" s="84" t="b">
        <f>opmainsanf_sanfclean_payavecos_monbm_lgu</f>
        <v>0</v>
      </c>
      <c r="F2596" s="83" t="b">
        <f t="shared" si="55"/>
        <v>1</v>
      </c>
      <c r="G2596" s="83" t="s">
        <v>2287</v>
      </c>
      <c r="H2596" s="83"/>
    </row>
    <row r="2597" spans="1:8">
      <c r="A2597" s="83" t="s">
        <v>7277</v>
      </c>
      <c r="B2597" s="83" t="s">
        <v>7270</v>
      </c>
      <c r="C2597" s="83" t="s">
        <v>7277</v>
      </c>
      <c r="D2597" s="83" t="s">
        <v>7312</v>
      </c>
      <c r="E2597" s="84" t="b">
        <f>opmainsanf_sanfclean_payavecos_monbm_pta</f>
        <v>0</v>
      </c>
      <c r="F2597" s="83" t="b">
        <f t="shared" si="55"/>
        <v>1</v>
      </c>
      <c r="G2597" s="83" t="s">
        <v>2287</v>
      </c>
      <c r="H2597" s="83"/>
    </row>
    <row r="2598" spans="1:8">
      <c r="A2598" s="83" t="s">
        <v>7278</v>
      </c>
      <c r="B2598" s="83" t="s">
        <v>7270</v>
      </c>
      <c r="C2598" s="83" t="s">
        <v>7278</v>
      </c>
      <c r="D2598" s="83" t="s">
        <v>7313</v>
      </c>
      <c r="E2598" s="84" t="b">
        <f>opmainsanf_sanfclean_payavecos_monbmes_schcantf</f>
        <v>1</v>
      </c>
      <c r="F2598" s="83" t="b">
        <f t="shared" si="55"/>
        <v>1</v>
      </c>
      <c r="G2598" s="83" t="s">
        <v>2287</v>
      </c>
      <c r="H2598" s="83"/>
    </row>
    <row r="2599" spans="1:8">
      <c r="A2599" s="83" t="s">
        <v>7279</v>
      </c>
      <c r="B2599" s="83" t="s">
        <v>7270</v>
      </c>
      <c r="C2599" s="83" t="s">
        <v>7279</v>
      </c>
      <c r="D2599" s="83" t="s">
        <v>7314</v>
      </c>
      <c r="E2599" s="84" t="b">
        <f>opmainsanf_sanfclean_payavecos_monbm_privinds</f>
        <v>0</v>
      </c>
      <c r="F2599" s="83" t="b">
        <f t="shared" si="55"/>
        <v>1</v>
      </c>
      <c r="G2599" s="83" t="s">
        <v>2287</v>
      </c>
      <c r="H2599" s="83"/>
    </row>
    <row r="2600" spans="1:8">
      <c r="A2600" s="83" t="s">
        <v>7280</v>
      </c>
      <c r="B2600" s="83" t="s">
        <v>7270</v>
      </c>
      <c r="C2600" s="83" t="s">
        <v>7280</v>
      </c>
      <c r="D2600" s="83" t="s">
        <v>7315</v>
      </c>
      <c r="E2600" s="84" t="b">
        <f>opmainsanf_sanfclean_payavecos_monbm_others</f>
        <v>0</v>
      </c>
      <c r="F2600" s="83" t="b">
        <f t="shared" si="55"/>
        <v>1</v>
      </c>
      <c r="G2600" s="83" t="s">
        <v>2287</v>
      </c>
      <c r="H2600" s="83"/>
    </row>
    <row r="2601" spans="1:8" s="112" customFormat="1" ht="16" thickBot="1">
      <c r="A2601" s="85" t="s">
        <v>7281</v>
      </c>
      <c r="B2601" s="85" t="s">
        <v>7270</v>
      </c>
      <c r="C2601" s="85" t="s">
        <v>7281</v>
      </c>
      <c r="D2601" s="85" t="s">
        <v>7316</v>
      </c>
      <c r="E2601" s="86">
        <f>opmainsanf_sanfclean_payavecos_monbm_other_specify</f>
        <v>0</v>
      </c>
      <c r="F2601" s="85" t="b">
        <v>1</v>
      </c>
      <c r="G2601" s="85"/>
      <c r="H2601" s="85"/>
    </row>
    <row r="2602" spans="1:8">
      <c r="A2602" s="83" t="s">
        <v>7282</v>
      </c>
      <c r="B2602" s="83" t="s">
        <v>7283</v>
      </c>
      <c r="C2602" s="83" t="s">
        <v>7282</v>
      </c>
      <c r="D2602" s="83" t="s">
        <v>7317</v>
      </c>
      <c r="E2602" s="84" t="b">
        <f>mestrualh_avail_sanpads_yes</f>
        <v>0</v>
      </c>
      <c r="F2602" s="83" t="b">
        <f t="shared" ref="F2602:F2612" si="56">OR(E2602=TRUE, E2602=FALSE)</f>
        <v>1</v>
      </c>
      <c r="G2602" s="83" t="s">
        <v>2287</v>
      </c>
      <c r="H2602" s="83"/>
    </row>
    <row r="2603" spans="1:8">
      <c r="A2603" s="83" t="s">
        <v>7284</v>
      </c>
      <c r="B2603" s="83" t="s">
        <v>7283</v>
      </c>
      <c r="C2603" s="83" t="s">
        <v>7284</v>
      </c>
      <c r="D2603" s="83" t="s">
        <v>7318</v>
      </c>
      <c r="E2603" s="84" t="b">
        <f>mestrualh_avail_sanpads_yeses_schcant</f>
        <v>0</v>
      </c>
      <c r="F2603" s="83" t="b">
        <f t="shared" si="56"/>
        <v>1</v>
      </c>
      <c r="G2603" s="83" t="s">
        <v>2287</v>
      </c>
      <c r="H2603" s="83"/>
    </row>
    <row r="2604" spans="1:8">
      <c r="A2604" s="83" t="s">
        <v>7285</v>
      </c>
      <c r="B2604" s="83" t="s">
        <v>7283</v>
      </c>
      <c r="C2604" s="83" t="s">
        <v>7285</v>
      </c>
      <c r="D2604" s="83" t="s">
        <v>7319</v>
      </c>
      <c r="E2604" s="84" t="b">
        <f>mestrualh_avail_sanpads_yeses_schclinic</f>
        <v>0</v>
      </c>
      <c r="F2604" s="83" t="b">
        <f t="shared" si="56"/>
        <v>1</v>
      </c>
      <c r="G2604" s="83" t="s">
        <v>2287</v>
      </c>
      <c r="H2604" s="83"/>
    </row>
    <row r="2605" spans="1:8">
      <c r="A2605" s="83" t="s">
        <v>7286</v>
      </c>
      <c r="B2605" s="83" t="s">
        <v>7283</v>
      </c>
      <c r="C2605" s="83" t="s">
        <v>7286</v>
      </c>
      <c r="D2605" s="83" t="s">
        <v>7320</v>
      </c>
      <c r="E2605" s="84" t="b">
        <f>mestrualh_avail_sanpads_yes_guidoff</f>
        <v>0</v>
      </c>
      <c r="F2605" s="83" t="b">
        <f t="shared" si="56"/>
        <v>1</v>
      </c>
      <c r="G2605" s="83" t="s">
        <v>2287</v>
      </c>
      <c r="H2605" s="83"/>
    </row>
    <row r="2606" spans="1:8">
      <c r="A2606" s="83" t="s">
        <v>7287</v>
      </c>
      <c r="B2606" s="83" t="s">
        <v>7283</v>
      </c>
      <c r="C2606" s="83" t="s">
        <v>7287</v>
      </c>
      <c r="D2606" s="83" t="s">
        <v>7321</v>
      </c>
      <c r="E2606" s="84" t="b">
        <f>mestrualh_avail_sanpads_yes_others</f>
        <v>0</v>
      </c>
      <c r="F2606" s="83" t="b">
        <f t="shared" si="56"/>
        <v>1</v>
      </c>
      <c r="G2606" s="83" t="s">
        <v>2287</v>
      </c>
      <c r="H2606" s="83"/>
    </row>
    <row r="2607" spans="1:8" s="112" customFormat="1" ht="16" thickBot="1">
      <c r="A2607" s="85" t="s">
        <v>7288</v>
      </c>
      <c r="B2607" s="85" t="s">
        <v>7283</v>
      </c>
      <c r="C2607" s="85" t="s">
        <v>7288</v>
      </c>
      <c r="D2607" s="85" t="s">
        <v>7322</v>
      </c>
      <c r="E2607" s="86">
        <f>mestrualh_avail_sanpads_yes_others_specify</f>
        <v>0</v>
      </c>
      <c r="F2607" s="85" t="b">
        <v>1</v>
      </c>
      <c r="G2607" s="85"/>
      <c r="H2607" s="85"/>
    </row>
    <row r="2608" spans="1:8">
      <c r="A2608" s="83" t="s">
        <v>7323</v>
      </c>
      <c r="B2608" s="83" t="s">
        <v>7324</v>
      </c>
      <c r="C2608" s="83" t="s">
        <v>7323</v>
      </c>
      <c r="D2608" s="83" t="s">
        <v>7365</v>
      </c>
      <c r="E2608" s="84" t="b">
        <f>sch_cpc_yes</f>
        <v>1</v>
      </c>
      <c r="F2608" s="83" t="b">
        <f t="shared" si="56"/>
        <v>1</v>
      </c>
      <c r="G2608" s="83" t="s">
        <v>2287</v>
      </c>
      <c r="H2608" s="83"/>
    </row>
    <row r="2609" spans="1:8">
      <c r="A2609" s="83" t="s">
        <v>7325</v>
      </c>
      <c r="B2609" s="83" t="s">
        <v>7324</v>
      </c>
      <c r="C2609" s="83" t="s">
        <v>7325</v>
      </c>
      <c r="D2609" s="83" t="s">
        <v>7366</v>
      </c>
      <c r="E2609" s="84" t="b">
        <f>sch_cpc_fmeet_monthly</f>
        <v>0</v>
      </c>
      <c r="F2609" s="83" t="b">
        <f t="shared" si="56"/>
        <v>1</v>
      </c>
      <c r="G2609" s="83" t="s">
        <v>2287</v>
      </c>
      <c r="H2609" s="83"/>
    </row>
    <row r="2610" spans="1:8">
      <c r="A2610" s="83" t="s">
        <v>7326</v>
      </c>
      <c r="B2610" s="83" t="s">
        <v>7324</v>
      </c>
      <c r="C2610" s="83" t="s">
        <v>7326</v>
      </c>
      <c r="D2610" s="83" t="s">
        <v>7367</v>
      </c>
      <c r="E2610" s="84" t="b">
        <f>sch_cpc_fmeet_quarterly</f>
        <v>0</v>
      </c>
      <c r="F2610" s="83" t="b">
        <f t="shared" si="56"/>
        <v>1</v>
      </c>
      <c r="G2610" s="83" t="s">
        <v>2287</v>
      </c>
      <c r="H2610" s="83"/>
    </row>
    <row r="2611" spans="1:8">
      <c r="A2611" s="83" t="s">
        <v>7327</v>
      </c>
      <c r="B2611" s="83" t="s">
        <v>7324</v>
      </c>
      <c r="C2611" s="83" t="s">
        <v>7327</v>
      </c>
      <c r="D2611" s="83" t="s">
        <v>7368</v>
      </c>
      <c r="E2611" s="84" t="b">
        <f>sch_cpc_fmeet_annually</f>
        <v>1</v>
      </c>
      <c r="F2611" s="83" t="b">
        <f t="shared" si="56"/>
        <v>1</v>
      </c>
      <c r="G2611" s="83" t="s">
        <v>2287</v>
      </c>
      <c r="H2611" s="83"/>
    </row>
    <row r="2612" spans="1:8">
      <c r="A2612" s="83" t="s">
        <v>7328</v>
      </c>
      <c r="B2612" s="83" t="s">
        <v>7324</v>
      </c>
      <c r="C2612" s="83" t="s">
        <v>7328</v>
      </c>
      <c r="D2612" s="83" t="s">
        <v>7369</v>
      </c>
      <c r="E2612" s="84" t="b">
        <f>sch_cpc_fmeet_others</f>
        <v>0</v>
      </c>
      <c r="F2612" s="83" t="b">
        <f t="shared" si="56"/>
        <v>1</v>
      </c>
      <c r="G2612" s="83" t="s">
        <v>2287</v>
      </c>
      <c r="H2612" s="83"/>
    </row>
    <row r="2613" spans="1:8">
      <c r="A2613" s="83" t="s">
        <v>7329</v>
      </c>
      <c r="B2613" s="83" t="s">
        <v>7324</v>
      </c>
      <c r="C2613" s="83" t="s">
        <v>7329</v>
      </c>
      <c r="D2613" s="83" t="s">
        <v>7370</v>
      </c>
      <c r="E2613" s="84">
        <f>sch_cpc_fmeet_others_specify</f>
        <v>0</v>
      </c>
      <c r="F2613" s="83" t="b">
        <v>1</v>
      </c>
      <c r="G2613" s="83"/>
      <c r="H2613" s="83"/>
    </row>
    <row r="2614" spans="1:8">
      <c r="A2614" s="83" t="s">
        <v>7330</v>
      </c>
      <c r="B2614" s="83" t="s">
        <v>7324</v>
      </c>
      <c r="C2614" s="83" t="s">
        <v>7330</v>
      </c>
      <c r="D2614" s="83" t="s">
        <v>7371</v>
      </c>
      <c r="E2614" s="120">
        <f>sch_num_cpcases_refer_apprauth</f>
        <v>0</v>
      </c>
      <c r="F2614" s="83" t="b">
        <v>1</v>
      </c>
      <c r="G2614" s="83"/>
      <c r="H2614" s="83"/>
    </row>
    <row r="2615" spans="1:8" s="112" customFormat="1" ht="16" thickBot="1">
      <c r="A2615" s="85" t="s">
        <v>7331</v>
      </c>
      <c r="B2615" s="85" t="s">
        <v>7324</v>
      </c>
      <c r="C2615" s="85" t="s">
        <v>7331</v>
      </c>
      <c r="D2615" s="85" t="s">
        <v>7372</v>
      </c>
      <c r="E2615" s="86" t="b">
        <f>sch_studcodeconduct_yes</f>
        <v>1</v>
      </c>
      <c r="F2615" s="85" t="b">
        <f t="shared" ref="F2615" si="57">OR(E2615=TRUE, E2615=FALSE)</f>
        <v>1</v>
      </c>
      <c r="G2615" s="85" t="s">
        <v>2287</v>
      </c>
      <c r="H2615" s="85"/>
    </row>
    <row r="2616" spans="1:8">
      <c r="A2616" s="83" t="s">
        <v>7332</v>
      </c>
      <c r="B2616" s="83" t="s">
        <v>7333</v>
      </c>
      <c r="C2616" s="83" t="s">
        <v>7332</v>
      </c>
      <c r="D2616" s="83" t="s">
        <v>7373</v>
      </c>
      <c r="E2616" s="84">
        <f>cp_inc_violence_physical_lrnrs_m</f>
        <v>0</v>
      </c>
      <c r="F2616" s="83" t="b">
        <v>1</v>
      </c>
      <c r="G2616" s="83"/>
      <c r="H2616" s="83"/>
    </row>
    <row r="2617" spans="1:8">
      <c r="A2617" s="83" t="s">
        <v>7334</v>
      </c>
      <c r="B2617" s="83" t="s">
        <v>7333</v>
      </c>
      <c r="C2617" s="83" t="s">
        <v>7334</v>
      </c>
      <c r="D2617" s="83" t="s">
        <v>7374</v>
      </c>
      <c r="E2617" s="84">
        <f>cp_inc_violence_physical_lrnrs_f</f>
        <v>0</v>
      </c>
      <c r="F2617" s="83" t="b">
        <v>1</v>
      </c>
      <c r="G2617" s="83"/>
      <c r="H2617" s="83"/>
    </row>
    <row r="2618" spans="1:8">
      <c r="A2618" s="83" t="s">
        <v>7335</v>
      </c>
      <c r="B2618" s="83" t="s">
        <v>7333</v>
      </c>
      <c r="C2618" s="83" t="s">
        <v>7335</v>
      </c>
      <c r="D2618" s="83" t="s">
        <v>7375</v>
      </c>
      <c r="E2618" s="84">
        <f>cp_perp_violence_physical_schpersonnel</f>
        <v>0</v>
      </c>
      <c r="F2618" s="83" t="b">
        <v>1</v>
      </c>
      <c r="G2618" s="83"/>
      <c r="H2618" s="83"/>
    </row>
    <row r="2619" spans="1:8">
      <c r="A2619" s="83" t="s">
        <v>7336</v>
      </c>
      <c r="B2619" s="83" t="s">
        <v>7333</v>
      </c>
      <c r="C2619" s="83" t="s">
        <v>7336</v>
      </c>
      <c r="D2619" s="83" t="s">
        <v>7376</v>
      </c>
      <c r="E2619" s="84">
        <f>cp_perp_violence_physical_outsider</f>
        <v>0</v>
      </c>
      <c r="F2619" s="83" t="b">
        <v>1</v>
      </c>
      <c r="G2619" s="83"/>
      <c r="H2619" s="83"/>
    </row>
    <row r="2620" spans="1:8">
      <c r="A2620" s="83" t="s">
        <v>7337</v>
      </c>
      <c r="B2620" s="83" t="s">
        <v>7333</v>
      </c>
      <c r="C2620" s="83" t="s">
        <v>7337</v>
      </c>
      <c r="D2620" s="83" t="s">
        <v>7377</v>
      </c>
      <c r="E2620" s="84">
        <f>cp_inc_violence_sexual_lrnrs_m</f>
        <v>0</v>
      </c>
      <c r="F2620" s="83" t="b">
        <v>1</v>
      </c>
      <c r="G2620" s="83"/>
      <c r="H2620" s="83"/>
    </row>
    <row r="2621" spans="1:8">
      <c r="A2621" s="83" t="s">
        <v>7338</v>
      </c>
      <c r="B2621" s="83" t="s">
        <v>7333</v>
      </c>
      <c r="C2621" s="83" t="s">
        <v>7338</v>
      </c>
      <c r="D2621" s="83" t="s">
        <v>7378</v>
      </c>
      <c r="E2621" s="84">
        <f>cp_inc_violence_sexual_lrnrs_f</f>
        <v>0</v>
      </c>
      <c r="F2621" s="83" t="b">
        <v>1</v>
      </c>
      <c r="G2621" s="83"/>
      <c r="H2621" s="83"/>
    </row>
    <row r="2622" spans="1:8">
      <c r="A2622" s="83" t="s">
        <v>7339</v>
      </c>
      <c r="B2622" s="83" t="s">
        <v>7333</v>
      </c>
      <c r="C2622" s="83" t="s">
        <v>7339</v>
      </c>
      <c r="D2622" s="83" t="s">
        <v>7379</v>
      </c>
      <c r="E2622" s="84">
        <f>cp_perp_violence_sexual_schpersonnel</f>
        <v>0</v>
      </c>
      <c r="F2622" s="83" t="b">
        <v>1</v>
      </c>
      <c r="G2622" s="83"/>
      <c r="H2622" s="83"/>
    </row>
    <row r="2623" spans="1:8">
      <c r="A2623" s="83" t="s">
        <v>7340</v>
      </c>
      <c r="B2623" s="83" t="s">
        <v>7333</v>
      </c>
      <c r="C2623" s="83" t="s">
        <v>7340</v>
      </c>
      <c r="D2623" s="83" t="s">
        <v>7380</v>
      </c>
      <c r="E2623" s="84">
        <f>cp_perp_violence_sexual_outsider</f>
        <v>0</v>
      </c>
      <c r="F2623" s="83" t="b">
        <v>1</v>
      </c>
      <c r="G2623" s="83"/>
      <c r="H2623" s="83"/>
    </row>
    <row r="2624" spans="1:8">
      <c r="A2624" s="83" t="s">
        <v>7341</v>
      </c>
      <c r="B2624" s="83" t="s">
        <v>7333</v>
      </c>
      <c r="C2624" s="83" t="s">
        <v>7341</v>
      </c>
      <c r="D2624" s="83" t="s">
        <v>7381</v>
      </c>
      <c r="E2624" s="84">
        <f>cp_inc_violence_psychological_lrnrs_m</f>
        <v>0</v>
      </c>
      <c r="F2624" s="83" t="b">
        <v>1</v>
      </c>
      <c r="G2624" s="83"/>
      <c r="H2624" s="83"/>
    </row>
    <row r="2625" spans="1:8">
      <c r="A2625" s="83" t="s">
        <v>7342</v>
      </c>
      <c r="B2625" s="83" t="s">
        <v>7333</v>
      </c>
      <c r="C2625" s="83" t="s">
        <v>7342</v>
      </c>
      <c r="D2625" s="83" t="s">
        <v>7382</v>
      </c>
      <c r="E2625" s="84">
        <f>cp_inc_violence_psychological_lrnrs_f</f>
        <v>0</v>
      </c>
      <c r="F2625" s="83" t="b">
        <v>1</v>
      </c>
      <c r="G2625" s="83"/>
      <c r="H2625" s="83"/>
    </row>
    <row r="2626" spans="1:8">
      <c r="A2626" s="83" t="s">
        <v>7343</v>
      </c>
      <c r="B2626" s="83" t="s">
        <v>7333</v>
      </c>
      <c r="C2626" s="83" t="s">
        <v>7343</v>
      </c>
      <c r="D2626" s="83" t="s">
        <v>7383</v>
      </c>
      <c r="E2626" s="84">
        <f>cp_perp_violence_psychological_schpersonnel</f>
        <v>0</v>
      </c>
      <c r="F2626" s="83" t="b">
        <v>1</v>
      </c>
      <c r="G2626" s="83"/>
      <c r="H2626" s="83"/>
    </row>
    <row r="2627" spans="1:8">
      <c r="A2627" s="83" t="s">
        <v>7344</v>
      </c>
      <c r="B2627" s="83" t="s">
        <v>7333</v>
      </c>
      <c r="C2627" s="83" t="s">
        <v>7344</v>
      </c>
      <c r="D2627" s="83" t="s">
        <v>7384</v>
      </c>
      <c r="E2627" s="84">
        <f>cp_perp_violence_psychological_outsider</f>
        <v>0</v>
      </c>
      <c r="F2627" s="83" t="b">
        <v>1</v>
      </c>
      <c r="G2627" s="83"/>
      <c r="H2627" s="83"/>
    </row>
    <row r="2628" spans="1:8">
      <c r="A2628" s="83" t="s">
        <v>7345</v>
      </c>
      <c r="B2628" s="83" t="s">
        <v>7333</v>
      </c>
      <c r="C2628" s="83" t="s">
        <v>7345</v>
      </c>
      <c r="D2628" s="83" t="s">
        <v>7385</v>
      </c>
      <c r="E2628" s="84">
        <f>cp_inc_violence_others_lrnrs_m</f>
        <v>0</v>
      </c>
      <c r="F2628" s="83" t="b">
        <v>1</v>
      </c>
      <c r="G2628" s="83"/>
      <c r="H2628" s="83"/>
    </row>
    <row r="2629" spans="1:8">
      <c r="A2629" s="83" t="s">
        <v>7346</v>
      </c>
      <c r="B2629" s="83" t="s">
        <v>7333</v>
      </c>
      <c r="C2629" s="83" t="s">
        <v>7346</v>
      </c>
      <c r="D2629" s="83" t="s">
        <v>7386</v>
      </c>
      <c r="E2629" s="84">
        <f>cp_inc_violence_others_lrnrs_f</f>
        <v>0</v>
      </c>
      <c r="F2629" s="83" t="b">
        <v>1</v>
      </c>
      <c r="G2629" s="83"/>
      <c r="H2629" s="83"/>
    </row>
    <row r="2630" spans="1:8">
      <c r="A2630" s="83" t="s">
        <v>7347</v>
      </c>
      <c r="B2630" s="83" t="s">
        <v>7333</v>
      </c>
      <c r="C2630" s="83" t="s">
        <v>7347</v>
      </c>
      <c r="D2630" s="83" t="s">
        <v>7387</v>
      </c>
      <c r="E2630" s="84">
        <f>cp_perp_violence_others_schpersonnel</f>
        <v>0</v>
      </c>
      <c r="F2630" s="83" t="b">
        <v>1</v>
      </c>
      <c r="G2630" s="83"/>
      <c r="H2630" s="83"/>
    </row>
    <row r="2631" spans="1:8">
      <c r="A2631" s="83" t="s">
        <v>7348</v>
      </c>
      <c r="B2631" s="83" t="s">
        <v>7333</v>
      </c>
      <c r="C2631" s="83" t="s">
        <v>7348</v>
      </c>
      <c r="D2631" s="83" t="s">
        <v>7388</v>
      </c>
      <c r="E2631" s="84">
        <f>cp_perp_violence_others_outsider</f>
        <v>0</v>
      </c>
      <c r="F2631" s="83" t="b">
        <v>1</v>
      </c>
      <c r="G2631" s="83"/>
      <c r="H2631" s="83"/>
    </row>
    <row r="2632" spans="1:8">
      <c r="A2632" s="83" t="s">
        <v>7349</v>
      </c>
      <c r="B2632" s="83" t="s">
        <v>7333</v>
      </c>
      <c r="C2632" s="83" t="s">
        <v>7349</v>
      </c>
      <c r="D2632" s="83" t="s">
        <v>7389</v>
      </c>
      <c r="E2632" s="84">
        <f>cp_inc_vag_k_m</f>
        <v>0</v>
      </c>
      <c r="F2632" s="83" t="b">
        <v>1</v>
      </c>
      <c r="G2632" s="83"/>
      <c r="H2632" s="83"/>
    </row>
    <row r="2633" spans="1:8">
      <c r="A2633" s="83" t="s">
        <v>7350</v>
      </c>
      <c r="B2633" s="83" t="s">
        <v>7333</v>
      </c>
      <c r="C2633" s="83" t="s">
        <v>7350</v>
      </c>
      <c r="D2633" s="83" t="s">
        <v>7390</v>
      </c>
      <c r="E2633" s="84">
        <f>cp_inc_vag_k_f</f>
        <v>0</v>
      </c>
      <c r="F2633" s="83" t="b">
        <v>1</v>
      </c>
      <c r="G2633" s="83"/>
      <c r="H2633" s="83"/>
    </row>
    <row r="2634" spans="1:8">
      <c r="A2634" s="83" t="s">
        <v>7351</v>
      </c>
      <c r="B2634" s="83" t="s">
        <v>7333</v>
      </c>
      <c r="C2634" s="83" t="s">
        <v>7351</v>
      </c>
      <c r="D2634" s="83" t="s">
        <v>7391</v>
      </c>
      <c r="E2634" s="84">
        <f>cp_inc_vag_g1_m</f>
        <v>0</v>
      </c>
      <c r="F2634" s="83" t="b">
        <v>1</v>
      </c>
      <c r="G2634" s="83"/>
      <c r="H2634" s="83"/>
    </row>
    <row r="2635" spans="1:8">
      <c r="A2635" s="83" t="s">
        <v>7352</v>
      </c>
      <c r="B2635" s="83" t="s">
        <v>7333</v>
      </c>
      <c r="C2635" s="83" t="s">
        <v>7352</v>
      </c>
      <c r="D2635" s="83" t="s">
        <v>7392</v>
      </c>
      <c r="E2635" s="84">
        <f>cp_inc_vag_g1_f</f>
        <v>0</v>
      </c>
      <c r="F2635" s="83" t="b">
        <v>1</v>
      </c>
      <c r="G2635" s="83"/>
      <c r="H2635" s="83"/>
    </row>
    <row r="2636" spans="1:8">
      <c r="A2636" s="83" t="s">
        <v>7353</v>
      </c>
      <c r="B2636" s="83" t="s">
        <v>7333</v>
      </c>
      <c r="C2636" s="83" t="s">
        <v>7353</v>
      </c>
      <c r="D2636" s="83" t="s">
        <v>7393</v>
      </c>
      <c r="E2636" s="84">
        <f>cp_inc_vag_g2_m</f>
        <v>0</v>
      </c>
      <c r="F2636" s="83" t="b">
        <v>1</v>
      </c>
      <c r="G2636" s="83"/>
      <c r="H2636" s="83"/>
    </row>
    <row r="2637" spans="1:8">
      <c r="A2637" s="83" t="s">
        <v>7354</v>
      </c>
      <c r="B2637" s="83" t="s">
        <v>7333</v>
      </c>
      <c r="C2637" s="83" t="s">
        <v>7354</v>
      </c>
      <c r="D2637" s="83" t="s">
        <v>7394</v>
      </c>
      <c r="E2637" s="84">
        <f>cp_inc_vag_g2_f</f>
        <v>0</v>
      </c>
      <c r="F2637" s="83" t="b">
        <v>1</v>
      </c>
      <c r="G2637" s="83"/>
      <c r="H2637" s="83"/>
    </row>
    <row r="2638" spans="1:8">
      <c r="A2638" s="83" t="s">
        <v>7355</v>
      </c>
      <c r="B2638" s="83" t="s">
        <v>7333</v>
      </c>
      <c r="C2638" s="83" t="s">
        <v>7355</v>
      </c>
      <c r="D2638" s="83" t="s">
        <v>7395</v>
      </c>
      <c r="E2638" s="84">
        <f>cp_inc_vag_g3_m</f>
        <v>0</v>
      </c>
      <c r="F2638" s="83" t="b">
        <v>1</v>
      </c>
      <c r="G2638" s="83"/>
      <c r="H2638" s="83"/>
    </row>
    <row r="2639" spans="1:8">
      <c r="A2639" s="83" t="s">
        <v>7356</v>
      </c>
      <c r="B2639" s="83" t="s">
        <v>7333</v>
      </c>
      <c r="C2639" s="83" t="s">
        <v>7356</v>
      </c>
      <c r="D2639" s="83" t="s">
        <v>7396</v>
      </c>
      <c r="E2639" s="84">
        <f>cp_inc_vag_g3_f</f>
        <v>0</v>
      </c>
      <c r="F2639" s="83" t="b">
        <v>1</v>
      </c>
      <c r="G2639" s="83"/>
      <c r="H2639" s="83"/>
    </row>
    <row r="2640" spans="1:8">
      <c r="A2640" s="83" t="s">
        <v>7357</v>
      </c>
      <c r="B2640" s="83" t="s">
        <v>7333</v>
      </c>
      <c r="C2640" s="83" t="s">
        <v>7357</v>
      </c>
      <c r="D2640" s="83" t="s">
        <v>7397</v>
      </c>
      <c r="E2640" s="84">
        <f>cp_inc_vag_g4_m</f>
        <v>0</v>
      </c>
      <c r="F2640" s="83" t="b">
        <v>1</v>
      </c>
      <c r="G2640" s="83"/>
      <c r="H2640" s="83"/>
    </row>
    <row r="2641" spans="1:8">
      <c r="A2641" s="83" t="s">
        <v>7358</v>
      </c>
      <c r="B2641" s="83" t="s">
        <v>7333</v>
      </c>
      <c r="C2641" s="83" t="s">
        <v>7358</v>
      </c>
      <c r="D2641" s="83" t="s">
        <v>7398</v>
      </c>
      <c r="E2641" s="84">
        <f>cp_inc_vag_g4_f</f>
        <v>0</v>
      </c>
      <c r="F2641" s="83" t="b">
        <v>1</v>
      </c>
      <c r="G2641" s="83"/>
      <c r="H2641" s="83"/>
    </row>
    <row r="2642" spans="1:8">
      <c r="A2642" s="83" t="s">
        <v>7359</v>
      </c>
      <c r="B2642" s="83" t="s">
        <v>7333</v>
      </c>
      <c r="C2642" s="83" t="s">
        <v>7359</v>
      </c>
      <c r="D2642" s="83" t="s">
        <v>7399</v>
      </c>
      <c r="E2642" s="84">
        <f>cp_inc_vag_g5_m</f>
        <v>0</v>
      </c>
      <c r="F2642" s="83" t="b">
        <v>1</v>
      </c>
      <c r="G2642" s="83"/>
      <c r="H2642" s="83"/>
    </row>
    <row r="2643" spans="1:8">
      <c r="A2643" s="83" t="s">
        <v>7360</v>
      </c>
      <c r="B2643" s="83" t="s">
        <v>7333</v>
      </c>
      <c r="C2643" s="83" t="s">
        <v>7360</v>
      </c>
      <c r="D2643" s="83" t="s">
        <v>7400</v>
      </c>
      <c r="E2643" s="84">
        <f>cp_inc_vag_g5_f</f>
        <v>0</v>
      </c>
      <c r="F2643" s="83" t="b">
        <v>1</v>
      </c>
      <c r="G2643" s="83"/>
      <c r="H2643" s="83"/>
    </row>
    <row r="2644" spans="1:8">
      <c r="A2644" s="83" t="s">
        <v>7361</v>
      </c>
      <c r="B2644" s="83" t="s">
        <v>7333</v>
      </c>
      <c r="C2644" s="83" t="s">
        <v>7361</v>
      </c>
      <c r="D2644" s="83" t="s">
        <v>7401</v>
      </c>
      <c r="E2644" s="84">
        <f>cp_inc_vag_g6_m</f>
        <v>0</v>
      </c>
      <c r="F2644" s="83" t="b">
        <v>1</v>
      </c>
      <c r="G2644" s="83"/>
      <c r="H2644" s="83"/>
    </row>
    <row r="2645" spans="1:8">
      <c r="A2645" s="83" t="s">
        <v>7362</v>
      </c>
      <c r="B2645" s="83" t="s">
        <v>7333</v>
      </c>
      <c r="C2645" s="83" t="s">
        <v>7362</v>
      </c>
      <c r="D2645" s="83" t="s">
        <v>7402</v>
      </c>
      <c r="E2645" s="84">
        <f>cp_inc_vag_g6_f</f>
        <v>0</v>
      </c>
      <c r="F2645" s="83" t="b">
        <v>1</v>
      </c>
      <c r="G2645" s="83"/>
      <c r="H2645" s="83"/>
    </row>
    <row r="2646" spans="1:8">
      <c r="A2646" s="83" t="s">
        <v>7363</v>
      </c>
      <c r="B2646" s="83" t="s">
        <v>7333</v>
      </c>
      <c r="C2646" s="83" t="s">
        <v>7363</v>
      </c>
      <c r="D2646" s="83" t="s">
        <v>7403</v>
      </c>
      <c r="E2646" s="84" t="str">
        <f>do_cp_focal_name</f>
        <v>PARA D. TALIP</v>
      </c>
      <c r="F2646" s="83" t="b">
        <v>1</v>
      </c>
      <c r="G2646" s="83"/>
      <c r="H2646" s="83"/>
    </row>
    <row r="2647" spans="1:8" ht="16" thickBot="1">
      <c r="A2647" s="85" t="s">
        <v>7364</v>
      </c>
      <c r="B2647" s="85" t="s">
        <v>7333</v>
      </c>
      <c r="C2647" s="85" t="s">
        <v>7364</v>
      </c>
      <c r="D2647" s="85" t="s">
        <v>7404</v>
      </c>
      <c r="E2647" s="86" t="str">
        <f>do_cp_focal_pos_title</f>
        <v>Education Program Specialist</v>
      </c>
      <c r="F2647" s="85" t="b">
        <v>1</v>
      </c>
      <c r="G2647" s="85"/>
      <c r="H2647" s="85"/>
    </row>
    <row r="2648" spans="1:8">
      <c r="A2648" s="83" t="s">
        <v>7405</v>
      </c>
      <c r="B2648" s="83" t="s">
        <v>7406</v>
      </c>
      <c r="C2648" s="83" t="s">
        <v>7405</v>
      </c>
      <c r="D2648" s="83" t="s">
        <v>7491</v>
      </c>
      <c r="E2648" s="84">
        <f>cp_inc_bullying_physical_lrnrs_m</f>
        <v>0</v>
      </c>
      <c r="F2648" s="83" t="b">
        <v>1</v>
      </c>
      <c r="G2648" s="83"/>
      <c r="H2648" s="83"/>
    </row>
    <row r="2649" spans="1:8">
      <c r="A2649" s="83" t="s">
        <v>7407</v>
      </c>
      <c r="B2649" s="83" t="s">
        <v>7406</v>
      </c>
      <c r="C2649" s="83" t="s">
        <v>7407</v>
      </c>
      <c r="D2649" s="83" t="s">
        <v>7492</v>
      </c>
      <c r="E2649" s="84">
        <f>cp_inc_bullying_physical_lrnrs_f</f>
        <v>0</v>
      </c>
      <c r="F2649" s="83" t="b">
        <v>1</v>
      </c>
      <c r="G2649" s="83"/>
      <c r="H2649" s="83"/>
    </row>
    <row r="2650" spans="1:8">
      <c r="A2650" s="83" t="s">
        <v>7408</v>
      </c>
      <c r="B2650" s="83" t="s">
        <v>7406</v>
      </c>
      <c r="C2650" s="83" t="s">
        <v>7408</v>
      </c>
      <c r="D2650" s="83" t="s">
        <v>7493</v>
      </c>
      <c r="E2650" s="84">
        <f>cp_inc_bullying_cyber_lrnrs_m</f>
        <v>0</v>
      </c>
      <c r="F2650" s="83" t="b">
        <v>1</v>
      </c>
      <c r="G2650" s="83"/>
      <c r="H2650" s="83"/>
    </row>
    <row r="2651" spans="1:8">
      <c r="A2651" s="83" t="s">
        <v>7409</v>
      </c>
      <c r="B2651" s="83" t="s">
        <v>7406</v>
      </c>
      <c r="C2651" s="83" t="s">
        <v>7409</v>
      </c>
      <c r="D2651" s="83" t="s">
        <v>7494</v>
      </c>
      <c r="E2651" s="84">
        <f>cp_inc_bullying_cyber_lrnrs_f</f>
        <v>0</v>
      </c>
      <c r="F2651" s="83" t="b">
        <v>1</v>
      </c>
      <c r="G2651" s="83"/>
      <c r="H2651" s="83"/>
    </row>
    <row r="2652" spans="1:8">
      <c r="A2652" s="83" t="s">
        <v>7410</v>
      </c>
      <c r="B2652" s="83" t="s">
        <v>7406</v>
      </c>
      <c r="C2652" s="83" t="s">
        <v>7410</v>
      </c>
      <c r="D2652" s="83" t="s">
        <v>7495</v>
      </c>
      <c r="E2652" s="84">
        <f>cp_inc_bullying_genderbased_lrnrs_m</f>
        <v>0</v>
      </c>
      <c r="F2652" s="83" t="b">
        <v>1</v>
      </c>
      <c r="G2652" s="83"/>
      <c r="H2652" s="83"/>
    </row>
    <row r="2653" spans="1:8">
      <c r="A2653" s="83" t="s">
        <v>7411</v>
      </c>
      <c r="B2653" s="83" t="s">
        <v>7406</v>
      </c>
      <c r="C2653" s="83" t="s">
        <v>7411</v>
      </c>
      <c r="D2653" s="83" t="s">
        <v>7496</v>
      </c>
      <c r="E2653" s="84">
        <f>cp_inc_bullying_genderbased_lrnrs_f</f>
        <v>0</v>
      </c>
      <c r="F2653" s="83" t="b">
        <v>1</v>
      </c>
      <c r="G2653" s="83"/>
      <c r="H2653" s="83"/>
    </row>
    <row r="2654" spans="1:8">
      <c r="A2654" s="83" t="s">
        <v>7412</v>
      </c>
      <c r="B2654" s="83" t="s">
        <v>7406</v>
      </c>
      <c r="C2654" s="83" t="s">
        <v>7412</v>
      </c>
      <c r="D2654" s="83" t="s">
        <v>7497</v>
      </c>
      <c r="E2654" s="84">
        <f>cp_inc_bullying_social_lrnrs_m</f>
        <v>0</v>
      </c>
      <c r="F2654" s="83" t="b">
        <v>1</v>
      </c>
      <c r="G2654" s="83"/>
      <c r="H2654" s="83"/>
    </row>
    <row r="2655" spans="1:8">
      <c r="A2655" s="83" t="s">
        <v>7413</v>
      </c>
      <c r="B2655" s="83" t="s">
        <v>7406</v>
      </c>
      <c r="C2655" s="83" t="s">
        <v>7413</v>
      </c>
      <c r="D2655" s="83" t="s">
        <v>7498</v>
      </c>
      <c r="E2655" s="84">
        <f>cp_inc_bullying_social_lrnrs_f</f>
        <v>0</v>
      </c>
      <c r="F2655" s="83" t="b">
        <v>1</v>
      </c>
      <c r="G2655" s="83"/>
      <c r="H2655" s="83"/>
    </row>
    <row r="2656" spans="1:8">
      <c r="A2656" s="83" t="s">
        <v>7414</v>
      </c>
      <c r="B2656" s="83" t="s">
        <v>7406</v>
      </c>
      <c r="C2656" s="83" t="s">
        <v>7414</v>
      </c>
      <c r="D2656" s="83" t="s">
        <v>7499</v>
      </c>
      <c r="E2656" s="84">
        <f>cp_inc_bullying_k_m</f>
        <v>0</v>
      </c>
      <c r="F2656" s="83" t="b">
        <v>1</v>
      </c>
      <c r="G2656" s="83"/>
      <c r="H2656" s="83"/>
    </row>
    <row r="2657" spans="1:8">
      <c r="A2657" s="83" t="s">
        <v>7415</v>
      </c>
      <c r="B2657" s="83" t="s">
        <v>7406</v>
      </c>
      <c r="C2657" s="83" t="s">
        <v>7415</v>
      </c>
      <c r="D2657" s="83" t="s">
        <v>7500</v>
      </c>
      <c r="E2657" s="84">
        <f>cp_inc_bullying_k_f</f>
        <v>0</v>
      </c>
      <c r="F2657" s="83" t="b">
        <v>1</v>
      </c>
      <c r="G2657" s="83"/>
      <c r="H2657" s="83"/>
    </row>
    <row r="2658" spans="1:8">
      <c r="A2658" s="83" t="s">
        <v>7416</v>
      </c>
      <c r="B2658" s="83" t="s">
        <v>7406</v>
      </c>
      <c r="C2658" s="83" t="s">
        <v>7416</v>
      </c>
      <c r="D2658" s="83" t="s">
        <v>7501</v>
      </c>
      <c r="E2658" s="84">
        <f>cp_inc_bullying_g1_m</f>
        <v>0</v>
      </c>
      <c r="F2658" s="83" t="b">
        <v>1</v>
      </c>
      <c r="G2658" s="83"/>
      <c r="H2658" s="83"/>
    </row>
    <row r="2659" spans="1:8">
      <c r="A2659" s="83" t="s">
        <v>7417</v>
      </c>
      <c r="B2659" s="83" t="s">
        <v>7406</v>
      </c>
      <c r="C2659" s="83" t="s">
        <v>7417</v>
      </c>
      <c r="D2659" s="83" t="s">
        <v>7502</v>
      </c>
      <c r="E2659" s="84">
        <f>cp_inc_bullying_g1_f</f>
        <v>0</v>
      </c>
      <c r="F2659" s="83" t="b">
        <v>1</v>
      </c>
      <c r="G2659" s="83"/>
      <c r="H2659" s="83"/>
    </row>
    <row r="2660" spans="1:8">
      <c r="A2660" s="83" t="s">
        <v>7418</v>
      </c>
      <c r="B2660" s="83" t="s">
        <v>7406</v>
      </c>
      <c r="C2660" s="83" t="s">
        <v>7418</v>
      </c>
      <c r="D2660" s="83" t="s">
        <v>7503</v>
      </c>
      <c r="E2660" s="84">
        <f>cp_inc_bullying_g2_m</f>
        <v>0</v>
      </c>
      <c r="F2660" s="83" t="b">
        <v>1</v>
      </c>
      <c r="G2660" s="83"/>
      <c r="H2660" s="83"/>
    </row>
    <row r="2661" spans="1:8">
      <c r="A2661" s="83" t="s">
        <v>7419</v>
      </c>
      <c r="B2661" s="83" t="s">
        <v>7406</v>
      </c>
      <c r="C2661" s="83" t="s">
        <v>7419</v>
      </c>
      <c r="D2661" s="83" t="s">
        <v>7504</v>
      </c>
      <c r="E2661" s="84">
        <f>cp_inc_bullying_g2_f</f>
        <v>0</v>
      </c>
      <c r="F2661" s="83" t="b">
        <v>1</v>
      </c>
      <c r="G2661" s="83"/>
      <c r="H2661" s="83"/>
    </row>
    <row r="2662" spans="1:8">
      <c r="A2662" s="83" t="s">
        <v>7420</v>
      </c>
      <c r="B2662" s="83" t="s">
        <v>7406</v>
      </c>
      <c r="C2662" s="83" t="s">
        <v>7420</v>
      </c>
      <c r="D2662" s="83" t="s">
        <v>7505</v>
      </c>
      <c r="E2662" s="84">
        <f>cp_inc_bullying_g3_m</f>
        <v>0</v>
      </c>
      <c r="F2662" s="83" t="b">
        <v>1</v>
      </c>
      <c r="G2662" s="83"/>
      <c r="H2662" s="83"/>
    </row>
    <row r="2663" spans="1:8">
      <c r="A2663" s="83" t="s">
        <v>7421</v>
      </c>
      <c r="B2663" s="83" t="s">
        <v>7406</v>
      </c>
      <c r="C2663" s="83" t="s">
        <v>7421</v>
      </c>
      <c r="D2663" s="83" t="s">
        <v>7506</v>
      </c>
      <c r="E2663" s="84">
        <f>cp_inc_bullying_g3_f</f>
        <v>0</v>
      </c>
      <c r="F2663" s="83" t="b">
        <v>1</v>
      </c>
      <c r="G2663" s="83"/>
      <c r="H2663" s="83"/>
    </row>
    <row r="2664" spans="1:8">
      <c r="A2664" s="83" t="s">
        <v>7422</v>
      </c>
      <c r="B2664" s="83" t="s">
        <v>7406</v>
      </c>
      <c r="C2664" s="83" t="s">
        <v>7422</v>
      </c>
      <c r="D2664" s="83" t="s">
        <v>7507</v>
      </c>
      <c r="E2664" s="84">
        <f>cp_inc_bullying_g4_m</f>
        <v>0</v>
      </c>
      <c r="F2664" s="83" t="b">
        <v>1</v>
      </c>
      <c r="G2664" s="83"/>
      <c r="H2664" s="83"/>
    </row>
    <row r="2665" spans="1:8">
      <c r="A2665" s="83" t="s">
        <v>7423</v>
      </c>
      <c r="B2665" s="83" t="s">
        <v>7406</v>
      </c>
      <c r="C2665" s="83" t="s">
        <v>7423</v>
      </c>
      <c r="D2665" s="83" t="s">
        <v>7508</v>
      </c>
      <c r="E2665" s="84">
        <f>cp_inc_bullying_g4_f</f>
        <v>0</v>
      </c>
      <c r="F2665" s="83" t="b">
        <v>1</v>
      </c>
      <c r="G2665" s="83"/>
      <c r="H2665" s="83"/>
    </row>
    <row r="2666" spans="1:8">
      <c r="A2666" s="83" t="s">
        <v>7424</v>
      </c>
      <c r="B2666" s="83" t="s">
        <v>7406</v>
      </c>
      <c r="C2666" s="83" t="s">
        <v>7424</v>
      </c>
      <c r="D2666" s="83" t="s">
        <v>7509</v>
      </c>
      <c r="E2666" s="84">
        <f>cp_inc_bullying_g5_m</f>
        <v>0</v>
      </c>
      <c r="F2666" s="83" t="b">
        <v>1</v>
      </c>
      <c r="G2666" s="83"/>
      <c r="H2666" s="83"/>
    </row>
    <row r="2667" spans="1:8">
      <c r="A2667" s="83" t="s">
        <v>7425</v>
      </c>
      <c r="B2667" s="83" t="s">
        <v>7406</v>
      </c>
      <c r="C2667" s="83" t="s">
        <v>7425</v>
      </c>
      <c r="D2667" s="83" t="s">
        <v>7510</v>
      </c>
      <c r="E2667" s="84">
        <f>cp_inc_bullying_g5_f</f>
        <v>0</v>
      </c>
      <c r="F2667" s="83" t="b">
        <v>1</v>
      </c>
      <c r="G2667" s="83"/>
      <c r="H2667" s="83"/>
    </row>
    <row r="2668" spans="1:8">
      <c r="A2668" s="83" t="s">
        <v>7426</v>
      </c>
      <c r="B2668" s="83" t="s">
        <v>7406</v>
      </c>
      <c r="C2668" s="83" t="s">
        <v>7426</v>
      </c>
      <c r="D2668" s="83" t="s">
        <v>7511</v>
      </c>
      <c r="E2668" s="84">
        <f>cp_inc_bullying_g6_m</f>
        <v>0</v>
      </c>
      <c r="F2668" s="83" t="b">
        <v>1</v>
      </c>
      <c r="G2668" s="83"/>
      <c r="H2668" s="83"/>
    </row>
    <row r="2669" spans="1:8">
      <c r="A2669" s="83" t="s">
        <v>7427</v>
      </c>
      <c r="B2669" s="83" t="s">
        <v>7406</v>
      </c>
      <c r="C2669" s="83" t="s">
        <v>7427</v>
      </c>
      <c r="D2669" s="83" t="s">
        <v>7512</v>
      </c>
      <c r="E2669" s="84">
        <f>cp_inc_bullying_g6_f</f>
        <v>0</v>
      </c>
      <c r="F2669" s="83" t="b">
        <v>1</v>
      </c>
      <c r="G2669" s="83"/>
      <c r="H2669" s="83"/>
    </row>
    <row r="2670" spans="1:8">
      <c r="A2670" s="83" t="s">
        <v>7428</v>
      </c>
      <c r="B2670" s="83" t="s">
        <v>7406</v>
      </c>
      <c r="C2670" s="83" t="s">
        <v>7428</v>
      </c>
      <c r="D2670" s="83" t="s">
        <v>7513</v>
      </c>
      <c r="E2670" s="84">
        <f>cp_inc_bullying_due_physapp_k</f>
        <v>0</v>
      </c>
      <c r="F2670" s="83" t="b">
        <v>1</v>
      </c>
      <c r="G2670" s="83"/>
      <c r="H2670" s="83"/>
    </row>
    <row r="2671" spans="1:8">
      <c r="A2671" s="83" t="s">
        <v>7429</v>
      </c>
      <c r="B2671" s="83" t="s">
        <v>7406</v>
      </c>
      <c r="C2671" s="83" t="s">
        <v>7429</v>
      </c>
      <c r="D2671" s="83" t="s">
        <v>7514</v>
      </c>
      <c r="E2671" s="84">
        <f>cp_inc_bullying_due_physapp_g1</f>
        <v>0</v>
      </c>
      <c r="F2671" s="83" t="b">
        <v>1</v>
      </c>
      <c r="G2671" s="83"/>
      <c r="H2671" s="83"/>
    </row>
    <row r="2672" spans="1:8">
      <c r="A2672" s="83" t="s">
        <v>7430</v>
      </c>
      <c r="B2672" s="83" t="s">
        <v>7406</v>
      </c>
      <c r="C2672" s="83" t="s">
        <v>7430</v>
      </c>
      <c r="D2672" s="83" t="s">
        <v>7515</v>
      </c>
      <c r="E2672" s="84">
        <f>cp_inc_bullying_due_physapp_g2</f>
        <v>0</v>
      </c>
      <c r="F2672" s="83" t="b">
        <v>1</v>
      </c>
      <c r="G2672" s="83"/>
      <c r="H2672" s="83"/>
    </row>
    <row r="2673" spans="1:8">
      <c r="A2673" s="83" t="s">
        <v>7431</v>
      </c>
      <c r="B2673" s="83" t="s">
        <v>7406</v>
      </c>
      <c r="C2673" s="83" t="s">
        <v>7431</v>
      </c>
      <c r="D2673" s="83" t="s">
        <v>7516</v>
      </c>
      <c r="E2673" s="84">
        <f>cp_inc_bullying_due_physapp_g3</f>
        <v>0</v>
      </c>
      <c r="F2673" s="83" t="b">
        <v>1</v>
      </c>
      <c r="G2673" s="83"/>
      <c r="H2673" s="83"/>
    </row>
    <row r="2674" spans="1:8">
      <c r="A2674" s="83" t="s">
        <v>7432</v>
      </c>
      <c r="B2674" s="83" t="s">
        <v>7406</v>
      </c>
      <c r="C2674" s="83" t="s">
        <v>7432</v>
      </c>
      <c r="D2674" s="83" t="s">
        <v>7517</v>
      </c>
      <c r="E2674" s="84">
        <f>cp_inc_bullying_due_physapp_g4</f>
        <v>0</v>
      </c>
      <c r="F2674" s="83" t="b">
        <v>1</v>
      </c>
      <c r="G2674" s="83"/>
      <c r="H2674" s="83"/>
    </row>
    <row r="2675" spans="1:8">
      <c r="A2675" s="83" t="s">
        <v>7433</v>
      </c>
      <c r="B2675" s="83" t="s">
        <v>7406</v>
      </c>
      <c r="C2675" s="83" t="s">
        <v>7433</v>
      </c>
      <c r="D2675" s="83" t="s">
        <v>7518</v>
      </c>
      <c r="E2675" s="84">
        <f>cp_inc_bullying_due_physapp_g5</f>
        <v>0</v>
      </c>
      <c r="F2675" s="83" t="b">
        <v>1</v>
      </c>
      <c r="G2675" s="83"/>
      <c r="H2675" s="83"/>
    </row>
    <row r="2676" spans="1:8">
      <c r="A2676" s="83" t="s">
        <v>7434</v>
      </c>
      <c r="B2676" s="83" t="s">
        <v>7406</v>
      </c>
      <c r="C2676" s="83" t="s">
        <v>7434</v>
      </c>
      <c r="D2676" s="83" t="s">
        <v>7519</v>
      </c>
      <c r="E2676" s="84">
        <f>cp_inc_bullying_due_physapp_g6</f>
        <v>0</v>
      </c>
      <c r="F2676" s="83" t="b">
        <v>1</v>
      </c>
      <c r="G2676" s="83"/>
      <c r="H2676" s="83"/>
    </row>
    <row r="2677" spans="1:8">
      <c r="A2677" s="83" t="s">
        <v>7435</v>
      </c>
      <c r="B2677" s="83" t="s">
        <v>7406</v>
      </c>
      <c r="C2677" s="83" t="s">
        <v>7435</v>
      </c>
      <c r="D2677" s="83" t="s">
        <v>7520</v>
      </c>
      <c r="E2677" s="84">
        <f>cp_inc_bullying_due_statinlife_k</f>
        <v>0</v>
      </c>
      <c r="F2677" s="83" t="b">
        <v>1</v>
      </c>
      <c r="G2677" s="83"/>
      <c r="H2677" s="83"/>
    </row>
    <row r="2678" spans="1:8">
      <c r="A2678" s="83" t="s">
        <v>7436</v>
      </c>
      <c r="B2678" s="83" t="s">
        <v>7406</v>
      </c>
      <c r="C2678" s="83" t="s">
        <v>7436</v>
      </c>
      <c r="D2678" s="83" t="s">
        <v>7521</v>
      </c>
      <c r="E2678" s="84">
        <f>cp_inc_bullying_due_statinlife_g1</f>
        <v>0</v>
      </c>
      <c r="F2678" s="83" t="b">
        <v>1</v>
      </c>
      <c r="G2678" s="83"/>
      <c r="H2678" s="83"/>
    </row>
    <row r="2679" spans="1:8">
      <c r="A2679" s="83" t="s">
        <v>7437</v>
      </c>
      <c r="B2679" s="83" t="s">
        <v>7406</v>
      </c>
      <c r="C2679" s="83" t="s">
        <v>7437</v>
      </c>
      <c r="D2679" s="83" t="s">
        <v>7522</v>
      </c>
      <c r="E2679" s="84">
        <f>cp_inc_bullying_due_statinlife_g2</f>
        <v>0</v>
      </c>
      <c r="F2679" s="83" t="b">
        <v>1</v>
      </c>
      <c r="G2679" s="83"/>
      <c r="H2679" s="83"/>
    </row>
    <row r="2680" spans="1:8">
      <c r="A2680" s="83" t="s">
        <v>7438</v>
      </c>
      <c r="B2680" s="83" t="s">
        <v>7406</v>
      </c>
      <c r="C2680" s="83" t="s">
        <v>7438</v>
      </c>
      <c r="D2680" s="83" t="s">
        <v>7523</v>
      </c>
      <c r="E2680" s="84">
        <f>cp_inc_bullying_due_statinlife_g3</f>
        <v>0</v>
      </c>
      <c r="F2680" s="83" t="b">
        <v>1</v>
      </c>
      <c r="G2680" s="83"/>
      <c r="H2680" s="83"/>
    </row>
    <row r="2681" spans="1:8">
      <c r="A2681" s="83" t="s">
        <v>7439</v>
      </c>
      <c r="B2681" s="83" t="s">
        <v>7406</v>
      </c>
      <c r="C2681" s="83" t="s">
        <v>7439</v>
      </c>
      <c r="D2681" s="83" t="s">
        <v>7524</v>
      </c>
      <c r="E2681" s="84">
        <f>cp_inc_bullying_due_statinlife_g4</f>
        <v>0</v>
      </c>
      <c r="F2681" s="83" t="b">
        <v>1</v>
      </c>
      <c r="G2681" s="83"/>
      <c r="H2681" s="83"/>
    </row>
    <row r="2682" spans="1:8">
      <c r="A2682" s="83" t="s">
        <v>7440</v>
      </c>
      <c r="B2682" s="83" t="s">
        <v>7406</v>
      </c>
      <c r="C2682" s="83" t="s">
        <v>7440</v>
      </c>
      <c r="D2682" s="83" t="s">
        <v>7525</v>
      </c>
      <c r="E2682" s="84">
        <f>cp_inc_bullying_due_statinlife_g5</f>
        <v>0</v>
      </c>
      <c r="F2682" s="83" t="b">
        <v>1</v>
      </c>
      <c r="G2682" s="83"/>
      <c r="H2682" s="83"/>
    </row>
    <row r="2683" spans="1:8">
      <c r="A2683" s="83" t="s">
        <v>7441</v>
      </c>
      <c r="B2683" s="83" t="s">
        <v>7406</v>
      </c>
      <c r="C2683" s="83" t="s">
        <v>7441</v>
      </c>
      <c r="D2683" s="83" t="s">
        <v>7526</v>
      </c>
      <c r="E2683" s="84">
        <f>cp_inc_bullying_due_statinlife_g6</f>
        <v>0</v>
      </c>
      <c r="F2683" s="83" t="b">
        <v>1</v>
      </c>
      <c r="G2683" s="83"/>
      <c r="H2683" s="83"/>
    </row>
    <row r="2684" spans="1:8">
      <c r="A2684" s="83" t="s">
        <v>7442</v>
      </c>
      <c r="B2684" s="83" t="s">
        <v>7406</v>
      </c>
      <c r="C2684" s="83" t="s">
        <v>7442</v>
      </c>
      <c r="D2684" s="83" t="s">
        <v>7527</v>
      </c>
      <c r="E2684" s="84">
        <f>cp_inc_bullying_due_skincolor_k</f>
        <v>0</v>
      </c>
      <c r="F2684" s="83" t="b">
        <v>1</v>
      </c>
      <c r="G2684" s="83"/>
      <c r="H2684" s="83"/>
    </row>
    <row r="2685" spans="1:8">
      <c r="A2685" s="83" t="s">
        <v>7443</v>
      </c>
      <c r="B2685" s="83" t="s">
        <v>7406</v>
      </c>
      <c r="C2685" s="83" t="s">
        <v>7443</v>
      </c>
      <c r="D2685" s="83" t="s">
        <v>7528</v>
      </c>
      <c r="E2685" s="84">
        <f>cp_inc_bullying_due_skincolor_g1</f>
        <v>0</v>
      </c>
      <c r="F2685" s="83" t="b">
        <v>1</v>
      </c>
      <c r="G2685" s="83"/>
      <c r="H2685" s="83"/>
    </row>
    <row r="2686" spans="1:8">
      <c r="A2686" s="83" t="s">
        <v>7444</v>
      </c>
      <c r="B2686" s="83" t="s">
        <v>7406</v>
      </c>
      <c r="C2686" s="83" t="s">
        <v>7444</v>
      </c>
      <c r="D2686" s="83" t="s">
        <v>7529</v>
      </c>
      <c r="E2686" s="84">
        <f>cp_inc_bullying_due_skincolor_g2</f>
        <v>0</v>
      </c>
      <c r="F2686" s="83" t="b">
        <v>1</v>
      </c>
      <c r="G2686" s="83"/>
      <c r="H2686" s="83"/>
    </row>
    <row r="2687" spans="1:8">
      <c r="A2687" s="83" t="s">
        <v>7445</v>
      </c>
      <c r="B2687" s="83" t="s">
        <v>7406</v>
      </c>
      <c r="C2687" s="83" t="s">
        <v>7445</v>
      </c>
      <c r="D2687" s="83" t="s">
        <v>7530</v>
      </c>
      <c r="E2687" s="84">
        <f>cp_inc_bullying_due_skincolor_g3</f>
        <v>0</v>
      </c>
      <c r="F2687" s="83" t="b">
        <v>1</v>
      </c>
      <c r="G2687" s="83"/>
      <c r="H2687" s="83"/>
    </row>
    <row r="2688" spans="1:8">
      <c r="A2688" s="83" t="s">
        <v>7446</v>
      </c>
      <c r="B2688" s="83" t="s">
        <v>7406</v>
      </c>
      <c r="C2688" s="83" t="s">
        <v>7446</v>
      </c>
      <c r="D2688" s="83" t="s">
        <v>7531</v>
      </c>
      <c r="E2688" s="84">
        <f>cp_inc_bullying_due_skincolor_g4</f>
        <v>0</v>
      </c>
      <c r="F2688" s="83" t="b">
        <v>1</v>
      </c>
      <c r="G2688" s="83"/>
      <c r="H2688" s="83"/>
    </row>
    <row r="2689" spans="1:8">
      <c r="A2689" s="83" t="s">
        <v>7447</v>
      </c>
      <c r="B2689" s="83" t="s">
        <v>7406</v>
      </c>
      <c r="C2689" s="83" t="s">
        <v>7447</v>
      </c>
      <c r="D2689" s="83" t="s">
        <v>7532</v>
      </c>
      <c r="E2689" s="84">
        <f>cp_inc_bullying_due_skincolor_g5</f>
        <v>0</v>
      </c>
      <c r="F2689" s="83" t="b">
        <v>1</v>
      </c>
      <c r="G2689" s="83"/>
      <c r="H2689" s="83"/>
    </row>
    <row r="2690" spans="1:8">
      <c r="A2690" s="83" t="s">
        <v>7448</v>
      </c>
      <c r="B2690" s="83" t="s">
        <v>7406</v>
      </c>
      <c r="C2690" s="83" t="s">
        <v>7448</v>
      </c>
      <c r="D2690" s="83" t="s">
        <v>7533</v>
      </c>
      <c r="E2690" s="84">
        <f>cp_inc_bullying_due_skincolor_g6</f>
        <v>0</v>
      </c>
      <c r="F2690" s="83" t="b">
        <v>1</v>
      </c>
      <c r="G2690" s="83"/>
      <c r="H2690" s="83"/>
    </row>
    <row r="2691" spans="1:8">
      <c r="A2691" s="83" t="s">
        <v>7449</v>
      </c>
      <c r="B2691" s="83" t="s">
        <v>7406</v>
      </c>
      <c r="C2691" s="83" t="s">
        <v>7449</v>
      </c>
      <c r="D2691" s="83" t="s">
        <v>7534</v>
      </c>
      <c r="E2691" s="84">
        <f>cp_inc_bullying_due_age_k</f>
        <v>0</v>
      </c>
      <c r="F2691" s="83" t="b">
        <v>1</v>
      </c>
      <c r="G2691" s="83"/>
      <c r="H2691" s="83"/>
    </row>
    <row r="2692" spans="1:8">
      <c r="A2692" s="83" t="s">
        <v>7450</v>
      </c>
      <c r="B2692" s="83" t="s">
        <v>7406</v>
      </c>
      <c r="C2692" s="83" t="s">
        <v>7450</v>
      </c>
      <c r="D2692" s="83" t="s">
        <v>7535</v>
      </c>
      <c r="E2692" s="84">
        <f>cp_inc_bullying_due_age_g1</f>
        <v>0</v>
      </c>
      <c r="F2692" s="83" t="b">
        <v>1</v>
      </c>
      <c r="G2692" s="83"/>
      <c r="H2692" s="83"/>
    </row>
    <row r="2693" spans="1:8">
      <c r="A2693" s="83" t="s">
        <v>7451</v>
      </c>
      <c r="B2693" s="83" t="s">
        <v>7406</v>
      </c>
      <c r="C2693" s="83" t="s">
        <v>7451</v>
      </c>
      <c r="D2693" s="83" t="s">
        <v>7536</v>
      </c>
      <c r="E2693" s="84">
        <f>cp_inc_bullying_due_age_g2</f>
        <v>0</v>
      </c>
      <c r="F2693" s="83" t="b">
        <v>1</v>
      </c>
      <c r="G2693" s="83"/>
      <c r="H2693" s="83"/>
    </row>
    <row r="2694" spans="1:8">
      <c r="A2694" s="83" t="s">
        <v>7452</v>
      </c>
      <c r="B2694" s="83" t="s">
        <v>7406</v>
      </c>
      <c r="C2694" s="83" t="s">
        <v>7452</v>
      </c>
      <c r="D2694" s="83" t="s">
        <v>7537</v>
      </c>
      <c r="E2694" s="84">
        <f>cp_inc_bullying_due_age_g3</f>
        <v>0</v>
      </c>
      <c r="F2694" s="83" t="b">
        <v>1</v>
      </c>
      <c r="G2694" s="83"/>
      <c r="H2694" s="83"/>
    </row>
    <row r="2695" spans="1:8">
      <c r="A2695" s="83" t="s">
        <v>7453</v>
      </c>
      <c r="B2695" s="83" t="s">
        <v>7406</v>
      </c>
      <c r="C2695" s="83" t="s">
        <v>7453</v>
      </c>
      <c r="D2695" s="83" t="s">
        <v>7538</v>
      </c>
      <c r="E2695" s="84">
        <f>cp_inc_bullying_due_age_g4</f>
        <v>0</v>
      </c>
      <c r="F2695" s="83" t="b">
        <v>1</v>
      </c>
      <c r="G2695" s="83"/>
      <c r="H2695" s="83"/>
    </row>
    <row r="2696" spans="1:8">
      <c r="A2696" s="83" t="s">
        <v>7454</v>
      </c>
      <c r="B2696" s="83" t="s">
        <v>7406</v>
      </c>
      <c r="C2696" s="83" t="s">
        <v>7454</v>
      </c>
      <c r="D2696" s="83" t="s">
        <v>7539</v>
      </c>
      <c r="E2696" s="84">
        <f>cp_inc_bullying_due_age_g5</f>
        <v>0</v>
      </c>
      <c r="F2696" s="83" t="b">
        <v>1</v>
      </c>
      <c r="G2696" s="83"/>
      <c r="H2696" s="83"/>
    </row>
    <row r="2697" spans="1:8">
      <c r="A2697" s="83" t="s">
        <v>7455</v>
      </c>
      <c r="B2697" s="83" t="s">
        <v>7406</v>
      </c>
      <c r="C2697" s="83" t="s">
        <v>7455</v>
      </c>
      <c r="D2697" s="83" t="s">
        <v>7540</v>
      </c>
      <c r="E2697" s="84">
        <f>cp_inc_bullying_due_age_g6</f>
        <v>0</v>
      </c>
      <c r="F2697" s="83" t="b">
        <v>1</v>
      </c>
      <c r="G2697" s="83"/>
      <c r="H2697" s="83"/>
    </row>
    <row r="2698" spans="1:8">
      <c r="A2698" s="83" t="s">
        <v>7456</v>
      </c>
      <c r="B2698" s="83" t="s">
        <v>7406</v>
      </c>
      <c r="C2698" s="83" t="s">
        <v>7456</v>
      </c>
      <c r="D2698" s="83" t="s">
        <v>7541</v>
      </c>
      <c r="E2698" s="84">
        <f>cp_inc_bullying_due_gender_k</f>
        <v>0</v>
      </c>
      <c r="F2698" s="83" t="b">
        <v>1</v>
      </c>
      <c r="G2698" s="83"/>
      <c r="H2698" s="83"/>
    </row>
    <row r="2699" spans="1:8">
      <c r="A2699" s="83" t="s">
        <v>7457</v>
      </c>
      <c r="B2699" s="83" t="s">
        <v>7406</v>
      </c>
      <c r="C2699" s="83" t="s">
        <v>7457</v>
      </c>
      <c r="D2699" s="83" t="s">
        <v>7542</v>
      </c>
      <c r="E2699" s="84">
        <f>cp_inc_bullying_due_gender_g1</f>
        <v>0</v>
      </c>
      <c r="F2699" s="83" t="b">
        <v>1</v>
      </c>
      <c r="G2699" s="83"/>
      <c r="H2699" s="83"/>
    </row>
    <row r="2700" spans="1:8">
      <c r="A2700" s="83" t="s">
        <v>7458</v>
      </c>
      <c r="B2700" s="83" t="s">
        <v>7406</v>
      </c>
      <c r="C2700" s="83" t="s">
        <v>7458</v>
      </c>
      <c r="D2700" s="83" t="s">
        <v>7543</v>
      </c>
      <c r="E2700" s="84">
        <f>cp_inc_bullying_due_gender_g2</f>
        <v>0</v>
      </c>
      <c r="F2700" s="83" t="b">
        <v>1</v>
      </c>
      <c r="G2700" s="83"/>
      <c r="H2700" s="83"/>
    </row>
    <row r="2701" spans="1:8">
      <c r="A2701" s="83" t="s">
        <v>7459</v>
      </c>
      <c r="B2701" s="83" t="s">
        <v>7406</v>
      </c>
      <c r="C2701" s="83" t="s">
        <v>7459</v>
      </c>
      <c r="D2701" s="83" t="s">
        <v>7544</v>
      </c>
      <c r="E2701" s="84">
        <f>cp_inc_bullying_due_gender_g3</f>
        <v>0</v>
      </c>
      <c r="F2701" s="83" t="b">
        <v>1</v>
      </c>
      <c r="G2701" s="83"/>
      <c r="H2701" s="83"/>
    </row>
    <row r="2702" spans="1:8">
      <c r="A2702" s="83" t="s">
        <v>7460</v>
      </c>
      <c r="B2702" s="83" t="s">
        <v>7406</v>
      </c>
      <c r="C2702" s="83" t="s">
        <v>7460</v>
      </c>
      <c r="D2702" s="83" t="s">
        <v>7545</v>
      </c>
      <c r="E2702" s="84">
        <f>cp_inc_bullying_due_gender_g4</f>
        <v>0</v>
      </c>
      <c r="F2702" s="83" t="b">
        <v>1</v>
      </c>
      <c r="G2702" s="83"/>
      <c r="H2702" s="83"/>
    </row>
    <row r="2703" spans="1:8">
      <c r="A2703" s="83" t="s">
        <v>7461</v>
      </c>
      <c r="B2703" s="83" t="s">
        <v>7406</v>
      </c>
      <c r="C2703" s="83" t="s">
        <v>7461</v>
      </c>
      <c r="D2703" s="83" t="s">
        <v>7546</v>
      </c>
      <c r="E2703" s="84">
        <f>cp_inc_bullying_due_gender_g5</f>
        <v>0</v>
      </c>
      <c r="F2703" s="83" t="b">
        <v>1</v>
      </c>
      <c r="G2703" s="83"/>
      <c r="H2703" s="83"/>
    </row>
    <row r="2704" spans="1:8">
      <c r="A2704" s="83" t="s">
        <v>7462</v>
      </c>
      <c r="B2704" s="83" t="s">
        <v>7406</v>
      </c>
      <c r="C2704" s="83" t="s">
        <v>7462</v>
      </c>
      <c r="D2704" s="83" t="s">
        <v>7547</v>
      </c>
      <c r="E2704" s="84">
        <f>cp_inc_bullying_due_gender_g6</f>
        <v>0</v>
      </c>
      <c r="F2704" s="83" t="b">
        <v>1</v>
      </c>
      <c r="G2704" s="83"/>
      <c r="H2704" s="83"/>
    </row>
    <row r="2705" spans="1:8">
      <c r="A2705" s="83" t="s">
        <v>7463</v>
      </c>
      <c r="B2705" s="83" t="s">
        <v>7406</v>
      </c>
      <c r="C2705" s="83" t="s">
        <v>7463</v>
      </c>
      <c r="D2705" s="83" t="s">
        <v>7548</v>
      </c>
      <c r="E2705" s="84">
        <f>cp_inc_bullying_due_race_k</f>
        <v>0</v>
      </c>
      <c r="F2705" s="83" t="b">
        <v>1</v>
      </c>
      <c r="G2705" s="83"/>
      <c r="H2705" s="83"/>
    </row>
    <row r="2706" spans="1:8">
      <c r="A2706" s="83" t="s">
        <v>7464</v>
      </c>
      <c r="B2706" s="83" t="s">
        <v>7406</v>
      </c>
      <c r="C2706" s="83" t="s">
        <v>7464</v>
      </c>
      <c r="D2706" s="83" t="s">
        <v>7549</v>
      </c>
      <c r="E2706" s="84">
        <f>cp_inc_bullying_due_race_g1</f>
        <v>0</v>
      </c>
      <c r="F2706" s="83" t="b">
        <v>1</v>
      </c>
      <c r="G2706" s="83"/>
      <c r="H2706" s="83"/>
    </row>
    <row r="2707" spans="1:8">
      <c r="A2707" s="83" t="s">
        <v>7465</v>
      </c>
      <c r="B2707" s="83" t="s">
        <v>7406</v>
      </c>
      <c r="C2707" s="83" t="s">
        <v>7465</v>
      </c>
      <c r="D2707" s="83" t="s">
        <v>7550</v>
      </c>
      <c r="E2707" s="84">
        <f>cp_inc_bullying_due_race_g2</f>
        <v>0</v>
      </c>
      <c r="F2707" s="83" t="b">
        <v>1</v>
      </c>
      <c r="G2707" s="83"/>
      <c r="H2707" s="83"/>
    </row>
    <row r="2708" spans="1:8">
      <c r="A2708" s="83" t="s">
        <v>7466</v>
      </c>
      <c r="B2708" s="83" t="s">
        <v>7406</v>
      </c>
      <c r="C2708" s="83" t="s">
        <v>7466</v>
      </c>
      <c r="D2708" s="83" t="s">
        <v>7551</v>
      </c>
      <c r="E2708" s="84">
        <f>cp_inc_bullying_due_race_g3</f>
        <v>0</v>
      </c>
      <c r="F2708" s="83" t="b">
        <v>1</v>
      </c>
      <c r="G2708" s="83"/>
      <c r="H2708" s="83"/>
    </row>
    <row r="2709" spans="1:8">
      <c r="A2709" s="83" t="s">
        <v>7467</v>
      </c>
      <c r="B2709" s="83" t="s">
        <v>7406</v>
      </c>
      <c r="C2709" s="83" t="s">
        <v>7467</v>
      </c>
      <c r="D2709" s="83" t="s">
        <v>7552</v>
      </c>
      <c r="E2709" s="84">
        <f>cp_inc_bullying_due_race_g4</f>
        <v>0</v>
      </c>
      <c r="F2709" s="83" t="b">
        <v>1</v>
      </c>
      <c r="G2709" s="83"/>
      <c r="H2709" s="83"/>
    </row>
    <row r="2710" spans="1:8">
      <c r="A2710" s="83" t="s">
        <v>7468</v>
      </c>
      <c r="B2710" s="83" t="s">
        <v>7406</v>
      </c>
      <c r="C2710" s="83" t="s">
        <v>7468</v>
      </c>
      <c r="D2710" s="83" t="s">
        <v>7553</v>
      </c>
      <c r="E2710" s="84">
        <f>cp_inc_bullying_due_race_g5</f>
        <v>0</v>
      </c>
      <c r="F2710" s="83" t="b">
        <v>1</v>
      </c>
      <c r="G2710" s="83"/>
      <c r="H2710" s="83"/>
    </row>
    <row r="2711" spans="1:8">
      <c r="A2711" s="83" t="s">
        <v>7469</v>
      </c>
      <c r="B2711" s="83" t="s">
        <v>7406</v>
      </c>
      <c r="C2711" s="83" t="s">
        <v>7469</v>
      </c>
      <c r="D2711" s="83" t="s">
        <v>7554</v>
      </c>
      <c r="E2711" s="84">
        <f>cp_inc_bullying_due_race_g6</f>
        <v>0</v>
      </c>
      <c r="F2711" s="83" t="b">
        <v>1</v>
      </c>
      <c r="G2711" s="83"/>
      <c r="H2711" s="83"/>
    </row>
    <row r="2712" spans="1:8">
      <c r="A2712" s="83" t="s">
        <v>7470</v>
      </c>
      <c r="B2712" s="83" t="s">
        <v>7406</v>
      </c>
      <c r="C2712" s="83" t="s">
        <v>7470</v>
      </c>
      <c r="D2712" s="83" t="s">
        <v>7555</v>
      </c>
      <c r="E2712" s="84">
        <f>cp_inc_bullying_due_religion_k</f>
        <v>0</v>
      </c>
      <c r="F2712" s="83" t="b">
        <v>1</v>
      </c>
      <c r="G2712" s="83"/>
      <c r="H2712" s="83"/>
    </row>
    <row r="2713" spans="1:8">
      <c r="A2713" s="83" t="s">
        <v>7471</v>
      </c>
      <c r="B2713" s="83" t="s">
        <v>7406</v>
      </c>
      <c r="C2713" s="83" t="s">
        <v>7471</v>
      </c>
      <c r="D2713" s="83" t="s">
        <v>7556</v>
      </c>
      <c r="E2713" s="84">
        <f>cp_inc_bullying_due_religion_g1</f>
        <v>0</v>
      </c>
      <c r="F2713" s="83" t="b">
        <v>1</v>
      </c>
      <c r="G2713" s="83"/>
      <c r="H2713" s="83"/>
    </row>
    <row r="2714" spans="1:8">
      <c r="A2714" s="83" t="s">
        <v>7472</v>
      </c>
      <c r="B2714" s="83" t="s">
        <v>7406</v>
      </c>
      <c r="C2714" s="83" t="s">
        <v>7472</v>
      </c>
      <c r="D2714" s="83" t="s">
        <v>7557</v>
      </c>
      <c r="E2714" s="84">
        <f>cp_inc_bullying_due_religion_g2</f>
        <v>0</v>
      </c>
      <c r="F2714" s="83" t="b">
        <v>1</v>
      </c>
      <c r="G2714" s="83"/>
      <c r="H2714" s="83"/>
    </row>
    <row r="2715" spans="1:8">
      <c r="A2715" s="83" t="s">
        <v>7473</v>
      </c>
      <c r="B2715" s="83" t="s">
        <v>7406</v>
      </c>
      <c r="C2715" s="83" t="s">
        <v>7473</v>
      </c>
      <c r="D2715" s="83" t="s">
        <v>7558</v>
      </c>
      <c r="E2715" s="84">
        <f>cp_inc_bullying_due_religion_g3</f>
        <v>0</v>
      </c>
      <c r="F2715" s="83" t="b">
        <v>1</v>
      </c>
      <c r="G2715" s="83"/>
      <c r="H2715" s="83"/>
    </row>
    <row r="2716" spans="1:8">
      <c r="A2716" s="83" t="s">
        <v>7474</v>
      </c>
      <c r="B2716" s="83" t="s">
        <v>7406</v>
      </c>
      <c r="C2716" s="83" t="s">
        <v>7474</v>
      </c>
      <c r="D2716" s="83" t="s">
        <v>7559</v>
      </c>
      <c r="E2716" s="84">
        <f>cp_inc_bullying_due_religion_g4</f>
        <v>0</v>
      </c>
      <c r="F2716" s="83" t="b">
        <v>1</v>
      </c>
      <c r="G2716" s="83"/>
      <c r="H2716" s="83"/>
    </row>
    <row r="2717" spans="1:8">
      <c r="A2717" s="83" t="s">
        <v>7475</v>
      </c>
      <c r="B2717" s="83" t="s">
        <v>7406</v>
      </c>
      <c r="C2717" s="83" t="s">
        <v>7475</v>
      </c>
      <c r="D2717" s="83" t="s">
        <v>7560</v>
      </c>
      <c r="E2717" s="84">
        <f>cp_inc_bullying_due_religion_g5</f>
        <v>0</v>
      </c>
      <c r="F2717" s="83" t="b">
        <v>1</v>
      </c>
      <c r="G2717" s="83"/>
      <c r="H2717" s="83"/>
    </row>
    <row r="2718" spans="1:8">
      <c r="A2718" s="83" t="s">
        <v>7476</v>
      </c>
      <c r="B2718" s="83" t="s">
        <v>7406</v>
      </c>
      <c r="C2718" s="83" t="s">
        <v>7476</v>
      </c>
      <c r="D2718" s="83" t="s">
        <v>7561</v>
      </c>
      <c r="E2718" s="84">
        <f>cp_inc_bullying_due_religion_g6</f>
        <v>0</v>
      </c>
      <c r="F2718" s="83" t="b">
        <v>1</v>
      </c>
      <c r="G2718" s="83"/>
      <c r="H2718" s="83"/>
    </row>
    <row r="2719" spans="1:8">
      <c r="A2719" s="83" t="s">
        <v>7477</v>
      </c>
      <c r="B2719" s="83" t="s">
        <v>7406</v>
      </c>
      <c r="C2719" s="83" t="s">
        <v>7477</v>
      </c>
      <c r="D2719" s="83" t="s">
        <v>7562</v>
      </c>
      <c r="E2719" s="84">
        <f>cp_inc_bullying_due_disability_k</f>
        <v>0</v>
      </c>
      <c r="F2719" s="83" t="b">
        <v>1</v>
      </c>
      <c r="G2719" s="83"/>
      <c r="H2719" s="83"/>
    </row>
    <row r="2720" spans="1:8">
      <c r="A2720" s="83" t="s">
        <v>7478</v>
      </c>
      <c r="B2720" s="83" t="s">
        <v>7406</v>
      </c>
      <c r="C2720" s="83" t="s">
        <v>7478</v>
      </c>
      <c r="D2720" s="83" t="s">
        <v>7563</v>
      </c>
      <c r="E2720" s="84">
        <f>cp_inc_bullying_due_disability_g1</f>
        <v>0</v>
      </c>
      <c r="F2720" s="83" t="b">
        <v>1</v>
      </c>
      <c r="G2720" s="83"/>
      <c r="H2720" s="83"/>
    </row>
    <row r="2721" spans="1:8">
      <c r="A2721" s="83" t="s">
        <v>7479</v>
      </c>
      <c r="B2721" s="83" t="s">
        <v>7406</v>
      </c>
      <c r="C2721" s="83" t="s">
        <v>7479</v>
      </c>
      <c r="D2721" s="83" t="s">
        <v>7564</v>
      </c>
      <c r="E2721" s="84">
        <f>cp_inc_bullying_due_disability_g2</f>
        <v>0</v>
      </c>
      <c r="F2721" s="83" t="b">
        <v>1</v>
      </c>
      <c r="G2721" s="83"/>
      <c r="H2721" s="83"/>
    </row>
    <row r="2722" spans="1:8">
      <c r="A2722" s="83" t="s">
        <v>7480</v>
      </c>
      <c r="B2722" s="83" t="s">
        <v>7406</v>
      </c>
      <c r="C2722" s="83" t="s">
        <v>7480</v>
      </c>
      <c r="D2722" s="83" t="s">
        <v>7565</v>
      </c>
      <c r="E2722" s="84">
        <f>cp_inc_bullying_due_disability_g3</f>
        <v>0</v>
      </c>
      <c r="F2722" s="83" t="b">
        <v>1</v>
      </c>
      <c r="G2722" s="83"/>
      <c r="H2722" s="83"/>
    </row>
    <row r="2723" spans="1:8">
      <c r="A2723" s="83" t="s">
        <v>7481</v>
      </c>
      <c r="B2723" s="83" t="s">
        <v>7406</v>
      </c>
      <c r="C2723" s="83" t="s">
        <v>7481</v>
      </c>
      <c r="D2723" s="83" t="s">
        <v>7566</v>
      </c>
      <c r="E2723" s="84">
        <f>cp_inc_bullying_due_disability_g4</f>
        <v>0</v>
      </c>
      <c r="F2723" s="83" t="b">
        <v>1</v>
      </c>
      <c r="G2723" s="83"/>
      <c r="H2723" s="83"/>
    </row>
    <row r="2724" spans="1:8">
      <c r="A2724" s="83" t="s">
        <v>7482</v>
      </c>
      <c r="B2724" s="83" t="s">
        <v>7406</v>
      </c>
      <c r="C2724" s="83" t="s">
        <v>7482</v>
      </c>
      <c r="D2724" s="83" t="s">
        <v>7567</v>
      </c>
      <c r="E2724" s="84">
        <f>cp_inc_bullying_due_disability_g5</f>
        <v>0</v>
      </c>
      <c r="F2724" s="83" t="b">
        <v>1</v>
      </c>
      <c r="G2724" s="83"/>
      <c r="H2724" s="83"/>
    </row>
    <row r="2725" spans="1:8">
      <c r="A2725" s="83" t="s">
        <v>7483</v>
      </c>
      <c r="B2725" s="83" t="s">
        <v>7406</v>
      </c>
      <c r="C2725" s="83" t="s">
        <v>7483</v>
      </c>
      <c r="D2725" s="83" t="s">
        <v>7568</v>
      </c>
      <c r="E2725" s="84">
        <f>cp_inc_bullying_due_disability_g6</f>
        <v>0</v>
      </c>
      <c r="F2725" s="83" t="b">
        <v>1</v>
      </c>
      <c r="G2725" s="83"/>
      <c r="H2725" s="83"/>
    </row>
    <row r="2726" spans="1:8">
      <c r="A2726" s="83" t="s">
        <v>7484</v>
      </c>
      <c r="B2726" s="83" t="s">
        <v>7406</v>
      </c>
      <c r="C2726" s="83" t="s">
        <v>7484</v>
      </c>
      <c r="D2726" s="83" t="s">
        <v>7569</v>
      </c>
      <c r="E2726" s="84">
        <f>cp_inc_bullying_due_others_k</f>
        <v>0</v>
      </c>
      <c r="F2726" s="83" t="b">
        <v>1</v>
      </c>
      <c r="G2726" s="83"/>
      <c r="H2726" s="83"/>
    </row>
    <row r="2727" spans="1:8">
      <c r="A2727" s="83" t="s">
        <v>7485</v>
      </c>
      <c r="B2727" s="83" t="s">
        <v>7406</v>
      </c>
      <c r="C2727" s="83" t="s">
        <v>7485</v>
      </c>
      <c r="D2727" s="83" t="s">
        <v>7570</v>
      </c>
      <c r="E2727" s="84">
        <f>cp_inc_bullying_due_others_g1</f>
        <v>0</v>
      </c>
      <c r="F2727" s="83" t="b">
        <v>1</v>
      </c>
      <c r="G2727" s="83"/>
      <c r="H2727" s="83"/>
    </row>
    <row r="2728" spans="1:8">
      <c r="A2728" s="83" t="s">
        <v>7486</v>
      </c>
      <c r="B2728" s="83" t="s">
        <v>7406</v>
      </c>
      <c r="C2728" s="83" t="s">
        <v>7486</v>
      </c>
      <c r="D2728" s="83" t="s">
        <v>7571</v>
      </c>
      <c r="E2728" s="84">
        <f>cp_inc_bullying_due_others_g2</f>
        <v>0</v>
      </c>
      <c r="F2728" s="83" t="b">
        <v>1</v>
      </c>
      <c r="G2728" s="83"/>
      <c r="H2728" s="83"/>
    </row>
    <row r="2729" spans="1:8">
      <c r="A2729" s="83" t="s">
        <v>7487</v>
      </c>
      <c r="B2729" s="83" t="s">
        <v>7406</v>
      </c>
      <c r="C2729" s="83" t="s">
        <v>7487</v>
      </c>
      <c r="D2729" s="83" t="s">
        <v>7572</v>
      </c>
      <c r="E2729" s="84">
        <f>cp_inc_bullying_due_others_g3</f>
        <v>0</v>
      </c>
      <c r="F2729" s="83" t="b">
        <v>1</v>
      </c>
      <c r="G2729" s="83"/>
      <c r="H2729" s="83"/>
    </row>
    <row r="2730" spans="1:8">
      <c r="A2730" s="83" t="s">
        <v>7488</v>
      </c>
      <c r="B2730" s="83" t="s">
        <v>7406</v>
      </c>
      <c r="C2730" s="83" t="s">
        <v>7488</v>
      </c>
      <c r="D2730" s="83" t="s">
        <v>7573</v>
      </c>
      <c r="E2730" s="84">
        <f>cp_inc_bullying_due_others_g4</f>
        <v>0</v>
      </c>
      <c r="F2730" s="83" t="b">
        <v>1</v>
      </c>
      <c r="G2730" s="83"/>
      <c r="H2730" s="83"/>
    </row>
    <row r="2731" spans="1:8">
      <c r="A2731" s="83" t="s">
        <v>7489</v>
      </c>
      <c r="B2731" s="83" t="s">
        <v>7406</v>
      </c>
      <c r="C2731" s="83" t="s">
        <v>7489</v>
      </c>
      <c r="D2731" s="83" t="s">
        <v>7574</v>
      </c>
      <c r="E2731" s="84">
        <f>cp_inc_bullying_due_others_g5</f>
        <v>0</v>
      </c>
      <c r="F2731" s="83" t="b">
        <v>1</v>
      </c>
      <c r="G2731" s="83"/>
      <c r="H2731" s="83"/>
    </row>
    <row r="2732" spans="1:8" s="112" customFormat="1" ht="16" thickBot="1">
      <c r="A2732" s="85" t="s">
        <v>7490</v>
      </c>
      <c r="B2732" s="85" t="s">
        <v>7406</v>
      </c>
      <c r="C2732" s="85" t="s">
        <v>7490</v>
      </c>
      <c r="D2732" s="85" t="s">
        <v>7575</v>
      </c>
      <c r="E2732" s="86">
        <f>cp_inc_bullying_due_others_g6</f>
        <v>0</v>
      </c>
      <c r="F2732" s="85" t="b">
        <v>1</v>
      </c>
      <c r="G2732" s="85"/>
      <c r="H2732" s="85"/>
    </row>
    <row r="2733" spans="1:8">
      <c r="A2733" s="83" t="s">
        <v>7576</v>
      </c>
      <c r="B2733" s="83" t="s">
        <v>7577</v>
      </c>
      <c r="C2733" s="83" t="s">
        <v>7576</v>
      </c>
      <c r="D2733" s="83" t="s">
        <v>7664</v>
      </c>
      <c r="E2733" s="84" t="b">
        <f>sch_avail_sp_sportsevent_arch</f>
        <v>0</v>
      </c>
      <c r="F2733" s="83" t="b">
        <f t="shared" ref="F2733:F2796" si="58">OR(E2733=TRUE, E2733=FALSE)</f>
        <v>1</v>
      </c>
      <c r="G2733" s="83" t="s">
        <v>2287</v>
      </c>
      <c r="H2733" s="83"/>
    </row>
    <row r="2734" spans="1:8">
      <c r="A2734" s="83" t="s">
        <v>7578</v>
      </c>
      <c r="B2734" s="83" t="s">
        <v>7577</v>
      </c>
      <c r="C2734" s="83" t="s">
        <v>7578</v>
      </c>
      <c r="D2734" s="83" t="s">
        <v>7665</v>
      </c>
      <c r="E2734" s="84" t="b">
        <f>sch_avail_sp_sportsclub_arch</f>
        <v>0</v>
      </c>
      <c r="F2734" s="83" t="b">
        <f t="shared" si="58"/>
        <v>1</v>
      </c>
      <c r="G2734" s="83" t="s">
        <v>2287</v>
      </c>
      <c r="H2734" s="83"/>
    </row>
    <row r="2735" spans="1:8">
      <c r="A2735" s="83" t="s">
        <v>7579</v>
      </c>
      <c r="B2735" s="83" t="s">
        <v>7577</v>
      </c>
      <c r="C2735" s="83" t="s">
        <v>7579</v>
      </c>
      <c r="D2735" s="83" t="s">
        <v>7666</v>
      </c>
      <c r="E2735" s="84" t="b">
        <f>sch_avail_sp_sportssportsfac_arch</f>
        <v>0</v>
      </c>
      <c r="F2735" s="83" t="b">
        <f t="shared" si="58"/>
        <v>1</v>
      </c>
      <c r="G2735" s="83" t="s">
        <v>2287</v>
      </c>
      <c r="H2735" s="83"/>
    </row>
    <row r="2736" spans="1:8">
      <c r="A2736" s="83" t="s">
        <v>7580</v>
      </c>
      <c r="B2736" s="83" t="s">
        <v>7577</v>
      </c>
      <c r="C2736" s="83" t="s">
        <v>7580</v>
      </c>
      <c r="D2736" s="83" t="s">
        <v>7667</v>
      </c>
      <c r="E2736" s="84" t="b">
        <f>sch_avail_sp_sportsevent_arnis</f>
        <v>0</v>
      </c>
      <c r="F2736" s="83" t="b">
        <f t="shared" si="58"/>
        <v>1</v>
      </c>
      <c r="G2736" s="83" t="s">
        <v>2287</v>
      </c>
      <c r="H2736" s="83"/>
    </row>
    <row r="2737" spans="1:8">
      <c r="A2737" s="83" t="s">
        <v>7581</v>
      </c>
      <c r="B2737" s="83" t="s">
        <v>7577</v>
      </c>
      <c r="C2737" s="83" t="s">
        <v>7581</v>
      </c>
      <c r="D2737" s="83" t="s">
        <v>7668</v>
      </c>
      <c r="E2737" s="84" t="b">
        <f>sch_avail_sp_sportsclub_arnis</f>
        <v>0</v>
      </c>
      <c r="F2737" s="83" t="b">
        <f t="shared" si="58"/>
        <v>1</v>
      </c>
      <c r="G2737" s="83" t="s">
        <v>2287</v>
      </c>
      <c r="H2737" s="83"/>
    </row>
    <row r="2738" spans="1:8">
      <c r="A2738" s="83" t="s">
        <v>7582</v>
      </c>
      <c r="B2738" s="83" t="s">
        <v>7577</v>
      </c>
      <c r="C2738" s="83" t="s">
        <v>7582</v>
      </c>
      <c r="D2738" s="83" t="s">
        <v>7669</v>
      </c>
      <c r="E2738" s="84" t="b">
        <f>sch_avail_sp_sportssportsfac_arnis</f>
        <v>0</v>
      </c>
      <c r="F2738" s="83" t="b">
        <f t="shared" si="58"/>
        <v>1</v>
      </c>
      <c r="G2738" s="83" t="s">
        <v>2287</v>
      </c>
      <c r="H2738" s="83"/>
    </row>
    <row r="2739" spans="1:8">
      <c r="A2739" s="83" t="s">
        <v>7583</v>
      </c>
      <c r="B2739" s="83" t="s">
        <v>7577</v>
      </c>
      <c r="C2739" s="83" t="s">
        <v>7583</v>
      </c>
      <c r="D2739" s="83" t="s">
        <v>7670</v>
      </c>
      <c r="E2739" s="84" t="b">
        <f>sch_avail_sp_sportsevent_athlthrow</f>
        <v>0</v>
      </c>
      <c r="F2739" s="83" t="b">
        <f t="shared" si="58"/>
        <v>1</v>
      </c>
      <c r="G2739" s="83" t="s">
        <v>2287</v>
      </c>
      <c r="H2739" s="83"/>
    </row>
    <row r="2740" spans="1:8">
      <c r="A2740" s="83" t="s">
        <v>7584</v>
      </c>
      <c r="B2740" s="83" t="s">
        <v>7577</v>
      </c>
      <c r="C2740" s="83" t="s">
        <v>7584</v>
      </c>
      <c r="D2740" s="83" t="s">
        <v>7671</v>
      </c>
      <c r="E2740" s="84" t="b">
        <f>sch_avail_sp_sportsclub_athlthrow</f>
        <v>0</v>
      </c>
      <c r="F2740" s="83" t="b">
        <f t="shared" si="58"/>
        <v>1</v>
      </c>
      <c r="G2740" s="83" t="s">
        <v>2287</v>
      </c>
      <c r="H2740" s="83"/>
    </row>
    <row r="2741" spans="1:8">
      <c r="A2741" s="83" t="s">
        <v>7585</v>
      </c>
      <c r="B2741" s="83" t="s">
        <v>7577</v>
      </c>
      <c r="C2741" s="83" t="s">
        <v>7585</v>
      </c>
      <c r="D2741" s="83" t="s">
        <v>7672</v>
      </c>
      <c r="E2741" s="84" t="b">
        <f>sch_avail_sp_sportssportsfac_athlthrow</f>
        <v>1</v>
      </c>
      <c r="F2741" s="83" t="b">
        <f t="shared" si="58"/>
        <v>1</v>
      </c>
      <c r="G2741" s="83" t="s">
        <v>2287</v>
      </c>
      <c r="H2741" s="83"/>
    </row>
    <row r="2742" spans="1:8">
      <c r="A2742" s="83" t="s">
        <v>7586</v>
      </c>
      <c r="B2742" s="83" t="s">
        <v>7577</v>
      </c>
      <c r="C2742" s="83" t="s">
        <v>7586</v>
      </c>
      <c r="D2742" s="83" t="s">
        <v>7673</v>
      </c>
      <c r="E2742" s="84" t="b">
        <f>sch_avail_sp_sportsevent_athlrun</f>
        <v>0</v>
      </c>
      <c r="F2742" s="83" t="b">
        <f t="shared" si="58"/>
        <v>1</v>
      </c>
      <c r="G2742" s="83" t="s">
        <v>2287</v>
      </c>
      <c r="H2742" s="83"/>
    </row>
    <row r="2743" spans="1:8">
      <c r="A2743" s="83" t="s">
        <v>7587</v>
      </c>
      <c r="B2743" s="83" t="s">
        <v>7577</v>
      </c>
      <c r="C2743" s="83" t="s">
        <v>7587</v>
      </c>
      <c r="D2743" s="83" t="s">
        <v>7674</v>
      </c>
      <c r="E2743" s="84" t="b">
        <f>sch_avail_sp_sportsclub_athlrun</f>
        <v>0</v>
      </c>
      <c r="F2743" s="83" t="b">
        <f t="shared" si="58"/>
        <v>1</v>
      </c>
      <c r="G2743" s="83" t="s">
        <v>2287</v>
      </c>
      <c r="H2743" s="83"/>
    </row>
    <row r="2744" spans="1:8">
      <c r="A2744" s="83" t="s">
        <v>7588</v>
      </c>
      <c r="B2744" s="83" t="s">
        <v>7577</v>
      </c>
      <c r="C2744" s="83" t="s">
        <v>7588</v>
      </c>
      <c r="D2744" s="83" t="s">
        <v>7675</v>
      </c>
      <c r="E2744" s="84" t="b">
        <f>sch_avail_sp_sportssportsfac_athlrun</f>
        <v>1</v>
      </c>
      <c r="F2744" s="83" t="b">
        <f t="shared" si="58"/>
        <v>1</v>
      </c>
      <c r="G2744" s="83" t="s">
        <v>2287</v>
      </c>
      <c r="H2744" s="83"/>
    </row>
    <row r="2745" spans="1:8">
      <c r="A2745" s="83" t="s">
        <v>7589</v>
      </c>
      <c r="B2745" s="83" t="s">
        <v>7577</v>
      </c>
      <c r="C2745" s="83" t="s">
        <v>7589</v>
      </c>
      <c r="D2745" s="83" t="s">
        <v>7676</v>
      </c>
      <c r="E2745" s="84" t="b">
        <f>sch_avail_sp_sportsevent_badm</f>
        <v>0</v>
      </c>
      <c r="F2745" s="83" t="b">
        <f t="shared" si="58"/>
        <v>1</v>
      </c>
      <c r="G2745" s="83" t="s">
        <v>2287</v>
      </c>
      <c r="H2745" s="83"/>
    </row>
    <row r="2746" spans="1:8">
      <c r="A2746" s="83" t="s">
        <v>7590</v>
      </c>
      <c r="B2746" s="83" t="s">
        <v>7577</v>
      </c>
      <c r="C2746" s="83" t="s">
        <v>7590</v>
      </c>
      <c r="D2746" s="83" t="s">
        <v>7677</v>
      </c>
      <c r="E2746" s="84" t="b">
        <f>sch_avail_sp_sportsclub_badm</f>
        <v>0</v>
      </c>
      <c r="F2746" s="83" t="b">
        <f t="shared" si="58"/>
        <v>1</v>
      </c>
      <c r="G2746" s="83" t="s">
        <v>2287</v>
      </c>
      <c r="H2746" s="83"/>
    </row>
    <row r="2747" spans="1:8">
      <c r="A2747" s="83" t="s">
        <v>7591</v>
      </c>
      <c r="B2747" s="83" t="s">
        <v>7577</v>
      </c>
      <c r="C2747" s="83" t="s">
        <v>7591</v>
      </c>
      <c r="D2747" s="83" t="s">
        <v>7678</v>
      </c>
      <c r="E2747" s="84" t="b">
        <f>sch_avail_sp_sportssportsfac_badm</f>
        <v>0</v>
      </c>
      <c r="F2747" s="83" t="b">
        <f t="shared" si="58"/>
        <v>1</v>
      </c>
      <c r="G2747" s="83" t="s">
        <v>2287</v>
      </c>
      <c r="H2747" s="83"/>
    </row>
    <row r="2748" spans="1:8">
      <c r="A2748" s="83" t="s">
        <v>7592</v>
      </c>
      <c r="B2748" s="83" t="s">
        <v>7577</v>
      </c>
      <c r="C2748" s="83" t="s">
        <v>7592</v>
      </c>
      <c r="D2748" s="83" t="s">
        <v>7679</v>
      </c>
      <c r="E2748" s="84" t="b">
        <f>sch_avail_sp_sportsevent_basket</f>
        <v>0</v>
      </c>
      <c r="F2748" s="83" t="b">
        <f t="shared" si="58"/>
        <v>1</v>
      </c>
      <c r="G2748" s="83" t="s">
        <v>2287</v>
      </c>
      <c r="H2748" s="83"/>
    </row>
    <row r="2749" spans="1:8">
      <c r="A2749" s="83" t="s">
        <v>7593</v>
      </c>
      <c r="B2749" s="83" t="s">
        <v>7577</v>
      </c>
      <c r="C2749" s="83" t="s">
        <v>7593</v>
      </c>
      <c r="D2749" s="83" t="s">
        <v>7680</v>
      </c>
      <c r="E2749" s="84" t="b">
        <f>sch_avail_sp_sportsclub_basket</f>
        <v>0</v>
      </c>
      <c r="F2749" s="83" t="b">
        <f t="shared" si="58"/>
        <v>1</v>
      </c>
      <c r="G2749" s="83" t="s">
        <v>2287</v>
      </c>
      <c r="H2749" s="83"/>
    </row>
    <row r="2750" spans="1:8">
      <c r="A2750" s="83" t="s">
        <v>7594</v>
      </c>
      <c r="B2750" s="83" t="s">
        <v>7577</v>
      </c>
      <c r="C2750" s="83" t="s">
        <v>7594</v>
      </c>
      <c r="D2750" s="83" t="s">
        <v>7681</v>
      </c>
      <c r="E2750" s="84" t="b">
        <f>sch_avail_sp_sportssportsfac_basket</f>
        <v>0</v>
      </c>
      <c r="F2750" s="83" t="b">
        <f t="shared" si="58"/>
        <v>1</v>
      </c>
      <c r="G2750" s="83" t="s">
        <v>2287</v>
      </c>
      <c r="H2750" s="83"/>
    </row>
    <row r="2751" spans="1:8">
      <c r="A2751" s="83" t="s">
        <v>7595</v>
      </c>
      <c r="B2751" s="83" t="s">
        <v>7577</v>
      </c>
      <c r="C2751" s="83" t="s">
        <v>7595</v>
      </c>
      <c r="D2751" s="83" t="s">
        <v>7682</v>
      </c>
      <c r="E2751" s="84" t="b">
        <f>sch_avail_sp_sportsevent_baseball</f>
        <v>0</v>
      </c>
      <c r="F2751" s="83" t="b">
        <f t="shared" si="58"/>
        <v>1</v>
      </c>
      <c r="G2751" s="83" t="s">
        <v>2287</v>
      </c>
      <c r="H2751" s="83"/>
    </row>
    <row r="2752" spans="1:8">
      <c r="A2752" s="83" t="s">
        <v>7596</v>
      </c>
      <c r="B2752" s="83" t="s">
        <v>7577</v>
      </c>
      <c r="C2752" s="83" t="s">
        <v>7596</v>
      </c>
      <c r="D2752" s="83" t="s">
        <v>7683</v>
      </c>
      <c r="E2752" s="84" t="b">
        <f>sch_avail_sp_sportsclub_baseball</f>
        <v>0</v>
      </c>
      <c r="F2752" s="83" t="b">
        <f t="shared" si="58"/>
        <v>1</v>
      </c>
      <c r="G2752" s="83" t="s">
        <v>2287</v>
      </c>
      <c r="H2752" s="83"/>
    </row>
    <row r="2753" spans="1:8">
      <c r="A2753" s="83" t="s">
        <v>7597</v>
      </c>
      <c r="B2753" s="83" t="s">
        <v>7577</v>
      </c>
      <c r="C2753" s="83" t="s">
        <v>7597</v>
      </c>
      <c r="D2753" s="83" t="s">
        <v>7684</v>
      </c>
      <c r="E2753" s="84" t="b">
        <f>sch_avail_sp_sportssportsfac_baseball</f>
        <v>0</v>
      </c>
      <c r="F2753" s="83" t="b">
        <f t="shared" si="58"/>
        <v>1</v>
      </c>
      <c r="G2753" s="83" t="s">
        <v>2287</v>
      </c>
      <c r="H2753" s="83"/>
    </row>
    <row r="2754" spans="1:8">
      <c r="A2754" s="83" t="s">
        <v>7598</v>
      </c>
      <c r="B2754" s="83" t="s">
        <v>7577</v>
      </c>
      <c r="C2754" s="83" t="s">
        <v>7598</v>
      </c>
      <c r="D2754" s="83" t="s">
        <v>7685</v>
      </c>
      <c r="E2754" s="84" t="b">
        <f>sch_avail_sp_sportsevent_billard</f>
        <v>0</v>
      </c>
      <c r="F2754" s="83" t="b">
        <f t="shared" si="58"/>
        <v>1</v>
      </c>
      <c r="G2754" s="83" t="s">
        <v>2287</v>
      </c>
      <c r="H2754" s="83"/>
    </row>
    <row r="2755" spans="1:8">
      <c r="A2755" s="83" t="s">
        <v>7599</v>
      </c>
      <c r="B2755" s="83" t="s">
        <v>7577</v>
      </c>
      <c r="C2755" s="83" t="s">
        <v>7599</v>
      </c>
      <c r="D2755" s="83" t="s">
        <v>7686</v>
      </c>
      <c r="E2755" s="84" t="b">
        <f>sch_avail_sp_sportsclub_billard</f>
        <v>0</v>
      </c>
      <c r="F2755" s="83" t="b">
        <f t="shared" si="58"/>
        <v>1</v>
      </c>
      <c r="G2755" s="83" t="s">
        <v>2287</v>
      </c>
      <c r="H2755" s="83"/>
    </row>
    <row r="2756" spans="1:8">
      <c r="A2756" s="83" t="s">
        <v>7600</v>
      </c>
      <c r="B2756" s="83" t="s">
        <v>7577</v>
      </c>
      <c r="C2756" s="83" t="s">
        <v>7600</v>
      </c>
      <c r="D2756" s="83" t="s">
        <v>7687</v>
      </c>
      <c r="E2756" s="84" t="b">
        <f>sch_avail_sp_sportssportsfac_billard</f>
        <v>0</v>
      </c>
      <c r="F2756" s="83" t="b">
        <f t="shared" si="58"/>
        <v>1</v>
      </c>
      <c r="G2756" s="83" t="s">
        <v>2287</v>
      </c>
      <c r="H2756" s="83"/>
    </row>
    <row r="2757" spans="1:8">
      <c r="A2757" s="83" t="s">
        <v>7601</v>
      </c>
      <c r="B2757" s="83" t="s">
        <v>7577</v>
      </c>
      <c r="C2757" s="83" t="s">
        <v>7601</v>
      </c>
      <c r="D2757" s="83" t="s">
        <v>7688</v>
      </c>
      <c r="E2757" s="84" t="b">
        <f>sch_avail_sp_sportsevent_boxing</f>
        <v>0</v>
      </c>
      <c r="F2757" s="83" t="b">
        <f t="shared" si="58"/>
        <v>1</v>
      </c>
      <c r="G2757" s="83" t="s">
        <v>2287</v>
      </c>
      <c r="H2757" s="83"/>
    </row>
    <row r="2758" spans="1:8">
      <c r="A2758" s="83" t="s">
        <v>7602</v>
      </c>
      <c r="B2758" s="83" t="s">
        <v>7577</v>
      </c>
      <c r="C2758" s="83" t="s">
        <v>7602</v>
      </c>
      <c r="D2758" s="83" t="s">
        <v>7689</v>
      </c>
      <c r="E2758" s="84" t="b">
        <f>sch_avail_sp_sportsclub_boxing</f>
        <v>0</v>
      </c>
      <c r="F2758" s="83" t="b">
        <f t="shared" si="58"/>
        <v>1</v>
      </c>
      <c r="G2758" s="83" t="s">
        <v>2287</v>
      </c>
      <c r="H2758" s="83"/>
    </row>
    <row r="2759" spans="1:8">
      <c r="A2759" s="83" t="s">
        <v>7603</v>
      </c>
      <c r="B2759" s="83" t="s">
        <v>7577</v>
      </c>
      <c r="C2759" s="83" t="s">
        <v>7603</v>
      </c>
      <c r="D2759" s="83" t="s">
        <v>7690</v>
      </c>
      <c r="E2759" s="84" t="b">
        <f>sch_avail_sp_sportssportsfac_boxing</f>
        <v>0</v>
      </c>
      <c r="F2759" s="83" t="b">
        <f t="shared" si="58"/>
        <v>1</v>
      </c>
      <c r="G2759" s="83" t="s">
        <v>2287</v>
      </c>
      <c r="H2759" s="83"/>
    </row>
    <row r="2760" spans="1:8">
      <c r="A2760" s="83" t="s">
        <v>7604</v>
      </c>
      <c r="B2760" s="83" t="s">
        <v>7577</v>
      </c>
      <c r="C2760" s="83" t="s">
        <v>7604</v>
      </c>
      <c r="D2760" s="83" t="s">
        <v>7691</v>
      </c>
      <c r="E2760" s="84" t="b">
        <f>sch_avail_sp_sportsevent_chess</f>
        <v>0</v>
      </c>
      <c r="F2760" s="83" t="b">
        <f t="shared" si="58"/>
        <v>1</v>
      </c>
      <c r="G2760" s="83" t="s">
        <v>2287</v>
      </c>
      <c r="H2760" s="83"/>
    </row>
    <row r="2761" spans="1:8">
      <c r="A2761" s="83" t="s">
        <v>7605</v>
      </c>
      <c r="B2761" s="83" t="s">
        <v>7577</v>
      </c>
      <c r="C2761" s="83" t="s">
        <v>7605</v>
      </c>
      <c r="D2761" s="83" t="s">
        <v>7692</v>
      </c>
      <c r="E2761" s="84" t="b">
        <f>sch_avail_sp_sportsclub_chess</f>
        <v>0</v>
      </c>
      <c r="F2761" s="83" t="b">
        <f t="shared" si="58"/>
        <v>1</v>
      </c>
      <c r="G2761" s="83" t="s">
        <v>2287</v>
      </c>
      <c r="H2761" s="83"/>
    </row>
    <row r="2762" spans="1:8">
      <c r="A2762" s="83" t="s">
        <v>7606</v>
      </c>
      <c r="B2762" s="83" t="s">
        <v>7577</v>
      </c>
      <c r="C2762" s="83" t="s">
        <v>7606</v>
      </c>
      <c r="D2762" s="83" t="s">
        <v>7693</v>
      </c>
      <c r="E2762" s="84" t="b">
        <f>sch_avail_sp_sportssportsfac_chess</f>
        <v>0</v>
      </c>
      <c r="F2762" s="83" t="b">
        <f t="shared" si="58"/>
        <v>1</v>
      </c>
      <c r="G2762" s="83" t="s">
        <v>2287</v>
      </c>
      <c r="H2762" s="83"/>
    </row>
    <row r="2763" spans="1:8">
      <c r="A2763" s="83" t="s">
        <v>7607</v>
      </c>
      <c r="B2763" s="83" t="s">
        <v>7577</v>
      </c>
      <c r="C2763" s="83" t="s">
        <v>7607</v>
      </c>
      <c r="D2763" s="83" t="s">
        <v>7694</v>
      </c>
      <c r="E2763" s="84" t="b">
        <f>sch_avail_sp_sportsevent_dancesports</f>
        <v>0</v>
      </c>
      <c r="F2763" s="83" t="b">
        <f t="shared" si="58"/>
        <v>1</v>
      </c>
      <c r="G2763" s="83" t="s">
        <v>2287</v>
      </c>
      <c r="H2763" s="83"/>
    </row>
    <row r="2764" spans="1:8">
      <c r="A2764" s="83" t="s">
        <v>7608</v>
      </c>
      <c r="B2764" s="83" t="s">
        <v>7577</v>
      </c>
      <c r="C2764" s="83" t="s">
        <v>7608</v>
      </c>
      <c r="D2764" s="83" t="s">
        <v>7695</v>
      </c>
      <c r="E2764" s="84" t="b">
        <f>sch_avail_sp_sportsclub_dancesports</f>
        <v>0</v>
      </c>
      <c r="F2764" s="83" t="b">
        <f t="shared" si="58"/>
        <v>1</v>
      </c>
      <c r="G2764" s="83" t="s">
        <v>2287</v>
      </c>
      <c r="H2764" s="83"/>
    </row>
    <row r="2765" spans="1:8">
      <c r="A2765" s="83" t="s">
        <v>7609</v>
      </c>
      <c r="B2765" s="83" t="s">
        <v>7577</v>
      </c>
      <c r="C2765" s="83" t="s">
        <v>7609</v>
      </c>
      <c r="D2765" s="83" t="s">
        <v>7696</v>
      </c>
      <c r="E2765" s="84" t="b">
        <f>sch_avail_sp_sportssportsfac_dancesports</f>
        <v>0</v>
      </c>
      <c r="F2765" s="83" t="b">
        <f t="shared" si="58"/>
        <v>1</v>
      </c>
      <c r="G2765" s="83" t="s">
        <v>2287</v>
      </c>
      <c r="H2765" s="83"/>
    </row>
    <row r="2766" spans="1:8">
      <c r="A2766" s="83" t="s">
        <v>7610</v>
      </c>
      <c r="B2766" s="83" t="s">
        <v>7577</v>
      </c>
      <c r="C2766" s="83" t="s">
        <v>7610</v>
      </c>
      <c r="D2766" s="83" t="s">
        <v>7697</v>
      </c>
      <c r="E2766" s="84" t="b">
        <f>sch_avail_sp_sportsevent_football</f>
        <v>0</v>
      </c>
      <c r="F2766" s="83" t="b">
        <f t="shared" si="58"/>
        <v>1</v>
      </c>
      <c r="G2766" s="83" t="s">
        <v>2287</v>
      </c>
      <c r="H2766" s="83"/>
    </row>
    <row r="2767" spans="1:8">
      <c r="A2767" s="83" t="s">
        <v>7611</v>
      </c>
      <c r="B2767" s="83" t="s">
        <v>7577</v>
      </c>
      <c r="C2767" s="83" t="s">
        <v>7611</v>
      </c>
      <c r="D2767" s="83" t="s">
        <v>7698</v>
      </c>
      <c r="E2767" s="84" t="b">
        <f>sch_avail_sp_sportsclub_football</f>
        <v>0</v>
      </c>
      <c r="F2767" s="83" t="b">
        <f t="shared" si="58"/>
        <v>1</v>
      </c>
      <c r="G2767" s="83" t="s">
        <v>2287</v>
      </c>
      <c r="H2767" s="83"/>
    </row>
    <row r="2768" spans="1:8">
      <c r="A2768" s="83" t="s">
        <v>7612</v>
      </c>
      <c r="B2768" s="83" t="s">
        <v>7577</v>
      </c>
      <c r="C2768" s="83" t="s">
        <v>7612</v>
      </c>
      <c r="D2768" s="83" t="s">
        <v>7699</v>
      </c>
      <c r="E2768" s="84" t="b">
        <f>sch_avail_sp_sportssportsfac_football</f>
        <v>0</v>
      </c>
      <c r="F2768" s="83" t="b">
        <f t="shared" si="58"/>
        <v>1</v>
      </c>
      <c r="G2768" s="83" t="s">
        <v>2287</v>
      </c>
      <c r="H2768" s="83"/>
    </row>
    <row r="2769" spans="1:8">
      <c r="A2769" s="83" t="s">
        <v>7613</v>
      </c>
      <c r="B2769" s="83" t="s">
        <v>7577</v>
      </c>
      <c r="C2769" s="83" t="s">
        <v>7613</v>
      </c>
      <c r="D2769" s="83" t="s">
        <v>7700</v>
      </c>
      <c r="E2769" s="84" t="b">
        <f>sch_avail_sp_sportsevent_futsal</f>
        <v>0</v>
      </c>
      <c r="F2769" s="83" t="b">
        <f t="shared" si="58"/>
        <v>1</v>
      </c>
      <c r="G2769" s="83" t="s">
        <v>2287</v>
      </c>
      <c r="H2769" s="83"/>
    </row>
    <row r="2770" spans="1:8">
      <c r="A2770" s="83" t="s">
        <v>7614</v>
      </c>
      <c r="B2770" s="83" t="s">
        <v>7577</v>
      </c>
      <c r="C2770" s="83" t="s">
        <v>7614</v>
      </c>
      <c r="D2770" s="83" t="s">
        <v>7701</v>
      </c>
      <c r="E2770" s="84" t="b">
        <f>sch_avail_sp_sportsclub_futsal</f>
        <v>0</v>
      </c>
      <c r="F2770" s="83" t="b">
        <f t="shared" si="58"/>
        <v>1</v>
      </c>
      <c r="G2770" s="83" t="s">
        <v>2287</v>
      </c>
      <c r="H2770" s="83"/>
    </row>
    <row r="2771" spans="1:8">
      <c r="A2771" s="83" t="s">
        <v>7615</v>
      </c>
      <c r="B2771" s="83" t="s">
        <v>7577</v>
      </c>
      <c r="C2771" s="83" t="s">
        <v>7615</v>
      </c>
      <c r="D2771" s="83" t="s">
        <v>7702</v>
      </c>
      <c r="E2771" s="84" t="b">
        <f>sch_avail_sp_sportssportsfac_futsal</f>
        <v>0</v>
      </c>
      <c r="F2771" s="83" t="b">
        <f t="shared" si="58"/>
        <v>1</v>
      </c>
      <c r="G2771" s="83" t="s">
        <v>2287</v>
      </c>
      <c r="H2771" s="83"/>
    </row>
    <row r="2772" spans="1:8">
      <c r="A2772" s="83" t="s">
        <v>7616</v>
      </c>
      <c r="B2772" s="83" t="s">
        <v>7577</v>
      </c>
      <c r="C2772" s="83" t="s">
        <v>7616</v>
      </c>
      <c r="D2772" s="83" t="s">
        <v>7703</v>
      </c>
      <c r="E2772" s="84" t="b">
        <f>sch_avail_sp_sportsevent_aerogymn</f>
        <v>0</v>
      </c>
      <c r="F2772" s="83" t="b">
        <f t="shared" si="58"/>
        <v>1</v>
      </c>
      <c r="G2772" s="83" t="s">
        <v>2287</v>
      </c>
      <c r="H2772" s="83"/>
    </row>
    <row r="2773" spans="1:8">
      <c r="A2773" s="83" t="s">
        <v>7617</v>
      </c>
      <c r="B2773" s="83" t="s">
        <v>7577</v>
      </c>
      <c r="C2773" s="83" t="s">
        <v>7617</v>
      </c>
      <c r="D2773" s="83" t="s">
        <v>7704</v>
      </c>
      <c r="E2773" s="84" t="b">
        <f>sch_avail_sp_sportsclub_aerogymn</f>
        <v>0</v>
      </c>
      <c r="F2773" s="83" t="b">
        <f t="shared" si="58"/>
        <v>1</v>
      </c>
      <c r="G2773" s="83" t="s">
        <v>2287</v>
      </c>
      <c r="H2773" s="83"/>
    </row>
    <row r="2774" spans="1:8">
      <c r="A2774" s="83" t="s">
        <v>7618</v>
      </c>
      <c r="B2774" s="83" t="s">
        <v>7577</v>
      </c>
      <c r="C2774" s="83" t="s">
        <v>7618</v>
      </c>
      <c r="D2774" s="83" t="s">
        <v>7705</v>
      </c>
      <c r="E2774" s="84" t="b">
        <f>sch_avail_sp_sportssportsfac_aerogymn</f>
        <v>0</v>
      </c>
      <c r="F2774" s="83" t="b">
        <f t="shared" si="58"/>
        <v>1</v>
      </c>
      <c r="G2774" s="83" t="s">
        <v>2287</v>
      </c>
      <c r="H2774" s="83"/>
    </row>
    <row r="2775" spans="1:8">
      <c r="A2775" s="83" t="s">
        <v>7619</v>
      </c>
      <c r="B2775" s="83" t="s">
        <v>7577</v>
      </c>
      <c r="C2775" s="83" t="s">
        <v>7619</v>
      </c>
      <c r="D2775" s="83" t="s">
        <v>7706</v>
      </c>
      <c r="E2775" s="84" t="b">
        <f>sch_avail_sp_sportsevent_mag</f>
        <v>0</v>
      </c>
      <c r="F2775" s="83" t="b">
        <f t="shared" si="58"/>
        <v>1</v>
      </c>
      <c r="G2775" s="83" t="s">
        <v>2287</v>
      </c>
      <c r="H2775" s="83"/>
    </row>
    <row r="2776" spans="1:8">
      <c r="A2776" s="83" t="s">
        <v>7620</v>
      </c>
      <c r="B2776" s="83" t="s">
        <v>7577</v>
      </c>
      <c r="C2776" s="83" t="s">
        <v>7620</v>
      </c>
      <c r="D2776" s="83" t="s">
        <v>7707</v>
      </c>
      <c r="E2776" s="84" t="b">
        <f>sch_avail_sp_sportsclub_mag</f>
        <v>0</v>
      </c>
      <c r="F2776" s="83" t="b">
        <f t="shared" si="58"/>
        <v>1</v>
      </c>
      <c r="G2776" s="83" t="s">
        <v>2287</v>
      </c>
      <c r="H2776" s="83"/>
    </row>
    <row r="2777" spans="1:8">
      <c r="A2777" s="83" t="s">
        <v>7621</v>
      </c>
      <c r="B2777" s="83" t="s">
        <v>7577</v>
      </c>
      <c r="C2777" s="83" t="s">
        <v>7621</v>
      </c>
      <c r="D2777" s="83" t="s">
        <v>7708</v>
      </c>
      <c r="E2777" s="84" t="b">
        <f>sch_avail_sp_sportssportsfac_mag</f>
        <v>0</v>
      </c>
      <c r="F2777" s="83" t="b">
        <f t="shared" si="58"/>
        <v>1</v>
      </c>
      <c r="G2777" s="83" t="s">
        <v>2287</v>
      </c>
      <c r="H2777" s="83"/>
    </row>
    <row r="2778" spans="1:8">
      <c r="A2778" s="83" t="s">
        <v>7622</v>
      </c>
      <c r="B2778" s="83" t="s">
        <v>7577</v>
      </c>
      <c r="C2778" s="83" t="s">
        <v>7622</v>
      </c>
      <c r="D2778" s="83" t="s">
        <v>7709</v>
      </c>
      <c r="E2778" s="84" t="b">
        <f>sch_avail_sp_sportsevent_wag</f>
        <v>0</v>
      </c>
      <c r="F2778" s="83" t="b">
        <f t="shared" si="58"/>
        <v>1</v>
      </c>
      <c r="G2778" s="83" t="s">
        <v>2287</v>
      </c>
      <c r="H2778" s="83"/>
    </row>
    <row r="2779" spans="1:8">
      <c r="A2779" s="83" t="s">
        <v>7623</v>
      </c>
      <c r="B2779" s="83" t="s">
        <v>7577</v>
      </c>
      <c r="C2779" s="83" t="s">
        <v>7623</v>
      </c>
      <c r="D2779" s="83" t="s">
        <v>7710</v>
      </c>
      <c r="E2779" s="84" t="b">
        <f>sch_avail_sp_sportsclub_wag</f>
        <v>0</v>
      </c>
      <c r="F2779" s="83" t="b">
        <f t="shared" si="58"/>
        <v>1</v>
      </c>
      <c r="G2779" s="83" t="s">
        <v>2287</v>
      </c>
      <c r="H2779" s="83"/>
    </row>
    <row r="2780" spans="1:8">
      <c r="A2780" s="83" t="s">
        <v>7624</v>
      </c>
      <c r="B2780" s="83" t="s">
        <v>7577</v>
      </c>
      <c r="C2780" s="83" t="s">
        <v>7624</v>
      </c>
      <c r="D2780" s="83" t="s">
        <v>7711</v>
      </c>
      <c r="E2780" s="84" t="b">
        <f>sch_avail_sp_sportssportsfac_wag</f>
        <v>0</v>
      </c>
      <c r="F2780" s="83" t="b">
        <f t="shared" si="58"/>
        <v>1</v>
      </c>
      <c r="G2780" s="83" t="s">
        <v>2287</v>
      </c>
      <c r="H2780" s="83"/>
    </row>
    <row r="2781" spans="1:8">
      <c r="A2781" s="83" t="s">
        <v>7625</v>
      </c>
      <c r="B2781" s="83" t="s">
        <v>7577</v>
      </c>
      <c r="C2781" s="83" t="s">
        <v>7625</v>
      </c>
      <c r="D2781" s="83" t="s">
        <v>7712</v>
      </c>
      <c r="E2781" s="84" t="b">
        <f>sch_avail_sp_sportsevent_rg</f>
        <v>0</v>
      </c>
      <c r="F2781" s="83" t="b">
        <f t="shared" si="58"/>
        <v>1</v>
      </c>
      <c r="G2781" s="83" t="s">
        <v>2287</v>
      </c>
      <c r="H2781" s="83"/>
    </row>
    <row r="2782" spans="1:8">
      <c r="A2782" s="83" t="s">
        <v>7626</v>
      </c>
      <c r="B2782" s="83" t="s">
        <v>7577</v>
      </c>
      <c r="C2782" s="83" t="s">
        <v>7626</v>
      </c>
      <c r="D2782" s="83" t="s">
        <v>7713</v>
      </c>
      <c r="E2782" s="84" t="b">
        <f>sch_avail_sp_sportsclub_rg</f>
        <v>0</v>
      </c>
      <c r="F2782" s="83" t="b">
        <f t="shared" si="58"/>
        <v>1</v>
      </c>
      <c r="G2782" s="83" t="s">
        <v>2287</v>
      </c>
      <c r="H2782" s="83"/>
    </row>
    <row r="2783" spans="1:8">
      <c r="A2783" s="83" t="s">
        <v>7627</v>
      </c>
      <c r="B2783" s="83" t="s">
        <v>7577</v>
      </c>
      <c r="C2783" s="83" t="s">
        <v>7627</v>
      </c>
      <c r="D2783" s="83" t="s">
        <v>7714</v>
      </c>
      <c r="E2783" s="84" t="b">
        <f>sch_avail_sp_sportssportsfac_rg</f>
        <v>0</v>
      </c>
      <c r="F2783" s="83" t="b">
        <f t="shared" si="58"/>
        <v>1</v>
      </c>
      <c r="G2783" s="83" t="s">
        <v>2287</v>
      </c>
      <c r="H2783" s="83"/>
    </row>
    <row r="2784" spans="1:8">
      <c r="A2784" s="83" t="s">
        <v>7628</v>
      </c>
      <c r="B2784" s="83" t="s">
        <v>7577</v>
      </c>
      <c r="C2784" s="83" t="s">
        <v>7628</v>
      </c>
      <c r="D2784" s="83" t="s">
        <v>7715</v>
      </c>
      <c r="E2784" s="84" t="b">
        <f>sch_avail_sp_sportsevent_pencak</f>
        <v>0</v>
      </c>
      <c r="F2784" s="83" t="b">
        <f t="shared" si="58"/>
        <v>1</v>
      </c>
      <c r="G2784" s="83" t="s">
        <v>2287</v>
      </c>
      <c r="H2784" s="83"/>
    </row>
    <row r="2785" spans="1:8">
      <c r="A2785" s="83" t="s">
        <v>7629</v>
      </c>
      <c r="B2785" s="83" t="s">
        <v>7577</v>
      </c>
      <c r="C2785" s="83" t="s">
        <v>7629</v>
      </c>
      <c r="D2785" s="83" t="s">
        <v>7716</v>
      </c>
      <c r="E2785" s="84" t="b">
        <f>sch_avail_sp_sportsclub_pencak</f>
        <v>0</v>
      </c>
      <c r="F2785" s="83" t="b">
        <f t="shared" si="58"/>
        <v>1</v>
      </c>
      <c r="G2785" s="83" t="s">
        <v>2287</v>
      </c>
      <c r="H2785" s="83"/>
    </row>
    <row r="2786" spans="1:8">
      <c r="A2786" s="83" t="s">
        <v>7630</v>
      </c>
      <c r="B2786" s="83" t="s">
        <v>7577</v>
      </c>
      <c r="C2786" s="83" t="s">
        <v>7630</v>
      </c>
      <c r="D2786" s="83" t="s">
        <v>7717</v>
      </c>
      <c r="E2786" s="84" t="b">
        <f>sch_avail_sp_sportssportsfac_pencak</f>
        <v>0</v>
      </c>
      <c r="F2786" s="83" t="b">
        <f t="shared" si="58"/>
        <v>1</v>
      </c>
      <c r="G2786" s="83" t="s">
        <v>2287</v>
      </c>
      <c r="H2786" s="83"/>
    </row>
    <row r="2787" spans="1:8">
      <c r="A2787" s="83" t="s">
        <v>7631</v>
      </c>
      <c r="B2787" s="83" t="s">
        <v>7577</v>
      </c>
      <c r="C2787" s="83" t="s">
        <v>7631</v>
      </c>
      <c r="D2787" s="83" t="s">
        <v>7718</v>
      </c>
      <c r="E2787" s="84" t="b">
        <f>sch_avail_sp_sportsevent_sepaktakraw</f>
        <v>0</v>
      </c>
      <c r="F2787" s="83" t="b">
        <f t="shared" si="58"/>
        <v>1</v>
      </c>
      <c r="G2787" s="83" t="s">
        <v>2287</v>
      </c>
      <c r="H2787" s="83"/>
    </row>
    <row r="2788" spans="1:8">
      <c r="A2788" s="83" t="s">
        <v>7632</v>
      </c>
      <c r="B2788" s="83" t="s">
        <v>7577</v>
      </c>
      <c r="C2788" s="83" t="s">
        <v>7632</v>
      </c>
      <c r="D2788" s="83" t="s">
        <v>7719</v>
      </c>
      <c r="E2788" s="84" t="b">
        <f>sch_avail_sp_sportsclub_sepaktakraw</f>
        <v>0</v>
      </c>
      <c r="F2788" s="83" t="b">
        <f t="shared" si="58"/>
        <v>1</v>
      </c>
      <c r="G2788" s="83" t="s">
        <v>2287</v>
      </c>
      <c r="H2788" s="83"/>
    </row>
    <row r="2789" spans="1:8">
      <c r="A2789" s="83" t="s">
        <v>7633</v>
      </c>
      <c r="B2789" s="83" t="s">
        <v>7577</v>
      </c>
      <c r="C2789" s="83" t="s">
        <v>7633</v>
      </c>
      <c r="D2789" s="83" t="s">
        <v>7720</v>
      </c>
      <c r="E2789" s="84" t="b">
        <f>sch_avail_sp_sportssportsfac_sepaktakraw</f>
        <v>0</v>
      </c>
      <c r="F2789" s="83" t="b">
        <f t="shared" si="58"/>
        <v>1</v>
      </c>
      <c r="G2789" s="83" t="s">
        <v>2287</v>
      </c>
      <c r="H2789" s="83"/>
    </row>
    <row r="2790" spans="1:8">
      <c r="A2790" s="83" t="s">
        <v>7634</v>
      </c>
      <c r="B2790" s="83" t="s">
        <v>7577</v>
      </c>
      <c r="C2790" s="83" t="s">
        <v>7634</v>
      </c>
      <c r="D2790" s="83" t="s">
        <v>7721</v>
      </c>
      <c r="E2790" s="84" t="b">
        <f>sch_avail_sp_sportsevent_softball</f>
        <v>0</v>
      </c>
      <c r="F2790" s="83" t="b">
        <f t="shared" si="58"/>
        <v>1</v>
      </c>
      <c r="G2790" s="83" t="s">
        <v>2287</v>
      </c>
      <c r="H2790" s="83"/>
    </row>
    <row r="2791" spans="1:8">
      <c r="A2791" s="83" t="s">
        <v>7635</v>
      </c>
      <c r="B2791" s="83" t="s">
        <v>7577</v>
      </c>
      <c r="C2791" s="83" t="s">
        <v>7635</v>
      </c>
      <c r="D2791" s="83" t="s">
        <v>7722</v>
      </c>
      <c r="E2791" s="84" t="b">
        <f>sch_avail_sp_sportsclub_softball</f>
        <v>0</v>
      </c>
      <c r="F2791" s="83" t="b">
        <f t="shared" si="58"/>
        <v>1</v>
      </c>
      <c r="G2791" s="83" t="s">
        <v>2287</v>
      </c>
      <c r="H2791" s="83"/>
    </row>
    <row r="2792" spans="1:8">
      <c r="A2792" s="83" t="s">
        <v>7636</v>
      </c>
      <c r="B2792" s="83" t="s">
        <v>7577</v>
      </c>
      <c r="C2792" s="83" t="s">
        <v>7636</v>
      </c>
      <c r="D2792" s="83" t="s">
        <v>7723</v>
      </c>
      <c r="E2792" s="84" t="b">
        <f>sch_avail_sp_sportssportsfac_softball</f>
        <v>0</v>
      </c>
      <c r="F2792" s="83" t="b">
        <f t="shared" si="58"/>
        <v>1</v>
      </c>
      <c r="G2792" s="83" t="s">
        <v>2287</v>
      </c>
      <c r="H2792" s="83"/>
    </row>
    <row r="2793" spans="1:8">
      <c r="A2793" s="83" t="s">
        <v>7637</v>
      </c>
      <c r="B2793" s="83" t="s">
        <v>7577</v>
      </c>
      <c r="C2793" s="83" t="s">
        <v>7637</v>
      </c>
      <c r="D2793" s="83" t="s">
        <v>7724</v>
      </c>
      <c r="E2793" s="84" t="b">
        <f>sch_avail_sp_sportsevent_swimming</f>
        <v>0</v>
      </c>
      <c r="F2793" s="83" t="b">
        <f t="shared" si="58"/>
        <v>1</v>
      </c>
      <c r="G2793" s="83" t="s">
        <v>2287</v>
      </c>
      <c r="H2793" s="83"/>
    </row>
    <row r="2794" spans="1:8">
      <c r="A2794" s="83" t="s">
        <v>7638</v>
      </c>
      <c r="B2794" s="83" t="s">
        <v>7577</v>
      </c>
      <c r="C2794" s="83" t="s">
        <v>7638</v>
      </c>
      <c r="D2794" s="83" t="s">
        <v>7725</v>
      </c>
      <c r="E2794" s="84" t="b">
        <f>sch_avail_sp_sportsclub_swimming</f>
        <v>0</v>
      </c>
      <c r="F2794" s="83" t="b">
        <f t="shared" si="58"/>
        <v>1</v>
      </c>
      <c r="G2794" s="83" t="s">
        <v>2287</v>
      </c>
      <c r="H2794" s="83"/>
    </row>
    <row r="2795" spans="1:8">
      <c r="A2795" s="83" t="s">
        <v>7639</v>
      </c>
      <c r="B2795" s="83" t="s">
        <v>7577</v>
      </c>
      <c r="C2795" s="83" t="s">
        <v>7639</v>
      </c>
      <c r="D2795" s="83" t="s">
        <v>7726</v>
      </c>
      <c r="E2795" s="84" t="b">
        <f>sch_avail_sp_sportssportsfac_swimming</f>
        <v>0</v>
      </c>
      <c r="F2795" s="83" t="b">
        <f t="shared" si="58"/>
        <v>1</v>
      </c>
      <c r="G2795" s="83" t="s">
        <v>2287</v>
      </c>
      <c r="H2795" s="83"/>
    </row>
    <row r="2796" spans="1:8">
      <c r="A2796" s="83" t="s">
        <v>7640</v>
      </c>
      <c r="B2796" s="83" t="s">
        <v>7577</v>
      </c>
      <c r="C2796" s="83" t="s">
        <v>7640</v>
      </c>
      <c r="D2796" s="83" t="s">
        <v>7727</v>
      </c>
      <c r="E2796" s="84" t="b">
        <f>sch_avail_sp_sportsevent_tabletennis</f>
        <v>0</v>
      </c>
      <c r="F2796" s="83" t="b">
        <f t="shared" si="58"/>
        <v>1</v>
      </c>
      <c r="G2796" s="83" t="s">
        <v>2287</v>
      </c>
      <c r="H2796" s="83"/>
    </row>
    <row r="2797" spans="1:8">
      <c r="A2797" s="83" t="s">
        <v>7641</v>
      </c>
      <c r="B2797" s="83" t="s">
        <v>7577</v>
      </c>
      <c r="C2797" s="83" t="s">
        <v>7641</v>
      </c>
      <c r="D2797" s="83" t="s">
        <v>7728</v>
      </c>
      <c r="E2797" s="84" t="b">
        <f>sch_avail_sp_sportsclub_tabletennis</f>
        <v>0</v>
      </c>
      <c r="F2797" s="83" t="b">
        <f t="shared" ref="F2797:F2819" si="59">OR(E2797=TRUE, E2797=FALSE)</f>
        <v>1</v>
      </c>
      <c r="G2797" s="83" t="s">
        <v>2287</v>
      </c>
      <c r="H2797" s="83"/>
    </row>
    <row r="2798" spans="1:8">
      <c r="A2798" s="83" t="s">
        <v>7642</v>
      </c>
      <c r="B2798" s="83" t="s">
        <v>7577</v>
      </c>
      <c r="C2798" s="83" t="s">
        <v>7642</v>
      </c>
      <c r="D2798" s="83" t="s">
        <v>7729</v>
      </c>
      <c r="E2798" s="84" t="b">
        <f>sch_avail_sp_sportssportsfac_tabletennis</f>
        <v>0</v>
      </c>
      <c r="F2798" s="83" t="b">
        <f t="shared" si="59"/>
        <v>1</v>
      </c>
      <c r="G2798" s="83" t="s">
        <v>2287</v>
      </c>
      <c r="H2798" s="83"/>
    </row>
    <row r="2799" spans="1:8">
      <c r="A2799" s="83" t="s">
        <v>7643</v>
      </c>
      <c r="B2799" s="83" t="s">
        <v>7577</v>
      </c>
      <c r="C2799" s="83" t="s">
        <v>7643</v>
      </c>
      <c r="D2799" s="83" t="s">
        <v>7730</v>
      </c>
      <c r="E2799" s="84" t="b">
        <f>sch_avail_sp_sportsevent_taekwondo</f>
        <v>0</v>
      </c>
      <c r="F2799" s="83" t="b">
        <f t="shared" si="59"/>
        <v>1</v>
      </c>
      <c r="G2799" s="83" t="s">
        <v>2287</v>
      </c>
      <c r="H2799" s="83"/>
    </row>
    <row r="2800" spans="1:8">
      <c r="A2800" s="83" t="s">
        <v>7644</v>
      </c>
      <c r="B2800" s="83" t="s">
        <v>7577</v>
      </c>
      <c r="C2800" s="83" t="s">
        <v>7644</v>
      </c>
      <c r="D2800" s="83" t="s">
        <v>7731</v>
      </c>
      <c r="E2800" s="84" t="b">
        <f>sch_avail_sp_sportsclub_taekwondo</f>
        <v>0</v>
      </c>
      <c r="F2800" s="83" t="b">
        <f t="shared" si="59"/>
        <v>1</v>
      </c>
      <c r="G2800" s="83" t="s">
        <v>2287</v>
      </c>
      <c r="H2800" s="83"/>
    </row>
    <row r="2801" spans="1:8">
      <c r="A2801" s="83" t="s">
        <v>7645</v>
      </c>
      <c r="B2801" s="83" t="s">
        <v>7577</v>
      </c>
      <c r="C2801" s="83" t="s">
        <v>7645</v>
      </c>
      <c r="D2801" s="83" t="s">
        <v>7732</v>
      </c>
      <c r="E2801" s="84" t="b">
        <f>sch_avail_sp_sportssportsfac_taekwondo</f>
        <v>0</v>
      </c>
      <c r="F2801" s="83" t="b">
        <f t="shared" si="59"/>
        <v>1</v>
      </c>
      <c r="G2801" s="83" t="s">
        <v>2287</v>
      </c>
      <c r="H2801" s="83"/>
    </row>
    <row r="2802" spans="1:8">
      <c r="A2802" s="83" t="s">
        <v>7646</v>
      </c>
      <c r="B2802" s="83" t="s">
        <v>7577</v>
      </c>
      <c r="C2802" s="83" t="s">
        <v>7646</v>
      </c>
      <c r="D2802" s="83" t="s">
        <v>7733</v>
      </c>
      <c r="E2802" s="84" t="b">
        <f>sch_avail_sp_sportsevent_tennis</f>
        <v>0</v>
      </c>
      <c r="F2802" s="83" t="b">
        <f t="shared" si="59"/>
        <v>1</v>
      </c>
      <c r="G2802" s="83" t="s">
        <v>2287</v>
      </c>
      <c r="H2802" s="83"/>
    </row>
    <row r="2803" spans="1:8">
      <c r="A2803" s="83" t="s">
        <v>7647</v>
      </c>
      <c r="B2803" s="83" t="s">
        <v>7577</v>
      </c>
      <c r="C2803" s="83" t="s">
        <v>7647</v>
      </c>
      <c r="D2803" s="83" t="s">
        <v>7734</v>
      </c>
      <c r="E2803" s="84" t="b">
        <f>sch_avail_sp_sportsclub_tennis</f>
        <v>0</v>
      </c>
      <c r="F2803" s="83" t="b">
        <f t="shared" si="59"/>
        <v>1</v>
      </c>
      <c r="G2803" s="83" t="s">
        <v>2287</v>
      </c>
      <c r="H2803" s="83"/>
    </row>
    <row r="2804" spans="1:8">
      <c r="A2804" s="83" t="s">
        <v>7648</v>
      </c>
      <c r="B2804" s="83" t="s">
        <v>7577</v>
      </c>
      <c r="C2804" s="83" t="s">
        <v>7648</v>
      </c>
      <c r="D2804" s="83" t="s">
        <v>7735</v>
      </c>
      <c r="E2804" s="84" t="b">
        <f>sch_avail_sp_sportssportsfac_tennis</f>
        <v>0</v>
      </c>
      <c r="F2804" s="83" t="b">
        <f t="shared" si="59"/>
        <v>1</v>
      </c>
      <c r="G2804" s="83" t="s">
        <v>2287</v>
      </c>
      <c r="H2804" s="83"/>
    </row>
    <row r="2805" spans="1:8">
      <c r="A2805" s="83" t="s">
        <v>7649</v>
      </c>
      <c r="B2805" s="83" t="s">
        <v>7577</v>
      </c>
      <c r="C2805" s="83" t="s">
        <v>7649</v>
      </c>
      <c r="D2805" s="83" t="s">
        <v>7736</v>
      </c>
      <c r="E2805" s="84" t="b">
        <f>sch_avail_sp_sportsevent_volleyball</f>
        <v>0</v>
      </c>
      <c r="F2805" s="83" t="b">
        <f t="shared" si="59"/>
        <v>1</v>
      </c>
      <c r="G2805" s="83" t="s">
        <v>2287</v>
      </c>
      <c r="H2805" s="83"/>
    </row>
    <row r="2806" spans="1:8">
      <c r="A2806" s="83" t="s">
        <v>7650</v>
      </c>
      <c r="B2806" s="83" t="s">
        <v>7577</v>
      </c>
      <c r="C2806" s="83" t="s">
        <v>7650</v>
      </c>
      <c r="D2806" s="83" t="s">
        <v>7737</v>
      </c>
      <c r="E2806" s="84" t="b">
        <f>sch_avail_sp_sportsclub_volleyball</f>
        <v>0</v>
      </c>
      <c r="F2806" s="83" t="b">
        <f t="shared" si="59"/>
        <v>1</v>
      </c>
      <c r="G2806" s="83" t="s">
        <v>2287</v>
      </c>
      <c r="H2806" s="83"/>
    </row>
    <row r="2807" spans="1:8">
      <c r="A2807" s="83" t="s">
        <v>7651</v>
      </c>
      <c r="B2807" s="83" t="s">
        <v>7577</v>
      </c>
      <c r="C2807" s="83" t="s">
        <v>7651</v>
      </c>
      <c r="D2807" s="83" t="s">
        <v>7738</v>
      </c>
      <c r="E2807" s="84" t="b">
        <f>sch_avail_sp_sportssportsfac_volleyball</f>
        <v>1</v>
      </c>
      <c r="F2807" s="83" t="b">
        <f t="shared" si="59"/>
        <v>1</v>
      </c>
      <c r="G2807" s="83" t="s">
        <v>2287</v>
      </c>
      <c r="H2807" s="83"/>
    </row>
    <row r="2808" spans="1:8">
      <c r="A2808" s="83" t="s">
        <v>7652</v>
      </c>
      <c r="B2808" s="83" t="s">
        <v>7577</v>
      </c>
      <c r="C2808" s="83" t="s">
        <v>7652</v>
      </c>
      <c r="D2808" s="83" t="s">
        <v>7739</v>
      </c>
      <c r="E2808" s="84" t="b">
        <f>sch_avail_sp_sportsevent_wrestling</f>
        <v>0</v>
      </c>
      <c r="F2808" s="83" t="b">
        <f t="shared" si="59"/>
        <v>1</v>
      </c>
      <c r="G2808" s="83" t="s">
        <v>2287</v>
      </c>
      <c r="H2808" s="83"/>
    </row>
    <row r="2809" spans="1:8">
      <c r="A2809" s="83" t="s">
        <v>7653</v>
      </c>
      <c r="B2809" s="83" t="s">
        <v>7577</v>
      </c>
      <c r="C2809" s="83" t="s">
        <v>7653</v>
      </c>
      <c r="D2809" s="83" t="s">
        <v>7740</v>
      </c>
      <c r="E2809" s="84" t="b">
        <f>sch_avail_sp_sportsclub_wrestling</f>
        <v>0</v>
      </c>
      <c r="F2809" s="83" t="b">
        <f t="shared" si="59"/>
        <v>1</v>
      </c>
      <c r="G2809" s="83" t="s">
        <v>2287</v>
      </c>
      <c r="H2809" s="83"/>
    </row>
    <row r="2810" spans="1:8">
      <c r="A2810" s="83" t="s">
        <v>7654</v>
      </c>
      <c r="B2810" s="83" t="s">
        <v>7577</v>
      </c>
      <c r="C2810" s="83" t="s">
        <v>7654</v>
      </c>
      <c r="D2810" s="83" t="s">
        <v>7741</v>
      </c>
      <c r="E2810" s="84" t="b">
        <f>sch_avail_sp_sportssportsfac_wrestling</f>
        <v>0</v>
      </c>
      <c r="F2810" s="83" t="b">
        <f t="shared" si="59"/>
        <v>1</v>
      </c>
      <c r="G2810" s="83" t="s">
        <v>2287</v>
      </c>
      <c r="H2810" s="83"/>
    </row>
    <row r="2811" spans="1:8">
      <c r="A2811" s="83" t="s">
        <v>7655</v>
      </c>
      <c r="B2811" s="83" t="s">
        <v>7577</v>
      </c>
      <c r="C2811" s="83" t="s">
        <v>7655</v>
      </c>
      <c r="D2811" s="83" t="s">
        <v>7742</v>
      </c>
      <c r="E2811" s="84" t="b">
        <f>sch_avail_sp_sportsevent_wushu</f>
        <v>0</v>
      </c>
      <c r="F2811" s="83" t="b">
        <f t="shared" si="59"/>
        <v>1</v>
      </c>
      <c r="G2811" s="83" t="s">
        <v>2287</v>
      </c>
      <c r="H2811" s="83"/>
    </row>
    <row r="2812" spans="1:8">
      <c r="A2812" s="83" t="s">
        <v>7656</v>
      </c>
      <c r="B2812" s="83" t="s">
        <v>7577</v>
      </c>
      <c r="C2812" s="83" t="s">
        <v>7656</v>
      </c>
      <c r="D2812" s="83" t="s">
        <v>7743</v>
      </c>
      <c r="E2812" s="84" t="b">
        <f>sch_avail_sp_sportsclub_wushu</f>
        <v>0</v>
      </c>
      <c r="F2812" s="83" t="b">
        <f t="shared" si="59"/>
        <v>1</v>
      </c>
      <c r="G2812" s="83" t="s">
        <v>2287</v>
      </c>
      <c r="H2812" s="83"/>
    </row>
    <row r="2813" spans="1:8">
      <c r="A2813" s="83" t="s">
        <v>7657</v>
      </c>
      <c r="B2813" s="83" t="s">
        <v>7577</v>
      </c>
      <c r="C2813" s="83" t="s">
        <v>7657</v>
      </c>
      <c r="D2813" s="83" t="s">
        <v>7744</v>
      </c>
      <c r="E2813" s="84" t="b">
        <f>sch_avail_sp_sportssportsfac_wushu</f>
        <v>0</v>
      </c>
      <c r="F2813" s="83" t="b">
        <f t="shared" si="59"/>
        <v>1</v>
      </c>
      <c r="G2813" s="83" t="s">
        <v>2287</v>
      </c>
      <c r="H2813" s="83"/>
    </row>
    <row r="2814" spans="1:8">
      <c r="A2814" s="83" t="s">
        <v>7658</v>
      </c>
      <c r="B2814" s="83" t="s">
        <v>7577</v>
      </c>
      <c r="C2814" s="83" t="s">
        <v>7658</v>
      </c>
      <c r="D2814" s="83" t="s">
        <v>7745</v>
      </c>
      <c r="E2814" s="84" t="b">
        <f>sch_avail_sp_sportsevent_bocce</f>
        <v>0</v>
      </c>
      <c r="F2814" s="83" t="b">
        <f t="shared" si="59"/>
        <v>1</v>
      </c>
      <c r="G2814" s="83" t="s">
        <v>2287</v>
      </c>
      <c r="H2814" s="83"/>
    </row>
    <row r="2815" spans="1:8">
      <c r="A2815" s="83" t="s">
        <v>7659</v>
      </c>
      <c r="B2815" s="83" t="s">
        <v>7577</v>
      </c>
      <c r="C2815" s="83" t="s">
        <v>7659</v>
      </c>
      <c r="D2815" s="83" t="s">
        <v>7746</v>
      </c>
      <c r="E2815" s="84" t="b">
        <f>sch_avail_sp_sportsclub_bocce</f>
        <v>0</v>
      </c>
      <c r="F2815" s="83" t="b">
        <f t="shared" si="59"/>
        <v>1</v>
      </c>
      <c r="G2815" s="83" t="s">
        <v>2287</v>
      </c>
      <c r="H2815" s="83"/>
    </row>
    <row r="2816" spans="1:8">
      <c r="A2816" s="83" t="s">
        <v>7660</v>
      </c>
      <c r="B2816" s="83" t="s">
        <v>7577</v>
      </c>
      <c r="C2816" s="83" t="s">
        <v>7660</v>
      </c>
      <c r="D2816" s="83" t="s">
        <v>7747</v>
      </c>
      <c r="E2816" s="84" t="b">
        <f>sch_avail_sp_sportssportsfac_bocce</f>
        <v>0</v>
      </c>
      <c r="F2816" s="83" t="b">
        <f t="shared" si="59"/>
        <v>1</v>
      </c>
      <c r="G2816" s="83" t="s">
        <v>2287</v>
      </c>
      <c r="H2816" s="83"/>
    </row>
    <row r="2817" spans="1:8">
      <c r="A2817" s="83" t="s">
        <v>7661</v>
      </c>
      <c r="B2817" s="83" t="s">
        <v>7577</v>
      </c>
      <c r="C2817" s="83" t="s">
        <v>7661</v>
      </c>
      <c r="D2817" s="83" t="s">
        <v>7748</v>
      </c>
      <c r="E2817" s="84" t="b">
        <f>sch_avail_sp_sportsevent_goalball</f>
        <v>0</v>
      </c>
      <c r="F2817" s="83" t="b">
        <f t="shared" si="59"/>
        <v>1</v>
      </c>
      <c r="G2817" s="83" t="s">
        <v>2287</v>
      </c>
      <c r="H2817" s="83"/>
    </row>
    <row r="2818" spans="1:8">
      <c r="A2818" s="83" t="s">
        <v>7662</v>
      </c>
      <c r="B2818" s="83" t="s">
        <v>7577</v>
      </c>
      <c r="C2818" s="83" t="s">
        <v>7662</v>
      </c>
      <c r="D2818" s="83" t="s">
        <v>7749</v>
      </c>
      <c r="E2818" s="84" t="b">
        <f>sch_avail_sp_sportsclub_goalball</f>
        <v>0</v>
      </c>
      <c r="F2818" s="83" t="b">
        <f t="shared" si="59"/>
        <v>1</v>
      </c>
      <c r="G2818" s="83" t="s">
        <v>2287</v>
      </c>
      <c r="H2818" s="83"/>
    </row>
    <row r="2819" spans="1:8" s="112" customFormat="1" ht="16" thickBot="1">
      <c r="A2819" s="85" t="s">
        <v>7663</v>
      </c>
      <c r="B2819" s="85" t="s">
        <v>7577</v>
      </c>
      <c r="C2819" s="85" t="s">
        <v>7663</v>
      </c>
      <c r="D2819" s="85" t="s">
        <v>7750</v>
      </c>
      <c r="E2819" s="86" t="b">
        <f>sch_avail_sp_sportssportsfac_goalball</f>
        <v>0</v>
      </c>
      <c r="F2819" s="85" t="b">
        <f t="shared" si="59"/>
        <v>1</v>
      </c>
      <c r="G2819" s="85" t="s">
        <v>2287</v>
      </c>
      <c r="H2819" s="85"/>
    </row>
    <row r="2820" spans="1:8">
      <c r="A2820" s="83" t="s">
        <v>7754</v>
      </c>
      <c r="B2820" s="83" t="s">
        <v>7752</v>
      </c>
      <c r="C2820" s="83" t="s">
        <v>7754</v>
      </c>
      <c r="D2820" s="83" t="s">
        <v>7899</v>
      </c>
      <c r="E2820" s="84">
        <f>sch_sp_se_num_coaches_arch</f>
        <v>0</v>
      </c>
      <c r="F2820" s="83" t="b">
        <v>1</v>
      </c>
      <c r="G2820" s="83"/>
      <c r="H2820" s="83"/>
    </row>
    <row r="2821" spans="1:8">
      <c r="A2821" s="83" t="s">
        <v>7755</v>
      </c>
      <c r="B2821" s="83" t="s">
        <v>7752</v>
      </c>
      <c r="C2821" s="83" t="s">
        <v>7755</v>
      </c>
      <c r="D2821" s="83" t="s">
        <v>7900</v>
      </c>
      <c r="E2821" s="84">
        <f>sch_sp_se_num_officials_arch</f>
        <v>0</v>
      </c>
      <c r="F2821" s="83" t="b">
        <v>1</v>
      </c>
      <c r="G2821" s="83"/>
      <c r="H2821" s="83"/>
    </row>
    <row r="2822" spans="1:8">
      <c r="A2822" s="83" t="s">
        <v>7756</v>
      </c>
      <c r="B2822" s="83" t="s">
        <v>7752</v>
      </c>
      <c r="C2822" s="83" t="s">
        <v>7756</v>
      </c>
      <c r="D2822" s="83" t="s">
        <v>7901</v>
      </c>
      <c r="E2822" s="84">
        <f>sch_sp_se_num_peteachss_arch</f>
        <v>0</v>
      </c>
      <c r="F2822" s="83" t="b">
        <v>1</v>
      </c>
      <c r="G2822" s="83"/>
      <c r="H2822" s="83"/>
    </row>
    <row r="2823" spans="1:8">
      <c r="A2823" s="83" t="s">
        <v>7757</v>
      </c>
      <c r="B2823" s="83" t="s">
        <v>7752</v>
      </c>
      <c r="C2823" s="83" t="s">
        <v>7757</v>
      </c>
      <c r="D2823" s="83" t="s">
        <v>7902</v>
      </c>
      <c r="E2823" s="84">
        <f>sch_sp_se_num_nonpeteachss_arch</f>
        <v>0</v>
      </c>
      <c r="F2823" s="83" t="b">
        <v>1</v>
      </c>
      <c r="G2823" s="83"/>
      <c r="H2823" s="83"/>
    </row>
    <row r="2824" spans="1:8">
      <c r="A2824" s="83" t="s">
        <v>7758</v>
      </c>
      <c r="B2824" s="83" t="s">
        <v>7752</v>
      </c>
      <c r="C2824" s="83" t="s">
        <v>7758</v>
      </c>
      <c r="D2824" s="83" t="s">
        <v>7903</v>
      </c>
      <c r="E2824" s="84">
        <f>sch_sp_se_num_nonteachpss_arch</f>
        <v>0</v>
      </c>
      <c r="F2824" s="83" t="b">
        <v>1</v>
      </c>
      <c r="G2824" s="83"/>
      <c r="H2824" s="83"/>
    </row>
    <row r="2825" spans="1:8">
      <c r="A2825" s="83" t="s">
        <v>7759</v>
      </c>
      <c r="B2825" s="83" t="s">
        <v>7752</v>
      </c>
      <c r="C2825" s="83" t="s">
        <v>7759</v>
      </c>
      <c r="D2825" s="83" t="s">
        <v>7904</v>
      </c>
      <c r="E2825" s="84">
        <f>sch_sp_se_num_coaches_arnis</f>
        <v>0</v>
      </c>
      <c r="F2825" s="83" t="b">
        <v>1</v>
      </c>
      <c r="G2825" s="83"/>
      <c r="H2825" s="83"/>
    </row>
    <row r="2826" spans="1:8">
      <c r="A2826" s="83" t="s">
        <v>7760</v>
      </c>
      <c r="B2826" s="83" t="s">
        <v>7752</v>
      </c>
      <c r="C2826" s="83" t="s">
        <v>7760</v>
      </c>
      <c r="D2826" s="83" t="s">
        <v>7905</v>
      </c>
      <c r="E2826" s="84">
        <f>sch_sp_se_num_officials_arnis</f>
        <v>0</v>
      </c>
      <c r="F2826" s="83" t="b">
        <v>1</v>
      </c>
      <c r="G2826" s="83"/>
      <c r="H2826" s="83"/>
    </row>
    <row r="2827" spans="1:8">
      <c r="A2827" s="83" t="s">
        <v>7761</v>
      </c>
      <c r="B2827" s="83" t="s">
        <v>7752</v>
      </c>
      <c r="C2827" s="83" t="s">
        <v>7761</v>
      </c>
      <c r="D2827" s="83" t="s">
        <v>7906</v>
      </c>
      <c r="E2827" s="84">
        <f>sch_sp_se_num_peteachss_arnis</f>
        <v>0</v>
      </c>
      <c r="F2827" s="83" t="b">
        <v>1</v>
      </c>
      <c r="G2827" s="83"/>
      <c r="H2827" s="83"/>
    </row>
    <row r="2828" spans="1:8">
      <c r="A2828" s="83" t="s">
        <v>7762</v>
      </c>
      <c r="B2828" s="83" t="s">
        <v>7752</v>
      </c>
      <c r="C2828" s="83" t="s">
        <v>7762</v>
      </c>
      <c r="D2828" s="83" t="s">
        <v>7907</v>
      </c>
      <c r="E2828" s="84">
        <f>sch_sp_se_num_nonpeteachss_arnis</f>
        <v>0</v>
      </c>
      <c r="F2828" s="83" t="b">
        <v>1</v>
      </c>
      <c r="G2828" s="83"/>
      <c r="H2828" s="83"/>
    </row>
    <row r="2829" spans="1:8">
      <c r="A2829" s="83" t="s">
        <v>7763</v>
      </c>
      <c r="B2829" s="83" t="s">
        <v>7752</v>
      </c>
      <c r="C2829" s="83" t="s">
        <v>7763</v>
      </c>
      <c r="D2829" s="83" t="s">
        <v>7908</v>
      </c>
      <c r="E2829" s="84">
        <f>sch_sp_se_num_nonteachpss_arnis</f>
        <v>0</v>
      </c>
      <c r="F2829" s="83" t="b">
        <v>1</v>
      </c>
      <c r="G2829" s="83"/>
      <c r="H2829" s="83"/>
    </row>
    <row r="2830" spans="1:8">
      <c r="A2830" s="83" t="s">
        <v>7764</v>
      </c>
      <c r="B2830" s="83" t="s">
        <v>7752</v>
      </c>
      <c r="C2830" s="83" t="s">
        <v>7764</v>
      </c>
      <c r="D2830" s="83" t="s">
        <v>7909</v>
      </c>
      <c r="E2830" s="84">
        <f>sch_sp_se_num_coaches_athlthrow</f>
        <v>1</v>
      </c>
      <c r="F2830" s="83" t="b">
        <v>1</v>
      </c>
      <c r="G2830" s="83"/>
      <c r="H2830" s="83"/>
    </row>
    <row r="2831" spans="1:8">
      <c r="A2831" s="83" t="s">
        <v>7765</v>
      </c>
      <c r="B2831" s="83" t="s">
        <v>7752</v>
      </c>
      <c r="C2831" s="83" t="s">
        <v>7765</v>
      </c>
      <c r="D2831" s="83" t="s">
        <v>7910</v>
      </c>
      <c r="E2831" s="84">
        <f>sch_sp_se_num_officials_athlthrow</f>
        <v>0</v>
      </c>
      <c r="F2831" s="83" t="b">
        <v>1</v>
      </c>
      <c r="G2831" s="83"/>
      <c r="H2831" s="83"/>
    </row>
    <row r="2832" spans="1:8">
      <c r="A2832" s="83" t="s">
        <v>7766</v>
      </c>
      <c r="B2832" s="83" t="s">
        <v>7752</v>
      </c>
      <c r="C2832" s="83" t="s">
        <v>7766</v>
      </c>
      <c r="D2832" s="83" t="s">
        <v>7911</v>
      </c>
      <c r="E2832" s="84">
        <f>sch_sp_se_num_peteachss_athlthrow</f>
        <v>0</v>
      </c>
      <c r="F2832" s="83" t="b">
        <v>1</v>
      </c>
      <c r="G2832" s="83"/>
      <c r="H2832" s="83"/>
    </row>
    <row r="2833" spans="1:8">
      <c r="A2833" s="83" t="s">
        <v>7767</v>
      </c>
      <c r="B2833" s="83" t="s">
        <v>7752</v>
      </c>
      <c r="C2833" s="83" t="s">
        <v>7767</v>
      </c>
      <c r="D2833" s="83" t="s">
        <v>7912</v>
      </c>
      <c r="E2833" s="84">
        <f>sch_sp_se_num_nonpeteachss_athlthrow</f>
        <v>0</v>
      </c>
      <c r="F2833" s="83" t="b">
        <v>1</v>
      </c>
      <c r="G2833" s="83"/>
      <c r="H2833" s="83"/>
    </row>
    <row r="2834" spans="1:8">
      <c r="A2834" s="83" t="s">
        <v>7768</v>
      </c>
      <c r="B2834" s="83" t="s">
        <v>7752</v>
      </c>
      <c r="C2834" s="83" t="s">
        <v>7768</v>
      </c>
      <c r="D2834" s="83" t="s">
        <v>7913</v>
      </c>
      <c r="E2834" s="84">
        <f>sch_sp_se_num_nonteachpss_athlthrow</f>
        <v>0</v>
      </c>
      <c r="F2834" s="83" t="b">
        <v>1</v>
      </c>
      <c r="G2834" s="83"/>
      <c r="H2834" s="83"/>
    </row>
    <row r="2835" spans="1:8">
      <c r="A2835" s="83" t="s">
        <v>7769</v>
      </c>
      <c r="B2835" s="83" t="s">
        <v>7752</v>
      </c>
      <c r="C2835" s="83" t="s">
        <v>7769</v>
      </c>
      <c r="D2835" s="83" t="s">
        <v>7914</v>
      </c>
      <c r="E2835" s="84">
        <f>sch_sp_se_num_coaches_athltrun</f>
        <v>1</v>
      </c>
      <c r="F2835" s="83" t="b">
        <v>1</v>
      </c>
      <c r="G2835" s="83"/>
      <c r="H2835" s="83"/>
    </row>
    <row r="2836" spans="1:8">
      <c r="A2836" s="83" t="s">
        <v>7770</v>
      </c>
      <c r="B2836" s="83" t="s">
        <v>7752</v>
      </c>
      <c r="C2836" s="83" t="s">
        <v>7770</v>
      </c>
      <c r="D2836" s="83" t="s">
        <v>7915</v>
      </c>
      <c r="E2836" s="84">
        <f>sch_sp_se_num_officials_athltrun</f>
        <v>0</v>
      </c>
      <c r="F2836" s="83" t="b">
        <v>1</v>
      </c>
      <c r="G2836" s="83"/>
      <c r="H2836" s="83"/>
    </row>
    <row r="2837" spans="1:8">
      <c r="A2837" s="83" t="s">
        <v>7771</v>
      </c>
      <c r="B2837" s="83" t="s">
        <v>7752</v>
      </c>
      <c r="C2837" s="83" t="s">
        <v>7771</v>
      </c>
      <c r="D2837" s="83" t="s">
        <v>7916</v>
      </c>
      <c r="E2837" s="84">
        <f>sch_sp_se_num_peteachss_athltrun</f>
        <v>0</v>
      </c>
      <c r="F2837" s="83" t="b">
        <v>1</v>
      </c>
      <c r="G2837" s="83"/>
      <c r="H2837" s="83"/>
    </row>
    <row r="2838" spans="1:8">
      <c r="A2838" s="83" t="s">
        <v>7772</v>
      </c>
      <c r="B2838" s="83" t="s">
        <v>7752</v>
      </c>
      <c r="C2838" s="83" t="s">
        <v>7772</v>
      </c>
      <c r="D2838" s="83" t="s">
        <v>7917</v>
      </c>
      <c r="E2838" s="84">
        <f>sch_sp_se_num_nonpeteachss_athltrun</f>
        <v>0</v>
      </c>
      <c r="F2838" s="83" t="b">
        <v>1</v>
      </c>
      <c r="G2838" s="83"/>
      <c r="H2838" s="83"/>
    </row>
    <row r="2839" spans="1:8">
      <c r="A2839" s="83" t="s">
        <v>7773</v>
      </c>
      <c r="B2839" s="83" t="s">
        <v>7752</v>
      </c>
      <c r="C2839" s="83" t="s">
        <v>7773</v>
      </c>
      <c r="D2839" s="83" t="s">
        <v>7918</v>
      </c>
      <c r="E2839" s="84">
        <f>sch_sp_se_num_nonteachpss_athltrun</f>
        <v>0</v>
      </c>
      <c r="F2839" s="83" t="b">
        <v>1</v>
      </c>
      <c r="G2839" s="83"/>
      <c r="H2839" s="83"/>
    </row>
    <row r="2840" spans="1:8">
      <c r="A2840" s="83" t="s">
        <v>7774</v>
      </c>
      <c r="B2840" s="83" t="s">
        <v>7752</v>
      </c>
      <c r="C2840" s="83" t="s">
        <v>7774</v>
      </c>
      <c r="D2840" s="83" t="s">
        <v>7919</v>
      </c>
      <c r="E2840" s="84">
        <f>sch_sp_se_num_coaches_badm</f>
        <v>0</v>
      </c>
      <c r="F2840" s="83" t="b">
        <v>1</v>
      </c>
      <c r="G2840" s="83"/>
      <c r="H2840" s="83"/>
    </row>
    <row r="2841" spans="1:8">
      <c r="A2841" s="83" t="s">
        <v>7775</v>
      </c>
      <c r="B2841" s="83" t="s">
        <v>7752</v>
      </c>
      <c r="C2841" s="83" t="s">
        <v>7775</v>
      </c>
      <c r="D2841" s="83" t="s">
        <v>7920</v>
      </c>
      <c r="E2841" s="84">
        <f>sch_sp_se_num_officials_badm</f>
        <v>0</v>
      </c>
      <c r="F2841" s="83" t="b">
        <v>1</v>
      </c>
      <c r="G2841" s="83"/>
      <c r="H2841" s="83"/>
    </row>
    <row r="2842" spans="1:8">
      <c r="A2842" s="83" t="s">
        <v>7776</v>
      </c>
      <c r="B2842" s="83" t="s">
        <v>7752</v>
      </c>
      <c r="C2842" s="83" t="s">
        <v>7776</v>
      </c>
      <c r="D2842" s="83" t="s">
        <v>7921</v>
      </c>
      <c r="E2842" s="84">
        <f>sch_sp_se_num_peteachss_badm</f>
        <v>0</v>
      </c>
      <c r="F2842" s="83" t="b">
        <v>1</v>
      </c>
      <c r="G2842" s="83"/>
      <c r="H2842" s="83"/>
    </row>
    <row r="2843" spans="1:8">
      <c r="A2843" s="83" t="s">
        <v>7777</v>
      </c>
      <c r="B2843" s="83" t="s">
        <v>7752</v>
      </c>
      <c r="C2843" s="83" t="s">
        <v>7777</v>
      </c>
      <c r="D2843" s="83" t="s">
        <v>7922</v>
      </c>
      <c r="E2843" s="84">
        <f>sch_sp_se_num_nonpeteachss_badm</f>
        <v>0</v>
      </c>
      <c r="F2843" s="83" t="b">
        <v>1</v>
      </c>
      <c r="G2843" s="83"/>
      <c r="H2843" s="83"/>
    </row>
    <row r="2844" spans="1:8">
      <c r="A2844" s="83" t="s">
        <v>7778</v>
      </c>
      <c r="B2844" s="83" t="s">
        <v>7752</v>
      </c>
      <c r="C2844" s="83" t="s">
        <v>7778</v>
      </c>
      <c r="D2844" s="83" t="s">
        <v>7923</v>
      </c>
      <c r="E2844" s="84">
        <f>sch_sp_se_num_nonteachpss_badm</f>
        <v>0</v>
      </c>
      <c r="F2844" s="83" t="b">
        <v>1</v>
      </c>
      <c r="G2844" s="83"/>
      <c r="H2844" s="83"/>
    </row>
    <row r="2845" spans="1:8">
      <c r="A2845" s="83" t="s">
        <v>7779</v>
      </c>
      <c r="B2845" s="83" t="s">
        <v>7752</v>
      </c>
      <c r="C2845" s="83" t="s">
        <v>7779</v>
      </c>
      <c r="D2845" s="83" t="s">
        <v>7924</v>
      </c>
      <c r="E2845" s="84">
        <f>sch_sp_se_num_coaches_basket</f>
        <v>0</v>
      </c>
      <c r="F2845" s="83" t="b">
        <v>1</v>
      </c>
      <c r="G2845" s="83"/>
      <c r="H2845" s="83"/>
    </row>
    <row r="2846" spans="1:8">
      <c r="A2846" s="83" t="s">
        <v>7780</v>
      </c>
      <c r="B2846" s="83" t="s">
        <v>7752</v>
      </c>
      <c r="C2846" s="83" t="s">
        <v>7780</v>
      </c>
      <c r="D2846" s="83" t="s">
        <v>7925</v>
      </c>
      <c r="E2846" s="84">
        <f>sch_sp_se_num_officials_basket</f>
        <v>0</v>
      </c>
      <c r="F2846" s="83" t="b">
        <v>1</v>
      </c>
      <c r="G2846" s="83"/>
      <c r="H2846" s="83"/>
    </row>
    <row r="2847" spans="1:8">
      <c r="A2847" s="83" t="s">
        <v>7781</v>
      </c>
      <c r="B2847" s="83" t="s">
        <v>7752</v>
      </c>
      <c r="C2847" s="83" t="s">
        <v>7781</v>
      </c>
      <c r="D2847" s="83" t="s">
        <v>7926</v>
      </c>
      <c r="E2847" s="84">
        <f>sch_sp_se_num_peteachss_basket</f>
        <v>0</v>
      </c>
      <c r="F2847" s="83" t="b">
        <v>1</v>
      </c>
      <c r="G2847" s="83"/>
      <c r="H2847" s="83"/>
    </row>
    <row r="2848" spans="1:8">
      <c r="A2848" s="83" t="s">
        <v>7782</v>
      </c>
      <c r="B2848" s="83" t="s">
        <v>7752</v>
      </c>
      <c r="C2848" s="83" t="s">
        <v>7782</v>
      </c>
      <c r="D2848" s="83" t="s">
        <v>7927</v>
      </c>
      <c r="E2848" s="84">
        <f>sch_sp_se_num_nonpeteachss_basket</f>
        <v>0</v>
      </c>
      <c r="F2848" s="83" t="b">
        <v>1</v>
      </c>
      <c r="G2848" s="83"/>
      <c r="H2848" s="83"/>
    </row>
    <row r="2849" spans="1:8">
      <c r="A2849" s="83" t="s">
        <v>7783</v>
      </c>
      <c r="B2849" s="83" t="s">
        <v>7752</v>
      </c>
      <c r="C2849" s="83" t="s">
        <v>7783</v>
      </c>
      <c r="D2849" s="83" t="s">
        <v>7928</v>
      </c>
      <c r="E2849" s="84">
        <f>sch_sp_se_num_nonteachpss_basket</f>
        <v>0</v>
      </c>
      <c r="F2849" s="83" t="b">
        <v>1</v>
      </c>
      <c r="G2849" s="83"/>
      <c r="H2849" s="83"/>
    </row>
    <row r="2850" spans="1:8">
      <c r="A2850" s="83" t="s">
        <v>7784</v>
      </c>
      <c r="B2850" s="83" t="s">
        <v>7752</v>
      </c>
      <c r="C2850" s="83" t="s">
        <v>7784</v>
      </c>
      <c r="D2850" s="83" t="s">
        <v>7929</v>
      </c>
      <c r="E2850" s="84">
        <f>sch_sp_se_num_coaches_baseball</f>
        <v>0</v>
      </c>
      <c r="F2850" s="83" t="b">
        <v>1</v>
      </c>
      <c r="G2850" s="83"/>
      <c r="H2850" s="83"/>
    </row>
    <row r="2851" spans="1:8">
      <c r="A2851" s="83" t="s">
        <v>7785</v>
      </c>
      <c r="B2851" s="83" t="s">
        <v>7752</v>
      </c>
      <c r="C2851" s="83" t="s">
        <v>7785</v>
      </c>
      <c r="D2851" s="83" t="s">
        <v>7930</v>
      </c>
      <c r="E2851" s="84">
        <f>sch_sp_se_num_officials_baseball</f>
        <v>0</v>
      </c>
      <c r="F2851" s="83" t="b">
        <v>1</v>
      </c>
      <c r="G2851" s="83"/>
      <c r="H2851" s="83"/>
    </row>
    <row r="2852" spans="1:8">
      <c r="A2852" s="83" t="s">
        <v>7786</v>
      </c>
      <c r="B2852" s="83" t="s">
        <v>7752</v>
      </c>
      <c r="C2852" s="83" t="s">
        <v>7786</v>
      </c>
      <c r="D2852" s="83" t="s">
        <v>7931</v>
      </c>
      <c r="E2852" s="84">
        <f>sch_sp_se_num_peteachss_baseball</f>
        <v>0</v>
      </c>
      <c r="F2852" s="83" t="b">
        <v>1</v>
      </c>
      <c r="G2852" s="83"/>
      <c r="H2852" s="83"/>
    </row>
    <row r="2853" spans="1:8">
      <c r="A2853" s="83" t="s">
        <v>7787</v>
      </c>
      <c r="B2853" s="83" t="s">
        <v>7752</v>
      </c>
      <c r="C2853" s="83" t="s">
        <v>7787</v>
      </c>
      <c r="D2853" s="83" t="s">
        <v>7932</v>
      </c>
      <c r="E2853" s="84">
        <f>sch_sp_se_num_nonpeteachss_baseball</f>
        <v>0</v>
      </c>
      <c r="F2853" s="83" t="b">
        <v>1</v>
      </c>
      <c r="G2853" s="83"/>
      <c r="H2853" s="83"/>
    </row>
    <row r="2854" spans="1:8">
      <c r="A2854" s="83" t="s">
        <v>7788</v>
      </c>
      <c r="B2854" s="83" t="s">
        <v>7752</v>
      </c>
      <c r="C2854" s="83" t="s">
        <v>7788</v>
      </c>
      <c r="D2854" s="83" t="s">
        <v>7933</v>
      </c>
      <c r="E2854" s="84">
        <f>sch_sp_se_num_nonteachpss_baseball</f>
        <v>0</v>
      </c>
      <c r="F2854" s="83" t="b">
        <v>1</v>
      </c>
      <c r="G2854" s="83"/>
      <c r="H2854" s="83"/>
    </row>
    <row r="2855" spans="1:8">
      <c r="A2855" s="83" t="s">
        <v>7789</v>
      </c>
      <c r="B2855" s="83" t="s">
        <v>7752</v>
      </c>
      <c r="C2855" s="83" t="s">
        <v>7789</v>
      </c>
      <c r="D2855" s="83" t="s">
        <v>7934</v>
      </c>
      <c r="E2855" s="84">
        <f>sch_sp_se_num_coaches_billard</f>
        <v>0</v>
      </c>
      <c r="F2855" s="83" t="b">
        <v>1</v>
      </c>
      <c r="G2855" s="83"/>
      <c r="H2855" s="83"/>
    </row>
    <row r="2856" spans="1:8">
      <c r="A2856" s="83" t="s">
        <v>7790</v>
      </c>
      <c r="B2856" s="83" t="s">
        <v>7752</v>
      </c>
      <c r="C2856" s="83" t="s">
        <v>7790</v>
      </c>
      <c r="D2856" s="83" t="s">
        <v>7935</v>
      </c>
      <c r="E2856" s="84">
        <f>sch_sp_se_num_officials_billard</f>
        <v>0</v>
      </c>
      <c r="F2856" s="83" t="b">
        <v>1</v>
      </c>
      <c r="G2856" s="83"/>
      <c r="H2856" s="83"/>
    </row>
    <row r="2857" spans="1:8">
      <c r="A2857" s="83" t="s">
        <v>7791</v>
      </c>
      <c r="B2857" s="83" t="s">
        <v>7752</v>
      </c>
      <c r="C2857" s="83" t="s">
        <v>7791</v>
      </c>
      <c r="D2857" s="83" t="s">
        <v>7936</v>
      </c>
      <c r="E2857" s="84">
        <f>sch_sp_se_num_peteachss_billard</f>
        <v>0</v>
      </c>
      <c r="F2857" s="83" t="b">
        <v>1</v>
      </c>
      <c r="G2857" s="83"/>
      <c r="H2857" s="83"/>
    </row>
    <row r="2858" spans="1:8">
      <c r="A2858" s="83" t="s">
        <v>7792</v>
      </c>
      <c r="B2858" s="83" t="s">
        <v>7752</v>
      </c>
      <c r="C2858" s="83" t="s">
        <v>7792</v>
      </c>
      <c r="D2858" s="83" t="s">
        <v>7937</v>
      </c>
      <c r="E2858" s="84">
        <f>sch_sp_se_num_nonpeteachss_billard</f>
        <v>0</v>
      </c>
      <c r="F2858" s="83" t="b">
        <v>1</v>
      </c>
      <c r="G2858" s="83"/>
      <c r="H2858" s="83"/>
    </row>
    <row r="2859" spans="1:8">
      <c r="A2859" s="83" t="s">
        <v>7793</v>
      </c>
      <c r="B2859" s="83" t="s">
        <v>7752</v>
      </c>
      <c r="C2859" s="83" t="s">
        <v>7793</v>
      </c>
      <c r="D2859" s="83" t="s">
        <v>7938</v>
      </c>
      <c r="E2859" s="84">
        <f>sch_sp_se_num_nonteachpss_billard</f>
        <v>0</v>
      </c>
      <c r="F2859" s="83" t="b">
        <v>1</v>
      </c>
      <c r="G2859" s="83"/>
      <c r="H2859" s="83"/>
    </row>
    <row r="2860" spans="1:8">
      <c r="A2860" s="83" t="s">
        <v>7794</v>
      </c>
      <c r="B2860" s="83" t="s">
        <v>7752</v>
      </c>
      <c r="C2860" s="83" t="s">
        <v>7794</v>
      </c>
      <c r="D2860" s="83" t="s">
        <v>7939</v>
      </c>
      <c r="E2860" s="84">
        <f>sch_sp_se_num_coaches_boxing</f>
        <v>0</v>
      </c>
      <c r="F2860" s="83" t="b">
        <v>1</v>
      </c>
      <c r="G2860" s="83"/>
      <c r="H2860" s="83"/>
    </row>
    <row r="2861" spans="1:8">
      <c r="A2861" s="83" t="s">
        <v>7795</v>
      </c>
      <c r="B2861" s="83" t="s">
        <v>7752</v>
      </c>
      <c r="C2861" s="83" t="s">
        <v>7795</v>
      </c>
      <c r="D2861" s="83" t="s">
        <v>7940</v>
      </c>
      <c r="E2861" s="84">
        <f>sch_sp_se_num_officials_boxing</f>
        <v>0</v>
      </c>
      <c r="F2861" s="83" t="b">
        <v>1</v>
      </c>
      <c r="G2861" s="83"/>
      <c r="H2861" s="83"/>
    </row>
    <row r="2862" spans="1:8">
      <c r="A2862" s="83" t="s">
        <v>7796</v>
      </c>
      <c r="B2862" s="83" t="s">
        <v>7752</v>
      </c>
      <c r="C2862" s="83" t="s">
        <v>7796</v>
      </c>
      <c r="D2862" s="83" t="s">
        <v>7941</v>
      </c>
      <c r="E2862" s="84">
        <f>sch_sp_se_num_peteachss_boxing</f>
        <v>0</v>
      </c>
      <c r="F2862" s="83" t="b">
        <v>1</v>
      </c>
      <c r="G2862" s="83"/>
      <c r="H2862" s="83"/>
    </row>
    <row r="2863" spans="1:8">
      <c r="A2863" s="83" t="s">
        <v>7797</v>
      </c>
      <c r="B2863" s="83" t="s">
        <v>7752</v>
      </c>
      <c r="C2863" s="83" t="s">
        <v>7797</v>
      </c>
      <c r="D2863" s="83" t="s">
        <v>7942</v>
      </c>
      <c r="E2863" s="84">
        <f>sch_sp_se_num_nonpeteachss_boxing</f>
        <v>0</v>
      </c>
      <c r="F2863" s="83" t="b">
        <v>1</v>
      </c>
      <c r="G2863" s="83"/>
      <c r="H2863" s="83"/>
    </row>
    <row r="2864" spans="1:8">
      <c r="A2864" s="83" t="s">
        <v>7798</v>
      </c>
      <c r="B2864" s="83" t="s">
        <v>7752</v>
      </c>
      <c r="C2864" s="83" t="s">
        <v>7798</v>
      </c>
      <c r="D2864" s="83" t="s">
        <v>7943</v>
      </c>
      <c r="E2864" s="84">
        <f>sch_sp_se_num_nonteachpss_boxing</f>
        <v>0</v>
      </c>
      <c r="F2864" s="83" t="b">
        <v>1</v>
      </c>
      <c r="G2864" s="83"/>
      <c r="H2864" s="83"/>
    </row>
    <row r="2865" spans="1:8">
      <c r="A2865" s="83" t="s">
        <v>7799</v>
      </c>
      <c r="B2865" s="83" t="s">
        <v>7752</v>
      </c>
      <c r="C2865" s="83" t="s">
        <v>7799</v>
      </c>
      <c r="D2865" s="83" t="s">
        <v>7944</v>
      </c>
      <c r="E2865" s="84">
        <f>sch_sp_se_num_coaches_chess</f>
        <v>0</v>
      </c>
      <c r="F2865" s="83" t="b">
        <v>1</v>
      </c>
      <c r="G2865" s="83"/>
      <c r="H2865" s="83"/>
    </row>
    <row r="2866" spans="1:8">
      <c r="A2866" s="83" t="s">
        <v>7800</v>
      </c>
      <c r="B2866" s="83" t="s">
        <v>7752</v>
      </c>
      <c r="C2866" s="83" t="s">
        <v>7800</v>
      </c>
      <c r="D2866" s="83" t="s">
        <v>7945</v>
      </c>
      <c r="E2866" s="84">
        <f>sch_sp_se_num_officials_chess</f>
        <v>0</v>
      </c>
      <c r="F2866" s="83" t="b">
        <v>1</v>
      </c>
      <c r="G2866" s="83"/>
      <c r="H2866" s="83"/>
    </row>
    <row r="2867" spans="1:8">
      <c r="A2867" s="83" t="s">
        <v>7801</v>
      </c>
      <c r="B2867" s="83" t="s">
        <v>7752</v>
      </c>
      <c r="C2867" s="83" t="s">
        <v>7801</v>
      </c>
      <c r="D2867" s="83" t="s">
        <v>7946</v>
      </c>
      <c r="E2867" s="84">
        <f>sch_sp_se_num_peteachss_chess</f>
        <v>0</v>
      </c>
      <c r="F2867" s="83" t="b">
        <v>1</v>
      </c>
      <c r="G2867" s="83"/>
      <c r="H2867" s="83"/>
    </row>
    <row r="2868" spans="1:8">
      <c r="A2868" s="83" t="s">
        <v>7802</v>
      </c>
      <c r="B2868" s="83" t="s">
        <v>7752</v>
      </c>
      <c r="C2868" s="83" t="s">
        <v>7802</v>
      </c>
      <c r="D2868" s="83" t="s">
        <v>7947</v>
      </c>
      <c r="E2868" s="84">
        <f>sch_sp_se_num_nonpeteachss_chess</f>
        <v>0</v>
      </c>
      <c r="F2868" s="83" t="b">
        <v>1</v>
      </c>
      <c r="G2868" s="83"/>
      <c r="H2868" s="83"/>
    </row>
    <row r="2869" spans="1:8">
      <c r="A2869" s="83" t="s">
        <v>7803</v>
      </c>
      <c r="B2869" s="83" t="s">
        <v>7752</v>
      </c>
      <c r="C2869" s="83" t="s">
        <v>7803</v>
      </c>
      <c r="D2869" s="83" t="s">
        <v>7948</v>
      </c>
      <c r="E2869" s="84">
        <f>sch_sp_se_num_nonteachpss_chess</f>
        <v>0</v>
      </c>
      <c r="F2869" s="83" t="b">
        <v>1</v>
      </c>
      <c r="G2869" s="83"/>
      <c r="H2869" s="83"/>
    </row>
    <row r="2870" spans="1:8">
      <c r="A2870" s="83" t="s">
        <v>7804</v>
      </c>
      <c r="B2870" s="83" t="s">
        <v>7752</v>
      </c>
      <c r="C2870" s="83" t="s">
        <v>7804</v>
      </c>
      <c r="D2870" s="83" t="s">
        <v>7949</v>
      </c>
      <c r="E2870" s="84">
        <f>sch_sp_se_num_coaches_dancesports</f>
        <v>1</v>
      </c>
      <c r="F2870" s="83" t="b">
        <v>1</v>
      </c>
      <c r="G2870" s="83"/>
      <c r="H2870" s="83"/>
    </row>
    <row r="2871" spans="1:8">
      <c r="A2871" s="83" t="s">
        <v>7805</v>
      </c>
      <c r="B2871" s="83" t="s">
        <v>7752</v>
      </c>
      <c r="C2871" s="83" t="s">
        <v>7805</v>
      </c>
      <c r="D2871" s="83" t="s">
        <v>7950</v>
      </c>
      <c r="E2871" s="84">
        <f>sch_sp_se_num_officials_dancesports</f>
        <v>0</v>
      </c>
      <c r="F2871" s="83" t="b">
        <v>1</v>
      </c>
      <c r="G2871" s="83"/>
      <c r="H2871" s="83"/>
    </row>
    <row r="2872" spans="1:8">
      <c r="A2872" s="83" t="s">
        <v>7806</v>
      </c>
      <c r="B2872" s="83" t="s">
        <v>7752</v>
      </c>
      <c r="C2872" s="83" t="s">
        <v>7806</v>
      </c>
      <c r="D2872" s="83" t="s">
        <v>7951</v>
      </c>
      <c r="E2872" s="84">
        <f>sch_sp_se_num_peteachss_dancesports</f>
        <v>0</v>
      </c>
      <c r="F2872" s="83" t="b">
        <v>1</v>
      </c>
      <c r="G2872" s="83"/>
      <c r="H2872" s="83"/>
    </row>
    <row r="2873" spans="1:8">
      <c r="A2873" s="83" t="s">
        <v>7807</v>
      </c>
      <c r="B2873" s="83" t="s">
        <v>7752</v>
      </c>
      <c r="C2873" s="83" t="s">
        <v>7807</v>
      </c>
      <c r="D2873" s="83" t="s">
        <v>7952</v>
      </c>
      <c r="E2873" s="84">
        <f>sch_sp_se_num_nonpeteachss_dancesports</f>
        <v>0</v>
      </c>
      <c r="F2873" s="83" t="b">
        <v>1</v>
      </c>
      <c r="G2873" s="83"/>
      <c r="H2873" s="83"/>
    </row>
    <row r="2874" spans="1:8">
      <c r="A2874" s="83" t="s">
        <v>7808</v>
      </c>
      <c r="B2874" s="83" t="s">
        <v>7752</v>
      </c>
      <c r="C2874" s="83" t="s">
        <v>7808</v>
      </c>
      <c r="D2874" s="83" t="s">
        <v>7953</v>
      </c>
      <c r="E2874" s="84">
        <f>sch_sp_se_num_nonteachpss_dancesports</f>
        <v>0</v>
      </c>
      <c r="F2874" s="83" t="b">
        <v>1</v>
      </c>
      <c r="G2874" s="83"/>
      <c r="H2874" s="83"/>
    </row>
    <row r="2875" spans="1:8">
      <c r="A2875" s="83" t="s">
        <v>7809</v>
      </c>
      <c r="B2875" s="83" t="s">
        <v>7752</v>
      </c>
      <c r="C2875" s="83" t="s">
        <v>7809</v>
      </c>
      <c r="D2875" s="83" t="s">
        <v>7954</v>
      </c>
      <c r="E2875" s="84">
        <f>sch_sp_se_num_coaches_football</f>
        <v>0</v>
      </c>
      <c r="F2875" s="83" t="b">
        <v>1</v>
      </c>
      <c r="G2875" s="83"/>
      <c r="H2875" s="83"/>
    </row>
    <row r="2876" spans="1:8">
      <c r="A2876" s="83" t="s">
        <v>7810</v>
      </c>
      <c r="B2876" s="83" t="s">
        <v>7752</v>
      </c>
      <c r="C2876" s="83" t="s">
        <v>7810</v>
      </c>
      <c r="D2876" s="83" t="s">
        <v>7955</v>
      </c>
      <c r="E2876" s="84">
        <f>sch_sp_se_num_officials_football</f>
        <v>0</v>
      </c>
      <c r="F2876" s="83" t="b">
        <v>1</v>
      </c>
      <c r="G2876" s="83"/>
      <c r="H2876" s="83"/>
    </row>
    <row r="2877" spans="1:8">
      <c r="A2877" s="83" t="s">
        <v>7811</v>
      </c>
      <c r="B2877" s="83" t="s">
        <v>7752</v>
      </c>
      <c r="C2877" s="83" t="s">
        <v>7811</v>
      </c>
      <c r="D2877" s="83" t="s">
        <v>7956</v>
      </c>
      <c r="E2877" s="84">
        <f>sch_sp_se_num_peteachss_football</f>
        <v>0</v>
      </c>
      <c r="F2877" s="83" t="b">
        <v>1</v>
      </c>
      <c r="G2877" s="83"/>
      <c r="H2877" s="83"/>
    </row>
    <row r="2878" spans="1:8">
      <c r="A2878" s="83" t="s">
        <v>7812</v>
      </c>
      <c r="B2878" s="83" t="s">
        <v>7752</v>
      </c>
      <c r="C2878" s="83" t="s">
        <v>7812</v>
      </c>
      <c r="D2878" s="83" t="s">
        <v>7957</v>
      </c>
      <c r="E2878" s="84">
        <f>sch_sp_se_num_nonpeteachss_football</f>
        <v>0</v>
      </c>
      <c r="F2878" s="83" t="b">
        <v>1</v>
      </c>
      <c r="G2878" s="83"/>
      <c r="H2878" s="83"/>
    </row>
    <row r="2879" spans="1:8">
      <c r="A2879" s="83" t="s">
        <v>7813</v>
      </c>
      <c r="B2879" s="83" t="s">
        <v>7752</v>
      </c>
      <c r="C2879" s="83" t="s">
        <v>7813</v>
      </c>
      <c r="D2879" s="83" t="s">
        <v>7958</v>
      </c>
      <c r="E2879" s="84">
        <f>sch_sp_se_num_nonteachpss_football</f>
        <v>0</v>
      </c>
      <c r="F2879" s="83" t="b">
        <v>1</v>
      </c>
      <c r="G2879" s="83"/>
      <c r="H2879" s="83"/>
    </row>
    <row r="2880" spans="1:8">
      <c r="A2880" s="83" t="s">
        <v>7814</v>
      </c>
      <c r="B2880" s="83" t="s">
        <v>7752</v>
      </c>
      <c r="C2880" s="83" t="s">
        <v>7814</v>
      </c>
      <c r="D2880" s="83" t="s">
        <v>7959</v>
      </c>
      <c r="E2880" s="84">
        <f>sch_sp_se_num_coaches_futsal</f>
        <v>0</v>
      </c>
      <c r="F2880" s="83" t="b">
        <v>1</v>
      </c>
      <c r="G2880" s="83"/>
      <c r="H2880" s="83"/>
    </row>
    <row r="2881" spans="1:8">
      <c r="A2881" s="83" t="s">
        <v>7815</v>
      </c>
      <c r="B2881" s="83" t="s">
        <v>7752</v>
      </c>
      <c r="C2881" s="83" t="s">
        <v>7815</v>
      </c>
      <c r="D2881" s="83" t="s">
        <v>7960</v>
      </c>
      <c r="E2881" s="84">
        <f>sch_sp_se_num_officials_futsal</f>
        <v>0</v>
      </c>
      <c r="F2881" s="83" t="b">
        <v>1</v>
      </c>
      <c r="G2881" s="83"/>
      <c r="H2881" s="83"/>
    </row>
    <row r="2882" spans="1:8">
      <c r="A2882" s="83" t="s">
        <v>7816</v>
      </c>
      <c r="B2882" s="83" t="s">
        <v>7752</v>
      </c>
      <c r="C2882" s="83" t="s">
        <v>7816</v>
      </c>
      <c r="D2882" s="83" t="s">
        <v>7961</v>
      </c>
      <c r="E2882" s="84">
        <f>sch_sp_se_num_peteachss_futsal</f>
        <v>0</v>
      </c>
      <c r="F2882" s="83" t="b">
        <v>1</v>
      </c>
      <c r="G2882" s="83"/>
      <c r="H2882" s="83"/>
    </row>
    <row r="2883" spans="1:8">
      <c r="A2883" s="83" t="s">
        <v>7817</v>
      </c>
      <c r="B2883" s="83" t="s">
        <v>7752</v>
      </c>
      <c r="C2883" s="83" t="s">
        <v>7817</v>
      </c>
      <c r="D2883" s="83" t="s">
        <v>7962</v>
      </c>
      <c r="E2883" s="84">
        <f>sch_sp_se_num_nonpeteachss_futsal</f>
        <v>0</v>
      </c>
      <c r="F2883" s="83" t="b">
        <v>1</v>
      </c>
      <c r="G2883" s="83"/>
      <c r="H2883" s="83"/>
    </row>
    <row r="2884" spans="1:8">
      <c r="A2884" s="83" t="s">
        <v>7818</v>
      </c>
      <c r="B2884" s="83" t="s">
        <v>7752</v>
      </c>
      <c r="C2884" s="83" t="s">
        <v>7818</v>
      </c>
      <c r="D2884" s="83" t="s">
        <v>7963</v>
      </c>
      <c r="E2884" s="84">
        <f>sch_sp_se_num_nonteachpss_futsal</f>
        <v>0</v>
      </c>
      <c r="F2884" s="83" t="b">
        <v>1</v>
      </c>
      <c r="G2884" s="83"/>
      <c r="H2884" s="83"/>
    </row>
    <row r="2885" spans="1:8">
      <c r="A2885" s="83" t="s">
        <v>7819</v>
      </c>
      <c r="B2885" s="83" t="s">
        <v>7752</v>
      </c>
      <c r="C2885" s="83" t="s">
        <v>7819</v>
      </c>
      <c r="D2885" s="83" t="s">
        <v>7964</v>
      </c>
      <c r="E2885" s="84">
        <f>sch_sp_se_num_coaches_aerogymn</f>
        <v>0</v>
      </c>
      <c r="F2885" s="83" t="b">
        <v>1</v>
      </c>
      <c r="G2885" s="83"/>
      <c r="H2885" s="83"/>
    </row>
    <row r="2886" spans="1:8">
      <c r="A2886" s="83" t="s">
        <v>7820</v>
      </c>
      <c r="B2886" s="83" t="s">
        <v>7752</v>
      </c>
      <c r="C2886" s="83" t="s">
        <v>7820</v>
      </c>
      <c r="D2886" s="83" t="s">
        <v>7965</v>
      </c>
      <c r="E2886" s="84">
        <f>sch_sp_se_num_officials_aerogymn</f>
        <v>0</v>
      </c>
      <c r="F2886" s="83" t="b">
        <v>1</v>
      </c>
      <c r="G2886" s="83"/>
      <c r="H2886" s="83"/>
    </row>
    <row r="2887" spans="1:8">
      <c r="A2887" s="83" t="s">
        <v>7821</v>
      </c>
      <c r="B2887" s="83" t="s">
        <v>7752</v>
      </c>
      <c r="C2887" s="83" t="s">
        <v>7821</v>
      </c>
      <c r="D2887" s="83" t="s">
        <v>7966</v>
      </c>
      <c r="E2887" s="84">
        <f>sch_sp_se_num_peteachss_aerogymn</f>
        <v>0</v>
      </c>
      <c r="F2887" s="83" t="b">
        <v>1</v>
      </c>
      <c r="G2887" s="83"/>
      <c r="H2887" s="83"/>
    </row>
    <row r="2888" spans="1:8">
      <c r="A2888" s="83" t="s">
        <v>7822</v>
      </c>
      <c r="B2888" s="83" t="s">
        <v>7752</v>
      </c>
      <c r="C2888" s="83" t="s">
        <v>7822</v>
      </c>
      <c r="D2888" s="83" t="s">
        <v>7967</v>
      </c>
      <c r="E2888" s="84">
        <f>sch_sp_se_num_nonpeteachss_aerogymn</f>
        <v>0</v>
      </c>
      <c r="F2888" s="83" t="b">
        <v>1</v>
      </c>
      <c r="G2888" s="83"/>
      <c r="H2888" s="83"/>
    </row>
    <row r="2889" spans="1:8">
      <c r="A2889" s="83" t="s">
        <v>7823</v>
      </c>
      <c r="B2889" s="83" t="s">
        <v>7752</v>
      </c>
      <c r="C2889" s="83" t="s">
        <v>7823</v>
      </c>
      <c r="D2889" s="83" t="s">
        <v>7968</v>
      </c>
      <c r="E2889" s="84">
        <f>sch_sp_se_num_nonteachpss_aerogymn</f>
        <v>0</v>
      </c>
      <c r="F2889" s="83" t="b">
        <v>1</v>
      </c>
      <c r="G2889" s="83"/>
      <c r="H2889" s="83"/>
    </row>
    <row r="2890" spans="1:8">
      <c r="A2890" s="83" t="s">
        <v>7824</v>
      </c>
      <c r="B2890" s="83" t="s">
        <v>7752</v>
      </c>
      <c r="C2890" s="83" t="s">
        <v>7824</v>
      </c>
      <c r="D2890" s="83" t="s">
        <v>7969</v>
      </c>
      <c r="E2890" s="84">
        <f>sch_sp_se_num_coaches_mag</f>
        <v>0</v>
      </c>
      <c r="F2890" s="83" t="b">
        <v>1</v>
      </c>
      <c r="G2890" s="83"/>
      <c r="H2890" s="83"/>
    </row>
    <row r="2891" spans="1:8">
      <c r="A2891" s="83" t="s">
        <v>7825</v>
      </c>
      <c r="B2891" s="83" t="s">
        <v>7752</v>
      </c>
      <c r="C2891" s="83" t="s">
        <v>7825</v>
      </c>
      <c r="D2891" s="83" t="s">
        <v>7970</v>
      </c>
      <c r="E2891" s="84">
        <f>sch_sp_se_num_officials_mag</f>
        <v>0</v>
      </c>
      <c r="F2891" s="83" t="b">
        <v>1</v>
      </c>
      <c r="G2891" s="83"/>
      <c r="H2891" s="83"/>
    </row>
    <row r="2892" spans="1:8">
      <c r="A2892" s="83" t="s">
        <v>7826</v>
      </c>
      <c r="B2892" s="83" t="s">
        <v>7752</v>
      </c>
      <c r="C2892" s="83" t="s">
        <v>7826</v>
      </c>
      <c r="D2892" s="83" t="s">
        <v>7971</v>
      </c>
      <c r="E2892" s="84">
        <f>sch_sp_se_num_peteachss_mag</f>
        <v>0</v>
      </c>
      <c r="F2892" s="83" t="b">
        <v>1</v>
      </c>
      <c r="G2892" s="83"/>
      <c r="H2892" s="83"/>
    </row>
    <row r="2893" spans="1:8">
      <c r="A2893" s="83" t="s">
        <v>7827</v>
      </c>
      <c r="B2893" s="83" t="s">
        <v>7752</v>
      </c>
      <c r="C2893" s="83" t="s">
        <v>7827</v>
      </c>
      <c r="D2893" s="83" t="s">
        <v>7972</v>
      </c>
      <c r="E2893" s="84">
        <f>sch_sp_se_num_nonpeteachss_mag</f>
        <v>0</v>
      </c>
      <c r="F2893" s="83" t="b">
        <v>1</v>
      </c>
      <c r="G2893" s="83"/>
      <c r="H2893" s="83"/>
    </row>
    <row r="2894" spans="1:8">
      <c r="A2894" s="83" t="s">
        <v>7828</v>
      </c>
      <c r="B2894" s="83" t="s">
        <v>7752</v>
      </c>
      <c r="C2894" s="83" t="s">
        <v>7828</v>
      </c>
      <c r="D2894" s="83" t="s">
        <v>7973</v>
      </c>
      <c r="E2894" s="84">
        <f>sch_sp_se_num_nonteachpss_mag</f>
        <v>0</v>
      </c>
      <c r="F2894" s="83" t="b">
        <v>1</v>
      </c>
      <c r="G2894" s="83"/>
      <c r="H2894" s="83"/>
    </row>
    <row r="2895" spans="1:8">
      <c r="A2895" s="83" t="s">
        <v>7829</v>
      </c>
      <c r="B2895" s="83" t="s">
        <v>7752</v>
      </c>
      <c r="C2895" s="83" t="s">
        <v>7829</v>
      </c>
      <c r="D2895" s="83" t="s">
        <v>7974</v>
      </c>
      <c r="E2895" s="84">
        <f>sch_sp_se_num_coaches_wag</f>
        <v>0</v>
      </c>
      <c r="F2895" s="83" t="b">
        <v>1</v>
      </c>
      <c r="G2895" s="83"/>
      <c r="H2895" s="83"/>
    </row>
    <row r="2896" spans="1:8">
      <c r="A2896" s="83" t="s">
        <v>7830</v>
      </c>
      <c r="B2896" s="83" t="s">
        <v>7752</v>
      </c>
      <c r="C2896" s="83" t="s">
        <v>7830</v>
      </c>
      <c r="D2896" s="83" t="s">
        <v>7975</v>
      </c>
      <c r="E2896" s="84">
        <f>sch_sp_se_num_officials_wag</f>
        <v>0</v>
      </c>
      <c r="F2896" s="83" t="b">
        <v>1</v>
      </c>
      <c r="G2896" s="83"/>
      <c r="H2896" s="83"/>
    </row>
    <row r="2897" spans="1:8">
      <c r="A2897" s="83" t="s">
        <v>7831</v>
      </c>
      <c r="B2897" s="83" t="s">
        <v>7752</v>
      </c>
      <c r="C2897" s="83" t="s">
        <v>7831</v>
      </c>
      <c r="D2897" s="83" t="s">
        <v>7976</v>
      </c>
      <c r="E2897" s="84">
        <f>sch_sp_se_num_peteachss_wag</f>
        <v>0</v>
      </c>
      <c r="F2897" s="83" t="b">
        <v>1</v>
      </c>
      <c r="G2897" s="83"/>
      <c r="H2897" s="83"/>
    </row>
    <row r="2898" spans="1:8">
      <c r="A2898" s="83" t="s">
        <v>7832</v>
      </c>
      <c r="B2898" s="83" t="s">
        <v>7752</v>
      </c>
      <c r="C2898" s="83" t="s">
        <v>7832</v>
      </c>
      <c r="D2898" s="83" t="s">
        <v>7977</v>
      </c>
      <c r="E2898" s="84">
        <f>sch_sp_se_num_nonpeteachss_wag</f>
        <v>0</v>
      </c>
      <c r="F2898" s="83" t="b">
        <v>1</v>
      </c>
      <c r="G2898" s="83"/>
      <c r="H2898" s="83"/>
    </row>
    <row r="2899" spans="1:8">
      <c r="A2899" s="83" t="s">
        <v>7833</v>
      </c>
      <c r="B2899" s="83" t="s">
        <v>7752</v>
      </c>
      <c r="C2899" s="83" t="s">
        <v>7833</v>
      </c>
      <c r="D2899" s="83" t="s">
        <v>7978</v>
      </c>
      <c r="E2899" s="84">
        <f>sch_sp_se_num_nonteachpss_wag</f>
        <v>0</v>
      </c>
      <c r="F2899" s="83" t="b">
        <v>1</v>
      </c>
      <c r="G2899" s="83"/>
      <c r="H2899" s="83"/>
    </row>
    <row r="2900" spans="1:8">
      <c r="A2900" s="83" t="s">
        <v>7834</v>
      </c>
      <c r="B2900" s="83" t="s">
        <v>7752</v>
      </c>
      <c r="C2900" s="83" t="s">
        <v>7834</v>
      </c>
      <c r="D2900" s="83" t="s">
        <v>7979</v>
      </c>
      <c r="E2900" s="84">
        <f>sch_sp_se_num_coaches_rg</f>
        <v>0</v>
      </c>
      <c r="F2900" s="83" t="b">
        <v>1</v>
      </c>
      <c r="G2900" s="83"/>
      <c r="H2900" s="83"/>
    </row>
    <row r="2901" spans="1:8">
      <c r="A2901" s="83" t="s">
        <v>7835</v>
      </c>
      <c r="B2901" s="83" t="s">
        <v>7752</v>
      </c>
      <c r="C2901" s="83" t="s">
        <v>7835</v>
      </c>
      <c r="D2901" s="83" t="s">
        <v>7980</v>
      </c>
      <c r="E2901" s="84">
        <f>sch_sp_se_num_officials_rg</f>
        <v>0</v>
      </c>
      <c r="F2901" s="83" t="b">
        <v>1</v>
      </c>
      <c r="G2901" s="83"/>
      <c r="H2901" s="83"/>
    </row>
    <row r="2902" spans="1:8">
      <c r="A2902" s="83" t="s">
        <v>7836</v>
      </c>
      <c r="B2902" s="83" t="s">
        <v>7752</v>
      </c>
      <c r="C2902" s="83" t="s">
        <v>7836</v>
      </c>
      <c r="D2902" s="83" t="s">
        <v>7981</v>
      </c>
      <c r="E2902" s="84">
        <f>sch_sp_se_num_peteachss_rg</f>
        <v>0</v>
      </c>
      <c r="F2902" s="83" t="b">
        <v>1</v>
      </c>
      <c r="G2902" s="83"/>
      <c r="H2902" s="83"/>
    </row>
    <row r="2903" spans="1:8">
      <c r="A2903" s="83" t="s">
        <v>7837</v>
      </c>
      <c r="B2903" s="83" t="s">
        <v>7752</v>
      </c>
      <c r="C2903" s="83" t="s">
        <v>7837</v>
      </c>
      <c r="D2903" s="83" t="s">
        <v>7982</v>
      </c>
      <c r="E2903" s="84">
        <f>sch_sp_se_num_nonpeteachss_rg</f>
        <v>0</v>
      </c>
      <c r="F2903" s="83" t="b">
        <v>1</v>
      </c>
      <c r="G2903" s="83"/>
      <c r="H2903" s="83"/>
    </row>
    <row r="2904" spans="1:8">
      <c r="A2904" s="83" t="s">
        <v>7838</v>
      </c>
      <c r="B2904" s="83" t="s">
        <v>7752</v>
      </c>
      <c r="C2904" s="83" t="s">
        <v>7838</v>
      </c>
      <c r="D2904" s="83" t="s">
        <v>7983</v>
      </c>
      <c r="E2904" s="84">
        <f>sch_sp_se_num_nonteachpss_rg</f>
        <v>0</v>
      </c>
      <c r="F2904" s="83" t="b">
        <v>1</v>
      </c>
      <c r="G2904" s="83"/>
      <c r="H2904" s="83"/>
    </row>
    <row r="2905" spans="1:8">
      <c r="A2905" s="83" t="s">
        <v>7839</v>
      </c>
      <c r="B2905" s="83" t="s">
        <v>7752</v>
      </c>
      <c r="C2905" s="83" t="s">
        <v>7839</v>
      </c>
      <c r="D2905" s="83" t="s">
        <v>7984</v>
      </c>
      <c r="E2905" s="84">
        <f>sch_sp_se_num_coaches_pencak</f>
        <v>0</v>
      </c>
      <c r="F2905" s="83" t="b">
        <v>1</v>
      </c>
      <c r="G2905" s="83"/>
      <c r="H2905" s="83"/>
    </row>
    <row r="2906" spans="1:8">
      <c r="A2906" s="83" t="s">
        <v>7840</v>
      </c>
      <c r="B2906" s="83" t="s">
        <v>7752</v>
      </c>
      <c r="C2906" s="83" t="s">
        <v>7840</v>
      </c>
      <c r="D2906" s="83" t="s">
        <v>7985</v>
      </c>
      <c r="E2906" s="84">
        <f>sch_sp_se_num_officials_pencak</f>
        <v>0</v>
      </c>
      <c r="F2906" s="83" t="b">
        <v>1</v>
      </c>
      <c r="G2906" s="83"/>
      <c r="H2906" s="83"/>
    </row>
    <row r="2907" spans="1:8">
      <c r="A2907" s="83" t="s">
        <v>7841</v>
      </c>
      <c r="B2907" s="83" t="s">
        <v>7752</v>
      </c>
      <c r="C2907" s="83" t="s">
        <v>7841</v>
      </c>
      <c r="D2907" s="83" t="s">
        <v>7986</v>
      </c>
      <c r="E2907" s="84">
        <f>sch_sp_se_num_peteachss_pencak</f>
        <v>0</v>
      </c>
      <c r="F2907" s="83" t="b">
        <v>1</v>
      </c>
      <c r="G2907" s="83"/>
      <c r="H2907" s="83"/>
    </row>
    <row r="2908" spans="1:8">
      <c r="A2908" s="83" t="s">
        <v>7842</v>
      </c>
      <c r="B2908" s="83" t="s">
        <v>7752</v>
      </c>
      <c r="C2908" s="83" t="s">
        <v>7842</v>
      </c>
      <c r="D2908" s="83" t="s">
        <v>7987</v>
      </c>
      <c r="E2908" s="84">
        <f>sch_sp_se_num_nonpeteachss_pencak</f>
        <v>0</v>
      </c>
      <c r="F2908" s="83" t="b">
        <v>1</v>
      </c>
      <c r="G2908" s="83"/>
      <c r="H2908" s="83"/>
    </row>
    <row r="2909" spans="1:8">
      <c r="A2909" s="83" t="s">
        <v>7843</v>
      </c>
      <c r="B2909" s="83" t="s">
        <v>7752</v>
      </c>
      <c r="C2909" s="83" t="s">
        <v>7843</v>
      </c>
      <c r="D2909" s="83" t="s">
        <v>7988</v>
      </c>
      <c r="E2909" s="84">
        <f>sch_sp_se_num_nonteachpss_pencak</f>
        <v>0</v>
      </c>
      <c r="F2909" s="83" t="b">
        <v>1</v>
      </c>
      <c r="G2909" s="83"/>
      <c r="H2909" s="83"/>
    </row>
    <row r="2910" spans="1:8">
      <c r="A2910" s="83" t="s">
        <v>7844</v>
      </c>
      <c r="B2910" s="83" t="s">
        <v>7752</v>
      </c>
      <c r="C2910" s="83" t="s">
        <v>7844</v>
      </c>
      <c r="D2910" s="83" t="s">
        <v>7989</v>
      </c>
      <c r="E2910" s="84">
        <f>sch_sp_se_num_coaches_sepaktakraw</f>
        <v>0</v>
      </c>
      <c r="F2910" s="83" t="b">
        <v>1</v>
      </c>
      <c r="G2910" s="83"/>
      <c r="H2910" s="83"/>
    </row>
    <row r="2911" spans="1:8">
      <c r="A2911" s="83" t="s">
        <v>7845</v>
      </c>
      <c r="B2911" s="83" t="s">
        <v>7752</v>
      </c>
      <c r="C2911" s="83" t="s">
        <v>7845</v>
      </c>
      <c r="D2911" s="83" t="s">
        <v>7990</v>
      </c>
      <c r="E2911" s="84">
        <f>sch_sp_se_num_officials_sepaktakraw</f>
        <v>0</v>
      </c>
      <c r="F2911" s="83" t="b">
        <v>1</v>
      </c>
      <c r="G2911" s="83"/>
      <c r="H2911" s="83"/>
    </row>
    <row r="2912" spans="1:8">
      <c r="A2912" s="83" t="s">
        <v>7846</v>
      </c>
      <c r="B2912" s="83" t="s">
        <v>7752</v>
      </c>
      <c r="C2912" s="83" t="s">
        <v>7846</v>
      </c>
      <c r="D2912" s="83" t="s">
        <v>7991</v>
      </c>
      <c r="E2912" s="84">
        <f>sch_sp_se_num_peteachss_sepaktakraw</f>
        <v>0</v>
      </c>
      <c r="F2912" s="83" t="b">
        <v>1</v>
      </c>
      <c r="G2912" s="83"/>
      <c r="H2912" s="83"/>
    </row>
    <row r="2913" spans="1:8">
      <c r="A2913" s="83" t="s">
        <v>7847</v>
      </c>
      <c r="B2913" s="83" t="s">
        <v>7752</v>
      </c>
      <c r="C2913" s="83" t="s">
        <v>7847</v>
      </c>
      <c r="D2913" s="83" t="s">
        <v>7992</v>
      </c>
      <c r="E2913" s="84">
        <f>sch_sp_se_num_nonpeteachss_sepaktakraw</f>
        <v>0</v>
      </c>
      <c r="F2913" s="83" t="b">
        <v>1</v>
      </c>
      <c r="G2913" s="83"/>
      <c r="H2913" s="83"/>
    </row>
    <row r="2914" spans="1:8">
      <c r="A2914" s="83" t="s">
        <v>7848</v>
      </c>
      <c r="B2914" s="83" t="s">
        <v>7752</v>
      </c>
      <c r="C2914" s="83" t="s">
        <v>7848</v>
      </c>
      <c r="D2914" s="83" t="s">
        <v>7993</v>
      </c>
      <c r="E2914" s="84">
        <f>sch_sp_se_num_nonteachpss_sepaktakraw</f>
        <v>0</v>
      </c>
      <c r="F2914" s="83" t="b">
        <v>1</v>
      </c>
      <c r="G2914" s="83"/>
      <c r="H2914" s="83"/>
    </row>
    <row r="2915" spans="1:8">
      <c r="A2915" s="83" t="s">
        <v>7849</v>
      </c>
      <c r="B2915" s="83" t="s">
        <v>7752</v>
      </c>
      <c r="C2915" s="83" t="s">
        <v>7849</v>
      </c>
      <c r="D2915" s="83" t="s">
        <v>7994</v>
      </c>
      <c r="E2915" s="84">
        <f>sch_sp_se_num_coaches_softball</f>
        <v>0</v>
      </c>
      <c r="F2915" s="83" t="b">
        <v>1</v>
      </c>
      <c r="G2915" s="83"/>
      <c r="H2915" s="83"/>
    </row>
    <row r="2916" spans="1:8">
      <c r="A2916" s="83" t="s">
        <v>7850</v>
      </c>
      <c r="B2916" s="83" t="s">
        <v>7752</v>
      </c>
      <c r="C2916" s="83" t="s">
        <v>7850</v>
      </c>
      <c r="D2916" s="83" t="s">
        <v>7995</v>
      </c>
      <c r="E2916" s="84">
        <f>sch_sp_se_num_officials_softball</f>
        <v>0</v>
      </c>
      <c r="F2916" s="83" t="b">
        <v>1</v>
      </c>
      <c r="G2916" s="83"/>
      <c r="H2916" s="83"/>
    </row>
    <row r="2917" spans="1:8">
      <c r="A2917" s="83" t="s">
        <v>7851</v>
      </c>
      <c r="B2917" s="83" t="s">
        <v>7752</v>
      </c>
      <c r="C2917" s="83" t="s">
        <v>7851</v>
      </c>
      <c r="D2917" s="83" t="s">
        <v>7996</v>
      </c>
      <c r="E2917" s="84">
        <f>sch_sp_se_num_peteachss_softball</f>
        <v>0</v>
      </c>
      <c r="F2917" s="83" t="b">
        <v>1</v>
      </c>
      <c r="G2917" s="83"/>
      <c r="H2917" s="83"/>
    </row>
    <row r="2918" spans="1:8">
      <c r="A2918" s="83" t="s">
        <v>7852</v>
      </c>
      <c r="B2918" s="83" t="s">
        <v>7752</v>
      </c>
      <c r="C2918" s="83" t="s">
        <v>7852</v>
      </c>
      <c r="D2918" s="83" t="s">
        <v>7997</v>
      </c>
      <c r="E2918" s="84">
        <f>sch_sp_se_num_nonpeteachss_softball</f>
        <v>0</v>
      </c>
      <c r="F2918" s="83" t="b">
        <v>1</v>
      </c>
      <c r="G2918" s="83"/>
      <c r="H2918" s="83"/>
    </row>
    <row r="2919" spans="1:8">
      <c r="A2919" s="83" t="s">
        <v>7853</v>
      </c>
      <c r="B2919" s="83" t="s">
        <v>7752</v>
      </c>
      <c r="C2919" s="83" t="s">
        <v>7853</v>
      </c>
      <c r="D2919" s="83" t="s">
        <v>7998</v>
      </c>
      <c r="E2919" s="84">
        <f>sch_sp_se_num_nonteachpss_softball</f>
        <v>0</v>
      </c>
      <c r="F2919" s="83" t="b">
        <v>1</v>
      </c>
      <c r="G2919" s="83"/>
      <c r="H2919" s="83"/>
    </row>
    <row r="2920" spans="1:8">
      <c r="A2920" s="83" t="s">
        <v>7854</v>
      </c>
      <c r="B2920" s="83" t="s">
        <v>7752</v>
      </c>
      <c r="C2920" s="83" t="s">
        <v>7854</v>
      </c>
      <c r="D2920" s="83" t="s">
        <v>7999</v>
      </c>
      <c r="E2920" s="84">
        <f>sch_sp_se_num_coaches_swimming</f>
        <v>0</v>
      </c>
      <c r="F2920" s="83" t="b">
        <v>1</v>
      </c>
      <c r="G2920" s="83"/>
      <c r="H2920" s="83"/>
    </row>
    <row r="2921" spans="1:8">
      <c r="A2921" s="83" t="s">
        <v>7855</v>
      </c>
      <c r="B2921" s="83" t="s">
        <v>7752</v>
      </c>
      <c r="C2921" s="83" t="s">
        <v>7855</v>
      </c>
      <c r="D2921" s="83" t="s">
        <v>8000</v>
      </c>
      <c r="E2921" s="84">
        <f>sch_sp_se_num_officials_swimming</f>
        <v>0</v>
      </c>
      <c r="F2921" s="83" t="b">
        <v>1</v>
      </c>
      <c r="G2921" s="83"/>
      <c r="H2921" s="83"/>
    </row>
    <row r="2922" spans="1:8">
      <c r="A2922" s="83" t="s">
        <v>7856</v>
      </c>
      <c r="B2922" s="83" t="s">
        <v>7752</v>
      </c>
      <c r="C2922" s="83" t="s">
        <v>7856</v>
      </c>
      <c r="D2922" s="83" t="s">
        <v>8001</v>
      </c>
      <c r="E2922" s="84">
        <f>sch_sp_se_num_peteachss_swimming</f>
        <v>0</v>
      </c>
      <c r="F2922" s="83" t="b">
        <v>1</v>
      </c>
      <c r="G2922" s="83"/>
      <c r="H2922" s="83"/>
    </row>
    <row r="2923" spans="1:8">
      <c r="A2923" s="83" t="s">
        <v>7857</v>
      </c>
      <c r="B2923" s="83" t="s">
        <v>7752</v>
      </c>
      <c r="C2923" s="83" t="s">
        <v>7857</v>
      </c>
      <c r="D2923" s="83" t="s">
        <v>8002</v>
      </c>
      <c r="E2923" s="84">
        <f>sch_sp_se_num_nonpeteachss_swimming</f>
        <v>0</v>
      </c>
      <c r="F2923" s="83" t="b">
        <v>1</v>
      </c>
      <c r="G2923" s="83"/>
      <c r="H2923" s="83"/>
    </row>
    <row r="2924" spans="1:8">
      <c r="A2924" s="83" t="s">
        <v>7858</v>
      </c>
      <c r="B2924" s="83" t="s">
        <v>7752</v>
      </c>
      <c r="C2924" s="83" t="s">
        <v>7858</v>
      </c>
      <c r="D2924" s="83" t="s">
        <v>8003</v>
      </c>
      <c r="E2924" s="84">
        <f>sch_sp_se_num_nonteachpss_swimming</f>
        <v>0</v>
      </c>
      <c r="F2924" s="83" t="b">
        <v>1</v>
      </c>
      <c r="G2924" s="83"/>
      <c r="H2924" s="83"/>
    </row>
    <row r="2925" spans="1:8">
      <c r="A2925" s="83" t="s">
        <v>7859</v>
      </c>
      <c r="B2925" s="83" t="s">
        <v>7752</v>
      </c>
      <c r="C2925" s="83" t="s">
        <v>7859</v>
      </c>
      <c r="D2925" s="83" t="s">
        <v>8004</v>
      </c>
      <c r="E2925" s="84">
        <f>sch_sp_se_num_coaches_tabletennis</f>
        <v>0</v>
      </c>
      <c r="F2925" s="83" t="b">
        <v>1</v>
      </c>
      <c r="G2925" s="83"/>
      <c r="H2925" s="83"/>
    </row>
    <row r="2926" spans="1:8">
      <c r="A2926" s="83" t="s">
        <v>7860</v>
      </c>
      <c r="B2926" s="83" t="s">
        <v>7752</v>
      </c>
      <c r="C2926" s="83" t="s">
        <v>7860</v>
      </c>
      <c r="D2926" s="83" t="s">
        <v>8005</v>
      </c>
      <c r="E2926" s="84">
        <f>sch_sp_se_num_officials_tabletennis</f>
        <v>0</v>
      </c>
      <c r="F2926" s="83" t="b">
        <v>1</v>
      </c>
      <c r="G2926" s="83"/>
      <c r="H2926" s="83"/>
    </row>
    <row r="2927" spans="1:8">
      <c r="A2927" s="83" t="s">
        <v>7861</v>
      </c>
      <c r="B2927" s="83" t="s">
        <v>7752</v>
      </c>
      <c r="C2927" s="83" t="s">
        <v>7861</v>
      </c>
      <c r="D2927" s="83" t="s">
        <v>8006</v>
      </c>
      <c r="E2927" s="84">
        <f>sch_sp_se_num_peteachss_tabletennis</f>
        <v>0</v>
      </c>
      <c r="F2927" s="83" t="b">
        <v>1</v>
      </c>
      <c r="G2927" s="83"/>
      <c r="H2927" s="83"/>
    </row>
    <row r="2928" spans="1:8">
      <c r="A2928" s="83" t="s">
        <v>7862</v>
      </c>
      <c r="B2928" s="83" t="s">
        <v>7752</v>
      </c>
      <c r="C2928" s="83" t="s">
        <v>7862</v>
      </c>
      <c r="D2928" s="83" t="s">
        <v>8007</v>
      </c>
      <c r="E2928" s="84">
        <f>sch_sp_se_num_nonpeteachss_tabletennis</f>
        <v>0</v>
      </c>
      <c r="F2928" s="83" t="b">
        <v>1</v>
      </c>
      <c r="G2928" s="83"/>
      <c r="H2928" s="83"/>
    </row>
    <row r="2929" spans="1:8">
      <c r="A2929" s="83" t="s">
        <v>7863</v>
      </c>
      <c r="B2929" s="83" t="s">
        <v>7752</v>
      </c>
      <c r="C2929" s="83" t="s">
        <v>7863</v>
      </c>
      <c r="D2929" s="83" t="s">
        <v>8008</v>
      </c>
      <c r="E2929" s="84">
        <f>sch_sp_se_num_nonteachpss_tabletennis</f>
        <v>0</v>
      </c>
      <c r="F2929" s="83" t="b">
        <v>1</v>
      </c>
      <c r="G2929" s="83"/>
      <c r="H2929" s="83"/>
    </row>
    <row r="2930" spans="1:8">
      <c r="A2930" s="83" t="s">
        <v>7864</v>
      </c>
      <c r="B2930" s="83" t="s">
        <v>7752</v>
      </c>
      <c r="C2930" s="83" t="s">
        <v>7864</v>
      </c>
      <c r="D2930" s="83" t="s">
        <v>8009</v>
      </c>
      <c r="E2930" s="84">
        <f>sch_sp_se_num_coaches_taekwondo</f>
        <v>0</v>
      </c>
      <c r="F2930" s="83" t="b">
        <v>1</v>
      </c>
      <c r="G2930" s="83"/>
      <c r="H2930" s="83"/>
    </row>
    <row r="2931" spans="1:8">
      <c r="A2931" s="83" t="s">
        <v>7865</v>
      </c>
      <c r="B2931" s="83" t="s">
        <v>7752</v>
      </c>
      <c r="C2931" s="83" t="s">
        <v>7865</v>
      </c>
      <c r="D2931" s="83" t="s">
        <v>8010</v>
      </c>
      <c r="E2931" s="84">
        <f>sch_sp_se_num_officials_taekwondo</f>
        <v>0</v>
      </c>
      <c r="F2931" s="83" t="b">
        <v>1</v>
      </c>
      <c r="G2931" s="83"/>
      <c r="H2931" s="83"/>
    </row>
    <row r="2932" spans="1:8">
      <c r="A2932" s="83" t="s">
        <v>7866</v>
      </c>
      <c r="B2932" s="83" t="s">
        <v>7752</v>
      </c>
      <c r="C2932" s="83" t="s">
        <v>7866</v>
      </c>
      <c r="D2932" s="83" t="s">
        <v>8011</v>
      </c>
      <c r="E2932" s="84">
        <f>sch_sp_se_num_peteachss_taekwondo</f>
        <v>0</v>
      </c>
      <c r="F2932" s="83" t="b">
        <v>1</v>
      </c>
      <c r="G2932" s="83"/>
      <c r="H2932" s="83"/>
    </row>
    <row r="2933" spans="1:8">
      <c r="A2933" s="83" t="s">
        <v>7867</v>
      </c>
      <c r="B2933" s="83" t="s">
        <v>7752</v>
      </c>
      <c r="C2933" s="83" t="s">
        <v>7867</v>
      </c>
      <c r="D2933" s="83" t="s">
        <v>8012</v>
      </c>
      <c r="E2933" s="84">
        <f>sch_sp_se_num_nonpeteachss_taekwondo</f>
        <v>0</v>
      </c>
      <c r="F2933" s="83" t="b">
        <v>1</v>
      </c>
      <c r="G2933" s="83"/>
      <c r="H2933" s="83"/>
    </row>
    <row r="2934" spans="1:8">
      <c r="A2934" s="83" t="s">
        <v>7868</v>
      </c>
      <c r="B2934" s="83" t="s">
        <v>7752</v>
      </c>
      <c r="C2934" s="83" t="s">
        <v>7868</v>
      </c>
      <c r="D2934" s="83" t="s">
        <v>8013</v>
      </c>
      <c r="E2934" s="84">
        <f>sch_sp_se_num_nonteachpss_taekwondo</f>
        <v>0</v>
      </c>
      <c r="F2934" s="83" t="b">
        <v>1</v>
      </c>
      <c r="G2934" s="83"/>
      <c r="H2934" s="83"/>
    </row>
    <row r="2935" spans="1:8">
      <c r="A2935" s="83" t="s">
        <v>7869</v>
      </c>
      <c r="B2935" s="83" t="s">
        <v>7752</v>
      </c>
      <c r="C2935" s="83" t="s">
        <v>7869</v>
      </c>
      <c r="D2935" s="83" t="s">
        <v>8014</v>
      </c>
      <c r="E2935" s="84">
        <f>sch_sp_se_num_coaches_tennis</f>
        <v>0</v>
      </c>
      <c r="F2935" s="83" t="b">
        <v>1</v>
      </c>
      <c r="G2935" s="83"/>
      <c r="H2935" s="83"/>
    </row>
    <row r="2936" spans="1:8">
      <c r="A2936" s="83" t="s">
        <v>7870</v>
      </c>
      <c r="B2936" s="83" t="s">
        <v>7752</v>
      </c>
      <c r="C2936" s="83" t="s">
        <v>7870</v>
      </c>
      <c r="D2936" s="83" t="s">
        <v>8015</v>
      </c>
      <c r="E2936" s="84">
        <f>sch_sp_se_num_officials_tennis</f>
        <v>0</v>
      </c>
      <c r="F2936" s="83" t="b">
        <v>1</v>
      </c>
      <c r="G2936" s="83"/>
      <c r="H2936" s="83"/>
    </row>
    <row r="2937" spans="1:8">
      <c r="A2937" s="83" t="s">
        <v>7871</v>
      </c>
      <c r="B2937" s="83" t="s">
        <v>7752</v>
      </c>
      <c r="C2937" s="83" t="s">
        <v>7871</v>
      </c>
      <c r="D2937" s="83" t="s">
        <v>8016</v>
      </c>
      <c r="E2937" s="84">
        <f>sch_sp_se_num_peteachss_tennis</f>
        <v>0</v>
      </c>
      <c r="F2937" s="83" t="b">
        <v>1</v>
      </c>
      <c r="G2937" s="83"/>
      <c r="H2937" s="83"/>
    </row>
    <row r="2938" spans="1:8">
      <c r="A2938" s="83" t="s">
        <v>7872</v>
      </c>
      <c r="B2938" s="83" t="s">
        <v>7752</v>
      </c>
      <c r="C2938" s="83" t="s">
        <v>7872</v>
      </c>
      <c r="D2938" s="83" t="s">
        <v>8017</v>
      </c>
      <c r="E2938" s="84">
        <f>sch_sp_se_num_nonpeteachss_tennis</f>
        <v>0</v>
      </c>
      <c r="F2938" s="83" t="b">
        <v>1</v>
      </c>
      <c r="G2938" s="83"/>
      <c r="H2938" s="83"/>
    </row>
    <row r="2939" spans="1:8">
      <c r="A2939" s="83" t="s">
        <v>7873</v>
      </c>
      <c r="B2939" s="83" t="s">
        <v>7752</v>
      </c>
      <c r="C2939" s="83" t="s">
        <v>7873</v>
      </c>
      <c r="D2939" s="83" t="s">
        <v>8018</v>
      </c>
      <c r="E2939" s="84">
        <f>sch_sp_se_num_nonteachpss_tennis</f>
        <v>0</v>
      </c>
      <c r="F2939" s="83" t="b">
        <v>1</v>
      </c>
      <c r="G2939" s="83"/>
      <c r="H2939" s="83"/>
    </row>
    <row r="2940" spans="1:8">
      <c r="A2940" s="83" t="s">
        <v>7874</v>
      </c>
      <c r="B2940" s="83" t="s">
        <v>7752</v>
      </c>
      <c r="C2940" s="83" t="s">
        <v>7874</v>
      </c>
      <c r="D2940" s="83" t="s">
        <v>8019</v>
      </c>
      <c r="E2940" s="84">
        <f>sch_sp_se_num_coaches_volleyball</f>
        <v>2</v>
      </c>
      <c r="F2940" s="83" t="b">
        <v>1</v>
      </c>
      <c r="G2940" s="83"/>
      <c r="H2940" s="83"/>
    </row>
    <row r="2941" spans="1:8">
      <c r="A2941" s="83" t="s">
        <v>7875</v>
      </c>
      <c r="B2941" s="83" t="s">
        <v>7752</v>
      </c>
      <c r="C2941" s="83" t="s">
        <v>7875</v>
      </c>
      <c r="D2941" s="83" t="s">
        <v>8020</v>
      </c>
      <c r="E2941" s="84">
        <f>sch_sp_se_num_officials_volleyball</f>
        <v>0</v>
      </c>
      <c r="F2941" s="83" t="b">
        <v>1</v>
      </c>
      <c r="G2941" s="83"/>
      <c r="H2941" s="83"/>
    </row>
    <row r="2942" spans="1:8">
      <c r="A2942" s="83" t="s">
        <v>7876</v>
      </c>
      <c r="B2942" s="83" t="s">
        <v>7752</v>
      </c>
      <c r="C2942" s="83" t="s">
        <v>7876</v>
      </c>
      <c r="D2942" s="83" t="s">
        <v>8021</v>
      </c>
      <c r="E2942" s="84">
        <f>sch_sp_se_num_peteachss_volleyball</f>
        <v>0</v>
      </c>
      <c r="F2942" s="83" t="b">
        <v>1</v>
      </c>
      <c r="G2942" s="83"/>
      <c r="H2942" s="83"/>
    </row>
    <row r="2943" spans="1:8">
      <c r="A2943" s="83" t="s">
        <v>7877</v>
      </c>
      <c r="B2943" s="83" t="s">
        <v>7752</v>
      </c>
      <c r="C2943" s="83" t="s">
        <v>7877</v>
      </c>
      <c r="D2943" s="83" t="s">
        <v>8022</v>
      </c>
      <c r="E2943" s="84">
        <f>sch_sp_se_num_nonpeteachss_volleyball</f>
        <v>0</v>
      </c>
      <c r="F2943" s="83" t="b">
        <v>1</v>
      </c>
      <c r="G2943" s="83"/>
      <c r="H2943" s="83"/>
    </row>
    <row r="2944" spans="1:8">
      <c r="A2944" s="83" t="s">
        <v>7878</v>
      </c>
      <c r="B2944" s="83" t="s">
        <v>7752</v>
      </c>
      <c r="C2944" s="83" t="s">
        <v>7878</v>
      </c>
      <c r="D2944" s="83" t="s">
        <v>8023</v>
      </c>
      <c r="E2944" s="84">
        <f>sch_sp_se_num_nonteachpss_volleyball</f>
        <v>0</v>
      </c>
      <c r="F2944" s="83" t="b">
        <v>1</v>
      </c>
      <c r="G2944" s="83"/>
      <c r="H2944" s="83"/>
    </row>
    <row r="2945" spans="1:8">
      <c r="A2945" s="83" t="s">
        <v>7879</v>
      </c>
      <c r="B2945" s="83" t="s">
        <v>7752</v>
      </c>
      <c r="C2945" s="83" t="s">
        <v>7879</v>
      </c>
      <c r="D2945" s="83" t="s">
        <v>8024</v>
      </c>
      <c r="E2945" s="84">
        <f>sch_sp_se_num_coaches_wrestling</f>
        <v>0</v>
      </c>
      <c r="F2945" s="83" t="b">
        <v>1</v>
      </c>
      <c r="G2945" s="83"/>
      <c r="H2945" s="83"/>
    </row>
    <row r="2946" spans="1:8">
      <c r="A2946" s="83" t="s">
        <v>7880</v>
      </c>
      <c r="B2946" s="83" t="s">
        <v>7752</v>
      </c>
      <c r="C2946" s="83" t="s">
        <v>7880</v>
      </c>
      <c r="D2946" s="83" t="s">
        <v>8025</v>
      </c>
      <c r="E2946" s="84">
        <f>sch_sp_se_num_officials_wrestling</f>
        <v>0</v>
      </c>
      <c r="F2946" s="83" t="b">
        <v>1</v>
      </c>
      <c r="G2946" s="83"/>
      <c r="H2946" s="83"/>
    </row>
    <row r="2947" spans="1:8">
      <c r="A2947" s="83" t="s">
        <v>7881</v>
      </c>
      <c r="B2947" s="83" t="s">
        <v>7752</v>
      </c>
      <c r="C2947" s="83" t="s">
        <v>7881</v>
      </c>
      <c r="D2947" s="83" t="s">
        <v>8026</v>
      </c>
      <c r="E2947" s="84">
        <f>sch_sp_se_num_peteachss_wrestling</f>
        <v>0</v>
      </c>
      <c r="F2947" s="83" t="b">
        <v>1</v>
      </c>
      <c r="G2947" s="83"/>
      <c r="H2947" s="83"/>
    </row>
    <row r="2948" spans="1:8">
      <c r="A2948" s="83" t="s">
        <v>7882</v>
      </c>
      <c r="B2948" s="83" t="s">
        <v>7752</v>
      </c>
      <c r="C2948" s="83" t="s">
        <v>7882</v>
      </c>
      <c r="D2948" s="83" t="s">
        <v>8027</v>
      </c>
      <c r="E2948" s="84">
        <f>sch_sp_se_num_nonpeteachss_wrestling</f>
        <v>0</v>
      </c>
      <c r="F2948" s="83" t="b">
        <v>1</v>
      </c>
      <c r="G2948" s="83"/>
      <c r="H2948" s="83"/>
    </row>
    <row r="2949" spans="1:8">
      <c r="A2949" s="83" t="s">
        <v>7883</v>
      </c>
      <c r="B2949" s="83" t="s">
        <v>7752</v>
      </c>
      <c r="C2949" s="83" t="s">
        <v>7883</v>
      </c>
      <c r="D2949" s="83" t="s">
        <v>8028</v>
      </c>
      <c r="E2949" s="84">
        <f>sch_sp_se_num_nonteachpss_wrestling</f>
        <v>0</v>
      </c>
      <c r="F2949" s="83" t="b">
        <v>1</v>
      </c>
      <c r="G2949" s="83"/>
      <c r="H2949" s="83"/>
    </row>
    <row r="2950" spans="1:8">
      <c r="A2950" s="83" t="s">
        <v>7884</v>
      </c>
      <c r="B2950" s="83" t="s">
        <v>7752</v>
      </c>
      <c r="C2950" s="83" t="s">
        <v>7884</v>
      </c>
      <c r="D2950" s="83" t="s">
        <v>8029</v>
      </c>
      <c r="E2950" s="84">
        <f>sch_sp_se_num_coaches_wushu</f>
        <v>0</v>
      </c>
      <c r="F2950" s="83" t="b">
        <v>1</v>
      </c>
      <c r="G2950" s="83"/>
      <c r="H2950" s="83"/>
    </row>
    <row r="2951" spans="1:8">
      <c r="A2951" s="83" t="s">
        <v>7885</v>
      </c>
      <c r="B2951" s="83" t="s">
        <v>7752</v>
      </c>
      <c r="C2951" s="83" t="s">
        <v>7885</v>
      </c>
      <c r="D2951" s="83" t="s">
        <v>8030</v>
      </c>
      <c r="E2951" s="84">
        <f>sch_sp_se_num_officials_wushu</f>
        <v>0</v>
      </c>
      <c r="F2951" s="83" t="b">
        <v>1</v>
      </c>
      <c r="G2951" s="83"/>
      <c r="H2951" s="83"/>
    </row>
    <row r="2952" spans="1:8">
      <c r="A2952" s="83" t="s">
        <v>7886</v>
      </c>
      <c r="B2952" s="83" t="s">
        <v>7752</v>
      </c>
      <c r="C2952" s="83" t="s">
        <v>7886</v>
      </c>
      <c r="D2952" s="83" t="s">
        <v>8031</v>
      </c>
      <c r="E2952" s="84">
        <f>sch_sp_se_num_peteachss_wushu</f>
        <v>0</v>
      </c>
      <c r="F2952" s="83" t="b">
        <v>1</v>
      </c>
      <c r="G2952" s="83"/>
      <c r="H2952" s="83"/>
    </row>
    <row r="2953" spans="1:8">
      <c r="A2953" s="83" t="s">
        <v>7887</v>
      </c>
      <c r="B2953" s="83" t="s">
        <v>7752</v>
      </c>
      <c r="C2953" s="83" t="s">
        <v>7887</v>
      </c>
      <c r="D2953" s="83" t="s">
        <v>8032</v>
      </c>
      <c r="E2953" s="84">
        <f>sch_sp_se_num_nonpeteachss_wushu</f>
        <v>0</v>
      </c>
      <c r="F2953" s="83" t="b">
        <v>1</v>
      </c>
      <c r="G2953" s="83"/>
      <c r="H2953" s="83"/>
    </row>
    <row r="2954" spans="1:8">
      <c r="A2954" s="83" t="s">
        <v>7888</v>
      </c>
      <c r="B2954" s="83" t="s">
        <v>7752</v>
      </c>
      <c r="C2954" s="83" t="s">
        <v>7888</v>
      </c>
      <c r="D2954" s="83" t="s">
        <v>8033</v>
      </c>
      <c r="E2954" s="84">
        <f>sch_sp_se_num_nonteachpss_wushu</f>
        <v>0</v>
      </c>
      <c r="F2954" s="83" t="b">
        <v>1</v>
      </c>
      <c r="G2954" s="83"/>
      <c r="H2954" s="83"/>
    </row>
    <row r="2955" spans="1:8">
      <c r="A2955" s="83" t="s">
        <v>7889</v>
      </c>
      <c r="B2955" s="83" t="s">
        <v>7752</v>
      </c>
      <c r="C2955" s="83" t="s">
        <v>7889</v>
      </c>
      <c r="D2955" s="83" t="s">
        <v>8034</v>
      </c>
      <c r="E2955" s="84">
        <f>sch_sp_se_num_coaches_bocce</f>
        <v>0</v>
      </c>
      <c r="F2955" s="83" t="b">
        <v>1</v>
      </c>
      <c r="G2955" s="83"/>
      <c r="H2955" s="83"/>
    </row>
    <row r="2956" spans="1:8">
      <c r="A2956" s="83" t="s">
        <v>7890</v>
      </c>
      <c r="B2956" s="83" t="s">
        <v>7752</v>
      </c>
      <c r="C2956" s="83" t="s">
        <v>7890</v>
      </c>
      <c r="D2956" s="83" t="s">
        <v>8035</v>
      </c>
      <c r="E2956" s="84">
        <f>sch_sp_se_num_officials_bocce</f>
        <v>0</v>
      </c>
      <c r="F2956" s="83" t="b">
        <v>1</v>
      </c>
      <c r="G2956" s="83"/>
      <c r="H2956" s="83"/>
    </row>
    <row r="2957" spans="1:8">
      <c r="A2957" s="83" t="s">
        <v>7891</v>
      </c>
      <c r="B2957" s="83" t="s">
        <v>7752</v>
      </c>
      <c r="C2957" s="83" t="s">
        <v>7891</v>
      </c>
      <c r="D2957" s="83" t="s">
        <v>8036</v>
      </c>
      <c r="E2957" s="84">
        <f>sch_sp_se_num_peteachss_bocce</f>
        <v>0</v>
      </c>
      <c r="F2957" s="83" t="b">
        <v>1</v>
      </c>
      <c r="G2957" s="83"/>
      <c r="H2957" s="83"/>
    </row>
    <row r="2958" spans="1:8">
      <c r="A2958" s="83" t="s">
        <v>7892</v>
      </c>
      <c r="B2958" s="83" t="s">
        <v>7752</v>
      </c>
      <c r="C2958" s="83" t="s">
        <v>7892</v>
      </c>
      <c r="D2958" s="83" t="s">
        <v>8037</v>
      </c>
      <c r="E2958" s="84">
        <f>sch_sp_se_num_nonpeteachss_bocce</f>
        <v>0</v>
      </c>
      <c r="F2958" s="83" t="b">
        <v>1</v>
      </c>
      <c r="G2958" s="83"/>
      <c r="H2958" s="83"/>
    </row>
    <row r="2959" spans="1:8">
      <c r="A2959" s="83" t="s">
        <v>7893</v>
      </c>
      <c r="B2959" s="83" t="s">
        <v>7752</v>
      </c>
      <c r="C2959" s="83" t="s">
        <v>7893</v>
      </c>
      <c r="D2959" s="83" t="s">
        <v>8038</v>
      </c>
      <c r="E2959" s="84">
        <f>sch_sp_se_num_nonteachpss_bocce</f>
        <v>0</v>
      </c>
      <c r="F2959" s="83" t="b">
        <v>1</v>
      </c>
      <c r="G2959" s="83"/>
      <c r="H2959" s="83"/>
    </row>
    <row r="2960" spans="1:8">
      <c r="A2960" s="83" t="s">
        <v>7894</v>
      </c>
      <c r="B2960" s="83" t="s">
        <v>7752</v>
      </c>
      <c r="C2960" s="83" t="s">
        <v>7894</v>
      </c>
      <c r="D2960" s="83" t="s">
        <v>8039</v>
      </c>
      <c r="E2960" s="84">
        <f>sch_sp_se_num_coaches_goalball</f>
        <v>0</v>
      </c>
      <c r="F2960" s="83" t="b">
        <v>1</v>
      </c>
      <c r="G2960" s="83"/>
      <c r="H2960" s="83"/>
    </row>
    <row r="2961" spans="1:8">
      <c r="A2961" s="83" t="s">
        <v>7895</v>
      </c>
      <c r="B2961" s="83" t="s">
        <v>7752</v>
      </c>
      <c r="C2961" s="83" t="s">
        <v>7895</v>
      </c>
      <c r="D2961" s="83" t="s">
        <v>8040</v>
      </c>
      <c r="E2961" s="84">
        <f>sch_sp_se_num_officials_goalball</f>
        <v>0</v>
      </c>
      <c r="F2961" s="83" t="b">
        <v>1</v>
      </c>
      <c r="G2961" s="83"/>
      <c r="H2961" s="83"/>
    </row>
    <row r="2962" spans="1:8">
      <c r="A2962" s="83" t="s">
        <v>7896</v>
      </c>
      <c r="B2962" s="83" t="s">
        <v>7752</v>
      </c>
      <c r="C2962" s="83" t="s">
        <v>7896</v>
      </c>
      <c r="D2962" s="83" t="s">
        <v>8041</v>
      </c>
      <c r="E2962" s="84">
        <f>sch_sp_se_num_peteachss_goalball</f>
        <v>0</v>
      </c>
      <c r="F2962" s="83" t="b">
        <v>1</v>
      </c>
      <c r="G2962" s="83"/>
      <c r="H2962" s="83"/>
    </row>
    <row r="2963" spans="1:8">
      <c r="A2963" s="83" t="s">
        <v>7897</v>
      </c>
      <c r="B2963" s="83" t="s">
        <v>7752</v>
      </c>
      <c r="C2963" s="83" t="s">
        <v>7897</v>
      </c>
      <c r="D2963" s="83" t="s">
        <v>8042</v>
      </c>
      <c r="E2963" s="84">
        <f>sch_sp_se_num_nonpeteachss_goalball</f>
        <v>0</v>
      </c>
      <c r="F2963" s="83" t="b">
        <v>1</v>
      </c>
      <c r="G2963" s="83"/>
      <c r="H2963" s="83"/>
    </row>
    <row r="2964" spans="1:8">
      <c r="A2964" s="83" t="s">
        <v>7898</v>
      </c>
      <c r="B2964" s="83" t="s">
        <v>7752</v>
      </c>
      <c r="C2964" s="83" t="s">
        <v>7898</v>
      </c>
      <c r="D2964" s="83" t="s">
        <v>8043</v>
      </c>
      <c r="E2964" s="84">
        <f>sch_sp_se_num_nonteachpss_goalball</f>
        <v>0</v>
      </c>
      <c r="F2964" s="83" t="b">
        <v>1</v>
      </c>
      <c r="G2964" s="83"/>
      <c r="H2964" s="83"/>
    </row>
    <row r="2965" spans="1:8">
      <c r="A2965" s="83" t="s">
        <v>7751</v>
      </c>
      <c r="B2965" s="83" t="s">
        <v>7752</v>
      </c>
      <c r="C2965" s="83" t="s">
        <v>7751</v>
      </c>
      <c r="D2965" s="83" t="s">
        <v>8044</v>
      </c>
      <c r="E2965" s="84" t="str">
        <f>do_sports_coordinator_name</f>
        <v>PARA D. TALIP</v>
      </c>
      <c r="F2965" s="83" t="b">
        <v>1</v>
      </c>
      <c r="G2965" s="83"/>
      <c r="H2965" s="83"/>
    </row>
    <row r="2966" spans="1:8" s="112" customFormat="1" ht="16" thickBot="1">
      <c r="A2966" s="85" t="s">
        <v>7753</v>
      </c>
      <c r="B2966" s="85" t="s">
        <v>7752</v>
      </c>
      <c r="C2966" s="85" t="s">
        <v>7753</v>
      </c>
      <c r="D2966" s="85" t="s">
        <v>8045</v>
      </c>
      <c r="E2966" s="86" t="str">
        <f>do_sports_coordinator_pos</f>
        <v>Education Program Supervisor</v>
      </c>
      <c r="F2966" s="85" t="b">
        <v>1</v>
      </c>
      <c r="G2966" s="85"/>
      <c r="H2966" s="85"/>
    </row>
    <row r="2967" spans="1:8">
      <c r="A2967" s="83" t="s">
        <v>8046</v>
      </c>
      <c r="B2967" s="83" t="s">
        <v>8047</v>
      </c>
      <c r="C2967" s="83" t="s">
        <v>8046</v>
      </c>
      <c r="D2967" s="83" t="s">
        <v>8326</v>
      </c>
      <c r="E2967" s="84">
        <f>sch_dcnh_dr_06</f>
        <v>0</v>
      </c>
      <c r="F2967" s="83" t="b">
        <v>1</v>
      </c>
      <c r="G2967" s="83"/>
      <c r="H2967" s="83"/>
    </row>
    <row r="2968" spans="1:8">
      <c r="A2968" s="83" t="s">
        <v>8048</v>
      </c>
      <c r="B2968" s="83" t="s">
        <v>8047</v>
      </c>
      <c r="C2968" s="83" t="s">
        <v>8048</v>
      </c>
      <c r="D2968" s="83" t="s">
        <v>8327</v>
      </c>
      <c r="E2968" s="84">
        <f>sch_dcnh_dr_07</f>
        <v>0</v>
      </c>
      <c r="F2968" s="83" t="b">
        <v>1</v>
      </c>
      <c r="G2968" s="83"/>
      <c r="H2968" s="83"/>
    </row>
    <row r="2969" spans="1:8">
      <c r="A2969" s="83" t="s">
        <v>8049</v>
      </c>
      <c r="B2969" s="83" t="s">
        <v>8047</v>
      </c>
      <c r="C2969" s="83" t="s">
        <v>8049</v>
      </c>
      <c r="D2969" s="83" t="s">
        <v>8328</v>
      </c>
      <c r="E2969" s="84">
        <f>sch_dcnh_dr_08</f>
        <v>0</v>
      </c>
      <c r="F2969" s="83" t="b">
        <v>1</v>
      </c>
      <c r="G2969" s="83"/>
      <c r="H2969" s="83"/>
    </row>
    <row r="2970" spans="1:8">
      <c r="A2970" s="83" t="s">
        <v>8050</v>
      </c>
      <c r="B2970" s="83" t="s">
        <v>8047</v>
      </c>
      <c r="C2970" s="83" t="s">
        <v>8050</v>
      </c>
      <c r="D2970" s="83" t="s">
        <v>8329</v>
      </c>
      <c r="E2970" s="84">
        <f>sch_dcnh_dr_09</f>
        <v>0</v>
      </c>
      <c r="F2970" s="83" t="b">
        <v>1</v>
      </c>
      <c r="G2970" s="83"/>
      <c r="H2970" s="83"/>
    </row>
    <row r="2971" spans="1:8">
      <c r="A2971" s="83" t="s">
        <v>8051</v>
      </c>
      <c r="B2971" s="83" t="s">
        <v>8047</v>
      </c>
      <c r="C2971" s="83" t="s">
        <v>8051</v>
      </c>
      <c r="D2971" s="83" t="s">
        <v>8330</v>
      </c>
      <c r="E2971" s="84">
        <f>sch_dcnh_dr_10</f>
        <v>0</v>
      </c>
      <c r="F2971" s="83" t="b">
        <v>1</v>
      </c>
      <c r="G2971" s="83"/>
      <c r="H2971" s="83"/>
    </row>
    <row r="2972" spans="1:8">
      <c r="A2972" s="83" t="s">
        <v>8052</v>
      </c>
      <c r="B2972" s="83" t="s">
        <v>8047</v>
      </c>
      <c r="C2972" s="83" t="s">
        <v>8052</v>
      </c>
      <c r="D2972" s="83" t="s">
        <v>8331</v>
      </c>
      <c r="E2972" s="84">
        <f>sch_dcnh_dr_11</f>
        <v>0</v>
      </c>
      <c r="F2972" s="83" t="b">
        <v>1</v>
      </c>
      <c r="G2972" s="83"/>
      <c r="H2972" s="83"/>
    </row>
    <row r="2973" spans="1:8">
      <c r="A2973" s="83" t="s">
        <v>8053</v>
      </c>
      <c r="B2973" s="83" t="s">
        <v>8047</v>
      </c>
      <c r="C2973" s="83" t="s">
        <v>8053</v>
      </c>
      <c r="D2973" s="83" t="s">
        <v>8332</v>
      </c>
      <c r="E2973" s="84">
        <f>sch_dcnh_dr_12</f>
        <v>0</v>
      </c>
      <c r="F2973" s="83" t="b">
        <v>1</v>
      </c>
      <c r="G2973" s="83"/>
      <c r="H2973" s="83"/>
    </row>
    <row r="2974" spans="1:8">
      <c r="A2974" s="83" t="s">
        <v>8054</v>
      </c>
      <c r="B2974" s="83" t="s">
        <v>8047</v>
      </c>
      <c r="C2974" s="83" t="s">
        <v>8054</v>
      </c>
      <c r="D2974" s="83" t="s">
        <v>8333</v>
      </c>
      <c r="E2974" s="84">
        <f>sch_dcnh_dr_01</f>
        <v>0</v>
      </c>
      <c r="F2974" s="83" t="b">
        <v>1</v>
      </c>
      <c r="G2974" s="83"/>
      <c r="H2974" s="83"/>
    </row>
    <row r="2975" spans="1:8">
      <c r="A2975" s="83" t="s">
        <v>8055</v>
      </c>
      <c r="B2975" s="83" t="s">
        <v>8047</v>
      </c>
      <c r="C2975" s="83" t="s">
        <v>8055</v>
      </c>
      <c r="D2975" s="83" t="s">
        <v>8334</v>
      </c>
      <c r="E2975" s="84">
        <f>sch_dcnh_dr_02</f>
        <v>0</v>
      </c>
      <c r="F2975" s="83" t="b">
        <v>1</v>
      </c>
      <c r="G2975" s="83"/>
      <c r="H2975" s="83"/>
    </row>
    <row r="2976" spans="1:8">
      <c r="A2976" s="83" t="s">
        <v>8056</v>
      </c>
      <c r="B2976" s="83" t="s">
        <v>8047</v>
      </c>
      <c r="C2976" s="83" t="s">
        <v>8056</v>
      </c>
      <c r="D2976" s="83" t="s">
        <v>8335</v>
      </c>
      <c r="E2976" s="84">
        <f>sch_dcnh_dr_03</f>
        <v>0</v>
      </c>
      <c r="F2976" s="83" t="b">
        <v>1</v>
      </c>
      <c r="G2976" s="83"/>
      <c r="H2976" s="83"/>
    </row>
    <row r="2977" spans="1:8">
      <c r="A2977" s="83" t="s">
        <v>8057</v>
      </c>
      <c r="B2977" s="83" t="s">
        <v>8047</v>
      </c>
      <c r="C2977" s="83" t="s">
        <v>8057</v>
      </c>
      <c r="D2977" s="83" t="s">
        <v>8336</v>
      </c>
      <c r="E2977" s="84">
        <f>sch_dcnh_dr_04</f>
        <v>0</v>
      </c>
      <c r="F2977" s="83" t="b">
        <v>1</v>
      </c>
      <c r="G2977" s="83"/>
      <c r="H2977" s="83"/>
    </row>
    <row r="2978" spans="1:8">
      <c r="A2978" s="83" t="s">
        <v>8058</v>
      </c>
      <c r="B2978" s="83" t="s">
        <v>8047</v>
      </c>
      <c r="C2978" s="83" t="s">
        <v>8058</v>
      </c>
      <c r="D2978" s="83" t="s">
        <v>8337</v>
      </c>
      <c r="E2978" s="84">
        <f>sch_dcnh_dr_05</f>
        <v>0</v>
      </c>
      <c r="F2978" s="83" t="b">
        <v>1</v>
      </c>
      <c r="G2978" s="83"/>
      <c r="H2978" s="83"/>
    </row>
    <row r="2979" spans="1:8">
      <c r="A2979" s="83" t="s">
        <v>8059</v>
      </c>
      <c r="B2979" s="83" t="s">
        <v>8047</v>
      </c>
      <c r="C2979" s="83" t="s">
        <v>8059</v>
      </c>
      <c r="D2979" s="83" t="s">
        <v>8338</v>
      </c>
      <c r="E2979" s="84">
        <f>sch_dcnh_ea_06</f>
        <v>0</v>
      </c>
      <c r="F2979" s="83" t="b">
        <v>1</v>
      </c>
      <c r="G2979" s="83"/>
      <c r="H2979" s="83"/>
    </row>
    <row r="2980" spans="1:8">
      <c r="A2980" s="83" t="s">
        <v>8060</v>
      </c>
      <c r="B2980" s="83" t="s">
        <v>8047</v>
      </c>
      <c r="C2980" s="83" t="s">
        <v>8060</v>
      </c>
      <c r="D2980" s="83" t="s">
        <v>8339</v>
      </c>
      <c r="E2980" s="84">
        <f>sch_dcnh_ea_07</f>
        <v>0</v>
      </c>
      <c r="F2980" s="83" t="b">
        <v>1</v>
      </c>
      <c r="G2980" s="83"/>
      <c r="H2980" s="83"/>
    </row>
    <row r="2981" spans="1:8">
      <c r="A2981" s="83" t="s">
        <v>8061</v>
      </c>
      <c r="B2981" s="83" t="s">
        <v>8047</v>
      </c>
      <c r="C2981" s="83" t="s">
        <v>8061</v>
      </c>
      <c r="D2981" s="83" t="s">
        <v>8340</v>
      </c>
      <c r="E2981" s="84">
        <f>sch_dcnh_ea_08</f>
        <v>0</v>
      </c>
      <c r="F2981" s="83" t="b">
        <v>1</v>
      </c>
      <c r="G2981" s="83"/>
      <c r="H2981" s="83"/>
    </row>
    <row r="2982" spans="1:8">
      <c r="A2982" s="83" t="s">
        <v>8062</v>
      </c>
      <c r="B2982" s="83" t="s">
        <v>8047</v>
      </c>
      <c r="C2982" s="83" t="s">
        <v>8062</v>
      </c>
      <c r="D2982" s="83" t="s">
        <v>8341</v>
      </c>
      <c r="E2982" s="84">
        <f>sch_dcnh_ea_09</f>
        <v>0</v>
      </c>
      <c r="F2982" s="83" t="b">
        <v>1</v>
      </c>
      <c r="G2982" s="83"/>
      <c r="H2982" s="83"/>
    </row>
    <row r="2983" spans="1:8">
      <c r="A2983" s="83" t="s">
        <v>8063</v>
      </c>
      <c r="B2983" s="83" t="s">
        <v>8047</v>
      </c>
      <c r="C2983" s="83" t="s">
        <v>8063</v>
      </c>
      <c r="D2983" s="83" t="s">
        <v>8342</v>
      </c>
      <c r="E2983" s="84">
        <f>sch_dcnh_ea_10</f>
        <v>0</v>
      </c>
      <c r="F2983" s="83" t="b">
        <v>1</v>
      </c>
      <c r="G2983" s="83"/>
      <c r="H2983" s="83"/>
    </row>
    <row r="2984" spans="1:8">
      <c r="A2984" s="83" t="s">
        <v>8064</v>
      </c>
      <c r="B2984" s="83" t="s">
        <v>8047</v>
      </c>
      <c r="C2984" s="83" t="s">
        <v>8064</v>
      </c>
      <c r="D2984" s="83" t="s">
        <v>8343</v>
      </c>
      <c r="E2984" s="84">
        <f>sch_dcnh_ea_11</f>
        <v>0</v>
      </c>
      <c r="F2984" s="83" t="b">
        <v>1</v>
      </c>
      <c r="G2984" s="83"/>
      <c r="H2984" s="83"/>
    </row>
    <row r="2985" spans="1:8">
      <c r="A2985" s="83" t="s">
        <v>8065</v>
      </c>
      <c r="B2985" s="83" t="s">
        <v>8047</v>
      </c>
      <c r="C2985" s="83" t="s">
        <v>8065</v>
      </c>
      <c r="D2985" s="83" t="s">
        <v>8344</v>
      </c>
      <c r="E2985" s="84">
        <f>sch_dcnh_ea_12</f>
        <v>0</v>
      </c>
      <c r="F2985" s="83" t="b">
        <v>1</v>
      </c>
      <c r="G2985" s="83"/>
      <c r="H2985" s="83"/>
    </row>
    <row r="2986" spans="1:8">
      <c r="A2986" s="83" t="s">
        <v>8066</v>
      </c>
      <c r="B2986" s="83" t="s">
        <v>8047</v>
      </c>
      <c r="C2986" s="83" t="s">
        <v>8066</v>
      </c>
      <c r="D2986" s="83" t="s">
        <v>8345</v>
      </c>
      <c r="E2986" s="84">
        <f>sch_dcnh_ea_01</f>
        <v>0</v>
      </c>
      <c r="F2986" s="83" t="b">
        <v>1</v>
      </c>
      <c r="G2986" s="83"/>
      <c r="H2986" s="83"/>
    </row>
    <row r="2987" spans="1:8">
      <c r="A2987" s="83" t="s">
        <v>8067</v>
      </c>
      <c r="B2987" s="83" t="s">
        <v>8047</v>
      </c>
      <c r="C2987" s="83" t="s">
        <v>8067</v>
      </c>
      <c r="D2987" s="83" t="s">
        <v>8346</v>
      </c>
      <c r="E2987" s="84">
        <f>sch_dcnh_ea_02</f>
        <v>0</v>
      </c>
      <c r="F2987" s="83" t="b">
        <v>1</v>
      </c>
      <c r="G2987" s="83"/>
      <c r="H2987" s="83"/>
    </row>
    <row r="2988" spans="1:8">
      <c r="A2988" s="83" t="s">
        <v>8068</v>
      </c>
      <c r="B2988" s="83" t="s">
        <v>8047</v>
      </c>
      <c r="C2988" s="83" t="s">
        <v>8068</v>
      </c>
      <c r="D2988" s="83" t="s">
        <v>8347</v>
      </c>
      <c r="E2988" s="84">
        <f>sch_dcnh_ea_03</f>
        <v>0</v>
      </c>
      <c r="F2988" s="83" t="b">
        <v>1</v>
      </c>
      <c r="G2988" s="83"/>
      <c r="H2988" s="83"/>
    </row>
    <row r="2989" spans="1:8">
      <c r="A2989" s="83" t="s">
        <v>8069</v>
      </c>
      <c r="B2989" s="83" t="s">
        <v>8047</v>
      </c>
      <c r="C2989" s="83" t="s">
        <v>8069</v>
      </c>
      <c r="D2989" s="83" t="s">
        <v>8348</v>
      </c>
      <c r="E2989" s="84">
        <f>sch_dcnh_ea_04</f>
        <v>0</v>
      </c>
      <c r="F2989" s="83" t="b">
        <v>1</v>
      </c>
      <c r="G2989" s="83"/>
      <c r="H2989" s="83"/>
    </row>
    <row r="2990" spans="1:8">
      <c r="A2990" s="83" t="s">
        <v>8070</v>
      </c>
      <c r="B2990" s="83" t="s">
        <v>8047</v>
      </c>
      <c r="C2990" s="83" t="s">
        <v>8070</v>
      </c>
      <c r="D2990" s="83" t="s">
        <v>8349</v>
      </c>
      <c r="E2990" s="84">
        <f>sch_dcnh_ea_05</f>
        <v>0</v>
      </c>
      <c r="F2990" s="83" t="b">
        <v>1</v>
      </c>
      <c r="G2990" s="83"/>
      <c r="H2990" s="83"/>
    </row>
    <row r="2991" spans="1:8">
      <c r="A2991" s="83" t="s">
        <v>8071</v>
      </c>
      <c r="B2991" s="83" t="s">
        <v>8047</v>
      </c>
      <c r="C2991" s="83" t="s">
        <v>8071</v>
      </c>
      <c r="D2991" s="83" t="s">
        <v>8350</v>
      </c>
      <c r="E2991" s="84">
        <f>sch_dcnh_fi_06</f>
        <v>0</v>
      </c>
      <c r="F2991" s="83" t="b">
        <v>1</v>
      </c>
      <c r="G2991" s="83"/>
      <c r="H2991" s="83"/>
    </row>
    <row r="2992" spans="1:8">
      <c r="A2992" s="83" t="s">
        <v>8072</v>
      </c>
      <c r="B2992" s="83" t="s">
        <v>8047</v>
      </c>
      <c r="C2992" s="83" t="s">
        <v>8072</v>
      </c>
      <c r="D2992" s="83" t="s">
        <v>8351</v>
      </c>
      <c r="E2992" s="84">
        <f>sch_dcnh_fi_07</f>
        <v>0</v>
      </c>
      <c r="F2992" s="83" t="b">
        <v>1</v>
      </c>
      <c r="G2992" s="83"/>
      <c r="H2992" s="83"/>
    </row>
    <row r="2993" spans="1:8">
      <c r="A2993" s="83" t="s">
        <v>8073</v>
      </c>
      <c r="B2993" s="83" t="s">
        <v>8047</v>
      </c>
      <c r="C2993" s="83" t="s">
        <v>8073</v>
      </c>
      <c r="D2993" s="83" t="s">
        <v>8352</v>
      </c>
      <c r="E2993" s="84">
        <f>sch_dcnh_fi_08</f>
        <v>0</v>
      </c>
      <c r="F2993" s="83" t="b">
        <v>1</v>
      </c>
      <c r="G2993" s="83"/>
      <c r="H2993" s="83"/>
    </row>
    <row r="2994" spans="1:8">
      <c r="A2994" s="83" t="s">
        <v>8074</v>
      </c>
      <c r="B2994" s="83" t="s">
        <v>8047</v>
      </c>
      <c r="C2994" s="83" t="s">
        <v>8074</v>
      </c>
      <c r="D2994" s="83" t="s">
        <v>8353</v>
      </c>
      <c r="E2994" s="84">
        <f>sch_dcnh_fi_09</f>
        <v>0</v>
      </c>
      <c r="F2994" s="83" t="b">
        <v>1</v>
      </c>
      <c r="G2994" s="83"/>
      <c r="H2994" s="83"/>
    </row>
    <row r="2995" spans="1:8">
      <c r="A2995" s="83" t="s">
        <v>8075</v>
      </c>
      <c r="B2995" s="83" t="s">
        <v>8047</v>
      </c>
      <c r="C2995" s="83" t="s">
        <v>8075</v>
      </c>
      <c r="D2995" s="83" t="s">
        <v>8354</v>
      </c>
      <c r="E2995" s="84">
        <f>sch_dcnh_fi_10</f>
        <v>0</v>
      </c>
      <c r="F2995" s="83" t="b">
        <v>1</v>
      </c>
      <c r="G2995" s="83"/>
      <c r="H2995" s="83"/>
    </row>
    <row r="2996" spans="1:8">
      <c r="A2996" s="83" t="s">
        <v>8076</v>
      </c>
      <c r="B2996" s="83" t="s">
        <v>8047</v>
      </c>
      <c r="C2996" s="83" t="s">
        <v>8076</v>
      </c>
      <c r="D2996" s="83" t="s">
        <v>8355</v>
      </c>
      <c r="E2996" s="84">
        <f>sch_dcnh_fi_11</f>
        <v>0</v>
      </c>
      <c r="F2996" s="83" t="b">
        <v>1</v>
      </c>
      <c r="G2996" s="83"/>
      <c r="H2996" s="83"/>
    </row>
    <row r="2997" spans="1:8">
      <c r="A2997" s="83" t="s">
        <v>8077</v>
      </c>
      <c r="B2997" s="83" t="s">
        <v>8047</v>
      </c>
      <c r="C2997" s="83" t="s">
        <v>8077</v>
      </c>
      <c r="D2997" s="83" t="s">
        <v>8356</v>
      </c>
      <c r="E2997" s="84">
        <f>sch_dcnh_fi_12</f>
        <v>0</v>
      </c>
      <c r="F2997" s="83" t="b">
        <v>1</v>
      </c>
      <c r="G2997" s="83"/>
      <c r="H2997" s="83"/>
    </row>
    <row r="2998" spans="1:8">
      <c r="A2998" s="83" t="s">
        <v>8078</v>
      </c>
      <c r="B2998" s="83" t="s">
        <v>8047</v>
      </c>
      <c r="C2998" s="83" t="s">
        <v>8078</v>
      </c>
      <c r="D2998" s="83" t="s">
        <v>8357</v>
      </c>
      <c r="E2998" s="84">
        <f>sch_dcnh_fi_01</f>
        <v>0</v>
      </c>
      <c r="F2998" s="83" t="b">
        <v>1</v>
      </c>
      <c r="G2998" s="83"/>
      <c r="H2998" s="83"/>
    </row>
    <row r="2999" spans="1:8">
      <c r="A2999" s="83" t="s">
        <v>8079</v>
      </c>
      <c r="B2999" s="83" t="s">
        <v>8047</v>
      </c>
      <c r="C2999" s="83" t="s">
        <v>8079</v>
      </c>
      <c r="D2999" s="83" t="s">
        <v>8358</v>
      </c>
      <c r="E2999" s="84">
        <f>sch_dcnh_fi_02</f>
        <v>0</v>
      </c>
      <c r="F2999" s="83" t="b">
        <v>1</v>
      </c>
      <c r="G2999" s="83"/>
      <c r="H2999" s="83"/>
    </row>
    <row r="3000" spans="1:8">
      <c r="A3000" s="83" t="s">
        <v>8080</v>
      </c>
      <c r="B3000" s="83" t="s">
        <v>8047</v>
      </c>
      <c r="C3000" s="83" t="s">
        <v>8080</v>
      </c>
      <c r="D3000" s="83" t="s">
        <v>8359</v>
      </c>
      <c r="E3000" s="84">
        <f>sch_dcnh_fi_03</f>
        <v>0</v>
      </c>
      <c r="F3000" s="83" t="b">
        <v>1</v>
      </c>
      <c r="G3000" s="83"/>
      <c r="H3000" s="83"/>
    </row>
    <row r="3001" spans="1:8">
      <c r="A3001" s="83" t="s">
        <v>8081</v>
      </c>
      <c r="B3001" s="83" t="s">
        <v>8047</v>
      </c>
      <c r="C3001" s="83" t="s">
        <v>8081</v>
      </c>
      <c r="D3001" s="83" t="s">
        <v>8360</v>
      </c>
      <c r="E3001" s="84">
        <f>sch_dcnh_fi_04</f>
        <v>0</v>
      </c>
      <c r="F3001" s="83" t="b">
        <v>1</v>
      </c>
      <c r="G3001" s="83"/>
      <c r="H3001" s="83"/>
    </row>
    <row r="3002" spans="1:8">
      <c r="A3002" s="83" t="s">
        <v>8082</v>
      </c>
      <c r="B3002" s="83" t="s">
        <v>8047</v>
      </c>
      <c r="C3002" s="83" t="s">
        <v>8082</v>
      </c>
      <c r="D3002" s="83" t="s">
        <v>8361</v>
      </c>
      <c r="E3002" s="84">
        <f>sch_dcnh_fi_05</f>
        <v>0</v>
      </c>
      <c r="F3002" s="83" t="b">
        <v>1</v>
      </c>
      <c r="G3002" s="83"/>
      <c r="H3002" s="83"/>
    </row>
    <row r="3003" spans="1:8">
      <c r="A3003" s="83" t="s">
        <v>8083</v>
      </c>
      <c r="B3003" s="83" t="s">
        <v>8047</v>
      </c>
      <c r="C3003" s="83" t="s">
        <v>8083</v>
      </c>
      <c r="D3003" s="83" t="s">
        <v>8362</v>
      </c>
      <c r="E3003" s="84">
        <f>sch_dcnh_fl_06</f>
        <v>0</v>
      </c>
      <c r="F3003" s="83" t="b">
        <v>1</v>
      </c>
      <c r="G3003" s="83"/>
      <c r="H3003" s="83"/>
    </row>
    <row r="3004" spans="1:8">
      <c r="A3004" s="83" t="s">
        <v>8084</v>
      </c>
      <c r="B3004" s="83" t="s">
        <v>8047</v>
      </c>
      <c r="C3004" s="83" t="s">
        <v>8084</v>
      </c>
      <c r="D3004" s="83" t="s">
        <v>8363</v>
      </c>
      <c r="E3004" s="84">
        <f>sch_dcnh_fl_07</f>
        <v>0</v>
      </c>
      <c r="F3004" s="83" t="b">
        <v>1</v>
      </c>
      <c r="G3004" s="83"/>
      <c r="H3004" s="83"/>
    </row>
    <row r="3005" spans="1:8">
      <c r="A3005" s="83" t="s">
        <v>8085</v>
      </c>
      <c r="B3005" s="83" t="s">
        <v>8047</v>
      </c>
      <c r="C3005" s="83" t="s">
        <v>8085</v>
      </c>
      <c r="D3005" s="83" t="s">
        <v>8364</v>
      </c>
      <c r="E3005" s="84">
        <f>sch_dcnh_fl_08</f>
        <v>0</v>
      </c>
      <c r="F3005" s="83" t="b">
        <v>1</v>
      </c>
      <c r="G3005" s="83"/>
      <c r="H3005" s="83"/>
    </row>
    <row r="3006" spans="1:8">
      <c r="A3006" s="83" t="s">
        <v>8086</v>
      </c>
      <c r="B3006" s="83" t="s">
        <v>8047</v>
      </c>
      <c r="C3006" s="83" t="s">
        <v>8086</v>
      </c>
      <c r="D3006" s="83" t="s">
        <v>8365</v>
      </c>
      <c r="E3006" s="84">
        <f>sch_dcnh_fl_09</f>
        <v>0</v>
      </c>
      <c r="F3006" s="83" t="b">
        <v>1</v>
      </c>
      <c r="G3006" s="83"/>
      <c r="H3006" s="83"/>
    </row>
    <row r="3007" spans="1:8">
      <c r="A3007" s="83" t="s">
        <v>8087</v>
      </c>
      <c r="B3007" s="83" t="s">
        <v>8047</v>
      </c>
      <c r="C3007" s="83" t="s">
        <v>8087</v>
      </c>
      <c r="D3007" s="83" t="s">
        <v>8366</v>
      </c>
      <c r="E3007" s="84">
        <f>sch_dcnh_fl_10</f>
        <v>0</v>
      </c>
      <c r="F3007" s="83" t="b">
        <v>1</v>
      </c>
      <c r="G3007" s="83"/>
      <c r="H3007" s="83"/>
    </row>
    <row r="3008" spans="1:8">
      <c r="A3008" s="83" t="s">
        <v>8088</v>
      </c>
      <c r="B3008" s="83" t="s">
        <v>8047</v>
      </c>
      <c r="C3008" s="83" t="s">
        <v>8088</v>
      </c>
      <c r="D3008" s="83" t="s">
        <v>8367</v>
      </c>
      <c r="E3008" s="84">
        <f>sch_dcnh_fl_11</f>
        <v>0</v>
      </c>
      <c r="F3008" s="83" t="b">
        <v>1</v>
      </c>
      <c r="G3008" s="83"/>
      <c r="H3008" s="83"/>
    </row>
    <row r="3009" spans="1:8">
      <c r="A3009" s="83" t="s">
        <v>8089</v>
      </c>
      <c r="B3009" s="83" t="s">
        <v>8047</v>
      </c>
      <c r="C3009" s="83" t="s">
        <v>8089</v>
      </c>
      <c r="D3009" s="83" t="s">
        <v>8368</v>
      </c>
      <c r="E3009" s="84">
        <f>sch_dcnh_fl_12</f>
        <v>0</v>
      </c>
      <c r="F3009" s="83" t="b">
        <v>1</v>
      </c>
      <c r="G3009" s="83"/>
      <c r="H3009" s="83"/>
    </row>
    <row r="3010" spans="1:8">
      <c r="A3010" s="83" t="s">
        <v>8090</v>
      </c>
      <c r="B3010" s="83" t="s">
        <v>8047</v>
      </c>
      <c r="C3010" s="83" t="s">
        <v>8090</v>
      </c>
      <c r="D3010" s="83" t="s">
        <v>8369</v>
      </c>
      <c r="E3010" s="84">
        <f>sch_dcnh_fl_01</f>
        <v>0</v>
      </c>
      <c r="F3010" s="83" t="b">
        <v>1</v>
      </c>
      <c r="G3010" s="83"/>
      <c r="H3010" s="83"/>
    </row>
    <row r="3011" spans="1:8">
      <c r="A3011" s="83" t="s">
        <v>8091</v>
      </c>
      <c r="B3011" s="83" t="s">
        <v>8047</v>
      </c>
      <c r="C3011" s="83" t="s">
        <v>8091</v>
      </c>
      <c r="D3011" s="83" t="s">
        <v>8370</v>
      </c>
      <c r="E3011" s="84">
        <f>sch_dcnh_fl_02</f>
        <v>0</v>
      </c>
      <c r="F3011" s="83" t="b">
        <v>1</v>
      </c>
      <c r="G3011" s="83"/>
      <c r="H3011" s="83"/>
    </row>
    <row r="3012" spans="1:8">
      <c r="A3012" s="83" t="s">
        <v>8092</v>
      </c>
      <c r="B3012" s="83" t="s">
        <v>8047</v>
      </c>
      <c r="C3012" s="83" t="s">
        <v>8092</v>
      </c>
      <c r="D3012" s="83" t="s">
        <v>8371</v>
      </c>
      <c r="E3012" s="84">
        <f>sch_dcnh_fl_03</f>
        <v>0</v>
      </c>
      <c r="F3012" s="83" t="b">
        <v>1</v>
      </c>
      <c r="G3012" s="83"/>
      <c r="H3012" s="83"/>
    </row>
    <row r="3013" spans="1:8">
      <c r="A3013" s="83" t="s">
        <v>8093</v>
      </c>
      <c r="B3013" s="83" t="s">
        <v>8047</v>
      </c>
      <c r="C3013" s="83" t="s">
        <v>8093</v>
      </c>
      <c r="D3013" s="83" t="s">
        <v>8372</v>
      </c>
      <c r="E3013" s="84">
        <f>sch_dcnh_fl_04</f>
        <v>0</v>
      </c>
      <c r="F3013" s="83" t="b">
        <v>1</v>
      </c>
      <c r="G3013" s="83"/>
      <c r="H3013" s="83"/>
    </row>
    <row r="3014" spans="1:8">
      <c r="A3014" s="83" t="s">
        <v>8094</v>
      </c>
      <c r="B3014" s="83" t="s">
        <v>8047</v>
      </c>
      <c r="C3014" s="83" t="s">
        <v>8094</v>
      </c>
      <c r="D3014" s="83" t="s">
        <v>8373</v>
      </c>
      <c r="E3014" s="84">
        <f>sch_dcnh_fl_05</f>
        <v>0</v>
      </c>
      <c r="F3014" s="83" t="b">
        <v>1</v>
      </c>
      <c r="G3014" s="83"/>
      <c r="H3014" s="83"/>
    </row>
    <row r="3015" spans="1:8">
      <c r="A3015" s="83" t="s">
        <v>8095</v>
      </c>
      <c r="B3015" s="83" t="s">
        <v>8047</v>
      </c>
      <c r="C3015" s="83" t="s">
        <v>8095</v>
      </c>
      <c r="D3015" s="83" t="s">
        <v>8374</v>
      </c>
      <c r="E3015" s="84">
        <f>sch_dcnh_ls_06</f>
        <v>0</v>
      </c>
      <c r="F3015" s="83" t="b">
        <v>1</v>
      </c>
      <c r="G3015" s="83"/>
      <c r="H3015" s="83"/>
    </row>
    <row r="3016" spans="1:8">
      <c r="A3016" s="83" t="s">
        <v>8096</v>
      </c>
      <c r="B3016" s="83" t="s">
        <v>8047</v>
      </c>
      <c r="C3016" s="83" t="s">
        <v>8096</v>
      </c>
      <c r="D3016" s="83" t="s">
        <v>8375</v>
      </c>
      <c r="E3016" s="84">
        <f>sch_dcnh_ls_07</f>
        <v>0</v>
      </c>
      <c r="F3016" s="83" t="b">
        <v>1</v>
      </c>
      <c r="G3016" s="83"/>
      <c r="H3016" s="83"/>
    </row>
    <row r="3017" spans="1:8">
      <c r="A3017" s="83" t="s">
        <v>8097</v>
      </c>
      <c r="B3017" s="83" t="s">
        <v>8047</v>
      </c>
      <c r="C3017" s="83" t="s">
        <v>8097</v>
      </c>
      <c r="D3017" s="83" t="s">
        <v>8376</v>
      </c>
      <c r="E3017" s="84">
        <f>sch_dcnh_ls_08</f>
        <v>0</v>
      </c>
      <c r="F3017" s="83" t="b">
        <v>1</v>
      </c>
      <c r="G3017" s="83"/>
      <c r="H3017" s="83"/>
    </row>
    <row r="3018" spans="1:8">
      <c r="A3018" s="83" t="s">
        <v>8098</v>
      </c>
      <c r="B3018" s="83" t="s">
        <v>8047</v>
      </c>
      <c r="C3018" s="83" t="s">
        <v>8098</v>
      </c>
      <c r="D3018" s="83" t="s">
        <v>8377</v>
      </c>
      <c r="E3018" s="84">
        <f>sch_dcnh_ls_09</f>
        <v>0</v>
      </c>
      <c r="F3018" s="83" t="b">
        <v>1</v>
      </c>
      <c r="G3018" s="83"/>
      <c r="H3018" s="83"/>
    </row>
    <row r="3019" spans="1:8">
      <c r="A3019" s="83" t="s">
        <v>8099</v>
      </c>
      <c r="B3019" s="83" t="s">
        <v>8047</v>
      </c>
      <c r="C3019" s="83" t="s">
        <v>8099</v>
      </c>
      <c r="D3019" s="83" t="s">
        <v>8378</v>
      </c>
      <c r="E3019" s="84">
        <f>sch_dcnh_ls_10</f>
        <v>0</v>
      </c>
      <c r="F3019" s="83" t="b">
        <v>1</v>
      </c>
      <c r="G3019" s="83"/>
      <c r="H3019" s="83"/>
    </row>
    <row r="3020" spans="1:8">
      <c r="A3020" s="83" t="s">
        <v>8100</v>
      </c>
      <c r="B3020" s="83" t="s">
        <v>8047</v>
      </c>
      <c r="C3020" s="83" t="s">
        <v>8100</v>
      </c>
      <c r="D3020" s="83" t="s">
        <v>8379</v>
      </c>
      <c r="E3020" s="84">
        <f>sch_dcnh_ls_11</f>
        <v>0</v>
      </c>
      <c r="F3020" s="83" t="b">
        <v>1</v>
      </c>
      <c r="G3020" s="83"/>
      <c r="H3020" s="83"/>
    </row>
    <row r="3021" spans="1:8">
      <c r="A3021" s="83" t="s">
        <v>8101</v>
      </c>
      <c r="B3021" s="83" t="s">
        <v>8047</v>
      </c>
      <c r="C3021" s="83" t="s">
        <v>8101</v>
      </c>
      <c r="D3021" s="83" t="s">
        <v>8380</v>
      </c>
      <c r="E3021" s="84">
        <f>sch_dcnh_ls_12</f>
        <v>0</v>
      </c>
      <c r="F3021" s="83" t="b">
        <v>1</v>
      </c>
      <c r="G3021" s="83"/>
      <c r="H3021" s="83"/>
    </row>
    <row r="3022" spans="1:8">
      <c r="A3022" s="83" t="s">
        <v>8102</v>
      </c>
      <c r="B3022" s="83" t="s">
        <v>8047</v>
      </c>
      <c r="C3022" s="83" t="s">
        <v>8102</v>
      </c>
      <c r="D3022" s="83" t="s">
        <v>8381</v>
      </c>
      <c r="E3022" s="84">
        <f>sch_dcnh_ls_01</f>
        <v>0</v>
      </c>
      <c r="F3022" s="83" t="b">
        <v>1</v>
      </c>
      <c r="G3022" s="83"/>
      <c r="H3022" s="83"/>
    </row>
    <row r="3023" spans="1:8">
      <c r="A3023" s="83" t="s">
        <v>8103</v>
      </c>
      <c r="B3023" s="83" t="s">
        <v>8047</v>
      </c>
      <c r="C3023" s="83" t="s">
        <v>8103</v>
      </c>
      <c r="D3023" s="83" t="s">
        <v>8382</v>
      </c>
      <c r="E3023" s="84">
        <f>sch_dcnh_ls_02</f>
        <v>0</v>
      </c>
      <c r="F3023" s="83" t="b">
        <v>1</v>
      </c>
      <c r="G3023" s="83"/>
      <c r="H3023" s="83"/>
    </row>
    <row r="3024" spans="1:8">
      <c r="A3024" s="83" t="s">
        <v>8104</v>
      </c>
      <c r="B3024" s="83" t="s">
        <v>8047</v>
      </c>
      <c r="C3024" s="83" t="s">
        <v>8104</v>
      </c>
      <c r="D3024" s="83" t="s">
        <v>8383</v>
      </c>
      <c r="E3024" s="84">
        <f>sch_dcnh_ls_03</f>
        <v>0</v>
      </c>
      <c r="F3024" s="83" t="b">
        <v>1</v>
      </c>
      <c r="G3024" s="83"/>
      <c r="H3024" s="83"/>
    </row>
    <row r="3025" spans="1:8">
      <c r="A3025" s="83" t="s">
        <v>8105</v>
      </c>
      <c r="B3025" s="83" t="s">
        <v>8047</v>
      </c>
      <c r="C3025" s="83" t="s">
        <v>8105</v>
      </c>
      <c r="D3025" s="83" t="s">
        <v>8384</v>
      </c>
      <c r="E3025" s="84">
        <f>sch_dcnh_ls_04</f>
        <v>0</v>
      </c>
      <c r="F3025" s="83" t="b">
        <v>1</v>
      </c>
      <c r="G3025" s="83"/>
      <c r="H3025" s="83"/>
    </row>
    <row r="3026" spans="1:8">
      <c r="A3026" s="83" t="s">
        <v>8106</v>
      </c>
      <c r="B3026" s="83" t="s">
        <v>8047</v>
      </c>
      <c r="C3026" s="83" t="s">
        <v>8106</v>
      </c>
      <c r="D3026" s="83" t="s">
        <v>8385</v>
      </c>
      <c r="E3026" s="84">
        <f>sch_dcnh_ls_05</f>
        <v>0</v>
      </c>
      <c r="F3026" s="83" t="b">
        <v>1</v>
      </c>
      <c r="G3026" s="83"/>
      <c r="H3026" s="83"/>
    </row>
    <row r="3027" spans="1:8">
      <c r="A3027" s="83" t="s">
        <v>8107</v>
      </c>
      <c r="B3027" s="83" t="s">
        <v>8047</v>
      </c>
      <c r="C3027" s="83" t="s">
        <v>8107</v>
      </c>
      <c r="D3027" s="83" t="s">
        <v>8386</v>
      </c>
      <c r="E3027" s="84">
        <f>sch_dcnh_ss_06</f>
        <v>0</v>
      </c>
      <c r="F3027" s="83" t="b">
        <v>1</v>
      </c>
      <c r="G3027" s="83"/>
      <c r="H3027" s="83"/>
    </row>
    <row r="3028" spans="1:8">
      <c r="A3028" s="83" t="s">
        <v>8108</v>
      </c>
      <c r="B3028" s="83" t="s">
        <v>8047</v>
      </c>
      <c r="C3028" s="83" t="s">
        <v>8108</v>
      </c>
      <c r="D3028" s="83" t="s">
        <v>8387</v>
      </c>
      <c r="E3028" s="84">
        <f>sch_dcnh_ss_07</f>
        <v>0</v>
      </c>
      <c r="F3028" s="83" t="b">
        <v>1</v>
      </c>
      <c r="G3028" s="83"/>
      <c r="H3028" s="83"/>
    </row>
    <row r="3029" spans="1:8">
      <c r="A3029" s="83" t="s">
        <v>8109</v>
      </c>
      <c r="B3029" s="83" t="s">
        <v>8047</v>
      </c>
      <c r="C3029" s="83" t="s">
        <v>8109</v>
      </c>
      <c r="D3029" s="83" t="s">
        <v>8388</v>
      </c>
      <c r="E3029" s="84">
        <f>sch_dcnh_ss_08</f>
        <v>0</v>
      </c>
      <c r="F3029" s="83" t="b">
        <v>1</v>
      </c>
      <c r="G3029" s="83"/>
      <c r="H3029" s="83"/>
    </row>
    <row r="3030" spans="1:8">
      <c r="A3030" s="83" t="s">
        <v>8110</v>
      </c>
      <c r="B3030" s="83" t="s">
        <v>8047</v>
      </c>
      <c r="C3030" s="83" t="s">
        <v>8110</v>
      </c>
      <c r="D3030" s="83" t="s">
        <v>8389</v>
      </c>
      <c r="E3030" s="84">
        <f>sch_dcnh_ss_09</f>
        <v>0</v>
      </c>
      <c r="F3030" s="83" t="b">
        <v>1</v>
      </c>
      <c r="G3030" s="83"/>
      <c r="H3030" s="83"/>
    </row>
    <row r="3031" spans="1:8">
      <c r="A3031" s="83" t="s">
        <v>8111</v>
      </c>
      <c r="B3031" s="83" t="s">
        <v>8047</v>
      </c>
      <c r="C3031" s="83" t="s">
        <v>8111</v>
      </c>
      <c r="D3031" s="83" t="s">
        <v>8390</v>
      </c>
      <c r="E3031" s="84">
        <f>sch_dcnh_ss_10</f>
        <v>0</v>
      </c>
      <c r="F3031" s="83" t="b">
        <v>1</v>
      </c>
      <c r="G3031" s="83"/>
      <c r="H3031" s="83"/>
    </row>
    <row r="3032" spans="1:8">
      <c r="A3032" s="83" t="s">
        <v>8112</v>
      </c>
      <c r="B3032" s="83" t="s">
        <v>8047</v>
      </c>
      <c r="C3032" s="83" t="s">
        <v>8112</v>
      </c>
      <c r="D3032" s="83" t="s">
        <v>8391</v>
      </c>
      <c r="E3032" s="84">
        <f>sch_dcnh_ss_11</f>
        <v>0</v>
      </c>
      <c r="F3032" s="83" t="b">
        <v>1</v>
      </c>
      <c r="G3032" s="83"/>
      <c r="H3032" s="83"/>
    </row>
    <row r="3033" spans="1:8">
      <c r="A3033" s="83" t="s">
        <v>8113</v>
      </c>
      <c r="B3033" s="83" t="s">
        <v>8047</v>
      </c>
      <c r="C3033" s="83" t="s">
        <v>8113</v>
      </c>
      <c r="D3033" s="83" t="s">
        <v>8392</v>
      </c>
      <c r="E3033" s="84">
        <f>sch_dcnh_ss_12</f>
        <v>0</v>
      </c>
      <c r="F3033" s="83" t="b">
        <v>1</v>
      </c>
      <c r="G3033" s="83"/>
      <c r="H3033" s="83"/>
    </row>
    <row r="3034" spans="1:8">
      <c r="A3034" s="83" t="s">
        <v>8114</v>
      </c>
      <c r="B3034" s="83" t="s">
        <v>8047</v>
      </c>
      <c r="C3034" s="83" t="s">
        <v>8114</v>
      </c>
      <c r="D3034" s="83" t="s">
        <v>8393</v>
      </c>
      <c r="E3034" s="84">
        <f>sch_dcnh_ss_01</f>
        <v>0</v>
      </c>
      <c r="F3034" s="83" t="b">
        <v>1</v>
      </c>
      <c r="G3034" s="83"/>
      <c r="H3034" s="83"/>
    </row>
    <row r="3035" spans="1:8">
      <c r="A3035" s="83" t="s">
        <v>8115</v>
      </c>
      <c r="B3035" s="83" t="s">
        <v>8047</v>
      </c>
      <c r="C3035" s="83" t="s">
        <v>8115</v>
      </c>
      <c r="D3035" s="83" t="s">
        <v>8394</v>
      </c>
      <c r="E3035" s="84">
        <f>sch_dcnh_ss_02</f>
        <v>0</v>
      </c>
      <c r="F3035" s="83" t="b">
        <v>1</v>
      </c>
      <c r="G3035" s="83"/>
      <c r="H3035" s="83"/>
    </row>
    <row r="3036" spans="1:8">
      <c r="A3036" s="83" t="s">
        <v>8116</v>
      </c>
      <c r="B3036" s="83" t="s">
        <v>8047</v>
      </c>
      <c r="C3036" s="83" t="s">
        <v>8116</v>
      </c>
      <c r="D3036" s="83" t="s">
        <v>8395</v>
      </c>
      <c r="E3036" s="84">
        <f>sch_dcnh_ss_03</f>
        <v>0</v>
      </c>
      <c r="F3036" s="83" t="b">
        <v>1</v>
      </c>
      <c r="G3036" s="83"/>
      <c r="H3036" s="83"/>
    </row>
    <row r="3037" spans="1:8">
      <c r="A3037" s="83" t="s">
        <v>8117</v>
      </c>
      <c r="B3037" s="83" t="s">
        <v>8047</v>
      </c>
      <c r="C3037" s="83" t="s">
        <v>8117</v>
      </c>
      <c r="D3037" s="83" t="s">
        <v>8396</v>
      </c>
      <c r="E3037" s="84">
        <f>sch_dcnh_ss_04</f>
        <v>0</v>
      </c>
      <c r="F3037" s="83" t="b">
        <v>1</v>
      </c>
      <c r="G3037" s="83"/>
      <c r="H3037" s="83"/>
    </row>
    <row r="3038" spans="1:8">
      <c r="A3038" s="83" t="s">
        <v>8118</v>
      </c>
      <c r="B3038" s="83" t="s">
        <v>8047</v>
      </c>
      <c r="C3038" s="83" t="s">
        <v>8118</v>
      </c>
      <c r="D3038" s="83" t="s">
        <v>8397</v>
      </c>
      <c r="E3038" s="84">
        <f>sch_dcnh_ss_05</f>
        <v>0</v>
      </c>
      <c r="F3038" s="83" t="b">
        <v>1</v>
      </c>
      <c r="G3038" s="83"/>
      <c r="H3038" s="83"/>
    </row>
    <row r="3039" spans="1:8">
      <c r="A3039" s="83" t="s">
        <v>8119</v>
      </c>
      <c r="B3039" s="83" t="s">
        <v>8047</v>
      </c>
      <c r="C3039" s="83" t="s">
        <v>8119</v>
      </c>
      <c r="D3039" s="83" t="s">
        <v>8398</v>
      </c>
      <c r="E3039" s="84">
        <f>sch_dcnh_tc_06</f>
        <v>0</v>
      </c>
      <c r="F3039" s="83" t="b">
        <v>1</v>
      </c>
      <c r="G3039" s="83"/>
      <c r="H3039" s="83"/>
    </row>
    <row r="3040" spans="1:8">
      <c r="A3040" s="83" t="s">
        <v>8120</v>
      </c>
      <c r="B3040" s="83" t="s">
        <v>8047</v>
      </c>
      <c r="C3040" s="83" t="s">
        <v>8120</v>
      </c>
      <c r="D3040" s="83" t="s">
        <v>8399</v>
      </c>
      <c r="E3040" s="84">
        <f>sch_dcnh_tc_07</f>
        <v>0</v>
      </c>
      <c r="F3040" s="83" t="b">
        <v>1</v>
      </c>
      <c r="G3040" s="83"/>
      <c r="H3040" s="83"/>
    </row>
    <row r="3041" spans="1:8">
      <c r="A3041" s="83" t="s">
        <v>8121</v>
      </c>
      <c r="B3041" s="83" t="s">
        <v>8047</v>
      </c>
      <c r="C3041" s="83" t="s">
        <v>8121</v>
      </c>
      <c r="D3041" s="83" t="s">
        <v>8400</v>
      </c>
      <c r="E3041" s="84">
        <f>sch_dcnh_tc_08</f>
        <v>0</v>
      </c>
      <c r="F3041" s="83" t="b">
        <v>1</v>
      </c>
      <c r="G3041" s="83"/>
      <c r="H3041" s="83"/>
    </row>
    <row r="3042" spans="1:8">
      <c r="A3042" s="83" t="s">
        <v>8122</v>
      </c>
      <c r="B3042" s="83" t="s">
        <v>8047</v>
      </c>
      <c r="C3042" s="83" t="s">
        <v>8122</v>
      </c>
      <c r="D3042" s="83" t="s">
        <v>8401</v>
      </c>
      <c r="E3042" s="84">
        <f>sch_dcnh_tc_09</f>
        <v>0</v>
      </c>
      <c r="F3042" s="83" t="b">
        <v>1</v>
      </c>
      <c r="G3042" s="83"/>
      <c r="H3042" s="83"/>
    </row>
    <row r="3043" spans="1:8">
      <c r="A3043" s="83" t="s">
        <v>8123</v>
      </c>
      <c r="B3043" s="83" t="s">
        <v>8047</v>
      </c>
      <c r="C3043" s="83" t="s">
        <v>8123</v>
      </c>
      <c r="D3043" s="83" t="s">
        <v>8402</v>
      </c>
      <c r="E3043" s="84">
        <f>sch_dcnh_tc_10</f>
        <v>0</v>
      </c>
      <c r="F3043" s="83" t="b">
        <v>1</v>
      </c>
      <c r="G3043" s="83"/>
      <c r="H3043" s="83"/>
    </row>
    <row r="3044" spans="1:8">
      <c r="A3044" s="83" t="s">
        <v>8124</v>
      </c>
      <c r="B3044" s="83" t="s">
        <v>8047</v>
      </c>
      <c r="C3044" s="83" t="s">
        <v>8124</v>
      </c>
      <c r="D3044" s="83" t="s">
        <v>8403</v>
      </c>
      <c r="E3044" s="84">
        <f>sch_dcnh_tc_11</f>
        <v>0</v>
      </c>
      <c r="F3044" s="83" t="b">
        <v>1</v>
      </c>
      <c r="G3044" s="83"/>
      <c r="H3044" s="83"/>
    </row>
    <row r="3045" spans="1:8">
      <c r="A3045" s="83" t="s">
        <v>8125</v>
      </c>
      <c r="B3045" s="83" t="s">
        <v>8047</v>
      </c>
      <c r="C3045" s="83" t="s">
        <v>8125</v>
      </c>
      <c r="D3045" s="83" t="s">
        <v>8404</v>
      </c>
      <c r="E3045" s="84">
        <f>sch_dcnh_tc_12</f>
        <v>0</v>
      </c>
      <c r="F3045" s="83" t="b">
        <v>1</v>
      </c>
      <c r="G3045" s="83"/>
      <c r="H3045" s="83"/>
    </row>
    <row r="3046" spans="1:8">
      <c r="A3046" s="83" t="s">
        <v>8126</v>
      </c>
      <c r="B3046" s="83" t="s">
        <v>8047</v>
      </c>
      <c r="C3046" s="83" t="s">
        <v>8126</v>
      </c>
      <c r="D3046" s="83" t="s">
        <v>8405</v>
      </c>
      <c r="E3046" s="84">
        <f>sch_dcnh_tc_01</f>
        <v>0</v>
      </c>
      <c r="F3046" s="83" t="b">
        <v>1</v>
      </c>
      <c r="G3046" s="83"/>
      <c r="H3046" s="83"/>
    </row>
    <row r="3047" spans="1:8">
      <c r="A3047" s="83" t="s">
        <v>8127</v>
      </c>
      <c r="B3047" s="83" t="s">
        <v>8047</v>
      </c>
      <c r="C3047" s="83" t="s">
        <v>8127</v>
      </c>
      <c r="D3047" s="83" t="s">
        <v>8406</v>
      </c>
      <c r="E3047" s="84">
        <f>sch_dcnh_tc_02</f>
        <v>0</v>
      </c>
      <c r="F3047" s="83" t="b">
        <v>1</v>
      </c>
      <c r="G3047" s="83"/>
      <c r="H3047" s="83"/>
    </row>
    <row r="3048" spans="1:8">
      <c r="A3048" s="83" t="s">
        <v>8128</v>
      </c>
      <c r="B3048" s="83" t="s">
        <v>8047</v>
      </c>
      <c r="C3048" s="83" t="s">
        <v>8128</v>
      </c>
      <c r="D3048" s="83" t="s">
        <v>8407</v>
      </c>
      <c r="E3048" s="84">
        <f>sch_dcnh_tc_03</f>
        <v>0</v>
      </c>
      <c r="F3048" s="83" t="b">
        <v>1</v>
      </c>
      <c r="G3048" s="83"/>
      <c r="H3048" s="83"/>
    </row>
    <row r="3049" spans="1:8">
      <c r="A3049" s="83" t="s">
        <v>8129</v>
      </c>
      <c r="B3049" s="83" t="s">
        <v>8047</v>
      </c>
      <c r="C3049" s="83" t="s">
        <v>8129</v>
      </c>
      <c r="D3049" s="83" t="s">
        <v>8408</v>
      </c>
      <c r="E3049" s="84">
        <f>sch_dcnh_tc_04</f>
        <v>0</v>
      </c>
      <c r="F3049" s="83" t="b">
        <v>1</v>
      </c>
      <c r="G3049" s="83"/>
      <c r="H3049" s="83"/>
    </row>
    <row r="3050" spans="1:8">
      <c r="A3050" s="83" t="s">
        <v>8130</v>
      </c>
      <c r="B3050" s="83" t="s">
        <v>8047</v>
      </c>
      <c r="C3050" s="83" t="s">
        <v>8130</v>
      </c>
      <c r="D3050" s="83" t="s">
        <v>8409</v>
      </c>
      <c r="E3050" s="84">
        <f>sch_dcnh_tc_05</f>
        <v>0</v>
      </c>
      <c r="F3050" s="83" t="b">
        <v>1</v>
      </c>
      <c r="G3050" s="83"/>
      <c r="H3050" s="83"/>
    </row>
    <row r="3051" spans="1:8">
      <c r="A3051" s="83" t="s">
        <v>8131</v>
      </c>
      <c r="B3051" s="83" t="s">
        <v>8047</v>
      </c>
      <c r="C3051" s="83" t="s">
        <v>8131</v>
      </c>
      <c r="D3051" s="83" t="s">
        <v>8410</v>
      </c>
      <c r="E3051" s="84">
        <f>sch_dcnh_ts_06</f>
        <v>0</v>
      </c>
      <c r="F3051" s="83" t="b">
        <v>1</v>
      </c>
      <c r="G3051" s="83"/>
      <c r="H3051" s="83"/>
    </row>
    <row r="3052" spans="1:8">
      <c r="A3052" s="83" t="s">
        <v>8132</v>
      </c>
      <c r="B3052" s="83" t="s">
        <v>8047</v>
      </c>
      <c r="C3052" s="83" t="s">
        <v>8132</v>
      </c>
      <c r="D3052" s="83" t="s">
        <v>8411</v>
      </c>
      <c r="E3052" s="84">
        <f>sch_dcnh_ts_07</f>
        <v>0</v>
      </c>
      <c r="F3052" s="83" t="b">
        <v>1</v>
      </c>
      <c r="G3052" s="83"/>
      <c r="H3052" s="83"/>
    </row>
    <row r="3053" spans="1:8">
      <c r="A3053" s="83" t="s">
        <v>8133</v>
      </c>
      <c r="B3053" s="83" t="s">
        <v>8047</v>
      </c>
      <c r="C3053" s="83" t="s">
        <v>8133</v>
      </c>
      <c r="D3053" s="83" t="s">
        <v>8412</v>
      </c>
      <c r="E3053" s="84">
        <f>sch_dcnh_ts_08</f>
        <v>0</v>
      </c>
      <c r="F3053" s="83" t="b">
        <v>1</v>
      </c>
      <c r="G3053" s="83"/>
      <c r="H3053" s="83"/>
    </row>
    <row r="3054" spans="1:8">
      <c r="A3054" s="83" t="s">
        <v>8134</v>
      </c>
      <c r="B3054" s="83" t="s">
        <v>8047</v>
      </c>
      <c r="C3054" s="83" t="s">
        <v>8134</v>
      </c>
      <c r="D3054" s="83" t="s">
        <v>8413</v>
      </c>
      <c r="E3054" s="84">
        <f>sch_dcnh_ts_09</f>
        <v>0</v>
      </c>
      <c r="F3054" s="83" t="b">
        <v>1</v>
      </c>
      <c r="G3054" s="83"/>
      <c r="H3054" s="83"/>
    </row>
    <row r="3055" spans="1:8">
      <c r="A3055" s="83" t="s">
        <v>8135</v>
      </c>
      <c r="B3055" s="83" t="s">
        <v>8047</v>
      </c>
      <c r="C3055" s="83" t="s">
        <v>8135</v>
      </c>
      <c r="D3055" s="83" t="s">
        <v>8414</v>
      </c>
      <c r="E3055" s="84">
        <f>sch_dcnh_ts_10</f>
        <v>0</v>
      </c>
      <c r="F3055" s="83" t="b">
        <v>1</v>
      </c>
      <c r="G3055" s="83"/>
      <c r="H3055" s="83"/>
    </row>
    <row r="3056" spans="1:8">
      <c r="A3056" s="83" t="s">
        <v>8136</v>
      </c>
      <c r="B3056" s="83" t="s">
        <v>8047</v>
      </c>
      <c r="C3056" s="83" t="s">
        <v>8136</v>
      </c>
      <c r="D3056" s="83" t="s">
        <v>8415</v>
      </c>
      <c r="E3056" s="84">
        <f>sch_dcnh_ts_11</f>
        <v>0</v>
      </c>
      <c r="F3056" s="83" t="b">
        <v>1</v>
      </c>
      <c r="G3056" s="83"/>
      <c r="H3056" s="83"/>
    </row>
    <row r="3057" spans="1:8">
      <c r="A3057" s="83" t="s">
        <v>8137</v>
      </c>
      <c r="B3057" s="83" t="s">
        <v>8047</v>
      </c>
      <c r="C3057" s="83" t="s">
        <v>8137</v>
      </c>
      <c r="D3057" s="83" t="s">
        <v>8416</v>
      </c>
      <c r="E3057" s="84">
        <f>sch_dcnh_ts_12</f>
        <v>0</v>
      </c>
      <c r="F3057" s="83" t="b">
        <v>1</v>
      </c>
      <c r="G3057" s="83"/>
      <c r="H3057" s="83"/>
    </row>
    <row r="3058" spans="1:8">
      <c r="A3058" s="83" t="s">
        <v>8138</v>
      </c>
      <c r="B3058" s="83" t="s">
        <v>8047</v>
      </c>
      <c r="C3058" s="83" t="s">
        <v>8138</v>
      </c>
      <c r="D3058" s="83" t="s">
        <v>8417</v>
      </c>
      <c r="E3058" s="84">
        <f>sch_dcnh_ts_01</f>
        <v>0</v>
      </c>
      <c r="F3058" s="83" t="b">
        <v>1</v>
      </c>
      <c r="G3058" s="83"/>
      <c r="H3058" s="83"/>
    </row>
    <row r="3059" spans="1:8">
      <c r="A3059" s="83" t="s">
        <v>8139</v>
      </c>
      <c r="B3059" s="83" t="s">
        <v>8047</v>
      </c>
      <c r="C3059" s="83" t="s">
        <v>8139</v>
      </c>
      <c r="D3059" s="83" t="s">
        <v>8418</v>
      </c>
      <c r="E3059" s="84">
        <f>sch_dcnh_ts_02</f>
        <v>0</v>
      </c>
      <c r="F3059" s="83" t="b">
        <v>1</v>
      </c>
      <c r="G3059" s="83"/>
      <c r="H3059" s="83"/>
    </row>
    <row r="3060" spans="1:8">
      <c r="A3060" s="83" t="s">
        <v>8140</v>
      </c>
      <c r="B3060" s="83" t="s">
        <v>8047</v>
      </c>
      <c r="C3060" s="83" t="s">
        <v>8140</v>
      </c>
      <c r="D3060" s="83" t="s">
        <v>8419</v>
      </c>
      <c r="E3060" s="84">
        <f>sch_dcnh_ts_03</f>
        <v>0</v>
      </c>
      <c r="F3060" s="83" t="b">
        <v>1</v>
      </c>
      <c r="G3060" s="83"/>
      <c r="H3060" s="83"/>
    </row>
    <row r="3061" spans="1:8">
      <c r="A3061" s="83" t="s">
        <v>8141</v>
      </c>
      <c r="B3061" s="83" t="s">
        <v>8047</v>
      </c>
      <c r="C3061" s="83" t="s">
        <v>8141</v>
      </c>
      <c r="D3061" s="83" t="s">
        <v>8420</v>
      </c>
      <c r="E3061" s="84">
        <f>sch_dcnh_ts_04</f>
        <v>0</v>
      </c>
      <c r="F3061" s="83" t="b">
        <v>1</v>
      </c>
      <c r="G3061" s="83"/>
      <c r="H3061" s="83"/>
    </row>
    <row r="3062" spans="1:8">
      <c r="A3062" s="83" t="s">
        <v>8142</v>
      </c>
      <c r="B3062" s="83" t="s">
        <v>8047</v>
      </c>
      <c r="C3062" s="83" t="s">
        <v>8142</v>
      </c>
      <c r="D3062" s="83" t="s">
        <v>8421</v>
      </c>
      <c r="E3062" s="84">
        <f>sch_dcnh_ts_05</f>
        <v>0</v>
      </c>
      <c r="F3062" s="83" t="b">
        <v>1</v>
      </c>
      <c r="G3062" s="83"/>
      <c r="H3062" s="83"/>
    </row>
    <row r="3063" spans="1:8">
      <c r="A3063" s="83" t="s">
        <v>8143</v>
      </c>
      <c r="B3063" s="83" t="s">
        <v>8047</v>
      </c>
      <c r="C3063" s="83" t="s">
        <v>8143</v>
      </c>
      <c r="D3063" s="83" t="s">
        <v>8422</v>
      </c>
      <c r="E3063" s="84">
        <f>sch_dcnh_ve_06</f>
        <v>0</v>
      </c>
      <c r="F3063" s="83" t="b">
        <v>1</v>
      </c>
      <c r="G3063" s="83"/>
      <c r="H3063" s="83"/>
    </row>
    <row r="3064" spans="1:8">
      <c r="A3064" s="83" t="s">
        <v>8144</v>
      </c>
      <c r="B3064" s="83" t="s">
        <v>8047</v>
      </c>
      <c r="C3064" s="83" t="s">
        <v>8144</v>
      </c>
      <c r="D3064" s="83" t="s">
        <v>8423</v>
      </c>
      <c r="E3064" s="84">
        <f>sch_dcnh_ve_07</f>
        <v>0</v>
      </c>
      <c r="F3064" s="83" t="b">
        <v>1</v>
      </c>
      <c r="G3064" s="83"/>
      <c r="H3064" s="83"/>
    </row>
    <row r="3065" spans="1:8">
      <c r="A3065" s="83" t="s">
        <v>8145</v>
      </c>
      <c r="B3065" s="83" t="s">
        <v>8047</v>
      </c>
      <c r="C3065" s="83" t="s">
        <v>8145</v>
      </c>
      <c r="D3065" s="83" t="s">
        <v>8424</v>
      </c>
      <c r="E3065" s="84">
        <f>sch_dcnh_ve_08</f>
        <v>0</v>
      </c>
      <c r="F3065" s="83" t="b">
        <v>1</v>
      </c>
      <c r="G3065" s="83"/>
      <c r="H3065" s="83"/>
    </row>
    <row r="3066" spans="1:8">
      <c r="A3066" s="83" t="s">
        <v>8146</v>
      </c>
      <c r="B3066" s="83" t="s">
        <v>8047</v>
      </c>
      <c r="C3066" s="83" t="s">
        <v>8146</v>
      </c>
      <c r="D3066" s="83" t="s">
        <v>8425</v>
      </c>
      <c r="E3066" s="84">
        <f>sch_dcnh_ve_09</f>
        <v>0</v>
      </c>
      <c r="F3066" s="83" t="b">
        <v>1</v>
      </c>
      <c r="G3066" s="83"/>
      <c r="H3066" s="83"/>
    </row>
    <row r="3067" spans="1:8">
      <c r="A3067" s="83" t="s">
        <v>8147</v>
      </c>
      <c r="B3067" s="83" t="s">
        <v>8047</v>
      </c>
      <c r="C3067" s="83" t="s">
        <v>8147</v>
      </c>
      <c r="D3067" s="83" t="s">
        <v>8426</v>
      </c>
      <c r="E3067" s="84">
        <f>sch_dcnh_ve_10</f>
        <v>0</v>
      </c>
      <c r="F3067" s="83" t="b">
        <v>1</v>
      </c>
      <c r="G3067" s="83"/>
      <c r="H3067" s="83"/>
    </row>
    <row r="3068" spans="1:8">
      <c r="A3068" s="83" t="s">
        <v>8148</v>
      </c>
      <c r="B3068" s="83" t="s">
        <v>8047</v>
      </c>
      <c r="C3068" s="83" t="s">
        <v>8148</v>
      </c>
      <c r="D3068" s="83" t="s">
        <v>8427</v>
      </c>
      <c r="E3068" s="84">
        <f>sch_dcnh_ve_11</f>
        <v>0</v>
      </c>
      <c r="F3068" s="83" t="b">
        <v>1</v>
      </c>
      <c r="G3068" s="83"/>
      <c r="H3068" s="83"/>
    </row>
    <row r="3069" spans="1:8">
      <c r="A3069" s="83" t="s">
        <v>8149</v>
      </c>
      <c r="B3069" s="83" t="s">
        <v>8047</v>
      </c>
      <c r="C3069" s="83" t="s">
        <v>8149</v>
      </c>
      <c r="D3069" s="83" t="s">
        <v>8428</v>
      </c>
      <c r="E3069" s="84">
        <f>sch_dcnh_ve_12</f>
        <v>0</v>
      </c>
      <c r="F3069" s="83" t="b">
        <v>1</v>
      </c>
      <c r="G3069" s="83"/>
      <c r="H3069" s="83"/>
    </row>
    <row r="3070" spans="1:8">
      <c r="A3070" s="83" t="s">
        <v>8150</v>
      </c>
      <c r="B3070" s="83" t="s">
        <v>8047</v>
      </c>
      <c r="C3070" s="83" t="s">
        <v>8150</v>
      </c>
      <c r="D3070" s="83" t="s">
        <v>8429</v>
      </c>
      <c r="E3070" s="84">
        <f>sch_dcnh_ve_01</f>
        <v>0</v>
      </c>
      <c r="F3070" s="83" t="b">
        <v>1</v>
      </c>
      <c r="G3070" s="83"/>
      <c r="H3070" s="83"/>
    </row>
    <row r="3071" spans="1:8">
      <c r="A3071" s="83" t="s">
        <v>8151</v>
      </c>
      <c r="B3071" s="83" t="s">
        <v>8047</v>
      </c>
      <c r="C3071" s="83" t="s">
        <v>8151</v>
      </c>
      <c r="D3071" s="83" t="s">
        <v>8430</v>
      </c>
      <c r="E3071" s="84">
        <f>sch_dcnh_ve_02</f>
        <v>0</v>
      </c>
      <c r="F3071" s="83" t="b">
        <v>1</v>
      </c>
      <c r="G3071" s="83"/>
      <c r="H3071" s="83"/>
    </row>
    <row r="3072" spans="1:8">
      <c r="A3072" s="83" t="s">
        <v>8152</v>
      </c>
      <c r="B3072" s="83" t="s">
        <v>8047</v>
      </c>
      <c r="C3072" s="83" t="s">
        <v>8152</v>
      </c>
      <c r="D3072" s="83" t="s">
        <v>8431</v>
      </c>
      <c r="E3072" s="84">
        <f>sch_dcnh_ve_03</f>
        <v>0</v>
      </c>
      <c r="F3072" s="83" t="b">
        <v>1</v>
      </c>
      <c r="G3072" s="83"/>
      <c r="H3072" s="83"/>
    </row>
    <row r="3073" spans="1:8">
      <c r="A3073" s="83" t="s">
        <v>8153</v>
      </c>
      <c r="B3073" s="83" t="s">
        <v>8047</v>
      </c>
      <c r="C3073" s="83" t="s">
        <v>8153</v>
      </c>
      <c r="D3073" s="83" t="s">
        <v>8432</v>
      </c>
      <c r="E3073" s="84">
        <f>sch_dcnh_ve_04</f>
        <v>0</v>
      </c>
      <c r="F3073" s="83" t="b">
        <v>1</v>
      </c>
      <c r="G3073" s="83"/>
      <c r="H3073" s="83"/>
    </row>
    <row r="3074" spans="1:8">
      <c r="A3074" s="83" t="s">
        <v>8154</v>
      </c>
      <c r="B3074" s="83" t="s">
        <v>8047</v>
      </c>
      <c r="C3074" s="83" t="s">
        <v>8154</v>
      </c>
      <c r="D3074" s="83" t="s">
        <v>8433</v>
      </c>
      <c r="E3074" s="84">
        <f>sch_dcnh_ve_05</f>
        <v>0</v>
      </c>
      <c r="F3074" s="83" t="b">
        <v>1</v>
      </c>
      <c r="G3074" s="83"/>
      <c r="H3074" s="83"/>
    </row>
    <row r="3075" spans="1:8">
      <c r="A3075" s="83" t="s">
        <v>8155</v>
      </c>
      <c r="B3075" s="83" t="s">
        <v>8047</v>
      </c>
      <c r="C3075" s="83" t="s">
        <v>8155</v>
      </c>
      <c r="D3075" s="83" t="s">
        <v>8434</v>
      </c>
      <c r="E3075" s="84">
        <f>sch_hih_bmth_06</f>
        <v>0</v>
      </c>
      <c r="F3075" s="83" t="b">
        <v>1</v>
      </c>
      <c r="G3075" s="83"/>
      <c r="H3075" s="83"/>
    </row>
    <row r="3076" spans="1:8">
      <c r="A3076" s="83" t="s">
        <v>8156</v>
      </c>
      <c r="B3076" s="83" t="s">
        <v>8047</v>
      </c>
      <c r="C3076" s="83" t="s">
        <v>8156</v>
      </c>
      <c r="D3076" s="83" t="s">
        <v>8435</v>
      </c>
      <c r="E3076" s="84">
        <f>sch_hih_bmth_07</f>
        <v>0</v>
      </c>
      <c r="F3076" s="83" t="b">
        <v>1</v>
      </c>
      <c r="G3076" s="83"/>
      <c r="H3076" s="83"/>
    </row>
    <row r="3077" spans="1:8">
      <c r="A3077" s="83" t="s">
        <v>8157</v>
      </c>
      <c r="B3077" s="83" t="s">
        <v>8047</v>
      </c>
      <c r="C3077" s="83" t="s">
        <v>8157</v>
      </c>
      <c r="D3077" s="83" t="s">
        <v>8436</v>
      </c>
      <c r="E3077" s="84">
        <f>sch_hih_bmth_08</f>
        <v>0</v>
      </c>
      <c r="F3077" s="83" t="b">
        <v>1</v>
      </c>
      <c r="G3077" s="83"/>
      <c r="H3077" s="83"/>
    </row>
    <row r="3078" spans="1:8">
      <c r="A3078" s="83" t="s">
        <v>8158</v>
      </c>
      <c r="B3078" s="83" t="s">
        <v>8047</v>
      </c>
      <c r="C3078" s="83" t="s">
        <v>8158</v>
      </c>
      <c r="D3078" s="83" t="s">
        <v>8437</v>
      </c>
      <c r="E3078" s="84">
        <f>sch_hih_bmth_09</f>
        <v>0</v>
      </c>
      <c r="F3078" s="83" t="b">
        <v>1</v>
      </c>
      <c r="G3078" s="83"/>
      <c r="H3078" s="83"/>
    </row>
    <row r="3079" spans="1:8">
      <c r="A3079" s="83" t="s">
        <v>8159</v>
      </c>
      <c r="B3079" s="83" t="s">
        <v>8047</v>
      </c>
      <c r="C3079" s="83" t="s">
        <v>8159</v>
      </c>
      <c r="D3079" s="83" t="s">
        <v>8438</v>
      </c>
      <c r="E3079" s="84">
        <f>sch_hih_bmth_10</f>
        <v>0</v>
      </c>
      <c r="F3079" s="83" t="b">
        <v>1</v>
      </c>
      <c r="G3079" s="83"/>
      <c r="H3079" s="83"/>
    </row>
    <row r="3080" spans="1:8">
      <c r="A3080" s="83" t="s">
        <v>8160</v>
      </c>
      <c r="B3080" s="83" t="s">
        <v>8047</v>
      </c>
      <c r="C3080" s="83" t="s">
        <v>8160</v>
      </c>
      <c r="D3080" s="83" t="s">
        <v>8439</v>
      </c>
      <c r="E3080" s="84">
        <f>sch_hih_bmth_11</f>
        <v>0</v>
      </c>
      <c r="F3080" s="83" t="b">
        <v>1</v>
      </c>
      <c r="G3080" s="83"/>
      <c r="H3080" s="83"/>
    </row>
    <row r="3081" spans="1:8">
      <c r="A3081" s="83" t="s">
        <v>8161</v>
      </c>
      <c r="B3081" s="83" t="s">
        <v>8047</v>
      </c>
      <c r="C3081" s="83" t="s">
        <v>8161</v>
      </c>
      <c r="D3081" s="83" t="s">
        <v>8440</v>
      </c>
      <c r="E3081" s="84">
        <f>sch_hih_bmth_12</f>
        <v>0</v>
      </c>
      <c r="F3081" s="83" t="b">
        <v>1</v>
      </c>
      <c r="G3081" s="83"/>
      <c r="H3081" s="83"/>
    </row>
    <row r="3082" spans="1:8">
      <c r="A3082" s="83" t="s">
        <v>8162</v>
      </c>
      <c r="B3082" s="83" t="s">
        <v>8047</v>
      </c>
      <c r="C3082" s="83" t="s">
        <v>8162</v>
      </c>
      <c r="D3082" s="83" t="s">
        <v>8441</v>
      </c>
      <c r="E3082" s="84">
        <f>sch_hih_bmth_01</f>
        <v>0</v>
      </c>
      <c r="F3082" s="83" t="b">
        <v>1</v>
      </c>
      <c r="G3082" s="83"/>
      <c r="H3082" s="83"/>
    </row>
    <row r="3083" spans="1:8">
      <c r="A3083" s="83" t="s">
        <v>8163</v>
      </c>
      <c r="B3083" s="83" t="s">
        <v>8047</v>
      </c>
      <c r="C3083" s="83" t="s">
        <v>8163</v>
      </c>
      <c r="D3083" s="83" t="s">
        <v>8442</v>
      </c>
      <c r="E3083" s="84">
        <f>sch_hih_bmth_02</f>
        <v>0</v>
      </c>
      <c r="F3083" s="83" t="b">
        <v>1</v>
      </c>
      <c r="G3083" s="83"/>
      <c r="H3083" s="83"/>
    </row>
    <row r="3084" spans="1:8">
      <c r="A3084" s="83" t="s">
        <v>8164</v>
      </c>
      <c r="B3084" s="83" t="s">
        <v>8047</v>
      </c>
      <c r="C3084" s="83" t="s">
        <v>8164</v>
      </c>
      <c r="D3084" s="83" t="s">
        <v>8443</v>
      </c>
      <c r="E3084" s="84">
        <f>sch_hih_bmth_03</f>
        <v>0</v>
      </c>
      <c r="F3084" s="83" t="b">
        <v>1</v>
      </c>
      <c r="G3084" s="83"/>
      <c r="H3084" s="83"/>
    </row>
    <row r="3085" spans="1:8">
      <c r="A3085" s="83" t="s">
        <v>8165</v>
      </c>
      <c r="B3085" s="83" t="s">
        <v>8047</v>
      </c>
      <c r="C3085" s="83" t="s">
        <v>8165</v>
      </c>
      <c r="D3085" s="83" t="s">
        <v>8444</v>
      </c>
      <c r="E3085" s="84">
        <f>sch_hih_bmth_04</f>
        <v>0</v>
      </c>
      <c r="F3085" s="83" t="b">
        <v>1</v>
      </c>
      <c r="G3085" s="83"/>
      <c r="H3085" s="83"/>
    </row>
    <row r="3086" spans="1:8">
      <c r="A3086" s="83" t="s">
        <v>8166</v>
      </c>
      <c r="B3086" s="83" t="s">
        <v>8047</v>
      </c>
      <c r="C3086" s="83" t="s">
        <v>8166</v>
      </c>
      <c r="D3086" s="83" t="s">
        <v>8445</v>
      </c>
      <c r="E3086" s="84">
        <f>sch_hih_bmth_05</f>
        <v>0</v>
      </c>
      <c r="F3086" s="83" t="b">
        <v>1</v>
      </c>
      <c r="G3086" s="83"/>
      <c r="H3086" s="83"/>
    </row>
    <row r="3087" spans="1:8">
      <c r="A3087" s="83" t="s">
        <v>8167</v>
      </c>
      <c r="B3087" s="83" t="s">
        <v>8047</v>
      </c>
      <c r="C3087" s="83" t="s">
        <v>8167</v>
      </c>
      <c r="D3087" s="83" t="s">
        <v>8446</v>
      </c>
      <c r="E3087" s="84">
        <f>sch_hih_bmsp_06</f>
        <v>0</v>
      </c>
      <c r="F3087" s="83" t="b">
        <v>1</v>
      </c>
      <c r="G3087" s="83"/>
      <c r="H3087" s="83"/>
    </row>
    <row r="3088" spans="1:8">
      <c r="A3088" s="83" t="s">
        <v>8168</v>
      </c>
      <c r="B3088" s="83" t="s">
        <v>8047</v>
      </c>
      <c r="C3088" s="83" t="s">
        <v>8168</v>
      </c>
      <c r="D3088" s="83" t="s">
        <v>8447</v>
      </c>
      <c r="E3088" s="84">
        <f>sch_hih_bmsp_07</f>
        <v>0</v>
      </c>
      <c r="F3088" s="83" t="b">
        <v>1</v>
      </c>
      <c r="G3088" s="83"/>
      <c r="H3088" s="83"/>
    </row>
    <row r="3089" spans="1:8">
      <c r="A3089" s="83" t="s">
        <v>8169</v>
      </c>
      <c r="B3089" s="83" t="s">
        <v>8047</v>
      </c>
      <c r="C3089" s="83" t="s">
        <v>8169</v>
      </c>
      <c r="D3089" s="83" t="s">
        <v>8448</v>
      </c>
      <c r="E3089" s="84">
        <f>sch_hih_bmsp_08</f>
        <v>0</v>
      </c>
      <c r="F3089" s="83" t="b">
        <v>1</v>
      </c>
      <c r="G3089" s="83"/>
      <c r="H3089" s="83"/>
    </row>
    <row r="3090" spans="1:8">
      <c r="A3090" s="83" t="s">
        <v>8170</v>
      </c>
      <c r="B3090" s="83" t="s">
        <v>8047</v>
      </c>
      <c r="C3090" s="83" t="s">
        <v>8170</v>
      </c>
      <c r="D3090" s="83" t="s">
        <v>8449</v>
      </c>
      <c r="E3090" s="84">
        <f>sch_hih_bmsp_09</f>
        <v>0</v>
      </c>
      <c r="F3090" s="83" t="b">
        <v>1</v>
      </c>
      <c r="G3090" s="83"/>
      <c r="H3090" s="83"/>
    </row>
    <row r="3091" spans="1:8">
      <c r="A3091" s="83" t="s">
        <v>8171</v>
      </c>
      <c r="B3091" s="83" t="s">
        <v>8047</v>
      </c>
      <c r="C3091" s="83" t="s">
        <v>8171</v>
      </c>
      <c r="D3091" s="83" t="s">
        <v>8450</v>
      </c>
      <c r="E3091" s="84">
        <f>sch_hih_bmsp_10</f>
        <v>0</v>
      </c>
      <c r="F3091" s="83" t="b">
        <v>1</v>
      </c>
      <c r="G3091" s="83"/>
      <c r="H3091" s="83"/>
    </row>
    <row r="3092" spans="1:8">
      <c r="A3092" s="83" t="s">
        <v>8172</v>
      </c>
      <c r="B3092" s="83" t="s">
        <v>8047</v>
      </c>
      <c r="C3092" s="83" t="s">
        <v>8172</v>
      </c>
      <c r="D3092" s="83" t="s">
        <v>8451</v>
      </c>
      <c r="E3092" s="84">
        <f>sch_hih_bmsp_11</f>
        <v>0</v>
      </c>
      <c r="F3092" s="83" t="b">
        <v>1</v>
      </c>
      <c r="G3092" s="83"/>
      <c r="H3092" s="83"/>
    </row>
    <row r="3093" spans="1:8">
      <c r="A3093" s="83" t="s">
        <v>8173</v>
      </c>
      <c r="B3093" s="83" t="s">
        <v>8047</v>
      </c>
      <c r="C3093" s="83" t="s">
        <v>8173</v>
      </c>
      <c r="D3093" s="83" t="s">
        <v>8452</v>
      </c>
      <c r="E3093" s="84">
        <f>sch_hih_bmsp_12</f>
        <v>0</v>
      </c>
      <c r="F3093" s="83" t="b">
        <v>1</v>
      </c>
      <c r="G3093" s="83"/>
      <c r="H3093" s="83"/>
    </row>
    <row r="3094" spans="1:8">
      <c r="A3094" s="83" t="s">
        <v>8174</v>
      </c>
      <c r="B3094" s="83" t="s">
        <v>8047</v>
      </c>
      <c r="C3094" s="83" t="s">
        <v>8174</v>
      </c>
      <c r="D3094" s="83" t="s">
        <v>8453</v>
      </c>
      <c r="E3094" s="84">
        <f>sch_hih_bmsp_01</f>
        <v>0</v>
      </c>
      <c r="F3094" s="83" t="b">
        <v>1</v>
      </c>
      <c r="G3094" s="83"/>
      <c r="H3094" s="83"/>
    </row>
    <row r="3095" spans="1:8">
      <c r="A3095" s="83" t="s">
        <v>8175</v>
      </c>
      <c r="B3095" s="83" t="s">
        <v>8047</v>
      </c>
      <c r="C3095" s="83" t="s">
        <v>8175</v>
      </c>
      <c r="D3095" s="83" t="s">
        <v>8454</v>
      </c>
      <c r="E3095" s="84">
        <f>sch_hih_bmsp_02</f>
        <v>0</v>
      </c>
      <c r="F3095" s="83" t="b">
        <v>1</v>
      </c>
      <c r="G3095" s="83"/>
      <c r="H3095" s="83"/>
    </row>
    <row r="3096" spans="1:8">
      <c r="A3096" s="83" t="s">
        <v>8176</v>
      </c>
      <c r="B3096" s="83" t="s">
        <v>8047</v>
      </c>
      <c r="C3096" s="83" t="s">
        <v>8176</v>
      </c>
      <c r="D3096" s="83" t="s">
        <v>8455</v>
      </c>
      <c r="E3096" s="84">
        <f>sch_hih_bmsp_03</f>
        <v>0</v>
      </c>
      <c r="F3096" s="83" t="b">
        <v>1</v>
      </c>
      <c r="G3096" s="83"/>
      <c r="H3096" s="83"/>
    </row>
    <row r="3097" spans="1:8">
      <c r="A3097" s="83" t="s">
        <v>8177</v>
      </c>
      <c r="B3097" s="83" t="s">
        <v>8047</v>
      </c>
      <c r="C3097" s="83" t="s">
        <v>8177</v>
      </c>
      <c r="D3097" s="83" t="s">
        <v>8456</v>
      </c>
      <c r="E3097" s="84">
        <f>sch_hih_bmsp_04</f>
        <v>0</v>
      </c>
      <c r="F3097" s="83" t="b">
        <v>1</v>
      </c>
      <c r="G3097" s="83"/>
      <c r="H3097" s="83"/>
    </row>
    <row r="3098" spans="1:8">
      <c r="A3098" s="83" t="s">
        <v>8178</v>
      </c>
      <c r="B3098" s="83" t="s">
        <v>8047</v>
      </c>
      <c r="C3098" s="83" t="s">
        <v>8178</v>
      </c>
      <c r="D3098" s="83" t="s">
        <v>8457</v>
      </c>
      <c r="E3098" s="84">
        <f>sch_hih_bmsp_05</f>
        <v>0</v>
      </c>
      <c r="F3098" s="83" t="b">
        <v>1</v>
      </c>
      <c r="G3098" s="83"/>
      <c r="H3098" s="83"/>
    </row>
    <row r="3099" spans="1:8">
      <c r="A3099" s="83" t="s">
        <v>8179</v>
      </c>
      <c r="B3099" s="83" t="s">
        <v>8047</v>
      </c>
      <c r="C3099" s="83" t="s">
        <v>8179</v>
      </c>
      <c r="D3099" s="83" t="s">
        <v>8458</v>
      </c>
      <c r="E3099" s="84">
        <f>sch_hih_crlrn_06</f>
        <v>0</v>
      </c>
      <c r="F3099" s="83" t="b">
        <v>1</v>
      </c>
      <c r="G3099" s="83"/>
      <c r="H3099" s="83"/>
    </row>
    <row r="3100" spans="1:8">
      <c r="A3100" s="83" t="s">
        <v>8180</v>
      </c>
      <c r="B3100" s="83" t="s">
        <v>8047</v>
      </c>
      <c r="C3100" s="83" t="s">
        <v>8180</v>
      </c>
      <c r="D3100" s="83" t="s">
        <v>8459</v>
      </c>
      <c r="E3100" s="84">
        <f>sch_hih_crlrn_07</f>
        <v>0</v>
      </c>
      <c r="F3100" s="83" t="b">
        <v>1</v>
      </c>
      <c r="G3100" s="83"/>
      <c r="H3100" s="83"/>
    </row>
    <row r="3101" spans="1:8">
      <c r="A3101" s="83" t="s">
        <v>8181</v>
      </c>
      <c r="B3101" s="83" t="s">
        <v>8047</v>
      </c>
      <c r="C3101" s="83" t="s">
        <v>8181</v>
      </c>
      <c r="D3101" s="83" t="s">
        <v>8460</v>
      </c>
      <c r="E3101" s="84">
        <f>sch_hih_crlrn_08</f>
        <v>0</v>
      </c>
      <c r="F3101" s="83" t="b">
        <v>1</v>
      </c>
      <c r="G3101" s="83"/>
      <c r="H3101" s="83"/>
    </row>
    <row r="3102" spans="1:8">
      <c r="A3102" s="83" t="s">
        <v>8182</v>
      </c>
      <c r="B3102" s="83" t="s">
        <v>8047</v>
      </c>
      <c r="C3102" s="83" t="s">
        <v>8182</v>
      </c>
      <c r="D3102" s="83" t="s">
        <v>8461</v>
      </c>
      <c r="E3102" s="84">
        <f>sch_hih_crlrn_09</f>
        <v>0</v>
      </c>
      <c r="F3102" s="83" t="b">
        <v>1</v>
      </c>
      <c r="G3102" s="83"/>
      <c r="H3102" s="83"/>
    </row>
    <row r="3103" spans="1:8">
      <c r="A3103" s="83" t="s">
        <v>8183</v>
      </c>
      <c r="B3103" s="83" t="s">
        <v>8047</v>
      </c>
      <c r="C3103" s="83" t="s">
        <v>8183</v>
      </c>
      <c r="D3103" s="83" t="s">
        <v>8462</v>
      </c>
      <c r="E3103" s="84">
        <f>sch_hih_crlrn_10</f>
        <v>0</v>
      </c>
      <c r="F3103" s="83" t="b">
        <v>1</v>
      </c>
      <c r="G3103" s="83"/>
      <c r="H3103" s="83"/>
    </row>
    <row r="3104" spans="1:8">
      <c r="A3104" s="83" t="s">
        <v>8184</v>
      </c>
      <c r="B3104" s="83" t="s">
        <v>8047</v>
      </c>
      <c r="C3104" s="83" t="s">
        <v>8184</v>
      </c>
      <c r="D3104" s="83" t="s">
        <v>8463</v>
      </c>
      <c r="E3104" s="84">
        <f>sch_hih_crlrn_11</f>
        <v>0</v>
      </c>
      <c r="F3104" s="83" t="b">
        <v>1</v>
      </c>
      <c r="G3104" s="83"/>
      <c r="H3104" s="83"/>
    </row>
    <row r="3105" spans="1:8">
      <c r="A3105" s="83" t="s">
        <v>8185</v>
      </c>
      <c r="B3105" s="83" t="s">
        <v>8047</v>
      </c>
      <c r="C3105" s="83" t="s">
        <v>8185</v>
      </c>
      <c r="D3105" s="83" t="s">
        <v>8464</v>
      </c>
      <c r="E3105" s="84">
        <f>sch_hih_crlrn_12</f>
        <v>0</v>
      </c>
      <c r="F3105" s="83" t="b">
        <v>1</v>
      </c>
      <c r="G3105" s="83"/>
      <c r="H3105" s="83"/>
    </row>
    <row r="3106" spans="1:8">
      <c r="A3106" s="83" t="s">
        <v>8186</v>
      </c>
      <c r="B3106" s="83" t="s">
        <v>8047</v>
      </c>
      <c r="C3106" s="83" t="s">
        <v>8186</v>
      </c>
      <c r="D3106" s="83" t="s">
        <v>8465</v>
      </c>
      <c r="E3106" s="84">
        <f>sch_hih_crlrn_01</f>
        <v>0</v>
      </c>
      <c r="F3106" s="83" t="b">
        <v>1</v>
      </c>
      <c r="G3106" s="83"/>
      <c r="H3106" s="83"/>
    </row>
    <row r="3107" spans="1:8">
      <c r="A3107" s="83" t="s">
        <v>8187</v>
      </c>
      <c r="B3107" s="83" t="s">
        <v>8047</v>
      </c>
      <c r="C3107" s="83" t="s">
        <v>8187</v>
      </c>
      <c r="D3107" s="83" t="s">
        <v>8466</v>
      </c>
      <c r="E3107" s="84">
        <f>sch_hih_crlrn_02</f>
        <v>0</v>
      </c>
      <c r="F3107" s="83" t="b">
        <v>1</v>
      </c>
      <c r="G3107" s="83"/>
      <c r="H3107" s="83"/>
    </row>
    <row r="3108" spans="1:8">
      <c r="A3108" s="83" t="s">
        <v>8188</v>
      </c>
      <c r="B3108" s="83" t="s">
        <v>8047</v>
      </c>
      <c r="C3108" s="83" t="s">
        <v>8188</v>
      </c>
      <c r="D3108" s="83" t="s">
        <v>8467</v>
      </c>
      <c r="E3108" s="84">
        <f>sch_hih_crlrn_03</f>
        <v>0</v>
      </c>
      <c r="F3108" s="83" t="b">
        <v>1</v>
      </c>
      <c r="G3108" s="83"/>
      <c r="H3108" s="83"/>
    </row>
    <row r="3109" spans="1:8">
      <c r="A3109" s="83" t="s">
        <v>8189</v>
      </c>
      <c r="B3109" s="83" t="s">
        <v>8047</v>
      </c>
      <c r="C3109" s="83" t="s">
        <v>8189</v>
      </c>
      <c r="D3109" s="83" t="s">
        <v>8468</v>
      </c>
      <c r="E3109" s="84">
        <f>sch_hih_crlrn_04</f>
        <v>0</v>
      </c>
      <c r="F3109" s="83" t="b">
        <v>1</v>
      </c>
      <c r="G3109" s="83"/>
      <c r="H3109" s="83"/>
    </row>
    <row r="3110" spans="1:8">
      <c r="A3110" s="83" t="s">
        <v>8190</v>
      </c>
      <c r="B3110" s="83" t="s">
        <v>8047</v>
      </c>
      <c r="C3110" s="83" t="s">
        <v>8190</v>
      </c>
      <c r="D3110" s="83" t="s">
        <v>8469</v>
      </c>
      <c r="E3110" s="84">
        <f>sch_hih_crlrn_05</f>
        <v>0</v>
      </c>
      <c r="F3110" s="83" t="b">
        <v>1</v>
      </c>
      <c r="G3110" s="83"/>
      <c r="H3110" s="83"/>
    </row>
    <row r="3111" spans="1:8">
      <c r="A3111" s="83" t="s">
        <v>8191</v>
      </c>
      <c r="B3111" s="83" t="s">
        <v>8047</v>
      </c>
      <c r="C3111" s="83" t="s">
        <v>8191</v>
      </c>
      <c r="D3111" s="83" t="s">
        <v>8470</v>
      </c>
      <c r="E3111" s="84">
        <f>sch_hih_crntch_06</f>
        <v>0</v>
      </c>
      <c r="F3111" s="83" t="b">
        <v>1</v>
      </c>
      <c r="G3111" s="83"/>
      <c r="H3111" s="83"/>
    </row>
    <row r="3112" spans="1:8">
      <c r="A3112" s="83" t="s">
        <v>8192</v>
      </c>
      <c r="B3112" s="83" t="s">
        <v>8047</v>
      </c>
      <c r="C3112" s="83" t="s">
        <v>8192</v>
      </c>
      <c r="D3112" s="83" t="s">
        <v>8471</v>
      </c>
      <c r="E3112" s="84">
        <f>sch_hih_crntch_07</f>
        <v>0</v>
      </c>
      <c r="F3112" s="83" t="b">
        <v>1</v>
      </c>
      <c r="G3112" s="83"/>
      <c r="H3112" s="83"/>
    </row>
    <row r="3113" spans="1:8">
      <c r="A3113" s="83" t="s">
        <v>8193</v>
      </c>
      <c r="B3113" s="83" t="s">
        <v>8047</v>
      </c>
      <c r="C3113" s="83" t="s">
        <v>8193</v>
      </c>
      <c r="D3113" s="83" t="s">
        <v>8472</v>
      </c>
      <c r="E3113" s="84">
        <f>sch_hih_crntch_08</f>
        <v>0</v>
      </c>
      <c r="F3113" s="83" t="b">
        <v>1</v>
      </c>
      <c r="G3113" s="83"/>
      <c r="H3113" s="83"/>
    </row>
    <row r="3114" spans="1:8">
      <c r="A3114" s="83" t="s">
        <v>8194</v>
      </c>
      <c r="B3114" s="83" t="s">
        <v>8047</v>
      </c>
      <c r="C3114" s="83" t="s">
        <v>8194</v>
      </c>
      <c r="D3114" s="83" t="s">
        <v>8473</v>
      </c>
      <c r="E3114" s="84">
        <f>sch_hih_crntch_09</f>
        <v>0</v>
      </c>
      <c r="F3114" s="83" t="b">
        <v>1</v>
      </c>
      <c r="G3114" s="83"/>
      <c r="H3114" s="83"/>
    </row>
    <row r="3115" spans="1:8">
      <c r="A3115" s="83" t="s">
        <v>8195</v>
      </c>
      <c r="B3115" s="83" t="s">
        <v>8047</v>
      </c>
      <c r="C3115" s="83" t="s">
        <v>8195</v>
      </c>
      <c r="D3115" s="83" t="s">
        <v>8474</v>
      </c>
      <c r="E3115" s="84">
        <f>sch_hih_crntch_10</f>
        <v>0</v>
      </c>
      <c r="F3115" s="83" t="b">
        <v>1</v>
      </c>
      <c r="G3115" s="83"/>
      <c r="H3115" s="83"/>
    </row>
    <row r="3116" spans="1:8">
      <c r="A3116" s="83" t="s">
        <v>8196</v>
      </c>
      <c r="B3116" s="83" t="s">
        <v>8047</v>
      </c>
      <c r="C3116" s="83" t="s">
        <v>8196</v>
      </c>
      <c r="D3116" s="83" t="s">
        <v>8475</v>
      </c>
      <c r="E3116" s="84">
        <f>sch_hih_crntch_11</f>
        <v>0</v>
      </c>
      <c r="F3116" s="83" t="b">
        <v>1</v>
      </c>
      <c r="G3116" s="83"/>
      <c r="H3116" s="83"/>
    </row>
    <row r="3117" spans="1:8">
      <c r="A3117" s="83" t="s">
        <v>8197</v>
      </c>
      <c r="B3117" s="83" t="s">
        <v>8047</v>
      </c>
      <c r="C3117" s="83" t="s">
        <v>8197</v>
      </c>
      <c r="D3117" s="83" t="s">
        <v>8476</v>
      </c>
      <c r="E3117" s="84">
        <f>sch_hih_crntch_12</f>
        <v>0</v>
      </c>
      <c r="F3117" s="83" t="b">
        <v>1</v>
      </c>
      <c r="G3117" s="83"/>
      <c r="H3117" s="83"/>
    </row>
    <row r="3118" spans="1:8">
      <c r="A3118" s="83" t="s">
        <v>8198</v>
      </c>
      <c r="B3118" s="83" t="s">
        <v>8047</v>
      </c>
      <c r="C3118" s="83" t="s">
        <v>8198</v>
      </c>
      <c r="D3118" s="83" t="s">
        <v>8477</v>
      </c>
      <c r="E3118" s="84">
        <f>sch_hih_crntch_01</f>
        <v>0</v>
      </c>
      <c r="F3118" s="83" t="b">
        <v>1</v>
      </c>
      <c r="G3118" s="83"/>
      <c r="H3118" s="83"/>
    </row>
    <row r="3119" spans="1:8">
      <c r="A3119" s="83" t="s">
        <v>8199</v>
      </c>
      <c r="B3119" s="83" t="s">
        <v>8047</v>
      </c>
      <c r="C3119" s="83" t="s">
        <v>8199</v>
      </c>
      <c r="D3119" s="83" t="s">
        <v>8478</v>
      </c>
      <c r="E3119" s="84">
        <f>sch_hih_crntch_02</f>
        <v>0</v>
      </c>
      <c r="F3119" s="83" t="b">
        <v>1</v>
      </c>
      <c r="G3119" s="83"/>
      <c r="H3119" s="83"/>
    </row>
    <row r="3120" spans="1:8">
      <c r="A3120" s="83" t="s">
        <v>8200</v>
      </c>
      <c r="B3120" s="83" t="s">
        <v>8047</v>
      </c>
      <c r="C3120" s="83" t="s">
        <v>8200</v>
      </c>
      <c r="D3120" s="83" t="s">
        <v>8479</v>
      </c>
      <c r="E3120" s="84">
        <f>sch_hih_crntch_03</f>
        <v>0</v>
      </c>
      <c r="F3120" s="83" t="b">
        <v>1</v>
      </c>
      <c r="G3120" s="83"/>
      <c r="H3120" s="83"/>
    </row>
    <row r="3121" spans="1:8">
      <c r="A3121" s="83" t="s">
        <v>8201</v>
      </c>
      <c r="B3121" s="83" t="s">
        <v>8047</v>
      </c>
      <c r="C3121" s="83" t="s">
        <v>8201</v>
      </c>
      <c r="D3121" s="83" t="s">
        <v>8480</v>
      </c>
      <c r="E3121" s="84">
        <f>sch_hih_crntch_04</f>
        <v>0</v>
      </c>
      <c r="F3121" s="83" t="b">
        <v>1</v>
      </c>
      <c r="G3121" s="83"/>
      <c r="H3121" s="83"/>
    </row>
    <row r="3122" spans="1:8">
      <c r="A3122" s="83" t="s">
        <v>8202</v>
      </c>
      <c r="B3122" s="83" t="s">
        <v>8047</v>
      </c>
      <c r="C3122" s="83" t="s">
        <v>8202</v>
      </c>
      <c r="D3122" s="83" t="s">
        <v>8481</v>
      </c>
      <c r="E3122" s="84">
        <f>sch_hih_crntch_05</f>
        <v>0</v>
      </c>
      <c r="F3122" s="83" t="b">
        <v>1</v>
      </c>
      <c r="G3122" s="83"/>
      <c r="H3122" s="83"/>
    </row>
    <row r="3123" spans="1:8">
      <c r="A3123" s="83" t="s">
        <v>8203</v>
      </c>
      <c r="B3123" s="83" t="s">
        <v>8047</v>
      </c>
      <c r="C3123" s="83" t="s">
        <v>8203</v>
      </c>
      <c r="D3123" s="83" t="s">
        <v>8482</v>
      </c>
      <c r="E3123" s="84">
        <f>sch_hih_crshe_06</f>
        <v>0</v>
      </c>
      <c r="F3123" s="83" t="b">
        <v>1</v>
      </c>
      <c r="G3123" s="83"/>
      <c r="H3123" s="83"/>
    </row>
    <row r="3124" spans="1:8">
      <c r="A3124" s="83" t="s">
        <v>8204</v>
      </c>
      <c r="B3124" s="83" t="s">
        <v>8047</v>
      </c>
      <c r="C3124" s="83" t="s">
        <v>8204</v>
      </c>
      <c r="D3124" s="83" t="s">
        <v>8483</v>
      </c>
      <c r="E3124" s="84">
        <f>sch_hih_crshe_07</f>
        <v>0</v>
      </c>
      <c r="F3124" s="83" t="b">
        <v>1</v>
      </c>
      <c r="G3124" s="83"/>
      <c r="H3124" s="83"/>
    </row>
    <row r="3125" spans="1:8">
      <c r="A3125" s="83" t="s">
        <v>8205</v>
      </c>
      <c r="B3125" s="83" t="s">
        <v>8047</v>
      </c>
      <c r="C3125" s="83" t="s">
        <v>8205</v>
      </c>
      <c r="D3125" s="83" t="s">
        <v>8484</v>
      </c>
      <c r="E3125" s="84">
        <f>sch_hih_crshe_08</f>
        <v>0</v>
      </c>
      <c r="F3125" s="83" t="b">
        <v>1</v>
      </c>
      <c r="G3125" s="83"/>
      <c r="H3125" s="83"/>
    </row>
    <row r="3126" spans="1:8">
      <c r="A3126" s="83" t="s">
        <v>8206</v>
      </c>
      <c r="B3126" s="83" t="s">
        <v>8047</v>
      </c>
      <c r="C3126" s="83" t="s">
        <v>8206</v>
      </c>
      <c r="D3126" s="83" t="s">
        <v>8485</v>
      </c>
      <c r="E3126" s="84">
        <f>sch_hih_crshe_09</f>
        <v>0</v>
      </c>
      <c r="F3126" s="83" t="b">
        <v>1</v>
      </c>
      <c r="G3126" s="83"/>
      <c r="H3126" s="83"/>
    </row>
    <row r="3127" spans="1:8">
      <c r="A3127" s="83" t="s">
        <v>8207</v>
      </c>
      <c r="B3127" s="83" t="s">
        <v>8047</v>
      </c>
      <c r="C3127" s="83" t="s">
        <v>8207</v>
      </c>
      <c r="D3127" s="83" t="s">
        <v>8486</v>
      </c>
      <c r="E3127" s="84">
        <f>sch_hih_crshe_10</f>
        <v>0</v>
      </c>
      <c r="F3127" s="83" t="b">
        <v>1</v>
      </c>
      <c r="G3127" s="83"/>
      <c r="H3127" s="83"/>
    </row>
    <row r="3128" spans="1:8">
      <c r="A3128" s="83" t="s">
        <v>8208</v>
      </c>
      <c r="B3128" s="83" t="s">
        <v>8047</v>
      </c>
      <c r="C3128" s="83" t="s">
        <v>8208</v>
      </c>
      <c r="D3128" s="83" t="s">
        <v>8487</v>
      </c>
      <c r="E3128" s="84">
        <f>sch_hih_crshe_11</f>
        <v>0</v>
      </c>
      <c r="F3128" s="83" t="b">
        <v>1</v>
      </c>
      <c r="G3128" s="83"/>
      <c r="H3128" s="83"/>
    </row>
    <row r="3129" spans="1:8">
      <c r="A3129" s="83" t="s">
        <v>8209</v>
      </c>
      <c r="B3129" s="83" t="s">
        <v>8047</v>
      </c>
      <c r="C3129" s="83" t="s">
        <v>8209</v>
      </c>
      <c r="D3129" s="83" t="s">
        <v>8488</v>
      </c>
      <c r="E3129" s="84">
        <f>sch_hih_crshe_12</f>
        <v>0</v>
      </c>
      <c r="F3129" s="83" t="b">
        <v>1</v>
      </c>
      <c r="G3129" s="83"/>
      <c r="H3129" s="83"/>
    </row>
    <row r="3130" spans="1:8">
      <c r="A3130" s="83" t="s">
        <v>8210</v>
      </c>
      <c r="B3130" s="83" t="s">
        <v>8047</v>
      </c>
      <c r="C3130" s="83" t="s">
        <v>8210</v>
      </c>
      <c r="D3130" s="83" t="s">
        <v>8489</v>
      </c>
      <c r="E3130" s="84">
        <f>sch_hih_crshe_01</f>
        <v>0</v>
      </c>
      <c r="F3130" s="83" t="b">
        <v>1</v>
      </c>
      <c r="G3130" s="83"/>
      <c r="H3130" s="83"/>
    </row>
    <row r="3131" spans="1:8">
      <c r="A3131" s="83" t="s">
        <v>8211</v>
      </c>
      <c r="B3131" s="83" t="s">
        <v>8047</v>
      </c>
      <c r="C3131" s="83" t="s">
        <v>8211</v>
      </c>
      <c r="D3131" s="83" t="s">
        <v>8490</v>
      </c>
      <c r="E3131" s="84">
        <f>sch_hih_crshe_02</f>
        <v>0</v>
      </c>
      <c r="F3131" s="83" t="b">
        <v>1</v>
      </c>
      <c r="G3131" s="83"/>
      <c r="H3131" s="83"/>
    </row>
    <row r="3132" spans="1:8">
      <c r="A3132" s="83" t="s">
        <v>8212</v>
      </c>
      <c r="B3132" s="83" t="s">
        <v>8047</v>
      </c>
      <c r="C3132" s="83" t="s">
        <v>8212</v>
      </c>
      <c r="D3132" s="83" t="s">
        <v>8491</v>
      </c>
      <c r="E3132" s="84">
        <f>sch_hih_crshe_03</f>
        <v>0</v>
      </c>
      <c r="F3132" s="83" t="b">
        <v>1</v>
      </c>
      <c r="G3132" s="83"/>
      <c r="H3132" s="83"/>
    </row>
    <row r="3133" spans="1:8">
      <c r="A3133" s="83" t="s">
        <v>8213</v>
      </c>
      <c r="B3133" s="83" t="s">
        <v>8047</v>
      </c>
      <c r="C3133" s="83" t="s">
        <v>8213</v>
      </c>
      <c r="D3133" s="83" t="s">
        <v>8492</v>
      </c>
      <c r="E3133" s="84">
        <f>sch_hih_crshe_04</f>
        <v>0</v>
      </c>
      <c r="F3133" s="83" t="b">
        <v>1</v>
      </c>
      <c r="G3133" s="83"/>
      <c r="H3133" s="83"/>
    </row>
    <row r="3134" spans="1:8">
      <c r="A3134" s="83" t="s">
        <v>8214</v>
      </c>
      <c r="B3134" s="83" t="s">
        <v>8047</v>
      </c>
      <c r="C3134" s="83" t="s">
        <v>8214</v>
      </c>
      <c r="D3134" s="83" t="s">
        <v>8493</v>
      </c>
      <c r="E3134" s="84">
        <f>sch_hih_crshe_05</f>
        <v>0</v>
      </c>
      <c r="F3134" s="83" t="b">
        <v>1</v>
      </c>
      <c r="G3134" s="83"/>
      <c r="H3134" s="83"/>
    </row>
    <row r="3135" spans="1:8">
      <c r="A3135" s="83" t="s">
        <v>8215</v>
      </c>
      <c r="B3135" s="83" t="s">
        <v>8047</v>
      </c>
      <c r="C3135" s="83" t="s">
        <v>8215</v>
      </c>
      <c r="D3135" s="83" t="s">
        <v>8494</v>
      </c>
      <c r="E3135" s="84">
        <f>sch_hih_crspr_06</f>
        <v>0</v>
      </c>
      <c r="F3135" s="83" t="b">
        <v>1</v>
      </c>
      <c r="G3135" s="83"/>
      <c r="H3135" s="83"/>
    </row>
    <row r="3136" spans="1:8">
      <c r="A3136" s="83" t="s">
        <v>8216</v>
      </c>
      <c r="B3136" s="83" t="s">
        <v>8047</v>
      </c>
      <c r="C3136" s="83" t="s">
        <v>8216</v>
      </c>
      <c r="D3136" s="83" t="s">
        <v>8495</v>
      </c>
      <c r="E3136" s="84">
        <f>sch_hih_crspr_07</f>
        <v>0</v>
      </c>
      <c r="F3136" s="83" t="b">
        <v>1</v>
      </c>
      <c r="G3136" s="83"/>
      <c r="H3136" s="83"/>
    </row>
    <row r="3137" spans="1:8">
      <c r="A3137" s="83" t="s">
        <v>8217</v>
      </c>
      <c r="B3137" s="83" t="s">
        <v>8047</v>
      </c>
      <c r="C3137" s="83" t="s">
        <v>8217</v>
      </c>
      <c r="D3137" s="83" t="s">
        <v>8496</v>
      </c>
      <c r="E3137" s="84">
        <f>sch_hih_crspr_08</f>
        <v>0</v>
      </c>
      <c r="F3137" s="83" t="b">
        <v>1</v>
      </c>
      <c r="G3137" s="83"/>
      <c r="H3137" s="83"/>
    </row>
    <row r="3138" spans="1:8">
      <c r="A3138" s="83" t="s">
        <v>8218</v>
      </c>
      <c r="B3138" s="83" t="s">
        <v>8047</v>
      </c>
      <c r="C3138" s="83" t="s">
        <v>8218</v>
      </c>
      <c r="D3138" s="83" t="s">
        <v>8497</v>
      </c>
      <c r="E3138" s="84">
        <f>sch_hih_crspr_09</f>
        <v>0</v>
      </c>
      <c r="F3138" s="83" t="b">
        <v>1</v>
      </c>
      <c r="G3138" s="83"/>
      <c r="H3138" s="83"/>
    </row>
    <row r="3139" spans="1:8">
      <c r="A3139" s="83" t="s">
        <v>8219</v>
      </c>
      <c r="B3139" s="83" t="s">
        <v>8047</v>
      </c>
      <c r="C3139" s="83" t="s">
        <v>8219</v>
      </c>
      <c r="D3139" s="83" t="s">
        <v>8498</v>
      </c>
      <c r="E3139" s="84">
        <f>sch_hih_crspr_10</f>
        <v>0</v>
      </c>
      <c r="F3139" s="83" t="b">
        <v>1</v>
      </c>
      <c r="G3139" s="83"/>
      <c r="H3139" s="83"/>
    </row>
    <row r="3140" spans="1:8">
      <c r="A3140" s="83" t="s">
        <v>8220</v>
      </c>
      <c r="B3140" s="83" t="s">
        <v>8047</v>
      </c>
      <c r="C3140" s="83" t="s">
        <v>8220</v>
      </c>
      <c r="D3140" s="83" t="s">
        <v>8499</v>
      </c>
      <c r="E3140" s="84">
        <f>sch_hih_crspr_11</f>
        <v>0</v>
      </c>
      <c r="F3140" s="83" t="b">
        <v>1</v>
      </c>
      <c r="G3140" s="83"/>
      <c r="H3140" s="83"/>
    </row>
    <row r="3141" spans="1:8">
      <c r="A3141" s="83" t="s">
        <v>8221</v>
      </c>
      <c r="B3141" s="83" t="s">
        <v>8047</v>
      </c>
      <c r="C3141" s="83" t="s">
        <v>8221</v>
      </c>
      <c r="D3141" s="83" t="s">
        <v>8500</v>
      </c>
      <c r="E3141" s="84">
        <f>sch_hih_crspr_12</f>
        <v>1</v>
      </c>
      <c r="F3141" s="83" t="b">
        <v>1</v>
      </c>
      <c r="G3141" s="83"/>
      <c r="H3141" s="83"/>
    </row>
    <row r="3142" spans="1:8">
      <c r="A3142" s="83" t="s">
        <v>8222</v>
      </c>
      <c r="B3142" s="83" t="s">
        <v>8047</v>
      </c>
      <c r="C3142" s="83" t="s">
        <v>8222</v>
      </c>
      <c r="D3142" s="83" t="s">
        <v>8501</v>
      </c>
      <c r="E3142" s="84">
        <f>sch_hih_crspr_01</f>
        <v>0</v>
      </c>
      <c r="F3142" s="83" t="b">
        <v>1</v>
      </c>
      <c r="G3142" s="83"/>
      <c r="H3142" s="83"/>
    </row>
    <row r="3143" spans="1:8">
      <c r="A3143" s="83" t="s">
        <v>8223</v>
      </c>
      <c r="B3143" s="83" t="s">
        <v>8047</v>
      </c>
      <c r="C3143" s="83" t="s">
        <v>8223</v>
      </c>
      <c r="D3143" s="83" t="s">
        <v>8502</v>
      </c>
      <c r="E3143" s="84">
        <f>sch_hih_crspr_02</f>
        <v>0</v>
      </c>
      <c r="F3143" s="83" t="b">
        <v>1</v>
      </c>
      <c r="G3143" s="83"/>
      <c r="H3143" s="83"/>
    </row>
    <row r="3144" spans="1:8">
      <c r="A3144" s="83" t="s">
        <v>8224</v>
      </c>
      <c r="B3144" s="83" t="s">
        <v>8047</v>
      </c>
      <c r="C3144" s="83" t="s">
        <v>8224</v>
      </c>
      <c r="D3144" s="83" t="s">
        <v>8503</v>
      </c>
      <c r="E3144" s="84">
        <f>sch_hih_crspr_03</f>
        <v>0</v>
      </c>
      <c r="F3144" s="83" t="b">
        <v>1</v>
      </c>
      <c r="G3144" s="83"/>
      <c r="H3144" s="83"/>
    </row>
    <row r="3145" spans="1:8">
      <c r="A3145" s="83" t="s">
        <v>8225</v>
      </c>
      <c r="B3145" s="83" t="s">
        <v>8047</v>
      </c>
      <c r="C3145" s="83" t="s">
        <v>8225</v>
      </c>
      <c r="D3145" s="83" t="s">
        <v>8504</v>
      </c>
      <c r="E3145" s="84">
        <f>sch_hih_crspr_04</f>
        <v>0</v>
      </c>
      <c r="F3145" s="83" t="b">
        <v>1</v>
      </c>
      <c r="G3145" s="83"/>
      <c r="H3145" s="83"/>
    </row>
    <row r="3146" spans="1:8">
      <c r="A3146" s="83" t="s">
        <v>8226</v>
      </c>
      <c r="B3146" s="83" t="s">
        <v>8047</v>
      </c>
      <c r="C3146" s="83" t="s">
        <v>8226</v>
      </c>
      <c r="D3146" s="83" t="s">
        <v>8505</v>
      </c>
      <c r="E3146" s="84">
        <f>sch_hih_crspr_05</f>
        <v>1</v>
      </c>
      <c r="F3146" s="83" t="b">
        <v>1</v>
      </c>
      <c r="G3146" s="83"/>
      <c r="H3146" s="83"/>
    </row>
    <row r="3147" spans="1:8">
      <c r="A3147" s="83" t="s">
        <v>8227</v>
      </c>
      <c r="B3147" s="83" t="s">
        <v>8047</v>
      </c>
      <c r="C3147" s="83" t="s">
        <v>8227</v>
      </c>
      <c r="D3147" s="83" t="s">
        <v>8506</v>
      </c>
      <c r="E3147" s="84">
        <f>sch_hih_crtch_06</f>
        <v>0</v>
      </c>
      <c r="F3147" s="83" t="b">
        <v>1</v>
      </c>
      <c r="G3147" s="83"/>
      <c r="H3147" s="83"/>
    </row>
    <row r="3148" spans="1:8">
      <c r="A3148" s="83" t="s">
        <v>8228</v>
      </c>
      <c r="B3148" s="83" t="s">
        <v>8047</v>
      </c>
      <c r="C3148" s="83" t="s">
        <v>8228</v>
      </c>
      <c r="D3148" s="83" t="s">
        <v>8507</v>
      </c>
      <c r="E3148" s="84">
        <f>sch_hih_crtch_07</f>
        <v>0</v>
      </c>
      <c r="F3148" s="83" t="b">
        <v>1</v>
      </c>
      <c r="G3148" s="83"/>
      <c r="H3148" s="83"/>
    </row>
    <row r="3149" spans="1:8">
      <c r="A3149" s="83" t="s">
        <v>8229</v>
      </c>
      <c r="B3149" s="83" t="s">
        <v>8047</v>
      </c>
      <c r="C3149" s="83" t="s">
        <v>8229</v>
      </c>
      <c r="D3149" s="83" t="s">
        <v>8508</v>
      </c>
      <c r="E3149" s="84">
        <f>sch_hih_crtch_08</f>
        <v>0</v>
      </c>
      <c r="F3149" s="83" t="b">
        <v>1</v>
      </c>
      <c r="G3149" s="83"/>
      <c r="H3149" s="83"/>
    </row>
    <row r="3150" spans="1:8">
      <c r="A3150" s="83" t="s">
        <v>8230</v>
      </c>
      <c r="B3150" s="83" t="s">
        <v>8047</v>
      </c>
      <c r="C3150" s="83" t="s">
        <v>8230</v>
      </c>
      <c r="D3150" s="83" t="s">
        <v>8509</v>
      </c>
      <c r="E3150" s="84">
        <f>sch_hih_crtch_09</f>
        <v>0</v>
      </c>
      <c r="F3150" s="83" t="b">
        <v>1</v>
      </c>
      <c r="G3150" s="83"/>
      <c r="H3150" s="83"/>
    </row>
    <row r="3151" spans="1:8">
      <c r="A3151" s="83" t="s">
        <v>8231</v>
      </c>
      <c r="B3151" s="83" t="s">
        <v>8047</v>
      </c>
      <c r="C3151" s="83" t="s">
        <v>8231</v>
      </c>
      <c r="D3151" s="83" t="s">
        <v>8510</v>
      </c>
      <c r="E3151" s="84">
        <f>sch_hih_crtch_10</f>
        <v>0</v>
      </c>
      <c r="F3151" s="83" t="b">
        <v>1</v>
      </c>
      <c r="G3151" s="83"/>
      <c r="H3151" s="83"/>
    </row>
    <row r="3152" spans="1:8">
      <c r="A3152" s="83" t="s">
        <v>8232</v>
      </c>
      <c r="B3152" s="83" t="s">
        <v>8047</v>
      </c>
      <c r="C3152" s="83" t="s">
        <v>8232</v>
      </c>
      <c r="D3152" s="83" t="s">
        <v>8511</v>
      </c>
      <c r="E3152" s="84">
        <f>sch_hih_crtch_11</f>
        <v>0</v>
      </c>
      <c r="F3152" s="83" t="b">
        <v>1</v>
      </c>
      <c r="G3152" s="83"/>
      <c r="H3152" s="83"/>
    </row>
    <row r="3153" spans="1:8">
      <c r="A3153" s="83" t="s">
        <v>8233</v>
      </c>
      <c r="B3153" s="83" t="s">
        <v>8047</v>
      </c>
      <c r="C3153" s="83" t="s">
        <v>8233</v>
      </c>
      <c r="D3153" s="83" t="s">
        <v>8512</v>
      </c>
      <c r="E3153" s="84">
        <f>sch_hih_crtch_12</f>
        <v>0</v>
      </c>
      <c r="F3153" s="83" t="b">
        <v>1</v>
      </c>
      <c r="G3153" s="83"/>
      <c r="H3153" s="83"/>
    </row>
    <row r="3154" spans="1:8">
      <c r="A3154" s="83" t="s">
        <v>8234</v>
      </c>
      <c r="B3154" s="83" t="s">
        <v>8047</v>
      </c>
      <c r="C3154" s="83" t="s">
        <v>8234</v>
      </c>
      <c r="D3154" s="83" t="s">
        <v>8513</v>
      </c>
      <c r="E3154" s="84">
        <f>sch_hih_crtch_01</f>
        <v>0</v>
      </c>
      <c r="F3154" s="83" t="b">
        <v>1</v>
      </c>
      <c r="G3154" s="83"/>
      <c r="H3154" s="83"/>
    </row>
    <row r="3155" spans="1:8">
      <c r="A3155" s="83" t="s">
        <v>8235</v>
      </c>
      <c r="B3155" s="83" t="s">
        <v>8047</v>
      </c>
      <c r="C3155" s="83" t="s">
        <v>8235</v>
      </c>
      <c r="D3155" s="83" t="s">
        <v>8514</v>
      </c>
      <c r="E3155" s="84">
        <f>sch_hih_crtch_02</f>
        <v>0</v>
      </c>
      <c r="F3155" s="83" t="b">
        <v>1</v>
      </c>
      <c r="G3155" s="83"/>
      <c r="H3155" s="83"/>
    </row>
    <row r="3156" spans="1:8">
      <c r="A3156" s="83" t="s">
        <v>8236</v>
      </c>
      <c r="B3156" s="83" t="s">
        <v>8047</v>
      </c>
      <c r="C3156" s="83" t="s">
        <v>8236</v>
      </c>
      <c r="D3156" s="83" t="s">
        <v>8515</v>
      </c>
      <c r="E3156" s="84">
        <f>sch_hih_crtch_03</f>
        <v>0</v>
      </c>
      <c r="F3156" s="83" t="b">
        <v>1</v>
      </c>
      <c r="G3156" s="83"/>
      <c r="H3156" s="83"/>
    </row>
    <row r="3157" spans="1:8">
      <c r="A3157" s="83" t="s">
        <v>8237</v>
      </c>
      <c r="B3157" s="83" t="s">
        <v>8047</v>
      </c>
      <c r="C3157" s="83" t="s">
        <v>8237</v>
      </c>
      <c r="D3157" s="83" t="s">
        <v>8516</v>
      </c>
      <c r="E3157" s="84">
        <f>sch_hih_crtch_04</f>
        <v>0</v>
      </c>
      <c r="F3157" s="83" t="b">
        <v>1</v>
      </c>
      <c r="G3157" s="83"/>
      <c r="H3157" s="83"/>
    </row>
    <row r="3158" spans="1:8">
      <c r="A3158" s="83" t="s">
        <v>8238</v>
      </c>
      <c r="B3158" s="83" t="s">
        <v>8047</v>
      </c>
      <c r="C3158" s="83" t="s">
        <v>8238</v>
      </c>
      <c r="D3158" s="83" t="s">
        <v>8517</v>
      </c>
      <c r="E3158" s="84">
        <f>sch_hih_crtch_05</f>
        <v>0</v>
      </c>
      <c r="F3158" s="83" t="b">
        <v>1</v>
      </c>
      <c r="G3158" s="83"/>
      <c r="H3158" s="83"/>
    </row>
    <row r="3159" spans="1:8">
      <c r="A3159" s="83" t="s">
        <v>8239</v>
      </c>
      <c r="B3159" s="83" t="s">
        <v>8047</v>
      </c>
      <c r="C3159" s="83" t="s">
        <v>8239</v>
      </c>
      <c r="D3159" s="83" t="s">
        <v>8518</v>
      </c>
      <c r="E3159" s="84">
        <f>sch_hih_fire_06</f>
        <v>0</v>
      </c>
      <c r="F3159" s="83" t="b">
        <v>1</v>
      </c>
      <c r="G3159" s="83"/>
      <c r="H3159" s="83"/>
    </row>
    <row r="3160" spans="1:8">
      <c r="A3160" s="83" t="s">
        <v>8240</v>
      </c>
      <c r="B3160" s="83" t="s">
        <v>8047</v>
      </c>
      <c r="C3160" s="83" t="s">
        <v>8240</v>
      </c>
      <c r="D3160" s="83" t="s">
        <v>8519</v>
      </c>
      <c r="E3160" s="84">
        <f>sch_hih_fire_07</f>
        <v>0</v>
      </c>
      <c r="F3160" s="83" t="b">
        <v>1</v>
      </c>
      <c r="G3160" s="83"/>
      <c r="H3160" s="83"/>
    </row>
    <row r="3161" spans="1:8">
      <c r="A3161" s="83" t="s">
        <v>8241</v>
      </c>
      <c r="B3161" s="83" t="s">
        <v>8047</v>
      </c>
      <c r="C3161" s="83" t="s">
        <v>8241</v>
      </c>
      <c r="D3161" s="83" t="s">
        <v>8520</v>
      </c>
      <c r="E3161" s="84">
        <f>sch_hih_fire_08</f>
        <v>0</v>
      </c>
      <c r="F3161" s="83" t="b">
        <v>1</v>
      </c>
      <c r="G3161" s="83"/>
      <c r="H3161" s="83"/>
    </row>
    <row r="3162" spans="1:8">
      <c r="A3162" s="83" t="s">
        <v>8242</v>
      </c>
      <c r="B3162" s="83" t="s">
        <v>8047</v>
      </c>
      <c r="C3162" s="83" t="s">
        <v>8242</v>
      </c>
      <c r="D3162" s="83" t="s">
        <v>8521</v>
      </c>
      <c r="E3162" s="84">
        <f>sch_hih_fire_09</f>
        <v>0</v>
      </c>
      <c r="F3162" s="83" t="b">
        <v>1</v>
      </c>
      <c r="G3162" s="83"/>
      <c r="H3162" s="83"/>
    </row>
    <row r="3163" spans="1:8">
      <c r="A3163" s="83" t="s">
        <v>8243</v>
      </c>
      <c r="B3163" s="83" t="s">
        <v>8047</v>
      </c>
      <c r="C3163" s="83" t="s">
        <v>8243</v>
      </c>
      <c r="D3163" s="83" t="s">
        <v>8522</v>
      </c>
      <c r="E3163" s="84">
        <f>sch_hih_fire_10</f>
        <v>0</v>
      </c>
      <c r="F3163" s="83" t="b">
        <v>1</v>
      </c>
      <c r="G3163" s="83"/>
      <c r="H3163" s="83"/>
    </row>
    <row r="3164" spans="1:8">
      <c r="A3164" s="83" t="s">
        <v>8244</v>
      </c>
      <c r="B3164" s="83" t="s">
        <v>8047</v>
      </c>
      <c r="C3164" s="83" t="s">
        <v>8244</v>
      </c>
      <c r="D3164" s="83" t="s">
        <v>8523</v>
      </c>
      <c r="E3164" s="84">
        <f>sch_hih_fire_11</f>
        <v>0</v>
      </c>
      <c r="F3164" s="83" t="b">
        <v>1</v>
      </c>
      <c r="G3164" s="83"/>
      <c r="H3164" s="83"/>
    </row>
    <row r="3165" spans="1:8">
      <c r="A3165" s="83" t="s">
        <v>8245</v>
      </c>
      <c r="B3165" s="83" t="s">
        <v>8047</v>
      </c>
      <c r="C3165" s="83" t="s">
        <v>8245</v>
      </c>
      <c r="D3165" s="83" t="s">
        <v>8524</v>
      </c>
      <c r="E3165" s="84">
        <f>sch_hih_fire_12</f>
        <v>0</v>
      </c>
      <c r="F3165" s="83" t="b">
        <v>1</v>
      </c>
      <c r="G3165" s="83"/>
      <c r="H3165" s="83"/>
    </row>
    <row r="3166" spans="1:8">
      <c r="A3166" s="83" t="s">
        <v>8246</v>
      </c>
      <c r="B3166" s="83" t="s">
        <v>8047</v>
      </c>
      <c r="C3166" s="83" t="s">
        <v>8246</v>
      </c>
      <c r="D3166" s="83" t="s">
        <v>8525</v>
      </c>
      <c r="E3166" s="84">
        <f>sch_hih_fire_01</f>
        <v>0</v>
      </c>
      <c r="F3166" s="83" t="b">
        <v>1</v>
      </c>
      <c r="G3166" s="83"/>
      <c r="H3166" s="83"/>
    </row>
    <row r="3167" spans="1:8">
      <c r="A3167" s="83" t="s">
        <v>8247</v>
      </c>
      <c r="B3167" s="83" t="s">
        <v>8047</v>
      </c>
      <c r="C3167" s="83" t="s">
        <v>8247</v>
      </c>
      <c r="D3167" s="83" t="s">
        <v>8526</v>
      </c>
      <c r="E3167" s="84">
        <f>sch_hih_fire_02</f>
        <v>0</v>
      </c>
      <c r="F3167" s="83" t="b">
        <v>1</v>
      </c>
      <c r="G3167" s="83"/>
      <c r="H3167" s="83"/>
    </row>
    <row r="3168" spans="1:8">
      <c r="A3168" s="83" t="s">
        <v>8248</v>
      </c>
      <c r="B3168" s="83" t="s">
        <v>8047</v>
      </c>
      <c r="C3168" s="83" t="s">
        <v>8248</v>
      </c>
      <c r="D3168" s="83" t="s">
        <v>8527</v>
      </c>
      <c r="E3168" s="84">
        <f>sch_hih_fire_03</f>
        <v>0</v>
      </c>
      <c r="F3168" s="83" t="b">
        <v>1</v>
      </c>
      <c r="G3168" s="83"/>
      <c r="H3168" s="83"/>
    </row>
    <row r="3169" spans="1:8">
      <c r="A3169" s="83" t="s">
        <v>8249</v>
      </c>
      <c r="B3169" s="83" t="s">
        <v>8047</v>
      </c>
      <c r="C3169" s="83" t="s">
        <v>8249</v>
      </c>
      <c r="D3169" s="83" t="s">
        <v>8528</v>
      </c>
      <c r="E3169" s="84">
        <f>sch_hih_fire_04</f>
        <v>0</v>
      </c>
      <c r="F3169" s="83" t="b">
        <v>1</v>
      </c>
      <c r="G3169" s="83"/>
      <c r="H3169" s="83"/>
    </row>
    <row r="3170" spans="1:8">
      <c r="A3170" s="83" t="s">
        <v>8250</v>
      </c>
      <c r="B3170" s="83" t="s">
        <v>8047</v>
      </c>
      <c r="C3170" s="83" t="s">
        <v>8250</v>
      </c>
      <c r="D3170" s="83" t="s">
        <v>8529</v>
      </c>
      <c r="E3170" s="84">
        <f>sch_hih_fire_05</f>
        <v>0</v>
      </c>
      <c r="F3170" s="83" t="b">
        <v>1</v>
      </c>
      <c r="G3170" s="83"/>
      <c r="H3170" s="83"/>
    </row>
    <row r="3171" spans="1:8">
      <c r="A3171" s="83" t="s">
        <v>8251</v>
      </c>
      <c r="B3171" s="83" t="s">
        <v>8047</v>
      </c>
      <c r="C3171" s="83" t="s">
        <v>8251</v>
      </c>
      <c r="D3171" s="83" t="s">
        <v>8530</v>
      </c>
      <c r="E3171" s="84">
        <f>sch_hih_hmti_06</f>
        <v>0</v>
      </c>
      <c r="F3171" s="83" t="b">
        <v>1</v>
      </c>
      <c r="G3171" s="83"/>
      <c r="H3171" s="83"/>
    </row>
    <row r="3172" spans="1:8">
      <c r="A3172" s="83" t="s">
        <v>8252</v>
      </c>
      <c r="B3172" s="83" t="s">
        <v>8047</v>
      </c>
      <c r="C3172" s="83" t="s">
        <v>8252</v>
      </c>
      <c r="D3172" s="83" t="s">
        <v>8531</v>
      </c>
      <c r="E3172" s="84">
        <f>sch_hih_hmti_07</f>
        <v>0</v>
      </c>
      <c r="F3172" s="83" t="b">
        <v>1</v>
      </c>
      <c r="G3172" s="83"/>
      <c r="H3172" s="83"/>
    </row>
    <row r="3173" spans="1:8">
      <c r="A3173" s="83" t="s">
        <v>8253</v>
      </c>
      <c r="B3173" s="83" t="s">
        <v>8047</v>
      </c>
      <c r="C3173" s="83" t="s">
        <v>8253</v>
      </c>
      <c r="D3173" s="83" t="s">
        <v>8532</v>
      </c>
      <c r="E3173" s="84">
        <f>sch_hih_hmti_08</f>
        <v>0</v>
      </c>
      <c r="F3173" s="83" t="b">
        <v>1</v>
      </c>
      <c r="G3173" s="83"/>
      <c r="H3173" s="83"/>
    </row>
    <row r="3174" spans="1:8">
      <c r="A3174" s="83" t="s">
        <v>8254</v>
      </c>
      <c r="B3174" s="83" t="s">
        <v>8047</v>
      </c>
      <c r="C3174" s="83" t="s">
        <v>8254</v>
      </c>
      <c r="D3174" s="83" t="s">
        <v>8533</v>
      </c>
      <c r="E3174" s="84">
        <f>sch_hih_hmti_09</f>
        <v>0</v>
      </c>
      <c r="F3174" s="83" t="b">
        <v>1</v>
      </c>
      <c r="G3174" s="83"/>
      <c r="H3174" s="83"/>
    </row>
    <row r="3175" spans="1:8">
      <c r="A3175" s="83" t="s">
        <v>8255</v>
      </c>
      <c r="B3175" s="83" t="s">
        <v>8047</v>
      </c>
      <c r="C3175" s="83" t="s">
        <v>8255</v>
      </c>
      <c r="D3175" s="83" t="s">
        <v>8534</v>
      </c>
      <c r="E3175" s="84">
        <f>sch_hih_hmti_10</f>
        <v>0</v>
      </c>
      <c r="F3175" s="83" t="b">
        <v>1</v>
      </c>
      <c r="G3175" s="83"/>
      <c r="H3175" s="83"/>
    </row>
    <row r="3176" spans="1:8">
      <c r="A3176" s="83" t="s">
        <v>8256</v>
      </c>
      <c r="B3176" s="83" t="s">
        <v>8047</v>
      </c>
      <c r="C3176" s="83" t="s">
        <v>8256</v>
      </c>
      <c r="D3176" s="83" t="s">
        <v>8535</v>
      </c>
      <c r="E3176" s="84">
        <f>sch_hih_hmti_11</f>
        <v>0</v>
      </c>
      <c r="F3176" s="83" t="b">
        <v>1</v>
      </c>
      <c r="G3176" s="83"/>
      <c r="H3176" s="83"/>
    </row>
    <row r="3177" spans="1:8">
      <c r="A3177" s="83" t="s">
        <v>8257</v>
      </c>
      <c r="B3177" s="83" t="s">
        <v>8047</v>
      </c>
      <c r="C3177" s="83" t="s">
        <v>8257</v>
      </c>
      <c r="D3177" s="83" t="s">
        <v>8536</v>
      </c>
      <c r="E3177" s="84">
        <f>sch_hih_hmti_12</f>
        <v>0</v>
      </c>
      <c r="F3177" s="83" t="b">
        <v>1</v>
      </c>
      <c r="G3177" s="83"/>
      <c r="H3177" s="83"/>
    </row>
    <row r="3178" spans="1:8">
      <c r="A3178" s="83" t="s">
        <v>8258</v>
      </c>
      <c r="B3178" s="83" t="s">
        <v>8047</v>
      </c>
      <c r="C3178" s="83" t="s">
        <v>8258</v>
      </c>
      <c r="D3178" s="83" t="s">
        <v>8537</v>
      </c>
      <c r="E3178" s="84">
        <f>sch_hih_hmti_01</f>
        <v>0</v>
      </c>
      <c r="F3178" s="83" t="b">
        <v>1</v>
      </c>
      <c r="G3178" s="83"/>
      <c r="H3178" s="83"/>
    </row>
    <row r="3179" spans="1:8">
      <c r="A3179" s="83" t="s">
        <v>8259</v>
      </c>
      <c r="B3179" s="83" t="s">
        <v>8047</v>
      </c>
      <c r="C3179" s="83" t="s">
        <v>8259</v>
      </c>
      <c r="D3179" s="83" t="s">
        <v>8538</v>
      </c>
      <c r="E3179" s="84">
        <f>sch_hih_hmti_02</f>
        <v>0</v>
      </c>
      <c r="F3179" s="83" t="b">
        <v>1</v>
      </c>
      <c r="G3179" s="83"/>
      <c r="H3179" s="83"/>
    </row>
    <row r="3180" spans="1:8">
      <c r="A3180" s="83" t="s">
        <v>8260</v>
      </c>
      <c r="B3180" s="83" t="s">
        <v>8047</v>
      </c>
      <c r="C3180" s="83" t="s">
        <v>8260</v>
      </c>
      <c r="D3180" s="83" t="s">
        <v>8539</v>
      </c>
      <c r="E3180" s="84">
        <f>sch_hih_hmti_03</f>
        <v>0</v>
      </c>
      <c r="F3180" s="83" t="b">
        <v>1</v>
      </c>
      <c r="G3180" s="83"/>
      <c r="H3180" s="83"/>
    </row>
    <row r="3181" spans="1:8">
      <c r="A3181" s="83" t="s">
        <v>8261</v>
      </c>
      <c r="B3181" s="83" t="s">
        <v>8047</v>
      </c>
      <c r="C3181" s="83" t="s">
        <v>8261</v>
      </c>
      <c r="D3181" s="83" t="s">
        <v>8540</v>
      </c>
      <c r="E3181" s="84">
        <f>sch_hih_hmti_04</f>
        <v>0</v>
      </c>
      <c r="F3181" s="83" t="b">
        <v>1</v>
      </c>
      <c r="G3181" s="83"/>
      <c r="H3181" s="83"/>
    </row>
    <row r="3182" spans="1:8">
      <c r="A3182" s="83" t="s">
        <v>8262</v>
      </c>
      <c r="B3182" s="83" t="s">
        <v>8047</v>
      </c>
      <c r="C3182" s="83" t="s">
        <v>8262</v>
      </c>
      <c r="D3182" s="83" t="s">
        <v>8541</v>
      </c>
      <c r="E3182" s="84">
        <f>sch_hih_hmti_05</f>
        <v>0</v>
      </c>
      <c r="F3182" s="83" t="b">
        <v>1</v>
      </c>
      <c r="G3182" s="83"/>
      <c r="H3182" s="83"/>
    </row>
    <row r="3183" spans="1:8">
      <c r="A3183" s="83" t="s">
        <v>8263</v>
      </c>
      <c r="B3183" s="83" t="s">
        <v>8047</v>
      </c>
      <c r="C3183" s="83" t="s">
        <v>8263</v>
      </c>
      <c r="D3183" s="83" t="s">
        <v>8542</v>
      </c>
      <c r="E3183" s="84">
        <f>sch_hih_helt_06</f>
        <v>0</v>
      </c>
      <c r="F3183" s="83" t="b">
        <v>1</v>
      </c>
      <c r="G3183" s="83"/>
      <c r="H3183" s="83"/>
    </row>
    <row r="3184" spans="1:8">
      <c r="A3184" s="83" t="s">
        <v>8264</v>
      </c>
      <c r="B3184" s="83" t="s">
        <v>8047</v>
      </c>
      <c r="C3184" s="83" t="s">
        <v>8264</v>
      </c>
      <c r="D3184" s="83" t="s">
        <v>8543</v>
      </c>
      <c r="E3184" s="84">
        <f>sch_hih_helt_07</f>
        <v>0</v>
      </c>
      <c r="F3184" s="83" t="b">
        <v>1</v>
      </c>
      <c r="G3184" s="83"/>
      <c r="H3184" s="83"/>
    </row>
    <row r="3185" spans="1:8">
      <c r="A3185" s="83" t="s">
        <v>8265</v>
      </c>
      <c r="B3185" s="83" t="s">
        <v>8047</v>
      </c>
      <c r="C3185" s="83" t="s">
        <v>8265</v>
      </c>
      <c r="D3185" s="83" t="s">
        <v>8544</v>
      </c>
      <c r="E3185" s="84">
        <f>sch_hih_helt_08</f>
        <v>0</v>
      </c>
      <c r="F3185" s="83" t="b">
        <v>1</v>
      </c>
      <c r="G3185" s="83"/>
      <c r="H3185" s="83"/>
    </row>
    <row r="3186" spans="1:8">
      <c r="A3186" s="83" t="s">
        <v>8266</v>
      </c>
      <c r="B3186" s="83" t="s">
        <v>8047</v>
      </c>
      <c r="C3186" s="83" t="s">
        <v>8266</v>
      </c>
      <c r="D3186" s="83" t="s">
        <v>8545</v>
      </c>
      <c r="E3186" s="84">
        <f>sch_hih_helt_09</f>
        <v>0</v>
      </c>
      <c r="F3186" s="83" t="b">
        <v>1</v>
      </c>
      <c r="G3186" s="83"/>
      <c r="H3186" s="83"/>
    </row>
    <row r="3187" spans="1:8">
      <c r="A3187" s="83" t="s">
        <v>8267</v>
      </c>
      <c r="B3187" s="83" t="s">
        <v>8047</v>
      </c>
      <c r="C3187" s="83" t="s">
        <v>8267</v>
      </c>
      <c r="D3187" s="83" t="s">
        <v>8546</v>
      </c>
      <c r="E3187" s="84">
        <f>sch_hih_helt_10</f>
        <v>0</v>
      </c>
      <c r="F3187" s="83" t="b">
        <v>1</v>
      </c>
      <c r="G3187" s="83"/>
      <c r="H3187" s="83"/>
    </row>
    <row r="3188" spans="1:8">
      <c r="A3188" s="83" t="s">
        <v>8268</v>
      </c>
      <c r="B3188" s="83" t="s">
        <v>8047</v>
      </c>
      <c r="C3188" s="83" t="s">
        <v>8268</v>
      </c>
      <c r="D3188" s="83" t="s">
        <v>8547</v>
      </c>
      <c r="E3188" s="84">
        <f>sch_hih_helt_11</f>
        <v>0</v>
      </c>
      <c r="F3188" s="83" t="b">
        <v>1</v>
      </c>
      <c r="G3188" s="83"/>
      <c r="H3188" s="83"/>
    </row>
    <row r="3189" spans="1:8">
      <c r="A3189" s="83" t="s">
        <v>8269</v>
      </c>
      <c r="B3189" s="83" t="s">
        <v>8047</v>
      </c>
      <c r="C3189" s="83" t="s">
        <v>8269</v>
      </c>
      <c r="D3189" s="83" t="s">
        <v>8548</v>
      </c>
      <c r="E3189" s="84">
        <f>sch_hih_helt_12</f>
        <v>0</v>
      </c>
      <c r="F3189" s="83" t="b">
        <v>1</v>
      </c>
      <c r="G3189" s="83"/>
      <c r="H3189" s="83"/>
    </row>
    <row r="3190" spans="1:8">
      <c r="A3190" s="83" t="s">
        <v>8270</v>
      </c>
      <c r="B3190" s="83" t="s">
        <v>8047</v>
      </c>
      <c r="C3190" s="83" t="s">
        <v>8270</v>
      </c>
      <c r="D3190" s="83" t="s">
        <v>8549</v>
      </c>
      <c r="E3190" s="84">
        <f>sch_hih_helt_01</f>
        <v>0</v>
      </c>
      <c r="F3190" s="83" t="b">
        <v>1</v>
      </c>
      <c r="G3190" s="83"/>
      <c r="H3190" s="83"/>
    </row>
    <row r="3191" spans="1:8">
      <c r="A3191" s="83" t="s">
        <v>8271</v>
      </c>
      <c r="B3191" s="83" t="s">
        <v>8047</v>
      </c>
      <c r="C3191" s="83" t="s">
        <v>8271</v>
      </c>
      <c r="D3191" s="83" t="s">
        <v>8550</v>
      </c>
      <c r="E3191" s="84">
        <f>sch_hih_helt_02</f>
        <v>0</v>
      </c>
      <c r="F3191" s="83" t="b">
        <v>1</v>
      </c>
      <c r="G3191" s="83"/>
      <c r="H3191" s="83"/>
    </row>
    <row r="3192" spans="1:8">
      <c r="A3192" s="83" t="s">
        <v>8272</v>
      </c>
      <c r="B3192" s="83" t="s">
        <v>8047</v>
      </c>
      <c r="C3192" s="83" t="s">
        <v>8272</v>
      </c>
      <c r="D3192" s="83" t="s">
        <v>8551</v>
      </c>
      <c r="E3192" s="84">
        <f>sch_hih_helt_03</f>
        <v>0</v>
      </c>
      <c r="F3192" s="83" t="b">
        <v>1</v>
      </c>
      <c r="G3192" s="83"/>
      <c r="H3192" s="83"/>
    </row>
    <row r="3193" spans="1:8">
      <c r="A3193" s="83" t="s">
        <v>8273</v>
      </c>
      <c r="B3193" s="83" t="s">
        <v>8047</v>
      </c>
      <c r="C3193" s="83" t="s">
        <v>8273</v>
      </c>
      <c r="D3193" s="83" t="s">
        <v>8552</v>
      </c>
      <c r="E3193" s="84">
        <f>sch_hih_helt_04</f>
        <v>0</v>
      </c>
      <c r="F3193" s="83" t="b">
        <v>1</v>
      </c>
      <c r="G3193" s="83"/>
      <c r="H3193" s="83"/>
    </row>
    <row r="3194" spans="1:8">
      <c r="A3194" s="83" t="s">
        <v>8274</v>
      </c>
      <c r="B3194" s="83" t="s">
        <v>8047</v>
      </c>
      <c r="C3194" s="83" t="s">
        <v>8274</v>
      </c>
      <c r="D3194" s="83" t="s">
        <v>8553</v>
      </c>
      <c r="E3194" s="84">
        <f>sch_hih_helt_05</f>
        <v>0</v>
      </c>
      <c r="F3194" s="83" t="b">
        <v>1</v>
      </c>
      <c r="G3194" s="83"/>
      <c r="H3194" s="83"/>
    </row>
    <row r="3195" spans="1:8">
      <c r="A3195" s="83" t="s">
        <v>8275</v>
      </c>
      <c r="B3195" s="83" t="s">
        <v>8047</v>
      </c>
      <c r="C3195" s="83" t="s">
        <v>8275</v>
      </c>
      <c r="D3195" s="83" t="s">
        <v>8554</v>
      </c>
      <c r="E3195" s="84">
        <f>sch_hih_htgt_06</f>
        <v>0</v>
      </c>
      <c r="F3195" s="83" t="b">
        <v>1</v>
      </c>
      <c r="G3195" s="83"/>
      <c r="H3195" s="83"/>
    </row>
    <row r="3196" spans="1:8">
      <c r="A3196" s="83" t="s">
        <v>8276</v>
      </c>
      <c r="B3196" s="83" t="s">
        <v>8047</v>
      </c>
      <c r="C3196" s="83" t="s">
        <v>8276</v>
      </c>
      <c r="D3196" s="83" t="s">
        <v>8555</v>
      </c>
      <c r="E3196" s="84">
        <f>sch_hih_htgt_07</f>
        <v>0</v>
      </c>
      <c r="F3196" s="83" t="b">
        <v>1</v>
      </c>
      <c r="G3196" s="83"/>
      <c r="H3196" s="83"/>
    </row>
    <row r="3197" spans="1:8">
      <c r="A3197" s="83" t="s">
        <v>8277</v>
      </c>
      <c r="B3197" s="83" t="s">
        <v>8047</v>
      </c>
      <c r="C3197" s="83" t="s">
        <v>8277</v>
      </c>
      <c r="D3197" s="83" t="s">
        <v>8556</v>
      </c>
      <c r="E3197" s="84">
        <f>sch_hih_htgt_08</f>
        <v>0</v>
      </c>
      <c r="F3197" s="83" t="b">
        <v>1</v>
      </c>
      <c r="G3197" s="83"/>
      <c r="H3197" s="83"/>
    </row>
    <row r="3198" spans="1:8">
      <c r="A3198" s="83" t="s">
        <v>8278</v>
      </c>
      <c r="B3198" s="83" t="s">
        <v>8047</v>
      </c>
      <c r="C3198" s="83" t="s">
        <v>8278</v>
      </c>
      <c r="D3198" s="83" t="s">
        <v>8557</v>
      </c>
      <c r="E3198" s="84">
        <f>sch_hih_htgt_09</f>
        <v>0</v>
      </c>
      <c r="F3198" s="83" t="b">
        <v>1</v>
      </c>
      <c r="G3198" s="83"/>
      <c r="H3198" s="83"/>
    </row>
    <row r="3199" spans="1:8">
      <c r="A3199" s="83" t="s">
        <v>8279</v>
      </c>
      <c r="B3199" s="83" t="s">
        <v>8047</v>
      </c>
      <c r="C3199" s="83" t="s">
        <v>8279</v>
      </c>
      <c r="D3199" s="83" t="s">
        <v>8558</v>
      </c>
      <c r="E3199" s="84">
        <f>sch_hih_htgt_10</f>
        <v>0</v>
      </c>
      <c r="F3199" s="83" t="b">
        <v>1</v>
      </c>
      <c r="G3199" s="83"/>
      <c r="H3199" s="83"/>
    </row>
    <row r="3200" spans="1:8">
      <c r="A3200" s="83" t="s">
        <v>8280</v>
      </c>
      <c r="B3200" s="83" t="s">
        <v>8047</v>
      </c>
      <c r="C3200" s="83" t="s">
        <v>8280</v>
      </c>
      <c r="D3200" s="83" t="s">
        <v>8559</v>
      </c>
      <c r="E3200" s="84">
        <f>sch_hih_htgt_11</f>
        <v>0</v>
      </c>
      <c r="F3200" s="83" t="b">
        <v>1</v>
      </c>
      <c r="G3200" s="83"/>
      <c r="H3200" s="83"/>
    </row>
    <row r="3201" spans="1:8">
      <c r="A3201" s="83" t="s">
        <v>8281</v>
      </c>
      <c r="B3201" s="83" t="s">
        <v>8047</v>
      </c>
      <c r="C3201" s="83" t="s">
        <v>8281</v>
      </c>
      <c r="D3201" s="83" t="s">
        <v>8560</v>
      </c>
      <c r="E3201" s="84">
        <f>sch_hih_htgt_12</f>
        <v>0</v>
      </c>
      <c r="F3201" s="83" t="b">
        <v>1</v>
      </c>
      <c r="G3201" s="83"/>
      <c r="H3201" s="83"/>
    </row>
    <row r="3202" spans="1:8">
      <c r="A3202" s="83" t="s">
        <v>8282</v>
      </c>
      <c r="B3202" s="83" t="s">
        <v>8047</v>
      </c>
      <c r="C3202" s="83" t="s">
        <v>8282</v>
      </c>
      <c r="D3202" s="83" t="s">
        <v>8561</v>
      </c>
      <c r="E3202" s="84">
        <f>sch_hih_htgt_01</f>
        <v>0</v>
      </c>
      <c r="F3202" s="83" t="b">
        <v>1</v>
      </c>
      <c r="G3202" s="83"/>
      <c r="H3202" s="83"/>
    </row>
    <row r="3203" spans="1:8">
      <c r="A3203" s="83" t="s">
        <v>8283</v>
      </c>
      <c r="B3203" s="83" t="s">
        <v>8047</v>
      </c>
      <c r="C3203" s="83" t="s">
        <v>8283</v>
      </c>
      <c r="D3203" s="83" t="s">
        <v>8562</v>
      </c>
      <c r="E3203" s="84">
        <f>sch_hih_htgt_02</f>
        <v>0</v>
      </c>
      <c r="F3203" s="83" t="b">
        <v>1</v>
      </c>
      <c r="G3203" s="83"/>
      <c r="H3203" s="83"/>
    </row>
    <row r="3204" spans="1:8">
      <c r="A3204" s="83" t="s">
        <v>8284</v>
      </c>
      <c r="B3204" s="83" t="s">
        <v>8047</v>
      </c>
      <c r="C3204" s="83" t="s">
        <v>8284</v>
      </c>
      <c r="D3204" s="83" t="s">
        <v>8563</v>
      </c>
      <c r="E3204" s="84">
        <f>sch_hih_htgt_03</f>
        <v>0</v>
      </c>
      <c r="F3204" s="83" t="b">
        <v>1</v>
      </c>
      <c r="G3204" s="83"/>
      <c r="H3204" s="83"/>
    </row>
    <row r="3205" spans="1:8">
      <c r="A3205" s="83" t="s">
        <v>8285</v>
      </c>
      <c r="B3205" s="83" t="s">
        <v>8047</v>
      </c>
      <c r="C3205" s="83" t="s">
        <v>8285</v>
      </c>
      <c r="D3205" s="83" t="s">
        <v>8564</v>
      </c>
      <c r="E3205" s="84">
        <f>sch_hih_htgt_04</f>
        <v>0</v>
      </c>
      <c r="F3205" s="83" t="b">
        <v>1</v>
      </c>
      <c r="G3205" s="83"/>
      <c r="H3205" s="83"/>
    </row>
    <row r="3206" spans="1:8">
      <c r="A3206" s="83" t="s">
        <v>8286</v>
      </c>
      <c r="B3206" s="83" t="s">
        <v>8047</v>
      </c>
      <c r="C3206" s="83" t="s">
        <v>8286</v>
      </c>
      <c r="D3206" s="83" t="s">
        <v>8565</v>
      </c>
      <c r="E3206" s="84">
        <f>sch_hih_htgt_05</f>
        <v>0</v>
      </c>
      <c r="F3206" s="83" t="b">
        <v>1</v>
      </c>
      <c r="G3206" s="83"/>
      <c r="H3206" s="83"/>
    </row>
    <row r="3207" spans="1:8">
      <c r="A3207" s="83" t="s">
        <v>8287</v>
      </c>
      <c r="B3207" s="83" t="s">
        <v>8047</v>
      </c>
      <c r="C3207" s="83" t="s">
        <v>8287</v>
      </c>
      <c r="D3207" s="83" t="s">
        <v>8566</v>
      </c>
      <c r="E3207" s="84">
        <f>sch_hih_sisv_06</f>
        <v>0</v>
      </c>
      <c r="F3207" s="83" t="b">
        <v>1</v>
      </c>
      <c r="G3207" s="83"/>
      <c r="H3207" s="83"/>
    </row>
    <row r="3208" spans="1:8">
      <c r="A3208" s="83" t="s">
        <v>8288</v>
      </c>
      <c r="B3208" s="83" t="s">
        <v>8047</v>
      </c>
      <c r="C3208" s="83" t="s">
        <v>8288</v>
      </c>
      <c r="D3208" s="83" t="s">
        <v>8567</v>
      </c>
      <c r="E3208" s="84">
        <f>sch_hih_sisv_07</f>
        <v>0</v>
      </c>
      <c r="F3208" s="83" t="b">
        <v>1</v>
      </c>
      <c r="G3208" s="83"/>
      <c r="H3208" s="83"/>
    </row>
    <row r="3209" spans="1:8">
      <c r="A3209" s="83" t="s">
        <v>8289</v>
      </c>
      <c r="B3209" s="83" t="s">
        <v>8047</v>
      </c>
      <c r="C3209" s="83" t="s">
        <v>8289</v>
      </c>
      <c r="D3209" s="83" t="s">
        <v>8568</v>
      </c>
      <c r="E3209" s="84">
        <f>sch_hih_sisv_08</f>
        <v>0</v>
      </c>
      <c r="F3209" s="83" t="b">
        <v>1</v>
      </c>
      <c r="G3209" s="83"/>
      <c r="H3209" s="83"/>
    </row>
    <row r="3210" spans="1:8">
      <c r="A3210" s="83" t="s">
        <v>8290</v>
      </c>
      <c r="B3210" s="83" t="s">
        <v>8047</v>
      </c>
      <c r="C3210" s="83" t="s">
        <v>8290</v>
      </c>
      <c r="D3210" s="83" t="s">
        <v>8569</v>
      </c>
      <c r="E3210" s="84">
        <f>sch_hih_sisv_09</f>
        <v>0</v>
      </c>
      <c r="F3210" s="83" t="b">
        <v>1</v>
      </c>
      <c r="G3210" s="83"/>
      <c r="H3210" s="83"/>
    </row>
    <row r="3211" spans="1:8">
      <c r="A3211" s="83" t="s">
        <v>8291</v>
      </c>
      <c r="B3211" s="83" t="s">
        <v>8047</v>
      </c>
      <c r="C3211" s="83" t="s">
        <v>8291</v>
      </c>
      <c r="D3211" s="83" t="s">
        <v>8570</v>
      </c>
      <c r="E3211" s="84">
        <f>sch_hih_sisv_10</f>
        <v>0</v>
      </c>
      <c r="F3211" s="83" t="b">
        <v>1</v>
      </c>
      <c r="G3211" s="83"/>
      <c r="H3211" s="83"/>
    </row>
    <row r="3212" spans="1:8">
      <c r="A3212" s="83" t="s">
        <v>8292</v>
      </c>
      <c r="B3212" s="83" t="s">
        <v>8047</v>
      </c>
      <c r="C3212" s="83" t="s">
        <v>8292</v>
      </c>
      <c r="D3212" s="83" t="s">
        <v>8571</v>
      </c>
      <c r="E3212" s="84">
        <f>sch_hih_sisv_11</f>
        <v>0</v>
      </c>
      <c r="F3212" s="83" t="b">
        <v>1</v>
      </c>
      <c r="G3212" s="83"/>
      <c r="H3212" s="83"/>
    </row>
    <row r="3213" spans="1:8">
      <c r="A3213" s="83" t="s">
        <v>8293</v>
      </c>
      <c r="B3213" s="83" t="s">
        <v>8047</v>
      </c>
      <c r="C3213" s="83" t="s">
        <v>8293</v>
      </c>
      <c r="D3213" s="83" t="s">
        <v>8572</v>
      </c>
      <c r="E3213" s="84">
        <f>sch_hih_sisv_12</f>
        <v>0</v>
      </c>
      <c r="F3213" s="83" t="b">
        <v>1</v>
      </c>
      <c r="G3213" s="83"/>
      <c r="H3213" s="83"/>
    </row>
    <row r="3214" spans="1:8">
      <c r="A3214" s="83" t="s">
        <v>8294</v>
      </c>
      <c r="B3214" s="83" t="s">
        <v>8047</v>
      </c>
      <c r="C3214" s="83" t="s">
        <v>8294</v>
      </c>
      <c r="D3214" s="83" t="s">
        <v>8573</v>
      </c>
      <c r="E3214" s="84">
        <f>sch_hih_sisv_01</f>
        <v>0</v>
      </c>
      <c r="F3214" s="83" t="b">
        <v>1</v>
      </c>
      <c r="G3214" s="83"/>
      <c r="H3214" s="83"/>
    </row>
    <row r="3215" spans="1:8">
      <c r="A3215" s="83" t="s">
        <v>8295</v>
      </c>
      <c r="B3215" s="83" t="s">
        <v>8047</v>
      </c>
      <c r="C3215" s="83" t="s">
        <v>8295</v>
      </c>
      <c r="D3215" s="83" t="s">
        <v>8574</v>
      </c>
      <c r="E3215" s="84">
        <f>sch_hih_sisv_02</f>
        <v>0</v>
      </c>
      <c r="F3215" s="83" t="b">
        <v>1</v>
      </c>
      <c r="G3215" s="83"/>
      <c r="H3215" s="83"/>
    </row>
    <row r="3216" spans="1:8">
      <c r="A3216" s="83" t="s">
        <v>8296</v>
      </c>
      <c r="B3216" s="83" t="s">
        <v>8047</v>
      </c>
      <c r="C3216" s="83" t="s">
        <v>8296</v>
      </c>
      <c r="D3216" s="83" t="s">
        <v>8575</v>
      </c>
      <c r="E3216" s="84">
        <f>sch_hih_sisv_03</f>
        <v>0</v>
      </c>
      <c r="F3216" s="83" t="b">
        <v>1</v>
      </c>
      <c r="G3216" s="83"/>
      <c r="H3216" s="83"/>
    </row>
    <row r="3217" spans="1:8">
      <c r="A3217" s="83" t="s">
        <v>8297</v>
      </c>
      <c r="B3217" s="83" t="s">
        <v>8047</v>
      </c>
      <c r="C3217" s="83" t="s">
        <v>8297</v>
      </c>
      <c r="D3217" s="83" t="s">
        <v>8576</v>
      </c>
      <c r="E3217" s="84">
        <f>sch_hih_sisv_04</f>
        <v>0</v>
      </c>
      <c r="F3217" s="83" t="b">
        <v>1</v>
      </c>
      <c r="G3217" s="83"/>
      <c r="H3217" s="83"/>
    </row>
    <row r="3218" spans="1:8">
      <c r="A3218" s="83" t="s">
        <v>8298</v>
      </c>
      <c r="B3218" s="83" t="s">
        <v>8047</v>
      </c>
      <c r="C3218" s="83" t="s">
        <v>8298</v>
      </c>
      <c r="D3218" s="83" t="s">
        <v>8577</v>
      </c>
      <c r="E3218" s="84">
        <f>sch_hih_sisv_05</f>
        <v>0</v>
      </c>
      <c r="F3218" s="83" t="b">
        <v>1</v>
      </c>
      <c r="G3218" s="83"/>
      <c r="H3218" s="83"/>
    </row>
    <row r="3219" spans="1:8">
      <c r="A3219" s="83" t="s">
        <v>8299</v>
      </c>
      <c r="B3219" s="83" t="s">
        <v>8047</v>
      </c>
      <c r="C3219" s="83" t="s">
        <v>8299</v>
      </c>
      <c r="D3219" s="83" t="s">
        <v>8578</v>
      </c>
      <c r="E3219" s="84">
        <f>sch_hih_stcl_06</f>
        <v>0</v>
      </c>
      <c r="F3219" s="83" t="b">
        <v>1</v>
      </c>
      <c r="G3219" s="83"/>
      <c r="H3219" s="83"/>
    </row>
    <row r="3220" spans="1:8">
      <c r="A3220" s="83" t="s">
        <v>8300</v>
      </c>
      <c r="B3220" s="83" t="s">
        <v>8047</v>
      </c>
      <c r="C3220" s="83" t="s">
        <v>8300</v>
      </c>
      <c r="D3220" s="83" t="s">
        <v>8579</v>
      </c>
      <c r="E3220" s="84">
        <f>sch_hih_stcl_07</f>
        <v>0</v>
      </c>
      <c r="F3220" s="83" t="b">
        <v>1</v>
      </c>
      <c r="G3220" s="83"/>
      <c r="H3220" s="83"/>
    </row>
    <row r="3221" spans="1:8">
      <c r="A3221" s="83" t="s">
        <v>8301</v>
      </c>
      <c r="B3221" s="83" t="s">
        <v>8047</v>
      </c>
      <c r="C3221" s="83" t="s">
        <v>8301</v>
      </c>
      <c r="D3221" s="83" t="s">
        <v>8580</v>
      </c>
      <c r="E3221" s="84">
        <f>sch_hih_stcl_08</f>
        <v>0</v>
      </c>
      <c r="F3221" s="83" t="b">
        <v>1</v>
      </c>
      <c r="G3221" s="83"/>
      <c r="H3221" s="83"/>
    </row>
    <row r="3222" spans="1:8">
      <c r="A3222" s="83" t="s">
        <v>8302</v>
      </c>
      <c r="B3222" s="83" t="s">
        <v>8047</v>
      </c>
      <c r="C3222" s="83" t="s">
        <v>8302</v>
      </c>
      <c r="D3222" s="83" t="s">
        <v>8581</v>
      </c>
      <c r="E3222" s="84">
        <f>sch_hih_stcl_09</f>
        <v>0</v>
      </c>
      <c r="F3222" s="83" t="b">
        <v>1</v>
      </c>
      <c r="G3222" s="83"/>
      <c r="H3222" s="83"/>
    </row>
    <row r="3223" spans="1:8">
      <c r="A3223" s="83" t="s">
        <v>8303</v>
      </c>
      <c r="B3223" s="83" t="s">
        <v>8047</v>
      </c>
      <c r="C3223" s="83" t="s">
        <v>8303</v>
      </c>
      <c r="D3223" s="83" t="s">
        <v>8582</v>
      </c>
      <c r="E3223" s="84">
        <f>sch_hih_stcl_10</f>
        <v>0</v>
      </c>
      <c r="F3223" s="83" t="b">
        <v>1</v>
      </c>
      <c r="G3223" s="83"/>
      <c r="H3223" s="83"/>
    </row>
    <row r="3224" spans="1:8">
      <c r="A3224" s="83" t="s">
        <v>8304</v>
      </c>
      <c r="B3224" s="83" t="s">
        <v>8047</v>
      </c>
      <c r="C3224" s="83" t="s">
        <v>8304</v>
      </c>
      <c r="D3224" s="83" t="s">
        <v>8583</v>
      </c>
      <c r="E3224" s="84">
        <f>sch_hih_stcl_11</f>
        <v>0</v>
      </c>
      <c r="F3224" s="83" t="b">
        <v>1</v>
      </c>
      <c r="G3224" s="83"/>
      <c r="H3224" s="83"/>
    </row>
    <row r="3225" spans="1:8">
      <c r="A3225" s="83" t="s">
        <v>8305</v>
      </c>
      <c r="B3225" s="83" t="s">
        <v>8047</v>
      </c>
      <c r="C3225" s="83" t="s">
        <v>8305</v>
      </c>
      <c r="D3225" s="83" t="s">
        <v>8584</v>
      </c>
      <c r="E3225" s="84">
        <f>sch_hih_stcl_12</f>
        <v>0</v>
      </c>
      <c r="F3225" s="83" t="b">
        <v>1</v>
      </c>
      <c r="G3225" s="83"/>
      <c r="H3225" s="83"/>
    </row>
    <row r="3226" spans="1:8">
      <c r="A3226" s="83" t="s">
        <v>8306</v>
      </c>
      <c r="B3226" s="83" t="s">
        <v>8047</v>
      </c>
      <c r="C3226" s="83" t="s">
        <v>8306</v>
      </c>
      <c r="D3226" s="83" t="s">
        <v>8585</v>
      </c>
      <c r="E3226" s="84">
        <f>sch_hih_stcl_01</f>
        <v>0</v>
      </c>
      <c r="F3226" s="83" t="b">
        <v>1</v>
      </c>
      <c r="G3226" s="83"/>
      <c r="H3226" s="83"/>
    </row>
    <row r="3227" spans="1:8">
      <c r="A3227" s="83" t="s">
        <v>8307</v>
      </c>
      <c r="B3227" s="83" t="s">
        <v>8047</v>
      </c>
      <c r="C3227" s="83" t="s">
        <v>8307</v>
      </c>
      <c r="D3227" s="83" t="s">
        <v>8586</v>
      </c>
      <c r="E3227" s="84">
        <f>sch_hih_stcl_02</f>
        <v>0</v>
      </c>
      <c r="F3227" s="83" t="b">
        <v>1</v>
      </c>
      <c r="G3227" s="83"/>
      <c r="H3227" s="83"/>
    </row>
    <row r="3228" spans="1:8">
      <c r="A3228" s="83" t="s">
        <v>8308</v>
      </c>
      <c r="B3228" s="83" t="s">
        <v>8047</v>
      </c>
      <c r="C3228" s="83" t="s">
        <v>8308</v>
      </c>
      <c r="D3228" s="83" t="s">
        <v>8587</v>
      </c>
      <c r="E3228" s="84">
        <f>sch_hih_stcl_03</f>
        <v>0</v>
      </c>
      <c r="F3228" s="83" t="b">
        <v>1</v>
      </c>
      <c r="G3228" s="83"/>
      <c r="H3228" s="83"/>
    </row>
    <row r="3229" spans="1:8">
      <c r="A3229" s="83" t="s">
        <v>8309</v>
      </c>
      <c r="B3229" s="83" t="s">
        <v>8047</v>
      </c>
      <c r="C3229" s="83" t="s">
        <v>8309</v>
      </c>
      <c r="D3229" s="83" t="s">
        <v>8588</v>
      </c>
      <c r="E3229" s="84">
        <f>sch_hih_stcl_04</f>
        <v>0</v>
      </c>
      <c r="F3229" s="83" t="b">
        <v>1</v>
      </c>
      <c r="G3229" s="83"/>
      <c r="H3229" s="83"/>
    </row>
    <row r="3230" spans="1:8">
      <c r="A3230" s="83" t="s">
        <v>8310</v>
      </c>
      <c r="B3230" s="83" t="s">
        <v>8047</v>
      </c>
      <c r="C3230" s="83" t="s">
        <v>8310</v>
      </c>
      <c r="D3230" s="83" t="s">
        <v>8589</v>
      </c>
      <c r="E3230" s="84">
        <f>sch_hih_stcl_05</f>
        <v>0</v>
      </c>
      <c r="F3230" s="83" t="b">
        <v>1</v>
      </c>
      <c r="G3230" s="83"/>
      <c r="H3230" s="83"/>
    </row>
    <row r="3231" spans="1:8">
      <c r="A3231" s="83" t="s">
        <v>8311</v>
      </c>
      <c r="B3231" s="83" t="s">
        <v>8047</v>
      </c>
      <c r="C3231" s="83" t="s">
        <v>8311</v>
      </c>
      <c r="D3231" s="83" t="s">
        <v>8590</v>
      </c>
      <c r="E3231" s="84">
        <f>disastercalamities_human_induced_others_specify</f>
        <v>0</v>
      </c>
      <c r="F3231" s="83" t="b">
        <v>1</v>
      </c>
      <c r="G3231" s="83"/>
      <c r="H3231" s="83"/>
    </row>
    <row r="3232" spans="1:8">
      <c r="A3232" s="83" t="s">
        <v>8312</v>
      </c>
      <c r="B3232" s="83" t="s">
        <v>8047</v>
      </c>
      <c r="C3232" s="83" t="s">
        <v>8312</v>
      </c>
      <c r="D3232" s="83" t="s">
        <v>8591</v>
      </c>
      <c r="E3232" s="84">
        <f>sch_hih_othr_06</f>
        <v>0</v>
      </c>
      <c r="F3232" s="83" t="b">
        <v>1</v>
      </c>
      <c r="G3232" s="83"/>
      <c r="H3232" s="83"/>
    </row>
    <row r="3233" spans="1:8">
      <c r="A3233" s="83" t="s">
        <v>8313</v>
      </c>
      <c r="B3233" s="83" t="s">
        <v>8047</v>
      </c>
      <c r="C3233" s="83" t="s">
        <v>8313</v>
      </c>
      <c r="D3233" s="83" t="s">
        <v>8592</v>
      </c>
      <c r="E3233" s="84">
        <f>sch_hih_othr_07</f>
        <v>0</v>
      </c>
      <c r="F3233" s="83" t="b">
        <v>1</v>
      </c>
      <c r="G3233" s="83"/>
      <c r="H3233" s="83"/>
    </row>
    <row r="3234" spans="1:8">
      <c r="A3234" s="83" t="s">
        <v>8314</v>
      </c>
      <c r="B3234" s="83" t="s">
        <v>8047</v>
      </c>
      <c r="C3234" s="83" t="s">
        <v>8314</v>
      </c>
      <c r="D3234" s="83" t="s">
        <v>8593</v>
      </c>
      <c r="E3234" s="84">
        <f>sch_hih_othr_08</f>
        <v>0</v>
      </c>
      <c r="F3234" s="83" t="b">
        <v>1</v>
      </c>
      <c r="G3234" s="83"/>
      <c r="H3234" s="83"/>
    </row>
    <row r="3235" spans="1:8">
      <c r="A3235" s="83" t="s">
        <v>8315</v>
      </c>
      <c r="B3235" s="83" t="s">
        <v>8047</v>
      </c>
      <c r="C3235" s="83" t="s">
        <v>8315</v>
      </c>
      <c r="D3235" s="83" t="s">
        <v>8594</v>
      </c>
      <c r="E3235" s="84">
        <f>sch_hih_othr_09</f>
        <v>0</v>
      </c>
      <c r="F3235" s="83" t="b">
        <v>1</v>
      </c>
      <c r="G3235" s="83"/>
      <c r="H3235" s="83"/>
    </row>
    <row r="3236" spans="1:8">
      <c r="A3236" s="83" t="s">
        <v>8316</v>
      </c>
      <c r="B3236" s="83" t="s">
        <v>8047</v>
      </c>
      <c r="C3236" s="83" t="s">
        <v>8316</v>
      </c>
      <c r="D3236" s="83" t="s">
        <v>8595</v>
      </c>
      <c r="E3236" s="84">
        <f>sch_hih_othr_10</f>
        <v>0</v>
      </c>
      <c r="F3236" s="83" t="b">
        <v>1</v>
      </c>
      <c r="G3236" s="83"/>
      <c r="H3236" s="83"/>
    </row>
    <row r="3237" spans="1:8">
      <c r="A3237" s="83" t="s">
        <v>8317</v>
      </c>
      <c r="B3237" s="83" t="s">
        <v>8047</v>
      </c>
      <c r="C3237" s="83" t="s">
        <v>8317</v>
      </c>
      <c r="D3237" s="83" t="s">
        <v>8596</v>
      </c>
      <c r="E3237" s="84">
        <f>sch_hih_othr_11</f>
        <v>0</v>
      </c>
      <c r="F3237" s="83" t="b">
        <v>1</v>
      </c>
      <c r="G3237" s="83"/>
      <c r="H3237" s="83"/>
    </row>
    <row r="3238" spans="1:8">
      <c r="A3238" s="83" t="s">
        <v>8318</v>
      </c>
      <c r="B3238" s="83" t="s">
        <v>8047</v>
      </c>
      <c r="C3238" s="83" t="s">
        <v>8318</v>
      </c>
      <c r="D3238" s="83" t="s">
        <v>8597</v>
      </c>
      <c r="E3238" s="84">
        <f>sch_hih_othr_12</f>
        <v>0</v>
      </c>
      <c r="F3238" s="83" t="b">
        <v>1</v>
      </c>
      <c r="G3238" s="83"/>
      <c r="H3238" s="83"/>
    </row>
    <row r="3239" spans="1:8">
      <c r="A3239" s="83" t="s">
        <v>8319</v>
      </c>
      <c r="B3239" s="83" t="s">
        <v>8047</v>
      </c>
      <c r="C3239" s="83" t="s">
        <v>8319</v>
      </c>
      <c r="D3239" s="83" t="s">
        <v>8598</v>
      </c>
      <c r="E3239" s="84">
        <f>sch_hih_othr_01</f>
        <v>0</v>
      </c>
      <c r="F3239" s="83" t="b">
        <v>1</v>
      </c>
      <c r="G3239" s="83"/>
      <c r="H3239" s="83"/>
    </row>
    <row r="3240" spans="1:8">
      <c r="A3240" s="83" t="s">
        <v>8320</v>
      </c>
      <c r="B3240" s="83" t="s">
        <v>8047</v>
      </c>
      <c r="C3240" s="83" t="s">
        <v>8320</v>
      </c>
      <c r="D3240" s="83" t="s">
        <v>8599</v>
      </c>
      <c r="E3240" s="84">
        <f>sch_hih_othr_02</f>
        <v>0</v>
      </c>
      <c r="F3240" s="83" t="b">
        <v>1</v>
      </c>
      <c r="G3240" s="83"/>
      <c r="H3240" s="83"/>
    </row>
    <row r="3241" spans="1:8">
      <c r="A3241" s="83" t="s">
        <v>8321</v>
      </c>
      <c r="B3241" s="83" t="s">
        <v>8047</v>
      </c>
      <c r="C3241" s="83" t="s">
        <v>8321</v>
      </c>
      <c r="D3241" s="83" t="s">
        <v>8600</v>
      </c>
      <c r="E3241" s="84">
        <f>sch_hih_othr_03</f>
        <v>0</v>
      </c>
      <c r="F3241" s="83" t="b">
        <v>1</v>
      </c>
      <c r="G3241" s="83"/>
      <c r="H3241" s="83"/>
    </row>
    <row r="3242" spans="1:8">
      <c r="A3242" s="83" t="s">
        <v>8322</v>
      </c>
      <c r="B3242" s="83" t="s">
        <v>8047</v>
      </c>
      <c r="C3242" s="83" t="s">
        <v>8322</v>
      </c>
      <c r="D3242" s="83" t="s">
        <v>8601</v>
      </c>
      <c r="E3242" s="84">
        <f>sch_hih_othr_04</f>
        <v>0</v>
      </c>
      <c r="F3242" s="83" t="b">
        <v>1</v>
      </c>
      <c r="G3242" s="83"/>
      <c r="H3242" s="83"/>
    </row>
    <row r="3243" spans="1:8">
      <c r="A3243" s="83" t="s">
        <v>8323</v>
      </c>
      <c r="B3243" s="83" t="s">
        <v>8047</v>
      </c>
      <c r="C3243" s="83" t="s">
        <v>8323</v>
      </c>
      <c r="D3243" s="83" t="s">
        <v>8602</v>
      </c>
      <c r="E3243" s="84">
        <f>sch_hih_othr_05</f>
        <v>0</v>
      </c>
      <c r="F3243" s="83" t="b">
        <v>1</v>
      </c>
      <c r="G3243" s="83"/>
      <c r="H3243" s="83"/>
    </row>
    <row r="3244" spans="1:8">
      <c r="A3244" s="83" t="s">
        <v>8324</v>
      </c>
      <c r="B3244" s="83" t="s">
        <v>8047</v>
      </c>
      <c r="C3244" s="83" t="s">
        <v>8324</v>
      </c>
      <c r="D3244" s="83" t="s">
        <v>8603</v>
      </c>
      <c r="E3244" s="84" t="str">
        <f>drrm_coordinator_name</f>
        <v>ELYN KENDRA D. DELA CRUZ</v>
      </c>
      <c r="F3244" s="83" t="b">
        <v>1</v>
      </c>
      <c r="G3244" s="83"/>
      <c r="H3244" s="83"/>
    </row>
    <row r="3245" spans="1:8" s="112" customFormat="1" ht="16" thickBot="1">
      <c r="A3245" s="85" t="s">
        <v>8325</v>
      </c>
      <c r="B3245" s="85" t="s">
        <v>8047</v>
      </c>
      <c r="C3245" s="85" t="s">
        <v>8325</v>
      </c>
      <c r="D3245" s="85" t="s">
        <v>8604</v>
      </c>
      <c r="E3245" s="86" t="str">
        <f>drrm_coordinator_pos</f>
        <v>Project Development Officer II</v>
      </c>
      <c r="F3245" s="85" t="b">
        <v>1</v>
      </c>
      <c r="G3245" s="85"/>
      <c r="H3245" s="85"/>
    </row>
    <row r="3246" spans="1:8">
      <c r="A3246" s="83" t="s">
        <v>8605</v>
      </c>
      <c r="B3246" s="83" t="s">
        <v>8606</v>
      </c>
      <c r="C3246" s="83" t="s">
        <v>8605</v>
      </c>
      <c r="D3246" s="83" t="s">
        <v>8800</v>
      </c>
      <c r="E3246" s="84">
        <f>sch_disascal_hih_acsa_armed_conflict_prevyr_jun</f>
        <v>0</v>
      </c>
      <c r="F3246" s="83" t="b">
        <v>1</v>
      </c>
      <c r="G3246" s="83"/>
      <c r="H3246" s="83"/>
    </row>
    <row r="3247" spans="1:8">
      <c r="A3247" s="83" t="s">
        <v>8607</v>
      </c>
      <c r="B3247" s="83" t="s">
        <v>8606</v>
      </c>
      <c r="C3247" s="83" t="s">
        <v>8607</v>
      </c>
      <c r="D3247" s="83" t="s">
        <v>8801</v>
      </c>
      <c r="E3247" s="84">
        <f>sch_disascal_hih_acsa_armed_conflict_prevyr_jul</f>
        <v>0</v>
      </c>
      <c r="F3247" s="83" t="b">
        <v>1</v>
      </c>
      <c r="G3247" s="83"/>
      <c r="H3247" s="83"/>
    </row>
    <row r="3248" spans="1:8">
      <c r="A3248" s="83" t="s">
        <v>8608</v>
      </c>
      <c r="B3248" s="83" t="s">
        <v>8606</v>
      </c>
      <c r="C3248" s="83" t="s">
        <v>8608</v>
      </c>
      <c r="D3248" s="83" t="s">
        <v>8802</v>
      </c>
      <c r="E3248" s="84">
        <f>sch_disascal_hih_acsa_armed_conflict_prevyr_aug</f>
        <v>0</v>
      </c>
      <c r="F3248" s="83" t="b">
        <v>1</v>
      </c>
      <c r="G3248" s="83"/>
      <c r="H3248" s="83"/>
    </row>
    <row r="3249" spans="1:8">
      <c r="A3249" s="83" t="s">
        <v>8609</v>
      </c>
      <c r="B3249" s="83" t="s">
        <v>8606</v>
      </c>
      <c r="C3249" s="83" t="s">
        <v>8609</v>
      </c>
      <c r="D3249" s="83" t="s">
        <v>8803</v>
      </c>
      <c r="E3249" s="84">
        <f>sch_disascal_hih_acsa_armed_conflict_prevyr_sept</f>
        <v>0</v>
      </c>
      <c r="F3249" s="83" t="b">
        <v>1</v>
      </c>
      <c r="G3249" s="83"/>
      <c r="H3249" s="83"/>
    </row>
    <row r="3250" spans="1:8">
      <c r="A3250" s="83" t="s">
        <v>8610</v>
      </c>
      <c r="B3250" s="83" t="s">
        <v>8606</v>
      </c>
      <c r="C3250" s="83" t="s">
        <v>8610</v>
      </c>
      <c r="D3250" s="83" t="s">
        <v>8804</v>
      </c>
      <c r="E3250" s="84">
        <f>sch_disascal_hih_acsa_armed_conflict_prevyr_oct</f>
        <v>0</v>
      </c>
      <c r="F3250" s="83" t="b">
        <v>1</v>
      </c>
      <c r="G3250" s="83"/>
      <c r="H3250" s="83"/>
    </row>
    <row r="3251" spans="1:8">
      <c r="A3251" s="83" t="s">
        <v>8611</v>
      </c>
      <c r="B3251" s="83" t="s">
        <v>8606</v>
      </c>
      <c r="C3251" s="83" t="s">
        <v>8611</v>
      </c>
      <c r="D3251" s="83" t="s">
        <v>8805</v>
      </c>
      <c r="E3251" s="84">
        <f>sch_disascal_hih_acsa_armed_conflict_prevyr_nov</f>
        <v>0</v>
      </c>
      <c r="F3251" s="83" t="b">
        <v>1</v>
      </c>
      <c r="G3251" s="83"/>
      <c r="H3251" s="83"/>
    </row>
    <row r="3252" spans="1:8">
      <c r="A3252" s="83" t="s">
        <v>8612</v>
      </c>
      <c r="B3252" s="83" t="s">
        <v>8606</v>
      </c>
      <c r="C3252" s="83" t="s">
        <v>8612</v>
      </c>
      <c r="D3252" s="83" t="s">
        <v>8806</v>
      </c>
      <c r="E3252" s="84">
        <f>sch_disascal_hih_acsa_armed_conflict_prevyr_dec</f>
        <v>0</v>
      </c>
      <c r="F3252" s="83" t="b">
        <v>1</v>
      </c>
      <c r="G3252" s="83"/>
      <c r="H3252" s="83"/>
    </row>
    <row r="3253" spans="1:8">
      <c r="A3253" s="83" t="s">
        <v>8613</v>
      </c>
      <c r="B3253" s="83" t="s">
        <v>8606</v>
      </c>
      <c r="C3253" s="83" t="s">
        <v>8613</v>
      </c>
      <c r="D3253" s="83" t="s">
        <v>8807</v>
      </c>
      <c r="E3253" s="84">
        <f>sch_disascal_hih_acsa_armed_conflict_prevyr_jan</f>
        <v>0</v>
      </c>
      <c r="F3253" s="83" t="b">
        <v>1</v>
      </c>
      <c r="G3253" s="83"/>
      <c r="H3253" s="83"/>
    </row>
    <row r="3254" spans="1:8">
      <c r="A3254" s="83" t="s">
        <v>8614</v>
      </c>
      <c r="B3254" s="83" t="s">
        <v>8606</v>
      </c>
      <c r="C3254" s="83" t="s">
        <v>8614</v>
      </c>
      <c r="D3254" s="83" t="s">
        <v>8808</v>
      </c>
      <c r="E3254" s="84">
        <f>sch_disascal_hih_acsa_armed_conflict_prevyr_feb</f>
        <v>0</v>
      </c>
      <c r="F3254" s="83" t="b">
        <v>1</v>
      </c>
      <c r="G3254" s="83"/>
      <c r="H3254" s="83"/>
    </row>
    <row r="3255" spans="1:8">
      <c r="A3255" s="83" t="s">
        <v>8615</v>
      </c>
      <c r="B3255" s="83" t="s">
        <v>8606</v>
      </c>
      <c r="C3255" s="83" t="s">
        <v>8615</v>
      </c>
      <c r="D3255" s="83" t="s">
        <v>8809</v>
      </c>
      <c r="E3255" s="84">
        <f>sch_disascal_hih_acsa_armed_conflict_prevyr_mar</f>
        <v>0</v>
      </c>
      <c r="F3255" s="83" t="b">
        <v>1</v>
      </c>
      <c r="G3255" s="83"/>
      <c r="H3255" s="83"/>
    </row>
    <row r="3256" spans="1:8">
      <c r="A3256" s="83" t="s">
        <v>8616</v>
      </c>
      <c r="B3256" s="83" t="s">
        <v>8606</v>
      </c>
      <c r="C3256" s="83" t="s">
        <v>8616</v>
      </c>
      <c r="D3256" s="83" t="s">
        <v>8810</v>
      </c>
      <c r="E3256" s="84">
        <f>sch_disascal_hih_acsa_armed_conflict_prevyr_april</f>
        <v>0</v>
      </c>
      <c r="F3256" s="83" t="b">
        <v>1</v>
      </c>
      <c r="G3256" s="83"/>
      <c r="H3256" s="83"/>
    </row>
    <row r="3257" spans="1:8">
      <c r="A3257" s="83" t="s">
        <v>8617</v>
      </c>
      <c r="B3257" s="83" t="s">
        <v>8606</v>
      </c>
      <c r="C3257" s="83" t="s">
        <v>8617</v>
      </c>
      <c r="D3257" s="83" t="s">
        <v>8811</v>
      </c>
      <c r="E3257" s="84">
        <f>sch_disascal_hih_acsa_armed_conflict_prevyr_may</f>
        <v>0</v>
      </c>
      <c r="F3257" s="83" t="b">
        <v>1</v>
      </c>
      <c r="G3257" s="83"/>
      <c r="H3257" s="83"/>
    </row>
    <row r="3258" spans="1:8">
      <c r="A3258" s="83" t="s">
        <v>8618</v>
      </c>
      <c r="B3258" s="83" t="s">
        <v>8606</v>
      </c>
      <c r="C3258" s="83" t="s">
        <v>8618</v>
      </c>
      <c r="D3258" s="83" t="s">
        <v>8812</v>
      </c>
      <c r="E3258" s="84">
        <f>sch_disascal_hih_acsa_jun_afp</f>
        <v>0</v>
      </c>
      <c r="F3258" s="83" t="b">
        <v>1</v>
      </c>
      <c r="G3258" s="83"/>
      <c r="H3258" s="83"/>
    </row>
    <row r="3259" spans="1:8">
      <c r="A3259" s="83" t="s">
        <v>8619</v>
      </c>
      <c r="B3259" s="83" t="s">
        <v>8606</v>
      </c>
      <c r="C3259" s="83" t="s">
        <v>8619</v>
      </c>
      <c r="D3259" s="83" t="s">
        <v>8813</v>
      </c>
      <c r="E3259" s="84">
        <f>sch_disascal_hih_acsa_jul_afp</f>
        <v>0</v>
      </c>
      <c r="F3259" s="83" t="b">
        <v>1</v>
      </c>
      <c r="G3259" s="83"/>
      <c r="H3259" s="83"/>
    </row>
    <row r="3260" spans="1:8">
      <c r="A3260" s="83" t="s">
        <v>8620</v>
      </c>
      <c r="B3260" s="83" t="s">
        <v>8606</v>
      </c>
      <c r="C3260" s="83" t="s">
        <v>8620</v>
      </c>
      <c r="D3260" s="83" t="s">
        <v>8814</v>
      </c>
      <c r="E3260" s="84">
        <f>sch_disascal_hih_acsa_aug_afp</f>
        <v>0</v>
      </c>
      <c r="F3260" s="83" t="b">
        <v>1</v>
      </c>
      <c r="G3260" s="83"/>
      <c r="H3260" s="83"/>
    </row>
    <row r="3261" spans="1:8">
      <c r="A3261" s="83" t="s">
        <v>8621</v>
      </c>
      <c r="B3261" s="83" t="s">
        <v>8606</v>
      </c>
      <c r="C3261" s="83" t="s">
        <v>8621</v>
      </c>
      <c r="D3261" s="83" t="s">
        <v>8815</v>
      </c>
      <c r="E3261" s="84">
        <f>sch_disascal_hih_acsa_sep_afp</f>
        <v>0</v>
      </c>
      <c r="F3261" s="83" t="b">
        <v>1</v>
      </c>
      <c r="G3261" s="83"/>
      <c r="H3261" s="83"/>
    </row>
    <row r="3262" spans="1:8">
      <c r="A3262" s="83" t="s">
        <v>8622</v>
      </c>
      <c r="B3262" s="83" t="s">
        <v>8606</v>
      </c>
      <c r="C3262" s="83" t="s">
        <v>8622</v>
      </c>
      <c r="D3262" s="83" t="s">
        <v>8816</v>
      </c>
      <c r="E3262" s="84">
        <f>sch_disascal_hih_acsa_oct_afp</f>
        <v>0</v>
      </c>
      <c r="F3262" s="83" t="b">
        <v>1</v>
      </c>
      <c r="G3262" s="83"/>
      <c r="H3262" s="83"/>
    </row>
    <row r="3263" spans="1:8">
      <c r="A3263" s="83" t="s">
        <v>8623</v>
      </c>
      <c r="B3263" s="83" t="s">
        <v>8606</v>
      </c>
      <c r="C3263" s="83" t="s">
        <v>8623</v>
      </c>
      <c r="D3263" s="83" t="s">
        <v>8817</v>
      </c>
      <c r="E3263" s="84">
        <f>sch_disascal_hih_acsa_nov_afp</f>
        <v>0</v>
      </c>
      <c r="F3263" s="83" t="b">
        <v>1</v>
      </c>
      <c r="G3263" s="83"/>
      <c r="H3263" s="83"/>
    </row>
    <row r="3264" spans="1:8">
      <c r="A3264" s="83" t="s">
        <v>8624</v>
      </c>
      <c r="B3264" s="83" t="s">
        <v>8606</v>
      </c>
      <c r="C3264" s="83" t="s">
        <v>8624</v>
      </c>
      <c r="D3264" s="83" t="s">
        <v>8818</v>
      </c>
      <c r="E3264" s="84">
        <f>sch_disascal_hih_acsa_dec_afp</f>
        <v>0</v>
      </c>
      <c r="F3264" s="83" t="b">
        <v>1</v>
      </c>
      <c r="G3264" s="83"/>
      <c r="H3264" s="83"/>
    </row>
    <row r="3265" spans="1:8">
      <c r="A3265" s="83" t="s">
        <v>8625</v>
      </c>
      <c r="B3265" s="83" t="s">
        <v>8606</v>
      </c>
      <c r="C3265" s="83" t="s">
        <v>8625</v>
      </c>
      <c r="D3265" s="83" t="s">
        <v>8819</v>
      </c>
      <c r="E3265" s="84">
        <f>sch_disascal_hih_acsa_jan_afp</f>
        <v>0</v>
      </c>
      <c r="F3265" s="83" t="b">
        <v>1</v>
      </c>
      <c r="G3265" s="83"/>
      <c r="H3265" s="83"/>
    </row>
    <row r="3266" spans="1:8">
      <c r="A3266" s="83" t="s">
        <v>8626</v>
      </c>
      <c r="B3266" s="83" t="s">
        <v>8606</v>
      </c>
      <c r="C3266" s="83" t="s">
        <v>8626</v>
      </c>
      <c r="D3266" s="83" t="s">
        <v>8820</v>
      </c>
      <c r="E3266" s="84">
        <f>sch_disascal_hih_acsa_feb_afp</f>
        <v>0</v>
      </c>
      <c r="F3266" s="83" t="b">
        <v>1</v>
      </c>
      <c r="G3266" s="83"/>
      <c r="H3266" s="83"/>
    </row>
    <row r="3267" spans="1:8">
      <c r="A3267" s="83" t="s">
        <v>8627</v>
      </c>
      <c r="B3267" s="83" t="s">
        <v>8606</v>
      </c>
      <c r="C3267" s="83" t="s">
        <v>8627</v>
      </c>
      <c r="D3267" s="83" t="s">
        <v>8821</v>
      </c>
      <c r="E3267" s="84">
        <f>sch_disascal_hih_acsa_mar_afp</f>
        <v>0</v>
      </c>
      <c r="F3267" s="83" t="b">
        <v>1</v>
      </c>
      <c r="G3267" s="83"/>
      <c r="H3267" s="83"/>
    </row>
    <row r="3268" spans="1:8">
      <c r="A3268" s="83" t="s">
        <v>8628</v>
      </c>
      <c r="B3268" s="83" t="s">
        <v>8606</v>
      </c>
      <c r="C3268" s="83" t="s">
        <v>8628</v>
      </c>
      <c r="D3268" s="83" t="s">
        <v>8822</v>
      </c>
      <c r="E3268" s="84">
        <f>sch_disascal_hih_acsa_apr_afp</f>
        <v>0</v>
      </c>
      <c r="F3268" s="83" t="b">
        <v>1</v>
      </c>
      <c r="G3268" s="83"/>
      <c r="H3268" s="83"/>
    </row>
    <row r="3269" spans="1:8">
      <c r="A3269" s="83" t="s">
        <v>8629</v>
      </c>
      <c r="B3269" s="83" t="s">
        <v>8606</v>
      </c>
      <c r="C3269" s="83" t="s">
        <v>8629</v>
      </c>
      <c r="D3269" s="83" t="s">
        <v>8823</v>
      </c>
      <c r="E3269" s="84">
        <f>sch_disascal_hih_acsa_may_afp</f>
        <v>0</v>
      </c>
      <c r="F3269" s="83" t="b">
        <v>1</v>
      </c>
      <c r="G3269" s="83"/>
      <c r="H3269" s="83"/>
    </row>
    <row r="3270" spans="1:8">
      <c r="A3270" s="83" t="s">
        <v>8630</v>
      </c>
      <c r="B3270" s="83" t="s">
        <v>8606</v>
      </c>
      <c r="C3270" s="83" t="s">
        <v>8630</v>
      </c>
      <c r="D3270" s="83" t="s">
        <v>8824</v>
      </c>
      <c r="E3270" s="84">
        <f>sch_disascal_hih_acsa_jun_pnp</f>
        <v>0</v>
      </c>
      <c r="F3270" s="83" t="b">
        <v>1</v>
      </c>
      <c r="G3270" s="83"/>
      <c r="H3270" s="83"/>
    </row>
    <row r="3271" spans="1:8">
      <c r="A3271" s="83" t="s">
        <v>8631</v>
      </c>
      <c r="B3271" s="83" t="s">
        <v>8606</v>
      </c>
      <c r="C3271" s="83" t="s">
        <v>8631</v>
      </c>
      <c r="D3271" s="83" t="s">
        <v>8825</v>
      </c>
      <c r="E3271" s="84">
        <f>sch_disascal_hih_acsa_jul_pnp</f>
        <v>0</v>
      </c>
      <c r="F3271" s="83" t="b">
        <v>1</v>
      </c>
      <c r="G3271" s="83"/>
      <c r="H3271" s="83"/>
    </row>
    <row r="3272" spans="1:8">
      <c r="A3272" s="83" t="s">
        <v>8632</v>
      </c>
      <c r="B3272" s="83" t="s">
        <v>8606</v>
      </c>
      <c r="C3272" s="83" t="s">
        <v>8632</v>
      </c>
      <c r="D3272" s="83" t="s">
        <v>8826</v>
      </c>
      <c r="E3272" s="84">
        <f>sch_disascal_hih_acsa_aug_pnp</f>
        <v>0</v>
      </c>
      <c r="F3272" s="83" t="b">
        <v>1</v>
      </c>
      <c r="G3272" s="83"/>
      <c r="H3272" s="83"/>
    </row>
    <row r="3273" spans="1:8">
      <c r="A3273" s="83" t="s">
        <v>8633</v>
      </c>
      <c r="B3273" s="83" t="s">
        <v>8606</v>
      </c>
      <c r="C3273" s="83" t="s">
        <v>8633</v>
      </c>
      <c r="D3273" s="83" t="s">
        <v>8827</v>
      </c>
      <c r="E3273" s="84">
        <f>sch_disascal_hih_acsa_sep_pnp</f>
        <v>0</v>
      </c>
      <c r="F3273" s="83" t="b">
        <v>1</v>
      </c>
      <c r="G3273" s="83"/>
      <c r="H3273" s="83"/>
    </row>
    <row r="3274" spans="1:8">
      <c r="A3274" s="83" t="s">
        <v>8634</v>
      </c>
      <c r="B3274" s="83" t="s">
        <v>8606</v>
      </c>
      <c r="C3274" s="83" t="s">
        <v>8634</v>
      </c>
      <c r="D3274" s="83" t="s">
        <v>8828</v>
      </c>
      <c r="E3274" s="84">
        <f>sch_disascal_hih_acsa_oct_pnp</f>
        <v>0</v>
      </c>
      <c r="F3274" s="83" t="b">
        <v>1</v>
      </c>
      <c r="G3274" s="83"/>
      <c r="H3274" s="83"/>
    </row>
    <row r="3275" spans="1:8">
      <c r="A3275" s="83" t="s">
        <v>8635</v>
      </c>
      <c r="B3275" s="83" t="s">
        <v>8606</v>
      </c>
      <c r="C3275" s="83" t="s">
        <v>8635</v>
      </c>
      <c r="D3275" s="83" t="s">
        <v>8829</v>
      </c>
      <c r="E3275" s="84">
        <f>sch_disascal_hih_acsa_nov_pnp</f>
        <v>0</v>
      </c>
      <c r="F3275" s="83" t="b">
        <v>1</v>
      </c>
      <c r="G3275" s="83"/>
      <c r="H3275" s="83"/>
    </row>
    <row r="3276" spans="1:8">
      <c r="A3276" s="83" t="s">
        <v>8636</v>
      </c>
      <c r="B3276" s="83" t="s">
        <v>8606</v>
      </c>
      <c r="C3276" s="83" t="s">
        <v>8636</v>
      </c>
      <c r="D3276" s="83" t="s">
        <v>8830</v>
      </c>
      <c r="E3276" s="84">
        <f>sch_disascal_hih_acsa_dec_pnp</f>
        <v>0</v>
      </c>
      <c r="F3276" s="83" t="b">
        <v>1</v>
      </c>
      <c r="G3276" s="83"/>
      <c r="H3276" s="83"/>
    </row>
    <row r="3277" spans="1:8">
      <c r="A3277" s="83" t="s">
        <v>8637</v>
      </c>
      <c r="B3277" s="83" t="s">
        <v>8606</v>
      </c>
      <c r="C3277" s="83" t="s">
        <v>8637</v>
      </c>
      <c r="D3277" s="83" t="s">
        <v>8831</v>
      </c>
      <c r="E3277" s="84">
        <f>sch_disascal_hih_acsa_jan_pnp</f>
        <v>0</v>
      </c>
      <c r="F3277" s="83" t="b">
        <v>1</v>
      </c>
      <c r="G3277" s="83"/>
      <c r="H3277" s="83"/>
    </row>
    <row r="3278" spans="1:8">
      <c r="A3278" s="83" t="s">
        <v>8638</v>
      </c>
      <c r="B3278" s="83" t="s">
        <v>8606</v>
      </c>
      <c r="C3278" s="83" t="s">
        <v>8638</v>
      </c>
      <c r="D3278" s="83" t="s">
        <v>8832</v>
      </c>
      <c r="E3278" s="84">
        <f>sch_disascal_hih_acsa_feb_pnp</f>
        <v>0</v>
      </c>
      <c r="F3278" s="83" t="b">
        <v>1</v>
      </c>
      <c r="G3278" s="83"/>
      <c r="H3278" s="83"/>
    </row>
    <row r="3279" spans="1:8">
      <c r="A3279" s="83" t="s">
        <v>8639</v>
      </c>
      <c r="B3279" s="83" t="s">
        <v>8606</v>
      </c>
      <c r="C3279" s="83" t="s">
        <v>8639</v>
      </c>
      <c r="D3279" s="83" t="s">
        <v>8833</v>
      </c>
      <c r="E3279" s="84">
        <f>sch_disascal_hih_acsa_mar_pnp</f>
        <v>0</v>
      </c>
      <c r="F3279" s="83" t="b">
        <v>1</v>
      </c>
      <c r="G3279" s="83"/>
      <c r="H3279" s="83"/>
    </row>
    <row r="3280" spans="1:8">
      <c r="A3280" s="83" t="s">
        <v>8640</v>
      </c>
      <c r="B3280" s="83" t="s">
        <v>8606</v>
      </c>
      <c r="C3280" s="83" t="s">
        <v>8640</v>
      </c>
      <c r="D3280" s="83" t="s">
        <v>8834</v>
      </c>
      <c r="E3280" s="84">
        <f>sch_disascal_hih_acsa_apr_pnp</f>
        <v>0</v>
      </c>
      <c r="F3280" s="83" t="b">
        <v>1</v>
      </c>
      <c r="G3280" s="83"/>
      <c r="H3280" s="83"/>
    </row>
    <row r="3281" spans="1:8">
      <c r="A3281" s="83" t="s">
        <v>8641</v>
      </c>
      <c r="B3281" s="83" t="s">
        <v>8606</v>
      </c>
      <c r="C3281" s="83" t="s">
        <v>8641</v>
      </c>
      <c r="D3281" s="83" t="s">
        <v>8835</v>
      </c>
      <c r="E3281" s="84">
        <f>sch_disascal_hih_acsa_may_pnp</f>
        <v>0</v>
      </c>
      <c r="F3281" s="83" t="b">
        <v>1</v>
      </c>
      <c r="G3281" s="83"/>
      <c r="H3281" s="83"/>
    </row>
    <row r="3282" spans="1:8">
      <c r="A3282" s="83" t="s">
        <v>8642</v>
      </c>
      <c r="B3282" s="83" t="s">
        <v>8606</v>
      </c>
      <c r="C3282" s="83" t="s">
        <v>8642</v>
      </c>
      <c r="D3282" s="83" t="s">
        <v>8836</v>
      </c>
      <c r="E3282" s="84">
        <f>sch_disascal_hih_acsa_others_specify</f>
        <v>0</v>
      </c>
      <c r="F3282" s="83" t="b">
        <v>1</v>
      </c>
      <c r="G3282" s="83"/>
      <c r="H3282" s="83"/>
    </row>
    <row r="3283" spans="1:8">
      <c r="A3283" s="83" t="s">
        <v>8643</v>
      </c>
      <c r="B3283" s="83" t="s">
        <v>8606</v>
      </c>
      <c r="C3283" s="83" t="s">
        <v>8643</v>
      </c>
      <c r="D3283" s="83" t="s">
        <v>8837</v>
      </c>
      <c r="E3283" s="84">
        <f>sch_disascal_hih_acsa_jun_others_specify</f>
        <v>0</v>
      </c>
      <c r="F3283" s="83" t="b">
        <v>1</v>
      </c>
      <c r="G3283" s="83"/>
      <c r="H3283" s="83"/>
    </row>
    <row r="3284" spans="1:8">
      <c r="A3284" s="83" t="s">
        <v>8644</v>
      </c>
      <c r="B3284" s="83" t="s">
        <v>8606</v>
      </c>
      <c r="C3284" s="83" t="s">
        <v>8644</v>
      </c>
      <c r="D3284" s="83" t="s">
        <v>8838</v>
      </c>
      <c r="E3284" s="84">
        <f>sch_disascal_hih_acsa_jul_others_specify</f>
        <v>0</v>
      </c>
      <c r="F3284" s="83" t="b">
        <v>1</v>
      </c>
      <c r="G3284" s="83"/>
      <c r="H3284" s="83"/>
    </row>
    <row r="3285" spans="1:8">
      <c r="A3285" s="83" t="s">
        <v>8645</v>
      </c>
      <c r="B3285" s="83" t="s">
        <v>8606</v>
      </c>
      <c r="C3285" s="83" t="s">
        <v>8645</v>
      </c>
      <c r="D3285" s="83" t="s">
        <v>8839</v>
      </c>
      <c r="E3285" s="84">
        <f>sch_disascal_hih_acsa_aug_others_specify</f>
        <v>0</v>
      </c>
      <c r="F3285" s="83" t="b">
        <v>1</v>
      </c>
      <c r="G3285" s="83"/>
      <c r="H3285" s="83"/>
    </row>
    <row r="3286" spans="1:8">
      <c r="A3286" s="83" t="s">
        <v>8646</v>
      </c>
      <c r="B3286" s="83" t="s">
        <v>8606</v>
      </c>
      <c r="C3286" s="83" t="s">
        <v>8646</v>
      </c>
      <c r="D3286" s="83" t="s">
        <v>8840</v>
      </c>
      <c r="E3286" s="84">
        <f>sch_disascal_hih_acsa_sep_others_specify</f>
        <v>0</v>
      </c>
      <c r="F3286" s="83" t="b">
        <v>1</v>
      </c>
      <c r="G3286" s="83"/>
      <c r="H3286" s="83"/>
    </row>
    <row r="3287" spans="1:8">
      <c r="A3287" s="83" t="s">
        <v>8647</v>
      </c>
      <c r="B3287" s="83" t="s">
        <v>8606</v>
      </c>
      <c r="C3287" s="83" t="s">
        <v>8647</v>
      </c>
      <c r="D3287" s="83" t="s">
        <v>8841</v>
      </c>
      <c r="E3287" s="84">
        <f>sch_disascal_hih_acsa_oct_others_specify</f>
        <v>0</v>
      </c>
      <c r="F3287" s="83" t="b">
        <v>1</v>
      </c>
      <c r="G3287" s="83"/>
      <c r="H3287" s="83"/>
    </row>
    <row r="3288" spans="1:8">
      <c r="A3288" s="83" t="s">
        <v>8648</v>
      </c>
      <c r="B3288" s="83" t="s">
        <v>8606</v>
      </c>
      <c r="C3288" s="83" t="s">
        <v>8648</v>
      </c>
      <c r="D3288" s="83" t="s">
        <v>8842</v>
      </c>
      <c r="E3288" s="84">
        <f>sch_disascal_hih_acsa_nov_others_specify</f>
        <v>0</v>
      </c>
      <c r="F3288" s="83" t="b">
        <v>1</v>
      </c>
      <c r="G3288" s="83"/>
      <c r="H3288" s="83"/>
    </row>
    <row r="3289" spans="1:8">
      <c r="A3289" s="83" t="s">
        <v>8649</v>
      </c>
      <c r="B3289" s="83" t="s">
        <v>8606</v>
      </c>
      <c r="C3289" s="83" t="s">
        <v>8649</v>
      </c>
      <c r="D3289" s="83" t="s">
        <v>8843</v>
      </c>
      <c r="E3289" s="84">
        <f>sch_disascal_hih_acsa_dec_others_specify</f>
        <v>0</v>
      </c>
      <c r="F3289" s="83" t="b">
        <v>1</v>
      </c>
      <c r="G3289" s="83"/>
      <c r="H3289" s="83"/>
    </row>
    <row r="3290" spans="1:8">
      <c r="A3290" s="83" t="s">
        <v>8650</v>
      </c>
      <c r="B3290" s="83" t="s">
        <v>8606</v>
      </c>
      <c r="C3290" s="83" t="s">
        <v>8650</v>
      </c>
      <c r="D3290" s="83" t="s">
        <v>8844</v>
      </c>
      <c r="E3290" s="84">
        <f>sch_disascal_hih_acsa_jan_others_specify</f>
        <v>0</v>
      </c>
      <c r="F3290" s="83" t="b">
        <v>1</v>
      </c>
      <c r="G3290" s="83"/>
      <c r="H3290" s="83"/>
    </row>
    <row r="3291" spans="1:8">
      <c r="A3291" s="83" t="s">
        <v>8651</v>
      </c>
      <c r="B3291" s="83" t="s">
        <v>8606</v>
      </c>
      <c r="C3291" s="83" t="s">
        <v>8651</v>
      </c>
      <c r="D3291" s="83" t="s">
        <v>8845</v>
      </c>
      <c r="E3291" s="84">
        <f>sch_disascal_hih_acsa_feb_others_specify</f>
        <v>0</v>
      </c>
      <c r="F3291" s="83" t="b">
        <v>1</v>
      </c>
      <c r="G3291" s="83"/>
      <c r="H3291" s="83"/>
    </row>
    <row r="3292" spans="1:8">
      <c r="A3292" s="83" t="s">
        <v>8652</v>
      </c>
      <c r="B3292" s="83" t="s">
        <v>8606</v>
      </c>
      <c r="C3292" s="83" t="s">
        <v>8652</v>
      </c>
      <c r="D3292" s="83" t="s">
        <v>8846</v>
      </c>
      <c r="E3292" s="84">
        <f>sch_disascal_hih_acsa_mar_others_specify</f>
        <v>0</v>
      </c>
      <c r="F3292" s="83" t="b">
        <v>1</v>
      </c>
      <c r="G3292" s="83"/>
      <c r="H3292" s="83"/>
    </row>
    <row r="3293" spans="1:8">
      <c r="A3293" s="83" t="s">
        <v>8653</v>
      </c>
      <c r="B3293" s="83" t="s">
        <v>8606</v>
      </c>
      <c r="C3293" s="83" t="s">
        <v>8653</v>
      </c>
      <c r="D3293" s="83" t="s">
        <v>8847</v>
      </c>
      <c r="E3293" s="84">
        <f>sch_disascal_hih_acsa_apr_others_specify</f>
        <v>0</v>
      </c>
      <c r="F3293" s="83" t="b">
        <v>1</v>
      </c>
      <c r="G3293" s="83"/>
      <c r="H3293" s="83"/>
    </row>
    <row r="3294" spans="1:8">
      <c r="A3294" s="83" t="s">
        <v>8654</v>
      </c>
      <c r="B3294" s="83" t="s">
        <v>8606</v>
      </c>
      <c r="C3294" s="83" t="s">
        <v>8654</v>
      </c>
      <c r="D3294" s="83" t="s">
        <v>8848</v>
      </c>
      <c r="E3294" s="84">
        <f>sch_disascal_hih_acsa_may_others_specify</f>
        <v>0</v>
      </c>
      <c r="F3294" s="83" t="b">
        <v>1</v>
      </c>
      <c r="G3294" s="83"/>
      <c r="H3294" s="83"/>
    </row>
    <row r="3295" spans="1:8">
      <c r="A3295" s="83" t="s">
        <v>8655</v>
      </c>
      <c r="B3295" s="83" t="s">
        <v>8606</v>
      </c>
      <c r="C3295" s="83" t="s">
        <v>8655</v>
      </c>
      <c r="D3295" s="83" t="s">
        <v>8849</v>
      </c>
      <c r="E3295" s="84">
        <f>sch_disascal_hih_acnsa_jun_abu_sayyaf</f>
        <v>0</v>
      </c>
      <c r="F3295" s="83" t="b">
        <v>1</v>
      </c>
      <c r="G3295" s="83"/>
      <c r="H3295" s="83"/>
    </row>
    <row r="3296" spans="1:8">
      <c r="A3296" s="83" t="s">
        <v>8656</v>
      </c>
      <c r="B3296" s="83" t="s">
        <v>8606</v>
      </c>
      <c r="C3296" s="83" t="s">
        <v>8656</v>
      </c>
      <c r="D3296" s="83" t="s">
        <v>8850</v>
      </c>
      <c r="E3296" s="84">
        <f>sch_disascal_hih_acnsa_jul_abu_sayyaf</f>
        <v>0</v>
      </c>
      <c r="F3296" s="83" t="b">
        <v>1</v>
      </c>
      <c r="G3296" s="83"/>
      <c r="H3296" s="83"/>
    </row>
    <row r="3297" spans="1:8">
      <c r="A3297" s="83" t="s">
        <v>8657</v>
      </c>
      <c r="B3297" s="83" t="s">
        <v>8606</v>
      </c>
      <c r="C3297" s="83" t="s">
        <v>8657</v>
      </c>
      <c r="D3297" s="83" t="s">
        <v>8851</v>
      </c>
      <c r="E3297" s="84">
        <f>sch_disascal_hih_acnsa_aug_abu_sayyaf</f>
        <v>0</v>
      </c>
      <c r="F3297" s="83" t="b">
        <v>1</v>
      </c>
      <c r="G3297" s="83"/>
      <c r="H3297" s="83"/>
    </row>
    <row r="3298" spans="1:8">
      <c r="A3298" s="83" t="s">
        <v>8658</v>
      </c>
      <c r="B3298" s="83" t="s">
        <v>8606</v>
      </c>
      <c r="C3298" s="83" t="s">
        <v>8658</v>
      </c>
      <c r="D3298" s="83" t="s">
        <v>8852</v>
      </c>
      <c r="E3298" s="84">
        <f>sch_disascal_hih_acnsa_sep_abu_sayyaf</f>
        <v>0</v>
      </c>
      <c r="F3298" s="83" t="b">
        <v>1</v>
      </c>
      <c r="G3298" s="83"/>
      <c r="H3298" s="83"/>
    </row>
    <row r="3299" spans="1:8">
      <c r="A3299" s="83" t="s">
        <v>8659</v>
      </c>
      <c r="B3299" s="83" t="s">
        <v>8606</v>
      </c>
      <c r="C3299" s="83" t="s">
        <v>8659</v>
      </c>
      <c r="D3299" s="83" t="s">
        <v>8853</v>
      </c>
      <c r="E3299" s="84">
        <f>sch_disascal_hih_acnsa_oct_abu_sayyaf</f>
        <v>0</v>
      </c>
      <c r="F3299" s="83" t="b">
        <v>1</v>
      </c>
      <c r="G3299" s="83"/>
      <c r="H3299" s="83"/>
    </row>
    <row r="3300" spans="1:8">
      <c r="A3300" s="83" t="s">
        <v>8660</v>
      </c>
      <c r="B3300" s="83" t="s">
        <v>8606</v>
      </c>
      <c r="C3300" s="83" t="s">
        <v>8660</v>
      </c>
      <c r="D3300" s="83" t="s">
        <v>8854</v>
      </c>
      <c r="E3300" s="84">
        <f>sch_disascal_hih_acnsa_nov_abu_sayyaf</f>
        <v>0</v>
      </c>
      <c r="F3300" s="83" t="b">
        <v>1</v>
      </c>
      <c r="G3300" s="83"/>
      <c r="H3300" s="83"/>
    </row>
    <row r="3301" spans="1:8">
      <c r="A3301" s="83" t="s">
        <v>8661</v>
      </c>
      <c r="B3301" s="83" t="s">
        <v>8606</v>
      </c>
      <c r="C3301" s="83" t="s">
        <v>8661</v>
      </c>
      <c r="D3301" s="83" t="s">
        <v>8855</v>
      </c>
      <c r="E3301" s="84">
        <f>sch_disascal_hih_acnsa_dec_abu_sayyaf</f>
        <v>0</v>
      </c>
      <c r="F3301" s="83" t="b">
        <v>1</v>
      </c>
      <c r="G3301" s="83"/>
      <c r="H3301" s="83"/>
    </row>
    <row r="3302" spans="1:8">
      <c r="A3302" s="83" t="s">
        <v>8662</v>
      </c>
      <c r="B3302" s="83" t="s">
        <v>8606</v>
      </c>
      <c r="C3302" s="83" t="s">
        <v>8662</v>
      </c>
      <c r="D3302" s="83" t="s">
        <v>8856</v>
      </c>
      <c r="E3302" s="84">
        <f>sch_disascal_hih_acnsa_jan_abu_sayyaf</f>
        <v>0</v>
      </c>
      <c r="F3302" s="83" t="b">
        <v>1</v>
      </c>
      <c r="G3302" s="83"/>
      <c r="H3302" s="83"/>
    </row>
    <row r="3303" spans="1:8">
      <c r="A3303" s="83" t="s">
        <v>8663</v>
      </c>
      <c r="B3303" s="83" t="s">
        <v>8606</v>
      </c>
      <c r="C3303" s="83" t="s">
        <v>8663</v>
      </c>
      <c r="D3303" s="83" t="s">
        <v>8857</v>
      </c>
      <c r="E3303" s="84">
        <f>sch_disascal_hih_acnsa_feb_abu_sayyaf</f>
        <v>0</v>
      </c>
      <c r="F3303" s="83" t="b">
        <v>1</v>
      </c>
      <c r="G3303" s="83"/>
      <c r="H3303" s="83"/>
    </row>
    <row r="3304" spans="1:8">
      <c r="A3304" s="83" t="s">
        <v>8664</v>
      </c>
      <c r="B3304" s="83" t="s">
        <v>8606</v>
      </c>
      <c r="C3304" s="83" t="s">
        <v>8664</v>
      </c>
      <c r="D3304" s="83" t="s">
        <v>8858</v>
      </c>
      <c r="E3304" s="84">
        <f>sch_disascal_hih_acnsa_mar_abu_sayyaf</f>
        <v>0</v>
      </c>
      <c r="F3304" s="83" t="b">
        <v>1</v>
      </c>
      <c r="G3304" s="83"/>
      <c r="H3304" s="83"/>
    </row>
    <row r="3305" spans="1:8">
      <c r="A3305" s="83" t="s">
        <v>8665</v>
      </c>
      <c r="B3305" s="83" t="s">
        <v>8606</v>
      </c>
      <c r="C3305" s="83" t="s">
        <v>8665</v>
      </c>
      <c r="D3305" s="83" t="s">
        <v>8859</v>
      </c>
      <c r="E3305" s="84">
        <f>sch_disascal_hih_acnsa_apr_abu_sayyaf</f>
        <v>0</v>
      </c>
      <c r="F3305" s="83" t="b">
        <v>1</v>
      </c>
      <c r="G3305" s="83"/>
      <c r="H3305" s="83"/>
    </row>
    <row r="3306" spans="1:8">
      <c r="A3306" s="83" t="s">
        <v>8666</v>
      </c>
      <c r="B3306" s="83" t="s">
        <v>8606</v>
      </c>
      <c r="C3306" s="83" t="s">
        <v>8666</v>
      </c>
      <c r="D3306" s="83" t="s">
        <v>8860</v>
      </c>
      <c r="E3306" s="84">
        <f>sch_disascal_hih_acnsa_may_abu_sayyaf</f>
        <v>0</v>
      </c>
      <c r="F3306" s="83" t="b">
        <v>1</v>
      </c>
      <c r="G3306" s="83"/>
      <c r="H3306" s="83"/>
    </row>
    <row r="3307" spans="1:8">
      <c r="A3307" s="83" t="s">
        <v>8667</v>
      </c>
      <c r="B3307" s="83" t="s">
        <v>8606</v>
      </c>
      <c r="C3307" s="83" t="s">
        <v>8667</v>
      </c>
      <c r="D3307" s="83" t="s">
        <v>8861</v>
      </c>
      <c r="E3307" s="84">
        <f>sch_disascal_hih_acnsa_jun_biff</f>
        <v>0</v>
      </c>
      <c r="F3307" s="83" t="b">
        <v>1</v>
      </c>
      <c r="G3307" s="83"/>
      <c r="H3307" s="83"/>
    </row>
    <row r="3308" spans="1:8">
      <c r="A3308" s="83" t="s">
        <v>8668</v>
      </c>
      <c r="B3308" s="83" t="s">
        <v>8606</v>
      </c>
      <c r="C3308" s="83" t="s">
        <v>8668</v>
      </c>
      <c r="D3308" s="83" t="s">
        <v>8862</v>
      </c>
      <c r="E3308" s="84">
        <f>sch_disascal_hih_acnsa_jul_biff</f>
        <v>0</v>
      </c>
      <c r="F3308" s="83" t="b">
        <v>1</v>
      </c>
      <c r="G3308" s="83"/>
      <c r="H3308" s="83"/>
    </row>
    <row r="3309" spans="1:8">
      <c r="A3309" s="83" t="s">
        <v>8669</v>
      </c>
      <c r="B3309" s="83" t="s">
        <v>8606</v>
      </c>
      <c r="C3309" s="83" t="s">
        <v>8669</v>
      </c>
      <c r="D3309" s="83" t="s">
        <v>8863</v>
      </c>
      <c r="E3309" s="84">
        <f>sch_disascal_hih_acnsa_aug_biff</f>
        <v>0</v>
      </c>
      <c r="F3309" s="83" t="b">
        <v>1</v>
      </c>
      <c r="G3309" s="83"/>
      <c r="H3309" s="83"/>
    </row>
    <row r="3310" spans="1:8">
      <c r="A3310" s="83" t="s">
        <v>8670</v>
      </c>
      <c r="B3310" s="83" t="s">
        <v>8606</v>
      </c>
      <c r="C3310" s="83" t="s">
        <v>8670</v>
      </c>
      <c r="D3310" s="83" t="s">
        <v>8864</v>
      </c>
      <c r="E3310" s="84">
        <f>sch_disascal_hih_acnsa_sep_biff</f>
        <v>0</v>
      </c>
      <c r="F3310" s="83" t="b">
        <v>1</v>
      </c>
      <c r="G3310" s="83"/>
      <c r="H3310" s="83"/>
    </row>
    <row r="3311" spans="1:8">
      <c r="A3311" s="83" t="s">
        <v>8671</v>
      </c>
      <c r="B3311" s="83" t="s">
        <v>8606</v>
      </c>
      <c r="C3311" s="83" t="s">
        <v>8671</v>
      </c>
      <c r="D3311" s="83" t="s">
        <v>8865</v>
      </c>
      <c r="E3311" s="84">
        <f>sch_disascal_hih_acnsa_oct_biff</f>
        <v>0</v>
      </c>
      <c r="F3311" s="83" t="b">
        <v>1</v>
      </c>
      <c r="G3311" s="83"/>
      <c r="H3311" s="83"/>
    </row>
    <row r="3312" spans="1:8">
      <c r="A3312" s="83" t="s">
        <v>8672</v>
      </c>
      <c r="B3312" s="83" t="s">
        <v>8606</v>
      </c>
      <c r="C3312" s="83" t="s">
        <v>8672</v>
      </c>
      <c r="D3312" s="83" t="s">
        <v>8866</v>
      </c>
      <c r="E3312" s="84">
        <f>sch_disascal_hih_acnsa_nov_biff</f>
        <v>0</v>
      </c>
      <c r="F3312" s="83" t="b">
        <v>1</v>
      </c>
      <c r="G3312" s="83"/>
      <c r="H3312" s="83"/>
    </row>
    <row r="3313" spans="1:8">
      <c r="A3313" s="83" t="s">
        <v>8673</v>
      </c>
      <c r="B3313" s="83" t="s">
        <v>8606</v>
      </c>
      <c r="C3313" s="83" t="s">
        <v>8673</v>
      </c>
      <c r="D3313" s="83" t="s">
        <v>8867</v>
      </c>
      <c r="E3313" s="84">
        <f>sch_disascal_hih_acnsa_dec_biff</f>
        <v>0</v>
      </c>
      <c r="F3313" s="83" t="b">
        <v>1</v>
      </c>
      <c r="G3313" s="83"/>
      <c r="H3313" s="83"/>
    </row>
    <row r="3314" spans="1:8">
      <c r="A3314" s="83" t="s">
        <v>8674</v>
      </c>
      <c r="B3314" s="83" t="s">
        <v>8606</v>
      </c>
      <c r="C3314" s="83" t="s">
        <v>8674</v>
      </c>
      <c r="D3314" s="83" t="s">
        <v>8868</v>
      </c>
      <c r="E3314" s="84">
        <f>sch_disascal_hih_acnsa_jan_biff</f>
        <v>0</v>
      </c>
      <c r="F3314" s="83" t="b">
        <v>1</v>
      </c>
      <c r="G3314" s="83"/>
      <c r="H3314" s="83"/>
    </row>
    <row r="3315" spans="1:8">
      <c r="A3315" s="83" t="s">
        <v>8675</v>
      </c>
      <c r="B3315" s="83" t="s">
        <v>8606</v>
      </c>
      <c r="C3315" s="83" t="s">
        <v>8675</v>
      </c>
      <c r="D3315" s="83" t="s">
        <v>8869</v>
      </c>
      <c r="E3315" s="84">
        <f>sch_disascal_hih_acnsa_feb_biff</f>
        <v>0</v>
      </c>
      <c r="F3315" s="83" t="b">
        <v>1</v>
      </c>
      <c r="G3315" s="83"/>
      <c r="H3315" s="83"/>
    </row>
    <row r="3316" spans="1:8">
      <c r="A3316" s="83" t="s">
        <v>8676</v>
      </c>
      <c r="B3316" s="83" t="s">
        <v>8606</v>
      </c>
      <c r="C3316" s="83" t="s">
        <v>8676</v>
      </c>
      <c r="D3316" s="83" t="s">
        <v>8870</v>
      </c>
      <c r="E3316" s="84">
        <f>sch_disascal_hih_acnsa_mar_biff</f>
        <v>0</v>
      </c>
      <c r="F3316" s="83" t="b">
        <v>1</v>
      </c>
      <c r="G3316" s="83"/>
      <c r="H3316" s="83"/>
    </row>
    <row r="3317" spans="1:8">
      <c r="A3317" s="83" t="s">
        <v>8677</v>
      </c>
      <c r="B3317" s="83" t="s">
        <v>8606</v>
      </c>
      <c r="C3317" s="83" t="s">
        <v>8677</v>
      </c>
      <c r="D3317" s="83" t="s">
        <v>8871</v>
      </c>
      <c r="E3317" s="84">
        <f>sch_disascal_hih_acnsa_apr_biff</f>
        <v>0</v>
      </c>
      <c r="F3317" s="83" t="b">
        <v>1</v>
      </c>
      <c r="G3317" s="83"/>
      <c r="H3317" s="83"/>
    </row>
    <row r="3318" spans="1:8">
      <c r="A3318" s="83" t="s">
        <v>8678</v>
      </c>
      <c r="B3318" s="83" t="s">
        <v>8606</v>
      </c>
      <c r="C3318" s="83" t="s">
        <v>8678</v>
      </c>
      <c r="D3318" s="83" t="s">
        <v>8872</v>
      </c>
      <c r="E3318" s="84">
        <f>sch_disascal_hih_acnsa_may_biff</f>
        <v>0</v>
      </c>
      <c r="F3318" s="83" t="b">
        <v>1</v>
      </c>
      <c r="G3318" s="83"/>
      <c r="H3318" s="83"/>
    </row>
    <row r="3319" spans="1:8">
      <c r="A3319" s="83" t="s">
        <v>8679</v>
      </c>
      <c r="B3319" s="83" t="s">
        <v>8606</v>
      </c>
      <c r="C3319" s="83" t="s">
        <v>8679</v>
      </c>
      <c r="D3319" s="83" t="s">
        <v>8873</v>
      </c>
      <c r="E3319" s="84">
        <f>sch_disascal_hih_acnsa_jun_ccp_npa</f>
        <v>0</v>
      </c>
      <c r="F3319" s="83" t="b">
        <v>1</v>
      </c>
      <c r="G3319" s="83"/>
      <c r="H3319" s="83"/>
    </row>
    <row r="3320" spans="1:8">
      <c r="A3320" s="83" t="s">
        <v>8680</v>
      </c>
      <c r="B3320" s="83" t="s">
        <v>8606</v>
      </c>
      <c r="C3320" s="83" t="s">
        <v>8680</v>
      </c>
      <c r="D3320" s="83" t="s">
        <v>8874</v>
      </c>
      <c r="E3320" s="84">
        <f>sch_disascal_hih_acnsa_jul_ccp_npa</f>
        <v>0</v>
      </c>
      <c r="F3320" s="83" t="b">
        <v>1</v>
      </c>
      <c r="G3320" s="83"/>
      <c r="H3320" s="83"/>
    </row>
    <row r="3321" spans="1:8">
      <c r="A3321" s="83" t="s">
        <v>8681</v>
      </c>
      <c r="B3321" s="83" t="s">
        <v>8606</v>
      </c>
      <c r="C3321" s="83" t="s">
        <v>8681</v>
      </c>
      <c r="D3321" s="83" t="s">
        <v>8875</v>
      </c>
      <c r="E3321" s="84">
        <f>sch_disascal_hih_acnsa_aug_ccp_npa</f>
        <v>0</v>
      </c>
      <c r="F3321" s="83" t="b">
        <v>1</v>
      </c>
      <c r="G3321" s="83"/>
      <c r="H3321" s="83"/>
    </row>
    <row r="3322" spans="1:8">
      <c r="A3322" s="83" t="s">
        <v>8682</v>
      </c>
      <c r="B3322" s="83" t="s">
        <v>8606</v>
      </c>
      <c r="C3322" s="83" t="s">
        <v>8682</v>
      </c>
      <c r="D3322" s="83" t="s">
        <v>8876</v>
      </c>
      <c r="E3322" s="84">
        <f>sch_disascal_hih_acnsa_sep_ccp_npa</f>
        <v>0</v>
      </c>
      <c r="F3322" s="83" t="b">
        <v>1</v>
      </c>
      <c r="G3322" s="83"/>
      <c r="H3322" s="83"/>
    </row>
    <row r="3323" spans="1:8">
      <c r="A3323" s="83" t="s">
        <v>8683</v>
      </c>
      <c r="B3323" s="83" t="s">
        <v>8606</v>
      </c>
      <c r="C3323" s="83" t="s">
        <v>8683</v>
      </c>
      <c r="D3323" s="83" t="s">
        <v>8877</v>
      </c>
      <c r="E3323" s="84">
        <f>sch_disascal_hih_acnsa_oct_ccp_npa</f>
        <v>0</v>
      </c>
      <c r="F3323" s="83" t="b">
        <v>1</v>
      </c>
      <c r="G3323" s="83"/>
      <c r="H3323" s="83"/>
    </row>
    <row r="3324" spans="1:8">
      <c r="A3324" s="83" t="s">
        <v>8684</v>
      </c>
      <c r="B3324" s="83" t="s">
        <v>8606</v>
      </c>
      <c r="C3324" s="83" t="s">
        <v>8684</v>
      </c>
      <c r="D3324" s="83" t="s">
        <v>8878</v>
      </c>
      <c r="E3324" s="84">
        <f>sch_disascal_hih_acnsa_nov_ccp_npa</f>
        <v>0</v>
      </c>
      <c r="F3324" s="83" t="b">
        <v>1</v>
      </c>
      <c r="G3324" s="83"/>
      <c r="H3324" s="83"/>
    </row>
    <row r="3325" spans="1:8">
      <c r="A3325" s="83" t="s">
        <v>8685</v>
      </c>
      <c r="B3325" s="83" t="s">
        <v>8606</v>
      </c>
      <c r="C3325" s="83" t="s">
        <v>8685</v>
      </c>
      <c r="D3325" s="83" t="s">
        <v>8879</v>
      </c>
      <c r="E3325" s="84">
        <f>sch_disascal_hih_acnsa_dec_ccp_npa</f>
        <v>0</v>
      </c>
      <c r="F3325" s="83" t="b">
        <v>1</v>
      </c>
      <c r="G3325" s="83"/>
      <c r="H3325" s="83"/>
    </row>
    <row r="3326" spans="1:8">
      <c r="A3326" s="83" t="s">
        <v>8686</v>
      </c>
      <c r="B3326" s="83" t="s">
        <v>8606</v>
      </c>
      <c r="C3326" s="83" t="s">
        <v>8686</v>
      </c>
      <c r="D3326" s="83" t="s">
        <v>8880</v>
      </c>
      <c r="E3326" s="84">
        <f>sch_disascal_hih_acnsa_jan_ccp_npa</f>
        <v>0</v>
      </c>
      <c r="F3326" s="83" t="b">
        <v>1</v>
      </c>
      <c r="G3326" s="83"/>
      <c r="H3326" s="83"/>
    </row>
    <row r="3327" spans="1:8">
      <c r="A3327" s="83" t="s">
        <v>8687</v>
      </c>
      <c r="B3327" s="83" t="s">
        <v>8606</v>
      </c>
      <c r="C3327" s="83" t="s">
        <v>8687</v>
      </c>
      <c r="D3327" s="83" t="s">
        <v>8881</v>
      </c>
      <c r="E3327" s="84">
        <f>sch_disascal_hih_acnsa_feb_ccp_npa</f>
        <v>0</v>
      </c>
      <c r="F3327" s="83" t="b">
        <v>1</v>
      </c>
      <c r="G3327" s="83"/>
      <c r="H3327" s="83"/>
    </row>
    <row r="3328" spans="1:8">
      <c r="A3328" s="83" t="s">
        <v>8688</v>
      </c>
      <c r="B3328" s="83" t="s">
        <v>8606</v>
      </c>
      <c r="C3328" s="83" t="s">
        <v>8688</v>
      </c>
      <c r="D3328" s="83" t="s">
        <v>8882</v>
      </c>
      <c r="E3328" s="84">
        <f>sch_disascal_hih_acnsa_mar_ccp_npa</f>
        <v>0</v>
      </c>
      <c r="F3328" s="83" t="b">
        <v>1</v>
      </c>
      <c r="G3328" s="83"/>
      <c r="H3328" s="83"/>
    </row>
    <row r="3329" spans="1:8">
      <c r="A3329" s="83" t="s">
        <v>8689</v>
      </c>
      <c r="B3329" s="83" t="s">
        <v>8606</v>
      </c>
      <c r="C3329" s="83" t="s">
        <v>8689</v>
      </c>
      <c r="D3329" s="83" t="s">
        <v>8883</v>
      </c>
      <c r="E3329" s="84">
        <f>sch_disascal_hih_acnsa_apr_ccp_npa</f>
        <v>0</v>
      </c>
      <c r="F3329" s="83" t="b">
        <v>1</v>
      </c>
      <c r="G3329" s="83"/>
      <c r="H3329" s="83"/>
    </row>
    <row r="3330" spans="1:8">
      <c r="A3330" s="83" t="s">
        <v>8690</v>
      </c>
      <c r="B3330" s="83" t="s">
        <v>8606</v>
      </c>
      <c r="C3330" s="83" t="s">
        <v>8690</v>
      </c>
      <c r="D3330" s="83" t="s">
        <v>8884</v>
      </c>
      <c r="E3330" s="84">
        <f>sch_disascal_hih_acnsa_may_ccp_npa</f>
        <v>0</v>
      </c>
      <c r="F3330" s="83" t="b">
        <v>1</v>
      </c>
      <c r="G3330" s="83"/>
      <c r="H3330" s="83"/>
    </row>
    <row r="3331" spans="1:8">
      <c r="A3331" s="83" t="s">
        <v>8691</v>
      </c>
      <c r="B3331" s="83" t="s">
        <v>8606</v>
      </c>
      <c r="C3331" s="83" t="s">
        <v>8691</v>
      </c>
      <c r="D3331" s="83" t="s">
        <v>8885</v>
      </c>
      <c r="E3331" s="84">
        <f>sch_disascal_hih_acnsa_jun_maute</f>
        <v>0</v>
      </c>
      <c r="F3331" s="83" t="b">
        <v>1</v>
      </c>
      <c r="G3331" s="83"/>
      <c r="H3331" s="83"/>
    </row>
    <row r="3332" spans="1:8">
      <c r="A3332" s="83" t="s">
        <v>8692</v>
      </c>
      <c r="B3332" s="83" t="s">
        <v>8606</v>
      </c>
      <c r="C3332" s="83" t="s">
        <v>8692</v>
      </c>
      <c r="D3332" s="83" t="s">
        <v>8886</v>
      </c>
      <c r="E3332" s="84">
        <f>sch_disascal_hih_acnsa_jul_maute</f>
        <v>0</v>
      </c>
      <c r="F3332" s="83" t="b">
        <v>1</v>
      </c>
      <c r="G3332" s="83"/>
      <c r="H3332" s="83"/>
    </row>
    <row r="3333" spans="1:8">
      <c r="A3333" s="83" t="s">
        <v>8693</v>
      </c>
      <c r="B3333" s="83" t="s">
        <v>8606</v>
      </c>
      <c r="C3333" s="83" t="s">
        <v>8693</v>
      </c>
      <c r="D3333" s="83" t="s">
        <v>8887</v>
      </c>
      <c r="E3333" s="84">
        <f>sch_disascal_hih_acnsa_aug_maute</f>
        <v>0</v>
      </c>
      <c r="F3333" s="83" t="b">
        <v>1</v>
      </c>
      <c r="G3333" s="83"/>
      <c r="H3333" s="83"/>
    </row>
    <row r="3334" spans="1:8">
      <c r="A3334" s="83" t="s">
        <v>8694</v>
      </c>
      <c r="B3334" s="83" t="s">
        <v>8606</v>
      </c>
      <c r="C3334" s="83" t="s">
        <v>8694</v>
      </c>
      <c r="D3334" s="83" t="s">
        <v>8888</v>
      </c>
      <c r="E3334" s="84">
        <f>sch_disascal_hih_acnsa_sep_maute</f>
        <v>0</v>
      </c>
      <c r="F3334" s="83" t="b">
        <v>1</v>
      </c>
      <c r="G3334" s="83"/>
      <c r="H3334" s="83"/>
    </row>
    <row r="3335" spans="1:8">
      <c r="A3335" s="83" t="s">
        <v>8695</v>
      </c>
      <c r="B3335" s="83" t="s">
        <v>8606</v>
      </c>
      <c r="C3335" s="83" t="s">
        <v>8695</v>
      </c>
      <c r="D3335" s="83" t="s">
        <v>8889</v>
      </c>
      <c r="E3335" s="84">
        <f>sch_disascal_hih_acnsa_oct_maute</f>
        <v>0</v>
      </c>
      <c r="F3335" s="83" t="b">
        <v>1</v>
      </c>
      <c r="G3335" s="83"/>
      <c r="H3335" s="83"/>
    </row>
    <row r="3336" spans="1:8">
      <c r="A3336" s="83" t="s">
        <v>8696</v>
      </c>
      <c r="B3336" s="83" t="s">
        <v>8606</v>
      </c>
      <c r="C3336" s="83" t="s">
        <v>8696</v>
      </c>
      <c r="D3336" s="83" t="s">
        <v>8890</v>
      </c>
      <c r="E3336" s="84">
        <f>sch_disascal_hih_acnsa_nov_maute</f>
        <v>0</v>
      </c>
      <c r="F3336" s="83" t="b">
        <v>1</v>
      </c>
      <c r="G3336" s="83"/>
      <c r="H3336" s="83"/>
    </row>
    <row r="3337" spans="1:8">
      <c r="A3337" s="83" t="s">
        <v>8697</v>
      </c>
      <c r="B3337" s="83" t="s">
        <v>8606</v>
      </c>
      <c r="C3337" s="83" t="s">
        <v>8697</v>
      </c>
      <c r="D3337" s="83" t="s">
        <v>8891</v>
      </c>
      <c r="E3337" s="84">
        <f>sch_disascal_hih_acnsa_dec_maute</f>
        <v>0</v>
      </c>
      <c r="F3337" s="83" t="b">
        <v>1</v>
      </c>
      <c r="G3337" s="83"/>
      <c r="H3337" s="83"/>
    </row>
    <row r="3338" spans="1:8">
      <c r="A3338" s="83" t="s">
        <v>8698</v>
      </c>
      <c r="B3338" s="83" t="s">
        <v>8606</v>
      </c>
      <c r="C3338" s="83" t="s">
        <v>8698</v>
      </c>
      <c r="D3338" s="83" t="s">
        <v>8892</v>
      </c>
      <c r="E3338" s="84">
        <f>sch_disascal_hih_acnsa_jan_maute</f>
        <v>0</v>
      </c>
      <c r="F3338" s="83" t="b">
        <v>1</v>
      </c>
      <c r="G3338" s="83"/>
      <c r="H3338" s="83"/>
    </row>
    <row r="3339" spans="1:8">
      <c r="A3339" s="83" t="s">
        <v>8699</v>
      </c>
      <c r="B3339" s="83" t="s">
        <v>8606</v>
      </c>
      <c r="C3339" s="83" t="s">
        <v>8699</v>
      </c>
      <c r="D3339" s="83" t="s">
        <v>8893</v>
      </c>
      <c r="E3339" s="84">
        <f>sch_disascal_hih_acnsa_feb_maute</f>
        <v>0</v>
      </c>
      <c r="F3339" s="83" t="b">
        <v>1</v>
      </c>
      <c r="G3339" s="83"/>
      <c r="H3339" s="83"/>
    </row>
    <row r="3340" spans="1:8">
      <c r="A3340" s="83" t="s">
        <v>8700</v>
      </c>
      <c r="B3340" s="83" t="s">
        <v>8606</v>
      </c>
      <c r="C3340" s="83" t="s">
        <v>8700</v>
      </c>
      <c r="D3340" s="83" t="s">
        <v>8894</v>
      </c>
      <c r="E3340" s="84">
        <f>sch_disascal_hih_acnsa_mar_maute</f>
        <v>0</v>
      </c>
      <c r="F3340" s="83" t="b">
        <v>1</v>
      </c>
      <c r="G3340" s="83"/>
      <c r="H3340" s="83"/>
    </row>
    <row r="3341" spans="1:8">
      <c r="A3341" s="83" t="s">
        <v>8701</v>
      </c>
      <c r="B3341" s="83" t="s">
        <v>8606</v>
      </c>
      <c r="C3341" s="83" t="s">
        <v>8701</v>
      </c>
      <c r="D3341" s="83" t="s">
        <v>8895</v>
      </c>
      <c r="E3341" s="84">
        <f>sch_disascal_hih_acnsa_apr_maute</f>
        <v>0</v>
      </c>
      <c r="F3341" s="83" t="b">
        <v>1</v>
      </c>
      <c r="G3341" s="83"/>
      <c r="H3341" s="83"/>
    </row>
    <row r="3342" spans="1:8">
      <c r="A3342" s="83" t="s">
        <v>8702</v>
      </c>
      <c r="B3342" s="83" t="s">
        <v>8606</v>
      </c>
      <c r="C3342" s="83" t="s">
        <v>8702</v>
      </c>
      <c r="D3342" s="83" t="s">
        <v>8896</v>
      </c>
      <c r="E3342" s="84">
        <f>sch_disascal_hih_acnsa_may_maute</f>
        <v>0</v>
      </c>
      <c r="F3342" s="83" t="b">
        <v>1</v>
      </c>
      <c r="G3342" s="83"/>
      <c r="H3342" s="83"/>
    </row>
    <row r="3343" spans="1:8">
      <c r="A3343" s="83" t="s">
        <v>8703</v>
      </c>
      <c r="B3343" s="83" t="s">
        <v>8606</v>
      </c>
      <c r="C3343" s="83" t="s">
        <v>8703</v>
      </c>
      <c r="D3343" s="83" t="s">
        <v>8897</v>
      </c>
      <c r="E3343" s="84">
        <f>sch_disascal_hih_acnsa_jun_mnlf</f>
        <v>0</v>
      </c>
      <c r="F3343" s="83" t="b">
        <v>1</v>
      </c>
      <c r="G3343" s="83"/>
      <c r="H3343" s="83"/>
    </row>
    <row r="3344" spans="1:8">
      <c r="A3344" s="83" t="s">
        <v>8704</v>
      </c>
      <c r="B3344" s="83" t="s">
        <v>8606</v>
      </c>
      <c r="C3344" s="83" t="s">
        <v>8704</v>
      </c>
      <c r="D3344" s="83" t="s">
        <v>8898</v>
      </c>
      <c r="E3344" s="84">
        <f>sch_disascal_hih_acnsa_jul_mnlf</f>
        <v>0</v>
      </c>
      <c r="F3344" s="83" t="b">
        <v>1</v>
      </c>
      <c r="G3344" s="83"/>
      <c r="H3344" s="83"/>
    </row>
    <row r="3345" spans="1:8">
      <c r="A3345" s="83" t="s">
        <v>8705</v>
      </c>
      <c r="B3345" s="83" t="s">
        <v>8606</v>
      </c>
      <c r="C3345" s="83" t="s">
        <v>8705</v>
      </c>
      <c r="D3345" s="83" t="s">
        <v>8899</v>
      </c>
      <c r="E3345" s="84">
        <f>sch_disascal_hih_acnsa_aug_mnlf</f>
        <v>0</v>
      </c>
      <c r="F3345" s="83" t="b">
        <v>1</v>
      </c>
      <c r="G3345" s="83"/>
      <c r="H3345" s="83"/>
    </row>
    <row r="3346" spans="1:8">
      <c r="A3346" s="83" t="s">
        <v>8706</v>
      </c>
      <c r="B3346" s="83" t="s">
        <v>8606</v>
      </c>
      <c r="C3346" s="83" t="s">
        <v>8706</v>
      </c>
      <c r="D3346" s="83" t="s">
        <v>8900</v>
      </c>
      <c r="E3346" s="84">
        <f>sch_disascal_hih_acnsa_sep_mnlf</f>
        <v>0</v>
      </c>
      <c r="F3346" s="83" t="b">
        <v>1</v>
      </c>
      <c r="G3346" s="83"/>
      <c r="H3346" s="83"/>
    </row>
    <row r="3347" spans="1:8">
      <c r="A3347" s="83" t="s">
        <v>8707</v>
      </c>
      <c r="B3347" s="83" t="s">
        <v>8606</v>
      </c>
      <c r="C3347" s="83" t="s">
        <v>8707</v>
      </c>
      <c r="D3347" s="83" t="s">
        <v>8901</v>
      </c>
      <c r="E3347" s="84">
        <f>sch_disascal_hih_acnsa_oct_mnlf</f>
        <v>0</v>
      </c>
      <c r="F3347" s="83" t="b">
        <v>1</v>
      </c>
      <c r="G3347" s="83"/>
      <c r="H3347" s="83"/>
    </row>
    <row r="3348" spans="1:8">
      <c r="A3348" s="83" t="s">
        <v>8708</v>
      </c>
      <c r="B3348" s="83" t="s">
        <v>8606</v>
      </c>
      <c r="C3348" s="83" t="s">
        <v>8708</v>
      </c>
      <c r="D3348" s="83" t="s">
        <v>8902</v>
      </c>
      <c r="E3348" s="84">
        <f>sch_disascal_hih_acnsa_nov_mnlf</f>
        <v>0</v>
      </c>
      <c r="F3348" s="83" t="b">
        <v>1</v>
      </c>
      <c r="G3348" s="83"/>
      <c r="H3348" s="83"/>
    </row>
    <row r="3349" spans="1:8">
      <c r="A3349" s="83" t="s">
        <v>8709</v>
      </c>
      <c r="B3349" s="83" t="s">
        <v>8606</v>
      </c>
      <c r="C3349" s="83" t="s">
        <v>8709</v>
      </c>
      <c r="D3349" s="83" t="s">
        <v>8903</v>
      </c>
      <c r="E3349" s="84">
        <f>sch_disascal_hih_acnsa_dec_mnlf</f>
        <v>0</v>
      </c>
      <c r="F3349" s="83" t="b">
        <v>1</v>
      </c>
      <c r="G3349" s="83"/>
      <c r="H3349" s="83"/>
    </row>
    <row r="3350" spans="1:8">
      <c r="A3350" s="83" t="s">
        <v>8710</v>
      </c>
      <c r="B3350" s="83" t="s">
        <v>8606</v>
      </c>
      <c r="C3350" s="83" t="s">
        <v>8710</v>
      </c>
      <c r="D3350" s="83" t="s">
        <v>8904</v>
      </c>
      <c r="E3350" s="84">
        <f>sch_disascal_hih_acnsa_jan_mnlf</f>
        <v>0</v>
      </c>
      <c r="F3350" s="83" t="b">
        <v>1</v>
      </c>
      <c r="G3350" s="83"/>
      <c r="H3350" s="83"/>
    </row>
    <row r="3351" spans="1:8">
      <c r="A3351" s="83" t="s">
        <v>8711</v>
      </c>
      <c r="B3351" s="83" t="s">
        <v>8606</v>
      </c>
      <c r="C3351" s="83" t="s">
        <v>8711</v>
      </c>
      <c r="D3351" s="83" t="s">
        <v>8905</v>
      </c>
      <c r="E3351" s="84">
        <f>sch_disascal_hih_acnsa_feb_mnlf</f>
        <v>0</v>
      </c>
      <c r="F3351" s="83" t="b">
        <v>1</v>
      </c>
      <c r="G3351" s="83"/>
      <c r="H3351" s="83"/>
    </row>
    <row r="3352" spans="1:8">
      <c r="A3352" s="83" t="s">
        <v>8712</v>
      </c>
      <c r="B3352" s="83" t="s">
        <v>8606</v>
      </c>
      <c r="C3352" s="83" t="s">
        <v>8712</v>
      </c>
      <c r="D3352" s="83" t="s">
        <v>8906</v>
      </c>
      <c r="E3352" s="84">
        <f>sch_disascal_hih_acnsa_mar_mnlf</f>
        <v>0</v>
      </c>
      <c r="F3352" s="83" t="b">
        <v>1</v>
      </c>
      <c r="G3352" s="83"/>
      <c r="H3352" s="83"/>
    </row>
    <row r="3353" spans="1:8">
      <c r="A3353" s="83" t="s">
        <v>8713</v>
      </c>
      <c r="B3353" s="83" t="s">
        <v>8606</v>
      </c>
      <c r="C3353" s="83" t="s">
        <v>8713</v>
      </c>
      <c r="D3353" s="83" t="s">
        <v>8907</v>
      </c>
      <c r="E3353" s="84">
        <f>sch_disascal_hih_acnsa_apr_mnlf</f>
        <v>0</v>
      </c>
      <c r="F3353" s="83" t="b">
        <v>1</v>
      </c>
      <c r="G3353" s="83"/>
      <c r="H3353" s="83"/>
    </row>
    <row r="3354" spans="1:8">
      <c r="A3354" s="83" t="s">
        <v>8714</v>
      </c>
      <c r="B3354" s="83" t="s">
        <v>8606</v>
      </c>
      <c r="C3354" s="83" t="s">
        <v>8714</v>
      </c>
      <c r="D3354" s="83" t="s">
        <v>8908</v>
      </c>
      <c r="E3354" s="84">
        <f>sch_disascal_hih_acnsa_may_mnlf</f>
        <v>0</v>
      </c>
      <c r="F3354" s="83" t="b">
        <v>1</v>
      </c>
      <c r="G3354" s="83"/>
      <c r="H3354" s="83"/>
    </row>
    <row r="3355" spans="1:8">
      <c r="A3355" s="83" t="s">
        <v>8715</v>
      </c>
      <c r="B3355" s="83" t="s">
        <v>8606</v>
      </c>
      <c r="C3355" s="83" t="s">
        <v>8715</v>
      </c>
      <c r="D3355" s="83" t="s">
        <v>8909</v>
      </c>
      <c r="E3355" s="84">
        <f>sch_disascal_hih_acnsa_others_specify</f>
        <v>0</v>
      </c>
      <c r="F3355" s="83" t="b">
        <v>1</v>
      </c>
      <c r="G3355" s="83"/>
      <c r="H3355" s="83"/>
    </row>
    <row r="3356" spans="1:8">
      <c r="A3356" s="83" t="s">
        <v>8716</v>
      </c>
      <c r="B3356" s="83" t="s">
        <v>8606</v>
      </c>
      <c r="C3356" s="83" t="s">
        <v>8716</v>
      </c>
      <c r="D3356" s="83" t="s">
        <v>8910</v>
      </c>
      <c r="E3356" s="84">
        <f>sch_disascal_hih_acnsa_jun_others_specify</f>
        <v>0</v>
      </c>
      <c r="F3356" s="83" t="b">
        <v>1</v>
      </c>
      <c r="G3356" s="83"/>
      <c r="H3356" s="83"/>
    </row>
    <row r="3357" spans="1:8">
      <c r="A3357" s="83" t="s">
        <v>8717</v>
      </c>
      <c r="B3357" s="83" t="s">
        <v>8606</v>
      </c>
      <c r="C3357" s="83" t="s">
        <v>8717</v>
      </c>
      <c r="D3357" s="83" t="s">
        <v>8911</v>
      </c>
      <c r="E3357" s="84">
        <f>sch_disascal_hih_acnsa_jul_others_specify</f>
        <v>0</v>
      </c>
      <c r="F3357" s="83" t="b">
        <v>1</v>
      </c>
      <c r="G3357" s="83"/>
      <c r="H3357" s="83"/>
    </row>
    <row r="3358" spans="1:8">
      <c r="A3358" s="83" t="s">
        <v>8718</v>
      </c>
      <c r="B3358" s="83" t="s">
        <v>8606</v>
      </c>
      <c r="C3358" s="83" t="s">
        <v>8718</v>
      </c>
      <c r="D3358" s="83" t="s">
        <v>8912</v>
      </c>
      <c r="E3358" s="84">
        <f>sch_disascal_hih_acnsa_aug_others_specify</f>
        <v>0</v>
      </c>
      <c r="F3358" s="83" t="b">
        <v>1</v>
      </c>
      <c r="G3358" s="83"/>
      <c r="H3358" s="83"/>
    </row>
    <row r="3359" spans="1:8">
      <c r="A3359" s="83" t="s">
        <v>8719</v>
      </c>
      <c r="B3359" s="83" t="s">
        <v>8606</v>
      </c>
      <c r="C3359" s="83" t="s">
        <v>8719</v>
      </c>
      <c r="D3359" s="83" t="s">
        <v>8913</v>
      </c>
      <c r="E3359" s="84">
        <f>sch_disascal_hih_acnsa_sep_others_specify</f>
        <v>0</v>
      </c>
      <c r="F3359" s="83" t="b">
        <v>1</v>
      </c>
      <c r="G3359" s="83"/>
      <c r="H3359" s="83"/>
    </row>
    <row r="3360" spans="1:8">
      <c r="A3360" s="83" t="s">
        <v>8720</v>
      </c>
      <c r="B3360" s="83" t="s">
        <v>8606</v>
      </c>
      <c r="C3360" s="83" t="s">
        <v>8720</v>
      </c>
      <c r="D3360" s="83" t="s">
        <v>8914</v>
      </c>
      <c r="E3360" s="84">
        <f>sch_disascal_hih_acnsa_oct_others_specify</f>
        <v>0</v>
      </c>
      <c r="F3360" s="83" t="b">
        <v>1</v>
      </c>
      <c r="G3360" s="83"/>
      <c r="H3360" s="83"/>
    </row>
    <row r="3361" spans="1:8">
      <c r="A3361" s="83" t="s">
        <v>8721</v>
      </c>
      <c r="B3361" s="83" t="s">
        <v>8606</v>
      </c>
      <c r="C3361" s="83" t="s">
        <v>8721</v>
      </c>
      <c r="D3361" s="83" t="s">
        <v>8915</v>
      </c>
      <c r="E3361" s="84">
        <f>sch_disascal_hih_acnsa_nov_others_specify</f>
        <v>0</v>
      </c>
      <c r="F3361" s="83" t="b">
        <v>1</v>
      </c>
      <c r="G3361" s="83"/>
      <c r="H3361" s="83"/>
    </row>
    <row r="3362" spans="1:8">
      <c r="A3362" s="83" t="s">
        <v>8722</v>
      </c>
      <c r="B3362" s="83" t="s">
        <v>8606</v>
      </c>
      <c r="C3362" s="83" t="s">
        <v>8722</v>
      </c>
      <c r="D3362" s="83" t="s">
        <v>8916</v>
      </c>
      <c r="E3362" s="84">
        <f>sch_disascal_hih_acnsa_dec_others_specify</f>
        <v>0</v>
      </c>
      <c r="F3362" s="83" t="b">
        <v>1</v>
      </c>
      <c r="G3362" s="83"/>
      <c r="H3362" s="83"/>
    </row>
    <row r="3363" spans="1:8">
      <c r="A3363" s="83" t="s">
        <v>8723</v>
      </c>
      <c r="B3363" s="83" t="s">
        <v>8606</v>
      </c>
      <c r="C3363" s="83" t="s">
        <v>8723</v>
      </c>
      <c r="D3363" s="83" t="s">
        <v>8917</v>
      </c>
      <c r="E3363" s="84">
        <f>sch_disascal_hih_acnsa_jan_others_specify</f>
        <v>0</v>
      </c>
      <c r="F3363" s="83" t="b">
        <v>1</v>
      </c>
      <c r="G3363" s="83"/>
      <c r="H3363" s="83"/>
    </row>
    <row r="3364" spans="1:8">
      <c r="A3364" s="83" t="s">
        <v>8724</v>
      </c>
      <c r="B3364" s="83" t="s">
        <v>8606</v>
      </c>
      <c r="C3364" s="83" t="s">
        <v>8724</v>
      </c>
      <c r="D3364" s="83" t="s">
        <v>8918</v>
      </c>
      <c r="E3364" s="84">
        <f>sch_disascal_hih_acnsa_feb_others_specify</f>
        <v>0</v>
      </c>
      <c r="F3364" s="83" t="b">
        <v>1</v>
      </c>
      <c r="G3364" s="83"/>
      <c r="H3364" s="83"/>
    </row>
    <row r="3365" spans="1:8">
      <c r="A3365" s="83" t="s">
        <v>8725</v>
      </c>
      <c r="B3365" s="83" t="s">
        <v>8606</v>
      </c>
      <c r="C3365" s="83" t="s">
        <v>8725</v>
      </c>
      <c r="D3365" s="83" t="s">
        <v>8919</v>
      </c>
      <c r="E3365" s="84">
        <f>sch_disascal_hih_acnsa_mar_others_specify</f>
        <v>0</v>
      </c>
      <c r="F3365" s="83" t="b">
        <v>1</v>
      </c>
      <c r="G3365" s="83"/>
      <c r="H3365" s="83"/>
    </row>
    <row r="3366" spans="1:8">
      <c r="A3366" s="83" t="s">
        <v>8726</v>
      </c>
      <c r="B3366" s="83" t="s">
        <v>8606</v>
      </c>
      <c r="C3366" s="83" t="s">
        <v>8726</v>
      </c>
      <c r="D3366" s="83" t="s">
        <v>8920</v>
      </c>
      <c r="E3366" s="84">
        <f>sch_disascal_hih_acnsa_apr_others_specify</f>
        <v>0</v>
      </c>
      <c r="F3366" s="83" t="b">
        <v>1</v>
      </c>
      <c r="G3366" s="83"/>
      <c r="H3366" s="83"/>
    </row>
    <row r="3367" spans="1:8">
      <c r="A3367" s="83" t="s">
        <v>8727</v>
      </c>
      <c r="B3367" s="83" t="s">
        <v>8606</v>
      </c>
      <c r="C3367" s="83" t="s">
        <v>8727</v>
      </c>
      <c r="D3367" s="83" t="s">
        <v>8921</v>
      </c>
      <c r="E3367" s="84">
        <f>sch_disascal_hih_acnsa_may_others_specify</f>
        <v>0</v>
      </c>
      <c r="F3367" s="83" t="b">
        <v>1</v>
      </c>
      <c r="G3367" s="83"/>
      <c r="H3367" s="83"/>
    </row>
    <row r="3368" spans="1:8">
      <c r="A3368" s="83" t="s">
        <v>8728</v>
      </c>
      <c r="B3368" s="83" t="s">
        <v>8606</v>
      </c>
      <c r="C3368" s="83" t="s">
        <v>8728</v>
      </c>
      <c r="D3368" s="83" t="s">
        <v>8922</v>
      </c>
      <c r="E3368" s="84">
        <f>sch_disascal_hih_child_jun_killing</f>
        <v>0</v>
      </c>
      <c r="F3368" s="83" t="b">
        <v>1</v>
      </c>
      <c r="G3368" s="83"/>
      <c r="H3368" s="83"/>
    </row>
    <row r="3369" spans="1:8">
      <c r="A3369" s="83" t="s">
        <v>8729</v>
      </c>
      <c r="B3369" s="83" t="s">
        <v>8606</v>
      </c>
      <c r="C3369" s="83" t="s">
        <v>8729</v>
      </c>
      <c r="D3369" s="83" t="s">
        <v>8923</v>
      </c>
      <c r="E3369" s="84">
        <f>sch_disascal_hih_child_jul_killing</f>
        <v>0</v>
      </c>
      <c r="F3369" s="83" t="b">
        <v>1</v>
      </c>
      <c r="G3369" s="83"/>
      <c r="H3369" s="83"/>
    </row>
    <row r="3370" spans="1:8">
      <c r="A3370" s="83" t="s">
        <v>8730</v>
      </c>
      <c r="B3370" s="83" t="s">
        <v>8606</v>
      </c>
      <c r="C3370" s="83" t="s">
        <v>8730</v>
      </c>
      <c r="D3370" s="83" t="s">
        <v>8924</v>
      </c>
      <c r="E3370" s="84">
        <f>sch_disascal_hih_child_aug_killing</f>
        <v>0</v>
      </c>
      <c r="F3370" s="83" t="b">
        <v>1</v>
      </c>
      <c r="G3370" s="83"/>
      <c r="H3370" s="83"/>
    </row>
    <row r="3371" spans="1:8">
      <c r="A3371" s="83" t="s">
        <v>8731</v>
      </c>
      <c r="B3371" s="83" t="s">
        <v>8606</v>
      </c>
      <c r="C3371" s="83" t="s">
        <v>8731</v>
      </c>
      <c r="D3371" s="83" t="s">
        <v>8925</v>
      </c>
      <c r="E3371" s="84">
        <f>sch_disascal_hih_child_sep_killing</f>
        <v>0</v>
      </c>
      <c r="F3371" s="83" t="b">
        <v>1</v>
      </c>
      <c r="G3371" s="83"/>
      <c r="H3371" s="83"/>
    </row>
    <row r="3372" spans="1:8">
      <c r="A3372" s="83" t="s">
        <v>8732</v>
      </c>
      <c r="B3372" s="83" t="s">
        <v>8606</v>
      </c>
      <c r="C3372" s="83" t="s">
        <v>8732</v>
      </c>
      <c r="D3372" s="83" t="s">
        <v>8926</v>
      </c>
      <c r="E3372" s="84">
        <f>sch_disascal_hih_child_oct_killing</f>
        <v>0</v>
      </c>
      <c r="F3372" s="83" t="b">
        <v>1</v>
      </c>
      <c r="G3372" s="83"/>
      <c r="H3372" s="83"/>
    </row>
    <row r="3373" spans="1:8">
      <c r="A3373" s="83" t="s">
        <v>8733</v>
      </c>
      <c r="B3373" s="83" t="s">
        <v>8606</v>
      </c>
      <c r="C3373" s="83" t="s">
        <v>8733</v>
      </c>
      <c r="D3373" s="83" t="s">
        <v>8927</v>
      </c>
      <c r="E3373" s="84">
        <f>sch_disascal_hih_child_nov_killing</f>
        <v>0</v>
      </c>
      <c r="F3373" s="83" t="b">
        <v>1</v>
      </c>
      <c r="G3373" s="83"/>
      <c r="H3373" s="83"/>
    </row>
    <row r="3374" spans="1:8">
      <c r="A3374" s="83" t="s">
        <v>8734</v>
      </c>
      <c r="B3374" s="83" t="s">
        <v>8606</v>
      </c>
      <c r="C3374" s="83" t="s">
        <v>8734</v>
      </c>
      <c r="D3374" s="83" t="s">
        <v>8928</v>
      </c>
      <c r="E3374" s="84">
        <f>sch_disascal_hih_child_dec_killing</f>
        <v>0</v>
      </c>
      <c r="F3374" s="83" t="b">
        <v>1</v>
      </c>
      <c r="G3374" s="83"/>
      <c r="H3374" s="83"/>
    </row>
    <row r="3375" spans="1:8">
      <c r="A3375" s="83" t="s">
        <v>8735</v>
      </c>
      <c r="B3375" s="83" t="s">
        <v>8606</v>
      </c>
      <c r="C3375" s="83" t="s">
        <v>8735</v>
      </c>
      <c r="D3375" s="83" t="s">
        <v>8929</v>
      </c>
      <c r="E3375" s="84">
        <f>sch_disascal_hih_child_jan_killing</f>
        <v>0</v>
      </c>
      <c r="F3375" s="83" t="b">
        <v>1</v>
      </c>
      <c r="G3375" s="83"/>
      <c r="H3375" s="83"/>
    </row>
    <row r="3376" spans="1:8">
      <c r="A3376" s="83" t="s">
        <v>8736</v>
      </c>
      <c r="B3376" s="83" t="s">
        <v>8606</v>
      </c>
      <c r="C3376" s="83" t="s">
        <v>8736</v>
      </c>
      <c r="D3376" s="83" t="s">
        <v>8930</v>
      </c>
      <c r="E3376" s="84">
        <f>sch_disascal_hih_child_feb_killing</f>
        <v>0</v>
      </c>
      <c r="F3376" s="83" t="b">
        <v>1</v>
      </c>
      <c r="G3376" s="83"/>
      <c r="H3376" s="83"/>
    </row>
    <row r="3377" spans="1:8">
      <c r="A3377" s="83" t="s">
        <v>8737</v>
      </c>
      <c r="B3377" s="83" t="s">
        <v>8606</v>
      </c>
      <c r="C3377" s="83" t="s">
        <v>8737</v>
      </c>
      <c r="D3377" s="83" t="s">
        <v>8931</v>
      </c>
      <c r="E3377" s="84">
        <f>sch_disascal_hih_child_mar_killing</f>
        <v>0</v>
      </c>
      <c r="F3377" s="83" t="b">
        <v>1</v>
      </c>
      <c r="G3377" s="83"/>
      <c r="H3377" s="83"/>
    </row>
    <row r="3378" spans="1:8">
      <c r="A3378" s="83" t="s">
        <v>8738</v>
      </c>
      <c r="B3378" s="83" t="s">
        <v>8606</v>
      </c>
      <c r="C3378" s="83" t="s">
        <v>8738</v>
      </c>
      <c r="D3378" s="83" t="s">
        <v>8932</v>
      </c>
      <c r="E3378" s="84">
        <f>sch_disascal_hih_child_apr_killing</f>
        <v>0</v>
      </c>
      <c r="F3378" s="83" t="b">
        <v>1</v>
      </c>
      <c r="G3378" s="83"/>
      <c r="H3378" s="83"/>
    </row>
    <row r="3379" spans="1:8">
      <c r="A3379" s="83" t="s">
        <v>8739</v>
      </c>
      <c r="B3379" s="83" t="s">
        <v>8606</v>
      </c>
      <c r="C3379" s="83" t="s">
        <v>8739</v>
      </c>
      <c r="D3379" s="83" t="s">
        <v>8933</v>
      </c>
      <c r="E3379" s="84">
        <f>sch_disascal_hih_child_may_killing</f>
        <v>0</v>
      </c>
      <c r="F3379" s="83" t="b">
        <v>1</v>
      </c>
      <c r="G3379" s="83"/>
      <c r="H3379" s="83"/>
    </row>
    <row r="3380" spans="1:8">
      <c r="A3380" s="83" t="s">
        <v>8740</v>
      </c>
      <c r="B3380" s="83" t="s">
        <v>8606</v>
      </c>
      <c r="C3380" s="83" t="s">
        <v>8740</v>
      </c>
      <c r="D3380" s="83" t="s">
        <v>8934</v>
      </c>
      <c r="E3380" s="84">
        <f>sch_disascal_hih_child_jun_abduction</f>
        <v>0</v>
      </c>
      <c r="F3380" s="83" t="b">
        <v>1</v>
      </c>
      <c r="G3380" s="83"/>
      <c r="H3380" s="83"/>
    </row>
    <row r="3381" spans="1:8">
      <c r="A3381" s="83" t="s">
        <v>8741</v>
      </c>
      <c r="B3381" s="83" t="s">
        <v>8606</v>
      </c>
      <c r="C3381" s="83" t="s">
        <v>8741</v>
      </c>
      <c r="D3381" s="83" t="s">
        <v>8935</v>
      </c>
      <c r="E3381" s="84">
        <f>sch_disascal_hih_child_jul_abduction</f>
        <v>0</v>
      </c>
      <c r="F3381" s="83" t="b">
        <v>1</v>
      </c>
      <c r="G3381" s="83"/>
      <c r="H3381" s="83"/>
    </row>
    <row r="3382" spans="1:8">
      <c r="A3382" s="83" t="s">
        <v>8742</v>
      </c>
      <c r="B3382" s="83" t="s">
        <v>8606</v>
      </c>
      <c r="C3382" s="83" t="s">
        <v>8742</v>
      </c>
      <c r="D3382" s="83" t="s">
        <v>8936</v>
      </c>
      <c r="E3382" s="84">
        <f>sch_disascal_hih_child_aug_abduction</f>
        <v>0</v>
      </c>
      <c r="F3382" s="83" t="b">
        <v>1</v>
      </c>
      <c r="G3382" s="83"/>
      <c r="H3382" s="83"/>
    </row>
    <row r="3383" spans="1:8">
      <c r="A3383" s="83" t="s">
        <v>8743</v>
      </c>
      <c r="B3383" s="83" t="s">
        <v>8606</v>
      </c>
      <c r="C3383" s="83" t="s">
        <v>8743</v>
      </c>
      <c r="D3383" s="83" t="s">
        <v>8937</v>
      </c>
      <c r="E3383" s="84">
        <f>sch_disascal_hih_child_sep_abduction</f>
        <v>0</v>
      </c>
      <c r="F3383" s="83" t="b">
        <v>1</v>
      </c>
      <c r="G3383" s="83"/>
      <c r="H3383" s="83"/>
    </row>
    <row r="3384" spans="1:8">
      <c r="A3384" s="83" t="s">
        <v>8744</v>
      </c>
      <c r="B3384" s="83" t="s">
        <v>8606</v>
      </c>
      <c r="C3384" s="83" t="s">
        <v>8744</v>
      </c>
      <c r="D3384" s="83" t="s">
        <v>8938</v>
      </c>
      <c r="E3384" s="84">
        <f>sch_disascal_hih_child_oct_abduction</f>
        <v>0</v>
      </c>
      <c r="F3384" s="83" t="b">
        <v>1</v>
      </c>
      <c r="G3384" s="83"/>
      <c r="H3384" s="83"/>
    </row>
    <row r="3385" spans="1:8">
      <c r="A3385" s="83" t="s">
        <v>8745</v>
      </c>
      <c r="B3385" s="83" t="s">
        <v>8606</v>
      </c>
      <c r="C3385" s="83" t="s">
        <v>8745</v>
      </c>
      <c r="D3385" s="83" t="s">
        <v>8939</v>
      </c>
      <c r="E3385" s="84">
        <f>sch_disascal_hih_child_nov_abduction</f>
        <v>0</v>
      </c>
      <c r="F3385" s="83" t="b">
        <v>1</v>
      </c>
      <c r="G3385" s="83"/>
      <c r="H3385" s="83"/>
    </row>
    <row r="3386" spans="1:8">
      <c r="A3386" s="83" t="s">
        <v>8746</v>
      </c>
      <c r="B3386" s="83" t="s">
        <v>8606</v>
      </c>
      <c r="C3386" s="83" t="s">
        <v>8746</v>
      </c>
      <c r="D3386" s="83" t="s">
        <v>8940</v>
      </c>
      <c r="E3386" s="84">
        <f>sch_disascal_hih_child_dec_abduction</f>
        <v>0</v>
      </c>
      <c r="F3386" s="83" t="b">
        <v>1</v>
      </c>
      <c r="G3386" s="83"/>
      <c r="H3386" s="83"/>
    </row>
    <row r="3387" spans="1:8">
      <c r="A3387" s="83" t="s">
        <v>8747</v>
      </c>
      <c r="B3387" s="83" t="s">
        <v>8606</v>
      </c>
      <c r="C3387" s="83" t="s">
        <v>8747</v>
      </c>
      <c r="D3387" s="83" t="s">
        <v>8941</v>
      </c>
      <c r="E3387" s="84">
        <f>sch_disascal_hih_child_jan_abduction</f>
        <v>0</v>
      </c>
      <c r="F3387" s="83" t="b">
        <v>1</v>
      </c>
      <c r="G3387" s="83"/>
      <c r="H3387" s="83"/>
    </row>
    <row r="3388" spans="1:8">
      <c r="A3388" s="83" t="s">
        <v>8748</v>
      </c>
      <c r="B3388" s="83" t="s">
        <v>8606</v>
      </c>
      <c r="C3388" s="83" t="s">
        <v>8748</v>
      </c>
      <c r="D3388" s="83" t="s">
        <v>8942</v>
      </c>
      <c r="E3388" s="84">
        <f>sch_disascal_hih_child_feb_abduction</f>
        <v>0</v>
      </c>
      <c r="F3388" s="83" t="b">
        <v>1</v>
      </c>
      <c r="G3388" s="83"/>
      <c r="H3388" s="83"/>
    </row>
    <row r="3389" spans="1:8">
      <c r="A3389" s="83" t="s">
        <v>8749</v>
      </c>
      <c r="B3389" s="83" t="s">
        <v>8606</v>
      </c>
      <c r="C3389" s="83" t="s">
        <v>8749</v>
      </c>
      <c r="D3389" s="83" t="s">
        <v>8943</v>
      </c>
      <c r="E3389" s="84">
        <f>sch_disascal_hih_child_mar_abduction</f>
        <v>0</v>
      </c>
      <c r="F3389" s="83" t="b">
        <v>1</v>
      </c>
      <c r="G3389" s="83"/>
      <c r="H3389" s="83"/>
    </row>
    <row r="3390" spans="1:8">
      <c r="A3390" s="83" t="s">
        <v>8750</v>
      </c>
      <c r="B3390" s="83" t="s">
        <v>8606</v>
      </c>
      <c r="C3390" s="83" t="s">
        <v>8750</v>
      </c>
      <c r="D3390" s="83" t="s">
        <v>8944</v>
      </c>
      <c r="E3390" s="84">
        <f>sch_disascal_hih_child_apr_abduction</f>
        <v>0</v>
      </c>
      <c r="F3390" s="83" t="b">
        <v>1</v>
      </c>
      <c r="G3390" s="83"/>
      <c r="H3390" s="83"/>
    </row>
    <row r="3391" spans="1:8">
      <c r="A3391" s="83" t="s">
        <v>8751</v>
      </c>
      <c r="B3391" s="83" t="s">
        <v>8606</v>
      </c>
      <c r="C3391" s="83" t="s">
        <v>8751</v>
      </c>
      <c r="D3391" s="83" t="s">
        <v>8945</v>
      </c>
      <c r="E3391" s="84">
        <f>sch_disascal_hih_child_may_abduction</f>
        <v>0</v>
      </c>
      <c r="F3391" s="83" t="b">
        <v>1</v>
      </c>
      <c r="G3391" s="83"/>
      <c r="H3391" s="83"/>
    </row>
    <row r="3392" spans="1:8">
      <c r="A3392" s="83" t="s">
        <v>8752</v>
      </c>
      <c r="B3392" s="83" t="s">
        <v>8606</v>
      </c>
      <c r="C3392" s="83" t="s">
        <v>8752</v>
      </c>
      <c r="D3392" s="83" t="s">
        <v>8946</v>
      </c>
      <c r="E3392" s="84">
        <f>sch_disascal_hih_child_jun_attacks</f>
        <v>0</v>
      </c>
      <c r="F3392" s="83" t="b">
        <v>1</v>
      </c>
      <c r="G3392" s="83"/>
      <c r="H3392" s="83"/>
    </row>
    <row r="3393" spans="1:8">
      <c r="A3393" s="83" t="s">
        <v>8753</v>
      </c>
      <c r="B3393" s="83" t="s">
        <v>8606</v>
      </c>
      <c r="C3393" s="83" t="s">
        <v>8753</v>
      </c>
      <c r="D3393" s="83" t="s">
        <v>8947</v>
      </c>
      <c r="E3393" s="84">
        <f>sch_disascal_hih_child_jul_attacks</f>
        <v>0</v>
      </c>
      <c r="F3393" s="83" t="b">
        <v>1</v>
      </c>
      <c r="G3393" s="83"/>
      <c r="H3393" s="83"/>
    </row>
    <row r="3394" spans="1:8">
      <c r="A3394" s="83" t="s">
        <v>8754</v>
      </c>
      <c r="B3394" s="83" t="s">
        <v>8606</v>
      </c>
      <c r="C3394" s="83" t="s">
        <v>8754</v>
      </c>
      <c r="D3394" s="83" t="s">
        <v>8948</v>
      </c>
      <c r="E3394" s="84">
        <f>sch_disascal_hih_child_aug_attacks</f>
        <v>0</v>
      </c>
      <c r="F3394" s="83" t="b">
        <v>1</v>
      </c>
      <c r="G3394" s="83"/>
      <c r="H3394" s="83"/>
    </row>
    <row r="3395" spans="1:8">
      <c r="A3395" s="83" t="s">
        <v>8755</v>
      </c>
      <c r="B3395" s="83" t="s">
        <v>8606</v>
      </c>
      <c r="C3395" s="83" t="s">
        <v>8755</v>
      </c>
      <c r="D3395" s="83" t="s">
        <v>8949</v>
      </c>
      <c r="E3395" s="84">
        <f>sch_disascal_hih_child_sep_attacks</f>
        <v>0</v>
      </c>
      <c r="F3395" s="83" t="b">
        <v>1</v>
      </c>
      <c r="G3395" s="83"/>
      <c r="H3395" s="83"/>
    </row>
    <row r="3396" spans="1:8">
      <c r="A3396" s="83" t="s">
        <v>8756</v>
      </c>
      <c r="B3396" s="83" t="s">
        <v>8606</v>
      </c>
      <c r="C3396" s="83" t="s">
        <v>8756</v>
      </c>
      <c r="D3396" s="83" t="s">
        <v>8950</v>
      </c>
      <c r="E3396" s="84">
        <f>sch_disascal_hih_child_oct_attacks</f>
        <v>0</v>
      </c>
      <c r="F3396" s="83" t="b">
        <v>1</v>
      </c>
      <c r="G3396" s="83"/>
      <c r="H3396" s="83"/>
    </row>
    <row r="3397" spans="1:8">
      <c r="A3397" s="83" t="s">
        <v>8757</v>
      </c>
      <c r="B3397" s="83" t="s">
        <v>8606</v>
      </c>
      <c r="C3397" s="83" t="s">
        <v>8757</v>
      </c>
      <c r="D3397" s="83" t="s">
        <v>8951</v>
      </c>
      <c r="E3397" s="84">
        <f>sch_disascal_hih_child_nov_attacks</f>
        <v>0</v>
      </c>
      <c r="F3397" s="83" t="b">
        <v>1</v>
      </c>
      <c r="G3397" s="83"/>
      <c r="H3397" s="83"/>
    </row>
    <row r="3398" spans="1:8">
      <c r="A3398" s="83" t="s">
        <v>8758</v>
      </c>
      <c r="B3398" s="83" t="s">
        <v>8606</v>
      </c>
      <c r="C3398" s="83" t="s">
        <v>8758</v>
      </c>
      <c r="D3398" s="83" t="s">
        <v>8952</v>
      </c>
      <c r="E3398" s="84">
        <f>sch_disascal_hih_child_dec_attacks</f>
        <v>0</v>
      </c>
      <c r="F3398" s="83" t="b">
        <v>1</v>
      </c>
      <c r="G3398" s="83"/>
      <c r="H3398" s="83"/>
    </row>
    <row r="3399" spans="1:8">
      <c r="A3399" s="83" t="s">
        <v>8759</v>
      </c>
      <c r="B3399" s="83" t="s">
        <v>8606</v>
      </c>
      <c r="C3399" s="83" t="s">
        <v>8759</v>
      </c>
      <c r="D3399" s="83" t="s">
        <v>8953</v>
      </c>
      <c r="E3399" s="84">
        <f>sch_disascal_hih_child_jan_attacks</f>
        <v>0</v>
      </c>
      <c r="F3399" s="83" t="b">
        <v>1</v>
      </c>
      <c r="G3399" s="83"/>
      <c r="H3399" s="83"/>
    </row>
    <row r="3400" spans="1:8">
      <c r="A3400" s="83" t="s">
        <v>8760</v>
      </c>
      <c r="B3400" s="83" t="s">
        <v>8606</v>
      </c>
      <c r="C3400" s="83" t="s">
        <v>8760</v>
      </c>
      <c r="D3400" s="83" t="s">
        <v>8954</v>
      </c>
      <c r="E3400" s="84">
        <f>sch_disascal_hih_child_feb_attacks</f>
        <v>0</v>
      </c>
      <c r="F3400" s="83" t="b">
        <v>1</v>
      </c>
      <c r="G3400" s="83"/>
      <c r="H3400" s="83"/>
    </row>
    <row r="3401" spans="1:8">
      <c r="A3401" s="83" t="s">
        <v>8761</v>
      </c>
      <c r="B3401" s="83" t="s">
        <v>8606</v>
      </c>
      <c r="C3401" s="83" t="s">
        <v>8761</v>
      </c>
      <c r="D3401" s="83" t="s">
        <v>8955</v>
      </c>
      <c r="E3401" s="84">
        <f>sch_disascal_hih_child_mar_attacks</f>
        <v>0</v>
      </c>
      <c r="F3401" s="83" t="b">
        <v>1</v>
      </c>
      <c r="G3401" s="83"/>
      <c r="H3401" s="83"/>
    </row>
    <row r="3402" spans="1:8">
      <c r="A3402" s="83" t="s">
        <v>8762</v>
      </c>
      <c r="B3402" s="83" t="s">
        <v>8606</v>
      </c>
      <c r="C3402" s="83" t="s">
        <v>8762</v>
      </c>
      <c r="D3402" s="83" t="s">
        <v>8956</v>
      </c>
      <c r="E3402" s="84">
        <f>sch_disascal_hih_child_apr_attacks</f>
        <v>0</v>
      </c>
      <c r="F3402" s="83" t="b">
        <v>1</v>
      </c>
      <c r="G3402" s="83"/>
      <c r="H3402" s="83"/>
    </row>
    <row r="3403" spans="1:8">
      <c r="A3403" s="83" t="s">
        <v>8763</v>
      </c>
      <c r="B3403" s="83" t="s">
        <v>8606</v>
      </c>
      <c r="C3403" s="83" t="s">
        <v>8763</v>
      </c>
      <c r="D3403" s="83" t="s">
        <v>8957</v>
      </c>
      <c r="E3403" s="84">
        <f>sch_disascal_hih_child_may_attacks</f>
        <v>0</v>
      </c>
      <c r="F3403" s="83" t="b">
        <v>1</v>
      </c>
      <c r="G3403" s="83"/>
      <c r="H3403" s="83"/>
    </row>
    <row r="3404" spans="1:8">
      <c r="A3404" s="83" t="s">
        <v>8764</v>
      </c>
      <c r="B3404" s="83" t="s">
        <v>8606</v>
      </c>
      <c r="C3404" s="83" t="s">
        <v>8764</v>
      </c>
      <c r="D3404" s="83" t="s">
        <v>8958</v>
      </c>
      <c r="E3404" s="84">
        <f>sch_disascal_hih_child_jun_denial</f>
        <v>0</v>
      </c>
      <c r="F3404" s="83" t="b">
        <v>1</v>
      </c>
      <c r="G3404" s="83"/>
      <c r="H3404" s="83"/>
    </row>
    <row r="3405" spans="1:8">
      <c r="A3405" s="83" t="s">
        <v>8765</v>
      </c>
      <c r="B3405" s="83" t="s">
        <v>8606</v>
      </c>
      <c r="C3405" s="83" t="s">
        <v>8765</v>
      </c>
      <c r="D3405" s="83" t="s">
        <v>8959</v>
      </c>
      <c r="E3405" s="84">
        <f>sch_disascal_hih_child_jul_denial</f>
        <v>0</v>
      </c>
      <c r="F3405" s="83" t="b">
        <v>1</v>
      </c>
      <c r="G3405" s="83"/>
      <c r="H3405" s="83"/>
    </row>
    <row r="3406" spans="1:8">
      <c r="A3406" s="83" t="s">
        <v>8766</v>
      </c>
      <c r="B3406" s="83" t="s">
        <v>8606</v>
      </c>
      <c r="C3406" s="83" t="s">
        <v>8766</v>
      </c>
      <c r="D3406" s="83" t="s">
        <v>8960</v>
      </c>
      <c r="E3406" s="84">
        <f>sch_disascal_hih_child_aug_denial</f>
        <v>0</v>
      </c>
      <c r="F3406" s="83" t="b">
        <v>1</v>
      </c>
      <c r="G3406" s="83"/>
      <c r="H3406" s="83"/>
    </row>
    <row r="3407" spans="1:8">
      <c r="A3407" s="83" t="s">
        <v>8767</v>
      </c>
      <c r="B3407" s="83" t="s">
        <v>8606</v>
      </c>
      <c r="C3407" s="83" t="s">
        <v>8767</v>
      </c>
      <c r="D3407" s="83" t="s">
        <v>8961</v>
      </c>
      <c r="E3407" s="84">
        <f>sch_disascal_hih_child_sep_denial</f>
        <v>0</v>
      </c>
      <c r="F3407" s="83" t="b">
        <v>1</v>
      </c>
      <c r="G3407" s="83"/>
      <c r="H3407" s="83"/>
    </row>
    <row r="3408" spans="1:8">
      <c r="A3408" s="83" t="s">
        <v>8768</v>
      </c>
      <c r="B3408" s="83" t="s">
        <v>8606</v>
      </c>
      <c r="C3408" s="83" t="s">
        <v>8768</v>
      </c>
      <c r="D3408" s="83" t="s">
        <v>8962</v>
      </c>
      <c r="E3408" s="84">
        <f>sch_disascal_hih_child_oct_denial</f>
        <v>0</v>
      </c>
      <c r="F3408" s="83" t="b">
        <v>1</v>
      </c>
      <c r="G3408" s="83"/>
      <c r="H3408" s="83"/>
    </row>
    <row r="3409" spans="1:8">
      <c r="A3409" s="83" t="s">
        <v>8769</v>
      </c>
      <c r="B3409" s="83" t="s">
        <v>8606</v>
      </c>
      <c r="C3409" s="83" t="s">
        <v>8769</v>
      </c>
      <c r="D3409" s="83" t="s">
        <v>8963</v>
      </c>
      <c r="E3409" s="84">
        <f>sch_disascal_hih_child_nov_denial</f>
        <v>0</v>
      </c>
      <c r="F3409" s="83" t="b">
        <v>1</v>
      </c>
      <c r="G3409" s="83"/>
      <c r="H3409" s="83"/>
    </row>
    <row r="3410" spans="1:8">
      <c r="A3410" s="83" t="s">
        <v>8770</v>
      </c>
      <c r="B3410" s="83" t="s">
        <v>8606</v>
      </c>
      <c r="C3410" s="83" t="s">
        <v>8770</v>
      </c>
      <c r="D3410" s="83" t="s">
        <v>8964</v>
      </c>
      <c r="E3410" s="84">
        <f>sch_disascal_hih_child_dec_denial</f>
        <v>0</v>
      </c>
      <c r="F3410" s="83" t="b">
        <v>1</v>
      </c>
      <c r="G3410" s="83"/>
      <c r="H3410" s="83"/>
    </row>
    <row r="3411" spans="1:8">
      <c r="A3411" s="83" t="s">
        <v>8771</v>
      </c>
      <c r="B3411" s="83" t="s">
        <v>8606</v>
      </c>
      <c r="C3411" s="83" t="s">
        <v>8771</v>
      </c>
      <c r="D3411" s="83" t="s">
        <v>8965</v>
      </c>
      <c r="E3411" s="84">
        <f>sch_disascal_hih_child_jan_denial</f>
        <v>0</v>
      </c>
      <c r="F3411" s="83" t="b">
        <v>1</v>
      </c>
      <c r="G3411" s="83"/>
      <c r="H3411" s="83"/>
    </row>
    <row r="3412" spans="1:8">
      <c r="A3412" s="83" t="s">
        <v>8772</v>
      </c>
      <c r="B3412" s="83" t="s">
        <v>8606</v>
      </c>
      <c r="C3412" s="83" t="s">
        <v>8772</v>
      </c>
      <c r="D3412" s="83" t="s">
        <v>8966</v>
      </c>
      <c r="E3412" s="84">
        <f>sch_disascal_hih_child_feb_denial</f>
        <v>0</v>
      </c>
      <c r="F3412" s="83" t="b">
        <v>1</v>
      </c>
      <c r="G3412" s="83"/>
      <c r="H3412" s="83"/>
    </row>
    <row r="3413" spans="1:8">
      <c r="A3413" s="83" t="s">
        <v>8773</v>
      </c>
      <c r="B3413" s="83" t="s">
        <v>8606</v>
      </c>
      <c r="C3413" s="83" t="s">
        <v>8773</v>
      </c>
      <c r="D3413" s="83" t="s">
        <v>8967</v>
      </c>
      <c r="E3413" s="84">
        <f>sch_disascal_hih_child_mar_denial</f>
        <v>0</v>
      </c>
      <c r="F3413" s="83" t="b">
        <v>1</v>
      </c>
      <c r="G3413" s="83"/>
      <c r="H3413" s="83"/>
    </row>
    <row r="3414" spans="1:8">
      <c r="A3414" s="83" t="s">
        <v>8774</v>
      </c>
      <c r="B3414" s="83" t="s">
        <v>8606</v>
      </c>
      <c r="C3414" s="83" t="s">
        <v>8774</v>
      </c>
      <c r="D3414" s="83" t="s">
        <v>8968</v>
      </c>
      <c r="E3414" s="84">
        <f>sch_disascal_hih_child_apr_denial</f>
        <v>0</v>
      </c>
      <c r="F3414" s="83" t="b">
        <v>1</v>
      </c>
      <c r="G3414" s="83"/>
      <c r="H3414" s="83"/>
    </row>
    <row r="3415" spans="1:8">
      <c r="A3415" s="83" t="s">
        <v>8775</v>
      </c>
      <c r="B3415" s="83" t="s">
        <v>8606</v>
      </c>
      <c r="C3415" s="83" t="s">
        <v>8775</v>
      </c>
      <c r="D3415" s="83" t="s">
        <v>8969</v>
      </c>
      <c r="E3415" s="84">
        <f>sch_disascal_hih_child_may_denial</f>
        <v>0</v>
      </c>
      <c r="F3415" s="83" t="b">
        <v>1</v>
      </c>
      <c r="G3415" s="83"/>
      <c r="H3415" s="83"/>
    </row>
    <row r="3416" spans="1:8">
      <c r="A3416" s="83" t="s">
        <v>8776</v>
      </c>
      <c r="B3416" s="83" t="s">
        <v>8606</v>
      </c>
      <c r="C3416" s="83" t="s">
        <v>8776</v>
      </c>
      <c r="D3416" s="83" t="s">
        <v>8970</v>
      </c>
      <c r="E3416" s="84">
        <f>sch_disascal_hih_child_jun_recruit</f>
        <v>0</v>
      </c>
      <c r="F3416" s="83" t="b">
        <v>1</v>
      </c>
      <c r="G3416" s="83"/>
      <c r="H3416" s="83"/>
    </row>
    <row r="3417" spans="1:8">
      <c r="A3417" s="83" t="s">
        <v>8777</v>
      </c>
      <c r="B3417" s="83" t="s">
        <v>8606</v>
      </c>
      <c r="C3417" s="83" t="s">
        <v>8777</v>
      </c>
      <c r="D3417" s="83" t="s">
        <v>8971</v>
      </c>
      <c r="E3417" s="84">
        <f>sch_disascal_hih_child_jul_recruit</f>
        <v>0</v>
      </c>
      <c r="F3417" s="83" t="b">
        <v>1</v>
      </c>
      <c r="G3417" s="83"/>
      <c r="H3417" s="83"/>
    </row>
    <row r="3418" spans="1:8">
      <c r="A3418" s="83" t="s">
        <v>8778</v>
      </c>
      <c r="B3418" s="83" t="s">
        <v>8606</v>
      </c>
      <c r="C3418" s="83" t="s">
        <v>8778</v>
      </c>
      <c r="D3418" s="83" t="s">
        <v>8972</v>
      </c>
      <c r="E3418" s="84">
        <f>sch_disascal_hih_child_aug_recruit</f>
        <v>0</v>
      </c>
      <c r="F3418" s="83" t="b">
        <v>1</v>
      </c>
      <c r="G3418" s="83"/>
      <c r="H3418" s="83"/>
    </row>
    <row r="3419" spans="1:8">
      <c r="A3419" s="83" t="s">
        <v>8779</v>
      </c>
      <c r="B3419" s="83" t="s">
        <v>8606</v>
      </c>
      <c r="C3419" s="83" t="s">
        <v>8779</v>
      </c>
      <c r="D3419" s="83" t="s">
        <v>8973</v>
      </c>
      <c r="E3419" s="84">
        <f>sch_disascal_hih_child_sep_recruit</f>
        <v>0</v>
      </c>
      <c r="F3419" s="83" t="b">
        <v>1</v>
      </c>
      <c r="G3419" s="83"/>
      <c r="H3419" s="83"/>
    </row>
    <row r="3420" spans="1:8">
      <c r="A3420" s="83" t="s">
        <v>8780</v>
      </c>
      <c r="B3420" s="83" t="s">
        <v>8606</v>
      </c>
      <c r="C3420" s="83" t="s">
        <v>8780</v>
      </c>
      <c r="D3420" s="83" t="s">
        <v>8974</v>
      </c>
      <c r="E3420" s="84">
        <f>sch_disascal_hih_child_oct_recruit</f>
        <v>0</v>
      </c>
      <c r="F3420" s="83" t="b">
        <v>1</v>
      </c>
      <c r="G3420" s="83"/>
      <c r="H3420" s="83"/>
    </row>
    <row r="3421" spans="1:8">
      <c r="A3421" s="83" t="s">
        <v>8781</v>
      </c>
      <c r="B3421" s="83" t="s">
        <v>8606</v>
      </c>
      <c r="C3421" s="83" t="s">
        <v>8781</v>
      </c>
      <c r="D3421" s="83" t="s">
        <v>8975</v>
      </c>
      <c r="E3421" s="84">
        <f>sch_disascal_hih_child_nov_recruit</f>
        <v>0</v>
      </c>
      <c r="F3421" s="83" t="b">
        <v>1</v>
      </c>
      <c r="G3421" s="83"/>
      <c r="H3421" s="83"/>
    </row>
    <row r="3422" spans="1:8">
      <c r="A3422" s="83" t="s">
        <v>8782</v>
      </c>
      <c r="B3422" s="83" t="s">
        <v>8606</v>
      </c>
      <c r="C3422" s="83" t="s">
        <v>8782</v>
      </c>
      <c r="D3422" s="83" t="s">
        <v>8976</v>
      </c>
      <c r="E3422" s="84">
        <f>sch_disascal_hih_child_dec_recruit</f>
        <v>0</v>
      </c>
      <c r="F3422" s="83" t="b">
        <v>1</v>
      </c>
      <c r="G3422" s="83"/>
      <c r="H3422" s="83"/>
    </row>
    <row r="3423" spans="1:8">
      <c r="A3423" s="83" t="s">
        <v>8783</v>
      </c>
      <c r="B3423" s="83" t="s">
        <v>8606</v>
      </c>
      <c r="C3423" s="83" t="s">
        <v>8783</v>
      </c>
      <c r="D3423" s="83" t="s">
        <v>8977</v>
      </c>
      <c r="E3423" s="84">
        <f>sch_disascal_hih_child_jan_recruit</f>
        <v>0</v>
      </c>
      <c r="F3423" s="83" t="b">
        <v>1</v>
      </c>
      <c r="G3423" s="83"/>
      <c r="H3423" s="83"/>
    </row>
    <row r="3424" spans="1:8">
      <c r="A3424" s="83" t="s">
        <v>8784</v>
      </c>
      <c r="B3424" s="83" t="s">
        <v>8606</v>
      </c>
      <c r="C3424" s="83" t="s">
        <v>8784</v>
      </c>
      <c r="D3424" s="83" t="s">
        <v>8978</v>
      </c>
      <c r="E3424" s="84">
        <f>sch_disascal_hih_child_feb_recruit</f>
        <v>0</v>
      </c>
      <c r="F3424" s="83" t="b">
        <v>1</v>
      </c>
      <c r="G3424" s="83"/>
      <c r="H3424" s="83"/>
    </row>
    <row r="3425" spans="1:8">
      <c r="A3425" s="83" t="s">
        <v>8785</v>
      </c>
      <c r="B3425" s="83" t="s">
        <v>8606</v>
      </c>
      <c r="C3425" s="83" t="s">
        <v>8785</v>
      </c>
      <c r="D3425" s="83" t="s">
        <v>8979</v>
      </c>
      <c r="E3425" s="84">
        <f>sch_disascal_hih_child_mar_recruit</f>
        <v>0</v>
      </c>
      <c r="F3425" s="83" t="b">
        <v>1</v>
      </c>
      <c r="G3425" s="83"/>
      <c r="H3425" s="83"/>
    </row>
    <row r="3426" spans="1:8">
      <c r="A3426" s="83" t="s">
        <v>8786</v>
      </c>
      <c r="B3426" s="83" t="s">
        <v>8606</v>
      </c>
      <c r="C3426" s="83" t="s">
        <v>8786</v>
      </c>
      <c r="D3426" s="83" t="s">
        <v>8980</v>
      </c>
      <c r="E3426" s="84">
        <f>sch_disascal_hih_child_apr_recruit</f>
        <v>0</v>
      </c>
      <c r="F3426" s="83" t="b">
        <v>1</v>
      </c>
      <c r="G3426" s="83"/>
      <c r="H3426" s="83"/>
    </row>
    <row r="3427" spans="1:8">
      <c r="A3427" s="83" t="s">
        <v>8787</v>
      </c>
      <c r="B3427" s="83" t="s">
        <v>8606</v>
      </c>
      <c r="C3427" s="83" t="s">
        <v>8787</v>
      </c>
      <c r="D3427" s="83" t="s">
        <v>8981</v>
      </c>
      <c r="E3427" s="84">
        <f>sch_disascal_hih_child_may_recruit</f>
        <v>0</v>
      </c>
      <c r="F3427" s="83" t="b">
        <v>1</v>
      </c>
      <c r="G3427" s="83"/>
      <c r="H3427" s="83"/>
    </row>
    <row r="3428" spans="1:8">
      <c r="A3428" s="83" t="s">
        <v>8788</v>
      </c>
      <c r="B3428" s="83" t="s">
        <v>8606</v>
      </c>
      <c r="C3428" s="83" t="s">
        <v>8788</v>
      </c>
      <c r="D3428" s="83" t="s">
        <v>8982</v>
      </c>
      <c r="E3428" s="84">
        <f>sch_disascal_hih_child_jun_sexual</f>
        <v>0</v>
      </c>
      <c r="F3428" s="83" t="b">
        <v>1</v>
      </c>
      <c r="G3428" s="83"/>
      <c r="H3428" s="83"/>
    </row>
    <row r="3429" spans="1:8">
      <c r="A3429" s="83" t="s">
        <v>8789</v>
      </c>
      <c r="B3429" s="83" t="s">
        <v>8606</v>
      </c>
      <c r="C3429" s="83" t="s">
        <v>8789</v>
      </c>
      <c r="D3429" s="83" t="s">
        <v>8983</v>
      </c>
      <c r="E3429" s="84">
        <f>sch_disascal_hih_child_jul_sexual</f>
        <v>0</v>
      </c>
      <c r="F3429" s="83" t="b">
        <v>1</v>
      </c>
      <c r="G3429" s="83"/>
      <c r="H3429" s="83"/>
    </row>
    <row r="3430" spans="1:8">
      <c r="A3430" s="83" t="s">
        <v>8790</v>
      </c>
      <c r="B3430" s="83" t="s">
        <v>8606</v>
      </c>
      <c r="C3430" s="83" t="s">
        <v>8790</v>
      </c>
      <c r="D3430" s="83" t="s">
        <v>8984</v>
      </c>
      <c r="E3430" s="84">
        <f>sch_disascal_hih_child_aug_sexual</f>
        <v>0</v>
      </c>
      <c r="F3430" s="83" t="b">
        <v>1</v>
      </c>
      <c r="G3430" s="83"/>
      <c r="H3430" s="83"/>
    </row>
    <row r="3431" spans="1:8">
      <c r="A3431" s="83" t="s">
        <v>8791</v>
      </c>
      <c r="B3431" s="83" t="s">
        <v>8606</v>
      </c>
      <c r="C3431" s="83" t="s">
        <v>8791</v>
      </c>
      <c r="D3431" s="83" t="s">
        <v>8985</v>
      </c>
      <c r="E3431" s="84">
        <f>sch_disascal_hih_child_sep_sexual</f>
        <v>0</v>
      </c>
      <c r="F3431" s="83" t="b">
        <v>1</v>
      </c>
      <c r="G3431" s="83"/>
      <c r="H3431" s="83"/>
    </row>
    <row r="3432" spans="1:8">
      <c r="A3432" s="83" t="s">
        <v>8792</v>
      </c>
      <c r="B3432" s="83" t="s">
        <v>8606</v>
      </c>
      <c r="C3432" s="83" t="s">
        <v>8792</v>
      </c>
      <c r="D3432" s="83" t="s">
        <v>8986</v>
      </c>
      <c r="E3432" s="84">
        <f>sch_disascal_hih_child_oct_sexual</f>
        <v>0</v>
      </c>
      <c r="F3432" s="83" t="b">
        <v>1</v>
      </c>
      <c r="G3432" s="83"/>
      <c r="H3432" s="83"/>
    </row>
    <row r="3433" spans="1:8">
      <c r="A3433" s="83" t="s">
        <v>8793</v>
      </c>
      <c r="B3433" s="83" t="s">
        <v>8606</v>
      </c>
      <c r="C3433" s="83" t="s">
        <v>8793</v>
      </c>
      <c r="D3433" s="83" t="s">
        <v>8987</v>
      </c>
      <c r="E3433" s="84">
        <f>sch_disascal_hih_child_nov_sexual</f>
        <v>0</v>
      </c>
      <c r="F3433" s="83" t="b">
        <v>1</v>
      </c>
      <c r="G3433" s="83"/>
      <c r="H3433" s="83"/>
    </row>
    <row r="3434" spans="1:8">
      <c r="A3434" s="83" t="s">
        <v>8794</v>
      </c>
      <c r="B3434" s="83" t="s">
        <v>8606</v>
      </c>
      <c r="C3434" s="83" t="s">
        <v>8794</v>
      </c>
      <c r="D3434" s="83" t="s">
        <v>8988</v>
      </c>
      <c r="E3434" s="84">
        <f>sch_disascal_hih_child_dec_sexual</f>
        <v>0</v>
      </c>
      <c r="F3434" s="83" t="b">
        <v>1</v>
      </c>
      <c r="G3434" s="83"/>
      <c r="H3434" s="83"/>
    </row>
    <row r="3435" spans="1:8">
      <c r="A3435" s="83" t="s">
        <v>8795</v>
      </c>
      <c r="B3435" s="83" t="s">
        <v>8606</v>
      </c>
      <c r="C3435" s="83" t="s">
        <v>8795</v>
      </c>
      <c r="D3435" s="83" t="s">
        <v>8989</v>
      </c>
      <c r="E3435" s="84">
        <f>sch_disascal_hih_child_jan_sexual</f>
        <v>0</v>
      </c>
      <c r="F3435" s="83" t="b">
        <v>1</v>
      </c>
      <c r="G3435" s="83"/>
      <c r="H3435" s="83"/>
    </row>
    <row r="3436" spans="1:8">
      <c r="A3436" s="83" t="s">
        <v>8796</v>
      </c>
      <c r="B3436" s="83" t="s">
        <v>8606</v>
      </c>
      <c r="C3436" s="83" t="s">
        <v>8796</v>
      </c>
      <c r="D3436" s="83" t="s">
        <v>8990</v>
      </c>
      <c r="E3436" s="84">
        <f>sch_disascal_hih_child_feb_sexual</f>
        <v>0</v>
      </c>
      <c r="F3436" s="83" t="b">
        <v>1</v>
      </c>
      <c r="G3436" s="83"/>
      <c r="H3436" s="83"/>
    </row>
    <row r="3437" spans="1:8">
      <c r="A3437" s="83" t="s">
        <v>8797</v>
      </c>
      <c r="B3437" s="83" t="s">
        <v>8606</v>
      </c>
      <c r="C3437" s="83" t="s">
        <v>8797</v>
      </c>
      <c r="D3437" s="83" t="s">
        <v>8991</v>
      </c>
      <c r="E3437" s="84">
        <f>sch_disascal_hih_child_mar_sexual</f>
        <v>0</v>
      </c>
      <c r="F3437" s="83" t="b">
        <v>1</v>
      </c>
      <c r="G3437" s="83"/>
      <c r="H3437" s="83"/>
    </row>
    <row r="3438" spans="1:8">
      <c r="A3438" s="83" t="s">
        <v>8798</v>
      </c>
      <c r="B3438" s="83" t="s">
        <v>8606</v>
      </c>
      <c r="C3438" s="83" t="s">
        <v>8798</v>
      </c>
      <c r="D3438" s="83" t="s">
        <v>8992</v>
      </c>
      <c r="E3438" s="84">
        <f>sch_disascal_hih_child_apr_sexual</f>
        <v>0</v>
      </c>
      <c r="F3438" s="83" t="b">
        <v>1</v>
      </c>
      <c r="G3438" s="83"/>
      <c r="H3438" s="83"/>
    </row>
    <row r="3439" spans="1:8" s="112" customFormat="1" ht="16" thickBot="1">
      <c r="A3439" s="85" t="s">
        <v>8799</v>
      </c>
      <c r="B3439" s="85" t="s">
        <v>8606</v>
      </c>
      <c r="C3439" s="85" t="s">
        <v>8799</v>
      </c>
      <c r="D3439" s="85" t="s">
        <v>8993</v>
      </c>
      <c r="E3439" s="86">
        <f>sch_disascal_hih_child_may_sexual</f>
        <v>0</v>
      </c>
      <c r="F3439" s="85" t="b">
        <v>1</v>
      </c>
      <c r="G3439" s="85"/>
      <c r="H3439" s="85"/>
    </row>
    <row r="3440" spans="1:8">
      <c r="A3440" s="83" t="s">
        <v>8994</v>
      </c>
      <c r="B3440" s="83" t="s">
        <v>8995</v>
      </c>
      <c r="C3440" s="83" t="s">
        <v>8994</v>
      </c>
      <c r="D3440" s="83" t="s">
        <v>9055</v>
      </c>
      <c r="E3440" s="84">
        <f>sch_result_disasinci_jun_num_cls</f>
        <v>0</v>
      </c>
      <c r="F3440" s="83" t="b">
        <v>1</v>
      </c>
      <c r="G3440" s="83"/>
      <c r="H3440" s="83"/>
    </row>
    <row r="3441" spans="1:8">
      <c r="A3441" s="83" t="s">
        <v>8996</v>
      </c>
      <c r="B3441" s="83" t="s">
        <v>8995</v>
      </c>
      <c r="C3441" s="83" t="s">
        <v>8996</v>
      </c>
      <c r="D3441" s="83" t="s">
        <v>9056</v>
      </c>
      <c r="E3441" s="84">
        <f>sch_result_disasinci_jul_num_cls</f>
        <v>0</v>
      </c>
      <c r="F3441" s="83" t="b">
        <v>1</v>
      </c>
      <c r="G3441" s="83"/>
      <c r="H3441" s="83"/>
    </row>
    <row r="3442" spans="1:8">
      <c r="A3442" s="83" t="s">
        <v>8997</v>
      </c>
      <c r="B3442" s="83" t="s">
        <v>8995</v>
      </c>
      <c r="C3442" s="83" t="s">
        <v>8997</v>
      </c>
      <c r="D3442" s="83" t="s">
        <v>9057</v>
      </c>
      <c r="E3442" s="84">
        <f>sch_result_disasinci_aug_num_cls</f>
        <v>0</v>
      </c>
      <c r="F3442" s="83" t="b">
        <v>1</v>
      </c>
      <c r="G3442" s="83"/>
      <c r="H3442" s="83"/>
    </row>
    <row r="3443" spans="1:8">
      <c r="A3443" s="83" t="s">
        <v>8998</v>
      </c>
      <c r="B3443" s="83" t="s">
        <v>8995</v>
      </c>
      <c r="C3443" s="83" t="s">
        <v>8998</v>
      </c>
      <c r="D3443" s="83" t="s">
        <v>9058</v>
      </c>
      <c r="E3443" s="84">
        <f>sch_result_disasinci_sep_num_cls</f>
        <v>0</v>
      </c>
      <c r="F3443" s="83" t="b">
        <v>1</v>
      </c>
      <c r="G3443" s="83"/>
      <c r="H3443" s="83"/>
    </row>
    <row r="3444" spans="1:8">
      <c r="A3444" s="83" t="s">
        <v>8999</v>
      </c>
      <c r="B3444" s="83" t="s">
        <v>8995</v>
      </c>
      <c r="C3444" s="83" t="s">
        <v>8999</v>
      </c>
      <c r="D3444" s="83" t="s">
        <v>9059</v>
      </c>
      <c r="E3444" s="84">
        <f>sch_result_disasinci_oct_num_cls</f>
        <v>0</v>
      </c>
      <c r="F3444" s="83" t="b">
        <v>1</v>
      </c>
      <c r="G3444" s="83"/>
      <c r="H3444" s="83"/>
    </row>
    <row r="3445" spans="1:8">
      <c r="A3445" s="83" t="s">
        <v>9000</v>
      </c>
      <c r="B3445" s="83" t="s">
        <v>8995</v>
      </c>
      <c r="C3445" s="83" t="s">
        <v>9000</v>
      </c>
      <c r="D3445" s="83" t="s">
        <v>9060</v>
      </c>
      <c r="E3445" s="84">
        <f>sch_result_disasinci_nov_num_cls</f>
        <v>0</v>
      </c>
      <c r="F3445" s="83" t="b">
        <v>1</v>
      </c>
      <c r="G3445" s="83"/>
      <c r="H3445" s="83"/>
    </row>
    <row r="3446" spans="1:8">
      <c r="A3446" s="83" t="s">
        <v>9001</v>
      </c>
      <c r="B3446" s="83" t="s">
        <v>8995</v>
      </c>
      <c r="C3446" s="83" t="s">
        <v>9001</v>
      </c>
      <c r="D3446" s="83" t="s">
        <v>9061</v>
      </c>
      <c r="E3446" s="84">
        <f>sch_result_disasinci_dec_num_cls</f>
        <v>0</v>
      </c>
      <c r="F3446" s="83" t="b">
        <v>1</v>
      </c>
      <c r="G3446" s="83"/>
      <c r="H3446" s="83"/>
    </row>
    <row r="3447" spans="1:8">
      <c r="A3447" s="83" t="s">
        <v>9002</v>
      </c>
      <c r="B3447" s="83" t="s">
        <v>8995</v>
      </c>
      <c r="C3447" s="83" t="s">
        <v>9002</v>
      </c>
      <c r="D3447" s="83" t="s">
        <v>9062</v>
      </c>
      <c r="E3447" s="84">
        <f>sch_result_disasinci_jan_num_cls</f>
        <v>0</v>
      </c>
      <c r="F3447" s="83" t="b">
        <v>1</v>
      </c>
      <c r="G3447" s="83"/>
      <c r="H3447" s="83"/>
    </row>
    <row r="3448" spans="1:8">
      <c r="A3448" s="83" t="s">
        <v>9003</v>
      </c>
      <c r="B3448" s="83" t="s">
        <v>8995</v>
      </c>
      <c r="C3448" s="83" t="s">
        <v>9003</v>
      </c>
      <c r="D3448" s="83" t="s">
        <v>9063</v>
      </c>
      <c r="E3448" s="84">
        <f>sch_result_disasinci_feb_num_cls</f>
        <v>0</v>
      </c>
      <c r="F3448" s="83" t="b">
        <v>1</v>
      </c>
      <c r="G3448" s="83"/>
      <c r="H3448" s="83"/>
    </row>
    <row r="3449" spans="1:8">
      <c r="A3449" s="83" t="s">
        <v>9004</v>
      </c>
      <c r="B3449" s="83" t="s">
        <v>8995</v>
      </c>
      <c r="C3449" s="83" t="s">
        <v>9004</v>
      </c>
      <c r="D3449" s="83" t="s">
        <v>9064</v>
      </c>
      <c r="E3449" s="84">
        <f>sch_result_disasinci_mar_num_cls</f>
        <v>0</v>
      </c>
      <c r="F3449" s="83" t="b">
        <v>1</v>
      </c>
      <c r="G3449" s="83"/>
      <c r="H3449" s="83"/>
    </row>
    <row r="3450" spans="1:8">
      <c r="A3450" s="83" t="s">
        <v>9005</v>
      </c>
      <c r="B3450" s="83" t="s">
        <v>8995</v>
      </c>
      <c r="C3450" s="83" t="s">
        <v>9005</v>
      </c>
      <c r="D3450" s="83" t="s">
        <v>9065</v>
      </c>
      <c r="E3450" s="84">
        <f>sch_result_disasinci_apr_num_cls</f>
        <v>0</v>
      </c>
      <c r="F3450" s="83" t="b">
        <v>1</v>
      </c>
      <c r="G3450" s="83"/>
      <c r="H3450" s="83"/>
    </row>
    <row r="3451" spans="1:8">
      <c r="A3451" s="83" t="s">
        <v>9006</v>
      </c>
      <c r="B3451" s="83" t="s">
        <v>8995</v>
      </c>
      <c r="C3451" s="83" t="s">
        <v>9006</v>
      </c>
      <c r="D3451" s="83" t="s">
        <v>9066</v>
      </c>
      <c r="E3451" s="84">
        <f>sch_result_disasinci_may_num_cls</f>
        <v>0</v>
      </c>
      <c r="F3451" s="83" t="b">
        <v>1</v>
      </c>
      <c r="G3451" s="83"/>
      <c r="H3451" s="83"/>
    </row>
    <row r="3452" spans="1:8">
      <c r="A3452" s="83" t="s">
        <v>9007</v>
      </c>
      <c r="B3452" s="83" t="s">
        <v>8995</v>
      </c>
      <c r="C3452" s="83" t="s">
        <v>9007</v>
      </c>
      <c r="D3452" s="83" t="s">
        <v>9067</v>
      </c>
      <c r="E3452" s="84">
        <f>sch_result_disasinci_jun_num_days</f>
        <v>0</v>
      </c>
      <c r="F3452" s="83" t="b">
        <v>1</v>
      </c>
      <c r="G3452" s="83"/>
      <c r="H3452" s="83"/>
    </row>
    <row r="3453" spans="1:8">
      <c r="A3453" s="83" t="s">
        <v>9008</v>
      </c>
      <c r="B3453" s="83" t="s">
        <v>8995</v>
      </c>
      <c r="C3453" s="83" t="s">
        <v>9008</v>
      </c>
      <c r="D3453" s="83" t="s">
        <v>9068</v>
      </c>
      <c r="E3453" s="84">
        <f>sch_result_disasinci_jul_num_days</f>
        <v>0</v>
      </c>
      <c r="F3453" s="83" t="b">
        <v>1</v>
      </c>
      <c r="G3453" s="83"/>
      <c r="H3453" s="83"/>
    </row>
    <row r="3454" spans="1:8">
      <c r="A3454" s="83" t="s">
        <v>9009</v>
      </c>
      <c r="B3454" s="83" t="s">
        <v>8995</v>
      </c>
      <c r="C3454" s="83" t="s">
        <v>9009</v>
      </c>
      <c r="D3454" s="83" t="s">
        <v>9069</v>
      </c>
      <c r="E3454" s="84">
        <f>sch_result_disasinci_aug_num_days</f>
        <v>0</v>
      </c>
      <c r="F3454" s="83" t="b">
        <v>1</v>
      </c>
      <c r="G3454" s="83"/>
      <c r="H3454" s="83"/>
    </row>
    <row r="3455" spans="1:8">
      <c r="A3455" s="83" t="s">
        <v>9010</v>
      </c>
      <c r="B3455" s="83" t="s">
        <v>8995</v>
      </c>
      <c r="C3455" s="83" t="s">
        <v>9010</v>
      </c>
      <c r="D3455" s="83" t="s">
        <v>9070</v>
      </c>
      <c r="E3455" s="84">
        <f>sch_result_disasinci_sep_num_days</f>
        <v>0</v>
      </c>
      <c r="F3455" s="83" t="b">
        <v>1</v>
      </c>
      <c r="G3455" s="83"/>
      <c r="H3455" s="83"/>
    </row>
    <row r="3456" spans="1:8">
      <c r="A3456" s="83" t="s">
        <v>9011</v>
      </c>
      <c r="B3456" s="83" t="s">
        <v>8995</v>
      </c>
      <c r="C3456" s="83" t="s">
        <v>9011</v>
      </c>
      <c r="D3456" s="83" t="s">
        <v>9071</v>
      </c>
      <c r="E3456" s="84">
        <f>sch_result_disasinci_oct_num_days</f>
        <v>0</v>
      </c>
      <c r="F3456" s="83" t="b">
        <v>1</v>
      </c>
      <c r="G3456" s="83"/>
      <c r="H3456" s="83"/>
    </row>
    <row r="3457" spans="1:8">
      <c r="A3457" s="83" t="s">
        <v>9012</v>
      </c>
      <c r="B3457" s="83" t="s">
        <v>8995</v>
      </c>
      <c r="C3457" s="83" t="s">
        <v>9012</v>
      </c>
      <c r="D3457" s="83" t="s">
        <v>9072</v>
      </c>
      <c r="E3457" s="84">
        <f>sch_result_disasinci_nov_num_days</f>
        <v>0</v>
      </c>
      <c r="F3457" s="83" t="b">
        <v>1</v>
      </c>
      <c r="G3457" s="83"/>
      <c r="H3457" s="83"/>
    </row>
    <row r="3458" spans="1:8">
      <c r="A3458" s="83" t="s">
        <v>9013</v>
      </c>
      <c r="B3458" s="83" t="s">
        <v>8995</v>
      </c>
      <c r="C3458" s="83" t="s">
        <v>9013</v>
      </c>
      <c r="D3458" s="83" t="s">
        <v>9073</v>
      </c>
      <c r="E3458" s="84">
        <f>sch_result_disasinci_dec_num_days</f>
        <v>0</v>
      </c>
      <c r="F3458" s="83" t="b">
        <v>1</v>
      </c>
      <c r="G3458" s="83"/>
      <c r="H3458" s="83"/>
    </row>
    <row r="3459" spans="1:8">
      <c r="A3459" s="83" t="s">
        <v>9014</v>
      </c>
      <c r="B3459" s="83" t="s">
        <v>8995</v>
      </c>
      <c r="C3459" s="83" t="s">
        <v>9014</v>
      </c>
      <c r="D3459" s="83" t="s">
        <v>9074</v>
      </c>
      <c r="E3459" s="84">
        <f>sch_result_disasinci_jan_num_days</f>
        <v>0</v>
      </c>
      <c r="F3459" s="83" t="b">
        <v>1</v>
      </c>
      <c r="G3459" s="83"/>
      <c r="H3459" s="83"/>
    </row>
    <row r="3460" spans="1:8">
      <c r="A3460" s="83" t="s">
        <v>9015</v>
      </c>
      <c r="B3460" s="83" t="s">
        <v>8995</v>
      </c>
      <c r="C3460" s="83" t="s">
        <v>9015</v>
      </c>
      <c r="D3460" s="83" t="s">
        <v>9075</v>
      </c>
      <c r="E3460" s="84">
        <f>sch_result_disasinci_feb_num_days</f>
        <v>0</v>
      </c>
      <c r="F3460" s="83" t="b">
        <v>1</v>
      </c>
      <c r="G3460" s="83"/>
      <c r="H3460" s="83"/>
    </row>
    <row r="3461" spans="1:8">
      <c r="A3461" s="83" t="s">
        <v>9016</v>
      </c>
      <c r="B3461" s="83" t="s">
        <v>8995</v>
      </c>
      <c r="C3461" s="83" t="s">
        <v>9016</v>
      </c>
      <c r="D3461" s="83" t="s">
        <v>9076</v>
      </c>
      <c r="E3461" s="84">
        <f>sch_result_disasinci_mar_num_days</f>
        <v>0</v>
      </c>
      <c r="F3461" s="83" t="b">
        <v>1</v>
      </c>
      <c r="G3461" s="83"/>
      <c r="H3461" s="83"/>
    </row>
    <row r="3462" spans="1:8">
      <c r="A3462" s="83" t="s">
        <v>9017</v>
      </c>
      <c r="B3462" s="83" t="s">
        <v>8995</v>
      </c>
      <c r="C3462" s="83" t="s">
        <v>9017</v>
      </c>
      <c r="D3462" s="83" t="s">
        <v>9077</v>
      </c>
      <c r="E3462" s="84">
        <f>sch_result_disasinci_apr_num_days</f>
        <v>0</v>
      </c>
      <c r="F3462" s="83" t="b">
        <v>1</v>
      </c>
      <c r="G3462" s="83"/>
      <c r="H3462" s="83"/>
    </row>
    <row r="3463" spans="1:8">
      <c r="A3463" s="83" t="s">
        <v>9018</v>
      </c>
      <c r="B3463" s="83" t="s">
        <v>8995</v>
      </c>
      <c r="C3463" s="83" t="s">
        <v>9018</v>
      </c>
      <c r="D3463" s="83" t="s">
        <v>9078</v>
      </c>
      <c r="E3463" s="84">
        <f>sch_result_disasinci_may_num_days</f>
        <v>0</v>
      </c>
      <c r="F3463" s="83" t="b">
        <v>1</v>
      </c>
      <c r="G3463" s="83"/>
      <c r="H3463" s="83"/>
    </row>
    <row r="3464" spans="1:8">
      <c r="A3464" s="83" t="s">
        <v>9019</v>
      </c>
      <c r="B3464" s="83" t="s">
        <v>8995</v>
      </c>
      <c r="C3464" s="83" t="s">
        <v>9019</v>
      </c>
      <c r="D3464" s="83" t="s">
        <v>9079</v>
      </c>
      <c r="E3464" s="84">
        <f>sch_result_disasinci_jun_num_suspend</f>
        <v>0</v>
      </c>
      <c r="F3464" s="83" t="b">
        <v>1</v>
      </c>
      <c r="G3464" s="83"/>
      <c r="H3464" s="83"/>
    </row>
    <row r="3465" spans="1:8">
      <c r="A3465" s="83" t="s">
        <v>9020</v>
      </c>
      <c r="B3465" s="83" t="s">
        <v>8995</v>
      </c>
      <c r="C3465" s="83" t="s">
        <v>9020</v>
      </c>
      <c r="D3465" s="83" t="s">
        <v>9080</v>
      </c>
      <c r="E3465" s="84">
        <f>sch_result_disasinci_jul_num_suspend</f>
        <v>0</v>
      </c>
      <c r="F3465" s="83" t="b">
        <v>1</v>
      </c>
      <c r="G3465" s="83"/>
      <c r="H3465" s="83"/>
    </row>
    <row r="3466" spans="1:8">
      <c r="A3466" s="83" t="s">
        <v>9021</v>
      </c>
      <c r="B3466" s="83" t="s">
        <v>8995</v>
      </c>
      <c r="C3466" s="83" t="s">
        <v>9021</v>
      </c>
      <c r="D3466" s="83" t="s">
        <v>9081</v>
      </c>
      <c r="E3466" s="84">
        <f>sch_result_disasinci_aug_num_suspend</f>
        <v>0</v>
      </c>
      <c r="F3466" s="83" t="b">
        <v>1</v>
      </c>
      <c r="G3466" s="83"/>
      <c r="H3466" s="83"/>
    </row>
    <row r="3467" spans="1:8">
      <c r="A3467" s="83" t="s">
        <v>9022</v>
      </c>
      <c r="B3467" s="83" t="s">
        <v>8995</v>
      </c>
      <c r="C3467" s="83" t="s">
        <v>9022</v>
      </c>
      <c r="D3467" s="83" t="s">
        <v>9082</v>
      </c>
      <c r="E3467" s="84">
        <f>sch_result_disasinci_sep_num_suspend</f>
        <v>0</v>
      </c>
      <c r="F3467" s="83" t="b">
        <v>1</v>
      </c>
      <c r="G3467" s="83"/>
      <c r="H3467" s="83"/>
    </row>
    <row r="3468" spans="1:8">
      <c r="A3468" s="83" t="s">
        <v>9023</v>
      </c>
      <c r="B3468" s="83" t="s">
        <v>8995</v>
      </c>
      <c r="C3468" s="83" t="s">
        <v>9023</v>
      </c>
      <c r="D3468" s="83" t="s">
        <v>9083</v>
      </c>
      <c r="E3468" s="84">
        <f>sch_result_disasinci_oct_num_suspend</f>
        <v>0</v>
      </c>
      <c r="F3468" s="83" t="b">
        <v>1</v>
      </c>
      <c r="G3468" s="83"/>
      <c r="H3468" s="83"/>
    </row>
    <row r="3469" spans="1:8">
      <c r="A3469" s="83" t="s">
        <v>9024</v>
      </c>
      <c r="B3469" s="83" t="s">
        <v>8995</v>
      </c>
      <c r="C3469" s="83" t="s">
        <v>9024</v>
      </c>
      <c r="D3469" s="83" t="s">
        <v>9084</v>
      </c>
      <c r="E3469" s="84">
        <f>sch_result_disasinci_nov_num_suspend</f>
        <v>0</v>
      </c>
      <c r="F3469" s="83" t="b">
        <v>1</v>
      </c>
      <c r="G3469" s="83"/>
      <c r="H3469" s="83"/>
    </row>
    <row r="3470" spans="1:8">
      <c r="A3470" s="83" t="s">
        <v>9025</v>
      </c>
      <c r="B3470" s="83" t="s">
        <v>8995</v>
      </c>
      <c r="C3470" s="83" t="s">
        <v>9025</v>
      </c>
      <c r="D3470" s="83" t="s">
        <v>9085</v>
      </c>
      <c r="E3470" s="84">
        <f>sch_result_disasinci_dec_num_suspend</f>
        <v>0</v>
      </c>
      <c r="F3470" s="83" t="b">
        <v>1</v>
      </c>
      <c r="G3470" s="83"/>
      <c r="H3470" s="83"/>
    </row>
    <row r="3471" spans="1:8">
      <c r="A3471" s="83" t="s">
        <v>9026</v>
      </c>
      <c r="B3471" s="83" t="s">
        <v>8995</v>
      </c>
      <c r="C3471" s="83" t="s">
        <v>9026</v>
      </c>
      <c r="D3471" s="83" t="s">
        <v>9086</v>
      </c>
      <c r="E3471" s="84">
        <f>sch_result_disasinci_jan_num_suspend</f>
        <v>0</v>
      </c>
      <c r="F3471" s="83" t="b">
        <v>1</v>
      </c>
      <c r="G3471" s="83"/>
      <c r="H3471" s="83"/>
    </row>
    <row r="3472" spans="1:8">
      <c r="A3472" s="83" t="s">
        <v>9027</v>
      </c>
      <c r="B3472" s="83" t="s">
        <v>8995</v>
      </c>
      <c r="C3472" s="83" t="s">
        <v>9027</v>
      </c>
      <c r="D3472" s="83" t="s">
        <v>9087</v>
      </c>
      <c r="E3472" s="84">
        <f>sch_result_disasinci_feb_num_suspend</f>
        <v>0</v>
      </c>
      <c r="F3472" s="83" t="b">
        <v>1</v>
      </c>
      <c r="G3472" s="83"/>
      <c r="H3472" s="83"/>
    </row>
    <row r="3473" spans="1:8">
      <c r="A3473" s="83" t="s">
        <v>9028</v>
      </c>
      <c r="B3473" s="83" t="s">
        <v>8995</v>
      </c>
      <c r="C3473" s="83" t="s">
        <v>9028</v>
      </c>
      <c r="D3473" s="83" t="s">
        <v>9088</v>
      </c>
      <c r="E3473" s="84">
        <f>sch_result_disasinci_mar_num_suspend</f>
        <v>0</v>
      </c>
      <c r="F3473" s="83" t="b">
        <v>1</v>
      </c>
      <c r="G3473" s="83"/>
      <c r="H3473" s="83"/>
    </row>
    <row r="3474" spans="1:8">
      <c r="A3474" s="83" t="s">
        <v>9029</v>
      </c>
      <c r="B3474" s="83" t="s">
        <v>8995</v>
      </c>
      <c r="C3474" s="83" t="s">
        <v>9029</v>
      </c>
      <c r="D3474" s="83" t="s">
        <v>9089</v>
      </c>
      <c r="E3474" s="84">
        <f>sch_result_disasinci_apr_num_suspend</f>
        <v>0</v>
      </c>
      <c r="F3474" s="83" t="b">
        <v>1</v>
      </c>
      <c r="G3474" s="83"/>
      <c r="H3474" s="83"/>
    </row>
    <row r="3475" spans="1:8">
      <c r="A3475" s="83" t="s">
        <v>9030</v>
      </c>
      <c r="B3475" s="83" t="s">
        <v>8995</v>
      </c>
      <c r="C3475" s="83" t="s">
        <v>9030</v>
      </c>
      <c r="D3475" s="83" t="s">
        <v>9090</v>
      </c>
      <c r="E3475" s="84">
        <f>sch_result_disasinci_may_num_suspend</f>
        <v>0</v>
      </c>
      <c r="F3475" s="83" t="b">
        <v>1</v>
      </c>
      <c r="G3475" s="83"/>
      <c r="H3475" s="83"/>
    </row>
    <row r="3476" spans="1:8">
      <c r="A3476" s="83" t="s">
        <v>9031</v>
      </c>
      <c r="B3476" s="83" t="s">
        <v>8995</v>
      </c>
      <c r="C3476" s="83" t="s">
        <v>9031</v>
      </c>
      <c r="D3476" s="83" t="s">
        <v>9091</v>
      </c>
      <c r="E3476" s="84">
        <f>sch_result_disasinci_jun_num_suspend_human_hazards</f>
        <v>0</v>
      </c>
      <c r="F3476" s="83" t="b">
        <v>1</v>
      </c>
      <c r="G3476" s="83"/>
      <c r="H3476" s="83"/>
    </row>
    <row r="3477" spans="1:8">
      <c r="A3477" s="83" t="s">
        <v>9032</v>
      </c>
      <c r="B3477" s="83" t="s">
        <v>8995</v>
      </c>
      <c r="C3477" s="83" t="s">
        <v>9032</v>
      </c>
      <c r="D3477" s="83" t="s">
        <v>9092</v>
      </c>
      <c r="E3477" s="84">
        <f>sch_result_disasinci_jul_num_suspend_human_hazards</f>
        <v>0</v>
      </c>
      <c r="F3477" s="83" t="b">
        <v>1</v>
      </c>
      <c r="G3477" s="83"/>
      <c r="H3477" s="83"/>
    </row>
    <row r="3478" spans="1:8">
      <c r="A3478" s="83" t="s">
        <v>9033</v>
      </c>
      <c r="B3478" s="83" t="s">
        <v>8995</v>
      </c>
      <c r="C3478" s="83" t="s">
        <v>9033</v>
      </c>
      <c r="D3478" s="83" t="s">
        <v>9093</v>
      </c>
      <c r="E3478" s="84">
        <f>sch_result_disasinci_aug_num_suspend_human_hazards</f>
        <v>0</v>
      </c>
      <c r="F3478" s="83" t="b">
        <v>1</v>
      </c>
      <c r="G3478" s="83"/>
      <c r="H3478" s="83"/>
    </row>
    <row r="3479" spans="1:8">
      <c r="A3479" s="83" t="s">
        <v>9034</v>
      </c>
      <c r="B3479" s="83" t="s">
        <v>8995</v>
      </c>
      <c r="C3479" s="83" t="s">
        <v>9034</v>
      </c>
      <c r="D3479" s="83" t="s">
        <v>9094</v>
      </c>
      <c r="E3479" s="84">
        <f>sch_result_disasinci_sep_num_suspend_human_hazards</f>
        <v>0</v>
      </c>
      <c r="F3479" s="83" t="b">
        <v>1</v>
      </c>
      <c r="G3479" s="83"/>
      <c r="H3479" s="83"/>
    </row>
    <row r="3480" spans="1:8">
      <c r="A3480" s="83" t="s">
        <v>9035</v>
      </c>
      <c r="B3480" s="83" t="s">
        <v>8995</v>
      </c>
      <c r="C3480" s="83" t="s">
        <v>9035</v>
      </c>
      <c r="D3480" s="83" t="s">
        <v>9095</v>
      </c>
      <c r="E3480" s="84">
        <f>sch_result_disasinci_oct_num_suspend_human_hazards</f>
        <v>0</v>
      </c>
      <c r="F3480" s="83" t="b">
        <v>1</v>
      </c>
      <c r="G3480" s="83"/>
      <c r="H3480" s="83"/>
    </row>
    <row r="3481" spans="1:8">
      <c r="A3481" s="83" t="s">
        <v>9036</v>
      </c>
      <c r="B3481" s="83" t="s">
        <v>8995</v>
      </c>
      <c r="C3481" s="83" t="s">
        <v>9036</v>
      </c>
      <c r="D3481" s="83" t="s">
        <v>9096</v>
      </c>
      <c r="E3481" s="84">
        <f>sch_result_disasinci_nov_num_suspend_human_hazards</f>
        <v>0</v>
      </c>
      <c r="F3481" s="83" t="b">
        <v>1</v>
      </c>
      <c r="G3481" s="83"/>
      <c r="H3481" s="83"/>
    </row>
    <row r="3482" spans="1:8">
      <c r="A3482" s="83" t="s">
        <v>9037</v>
      </c>
      <c r="B3482" s="83" t="s">
        <v>8995</v>
      </c>
      <c r="C3482" s="83" t="s">
        <v>9037</v>
      </c>
      <c r="D3482" s="83" t="s">
        <v>9097</v>
      </c>
      <c r="E3482" s="84">
        <f>sch_result_disasinci_dec_num_suspend_human_hazards</f>
        <v>0</v>
      </c>
      <c r="F3482" s="83" t="b">
        <v>1</v>
      </c>
      <c r="G3482" s="83"/>
      <c r="H3482" s="83"/>
    </row>
    <row r="3483" spans="1:8">
      <c r="A3483" s="83" t="s">
        <v>9038</v>
      </c>
      <c r="B3483" s="83" t="s">
        <v>8995</v>
      </c>
      <c r="C3483" s="83" t="s">
        <v>9038</v>
      </c>
      <c r="D3483" s="83" t="s">
        <v>9098</v>
      </c>
      <c r="E3483" s="84">
        <f>sch_result_disasinci_jan_num_suspend_human_hazards</f>
        <v>0</v>
      </c>
      <c r="F3483" s="83" t="b">
        <v>1</v>
      </c>
      <c r="G3483" s="83"/>
      <c r="H3483" s="83"/>
    </row>
    <row r="3484" spans="1:8">
      <c r="A3484" s="83" t="s">
        <v>9039</v>
      </c>
      <c r="B3484" s="83" t="s">
        <v>8995</v>
      </c>
      <c r="C3484" s="83" t="s">
        <v>9039</v>
      </c>
      <c r="D3484" s="83" t="s">
        <v>9099</v>
      </c>
      <c r="E3484" s="84">
        <f>sch_result_disasinci_feb_num_suspend_human_hazards</f>
        <v>0</v>
      </c>
      <c r="F3484" s="83" t="b">
        <v>1</v>
      </c>
      <c r="G3484" s="83"/>
      <c r="H3484" s="83"/>
    </row>
    <row r="3485" spans="1:8">
      <c r="A3485" s="83" t="s">
        <v>9040</v>
      </c>
      <c r="B3485" s="83" t="s">
        <v>8995</v>
      </c>
      <c r="C3485" s="83" t="s">
        <v>9040</v>
      </c>
      <c r="D3485" s="83" t="s">
        <v>9100</v>
      </c>
      <c r="E3485" s="84">
        <f>sch_result_disasinci_mar_num_suspend_human_hazards</f>
        <v>0</v>
      </c>
      <c r="F3485" s="83" t="b">
        <v>1</v>
      </c>
      <c r="G3485" s="83"/>
      <c r="H3485" s="83"/>
    </row>
    <row r="3486" spans="1:8">
      <c r="A3486" s="83" t="s">
        <v>9041</v>
      </c>
      <c r="B3486" s="83" t="s">
        <v>8995</v>
      </c>
      <c r="C3486" s="83" t="s">
        <v>9041</v>
      </c>
      <c r="D3486" s="83" t="s">
        <v>9101</v>
      </c>
      <c r="E3486" s="84">
        <f>sch_result_disasinci_apr_num_suspend_human_hazards</f>
        <v>0</v>
      </c>
      <c r="F3486" s="83" t="b">
        <v>1</v>
      </c>
      <c r="G3486" s="83"/>
      <c r="H3486" s="83"/>
    </row>
    <row r="3487" spans="1:8">
      <c r="A3487" s="83" t="s">
        <v>9042</v>
      </c>
      <c r="B3487" s="83" t="s">
        <v>8995</v>
      </c>
      <c r="C3487" s="83" t="s">
        <v>9042</v>
      </c>
      <c r="D3487" s="83" t="s">
        <v>9102</v>
      </c>
      <c r="E3487" s="84">
        <f>sch_result_disasinci_may_num_suspend_human_hazards</f>
        <v>0</v>
      </c>
      <c r="F3487" s="83" t="b">
        <v>1</v>
      </c>
      <c r="G3487" s="83"/>
      <c r="H3487" s="83"/>
    </row>
    <row r="3488" spans="1:8">
      <c r="A3488" s="83" t="s">
        <v>9043</v>
      </c>
      <c r="B3488" s="83" t="s">
        <v>8995</v>
      </c>
      <c r="C3488" s="83" t="s">
        <v>9043</v>
      </c>
      <c r="D3488" s="83" t="s">
        <v>9103</v>
      </c>
      <c r="E3488" s="84">
        <f>sch_result_disasinci_jun_num_arm_conflict</f>
        <v>0</v>
      </c>
      <c r="F3488" s="83" t="b">
        <v>1</v>
      </c>
      <c r="G3488" s="83"/>
      <c r="H3488" s="83"/>
    </row>
    <row r="3489" spans="1:8">
      <c r="A3489" s="83" t="s">
        <v>9044</v>
      </c>
      <c r="B3489" s="83" t="s">
        <v>8995</v>
      </c>
      <c r="C3489" s="83" t="s">
        <v>9044</v>
      </c>
      <c r="D3489" s="83" t="s">
        <v>9104</v>
      </c>
      <c r="E3489" s="84">
        <f>sch_result_disasinci_jul_num_arm_conflict</f>
        <v>0</v>
      </c>
      <c r="F3489" s="83" t="b">
        <v>1</v>
      </c>
      <c r="G3489" s="83"/>
      <c r="H3489" s="83"/>
    </row>
    <row r="3490" spans="1:8">
      <c r="A3490" s="83" t="s">
        <v>9045</v>
      </c>
      <c r="B3490" s="83" t="s">
        <v>8995</v>
      </c>
      <c r="C3490" s="83" t="s">
        <v>9045</v>
      </c>
      <c r="D3490" s="83" t="s">
        <v>9105</v>
      </c>
      <c r="E3490" s="84">
        <f>sch_result_disasinci_aug_num_arm_conflict</f>
        <v>0</v>
      </c>
      <c r="F3490" s="83" t="b">
        <v>1</v>
      </c>
      <c r="G3490" s="83"/>
      <c r="H3490" s="83"/>
    </row>
    <row r="3491" spans="1:8">
      <c r="A3491" s="83" t="s">
        <v>9046</v>
      </c>
      <c r="B3491" s="83" t="s">
        <v>8995</v>
      </c>
      <c r="C3491" s="83" t="s">
        <v>9046</v>
      </c>
      <c r="D3491" s="83" t="s">
        <v>9106</v>
      </c>
      <c r="E3491" s="84">
        <f>sch_result_disasinci_sep_num_arm_conflict</f>
        <v>0</v>
      </c>
      <c r="F3491" s="83" t="b">
        <v>1</v>
      </c>
      <c r="G3491" s="83"/>
      <c r="H3491" s="83"/>
    </row>
    <row r="3492" spans="1:8">
      <c r="A3492" s="83" t="s">
        <v>9047</v>
      </c>
      <c r="B3492" s="83" t="s">
        <v>8995</v>
      </c>
      <c r="C3492" s="83" t="s">
        <v>9047</v>
      </c>
      <c r="D3492" s="83" t="s">
        <v>9107</v>
      </c>
      <c r="E3492" s="84">
        <f>sch_result_disasinci_oct_num_arm_conflict</f>
        <v>0</v>
      </c>
      <c r="F3492" s="83" t="b">
        <v>1</v>
      </c>
      <c r="G3492" s="83"/>
      <c r="H3492" s="83"/>
    </row>
    <row r="3493" spans="1:8">
      <c r="A3493" s="83" t="s">
        <v>9048</v>
      </c>
      <c r="B3493" s="83" t="s">
        <v>8995</v>
      </c>
      <c r="C3493" s="83" t="s">
        <v>9048</v>
      </c>
      <c r="D3493" s="83" t="s">
        <v>9108</v>
      </c>
      <c r="E3493" s="84">
        <f>sch_result_disasinci_nov_num_arm_conflict</f>
        <v>0</v>
      </c>
      <c r="F3493" s="83" t="b">
        <v>1</v>
      </c>
      <c r="G3493" s="83"/>
      <c r="H3493" s="83"/>
    </row>
    <row r="3494" spans="1:8">
      <c r="A3494" s="83" t="s">
        <v>9049</v>
      </c>
      <c r="B3494" s="83" t="s">
        <v>8995</v>
      </c>
      <c r="C3494" s="83" t="s">
        <v>9049</v>
      </c>
      <c r="D3494" s="83" t="s">
        <v>9109</v>
      </c>
      <c r="E3494" s="84">
        <f>sch_result_disasinci_dec_num_arm_conflict</f>
        <v>0</v>
      </c>
      <c r="F3494" s="83" t="b">
        <v>1</v>
      </c>
      <c r="G3494" s="83"/>
      <c r="H3494" s="83"/>
    </row>
    <row r="3495" spans="1:8">
      <c r="A3495" s="83" t="s">
        <v>9050</v>
      </c>
      <c r="B3495" s="83" t="s">
        <v>8995</v>
      </c>
      <c r="C3495" s="83" t="s">
        <v>9050</v>
      </c>
      <c r="D3495" s="83" t="s">
        <v>9110</v>
      </c>
      <c r="E3495" s="84">
        <f>sch_result_disasinci_jan_num_arm_conflict</f>
        <v>0</v>
      </c>
      <c r="F3495" s="83" t="b">
        <v>1</v>
      </c>
      <c r="G3495" s="83"/>
      <c r="H3495" s="83"/>
    </row>
    <row r="3496" spans="1:8">
      <c r="A3496" s="83" t="s">
        <v>9051</v>
      </c>
      <c r="B3496" s="83" t="s">
        <v>8995</v>
      </c>
      <c r="C3496" s="83" t="s">
        <v>9051</v>
      </c>
      <c r="D3496" s="83" t="s">
        <v>9111</v>
      </c>
      <c r="E3496" s="84">
        <f>sch_result_disasinci_feb_num_arm_conflict</f>
        <v>0</v>
      </c>
      <c r="F3496" s="83" t="b">
        <v>1</v>
      </c>
      <c r="G3496" s="83"/>
      <c r="H3496" s="83"/>
    </row>
    <row r="3497" spans="1:8">
      <c r="A3497" s="83" t="s">
        <v>9052</v>
      </c>
      <c r="B3497" s="83" t="s">
        <v>8995</v>
      </c>
      <c r="C3497" s="83" t="s">
        <v>9052</v>
      </c>
      <c r="D3497" s="83" t="s">
        <v>9112</v>
      </c>
      <c r="E3497" s="84">
        <f>sch_result_disasinci_mar_num_arm_conflict</f>
        <v>0</v>
      </c>
      <c r="F3497" s="83" t="b">
        <v>1</v>
      </c>
      <c r="G3497" s="83"/>
      <c r="H3497" s="83"/>
    </row>
    <row r="3498" spans="1:8">
      <c r="A3498" s="83" t="s">
        <v>9053</v>
      </c>
      <c r="B3498" s="83" t="s">
        <v>8995</v>
      </c>
      <c r="C3498" s="83" t="s">
        <v>9053</v>
      </c>
      <c r="D3498" s="83" t="s">
        <v>9113</v>
      </c>
      <c r="E3498" s="84">
        <f>sch_result_disasinci_apr_num_arm_conflict</f>
        <v>0</v>
      </c>
      <c r="F3498" s="83" t="b">
        <v>1</v>
      </c>
      <c r="G3498" s="83"/>
      <c r="H3498" s="83"/>
    </row>
    <row r="3499" spans="1:8" s="112" customFormat="1" ht="16" thickBot="1">
      <c r="A3499" s="85" t="s">
        <v>9054</v>
      </c>
      <c r="B3499" s="85" t="s">
        <v>8995</v>
      </c>
      <c r="C3499" s="85" t="s">
        <v>9054</v>
      </c>
      <c r="D3499" s="85" t="s">
        <v>9114</v>
      </c>
      <c r="E3499" s="86">
        <f>sch_result_disasinci_may_num_arm_conflict</f>
        <v>0</v>
      </c>
      <c r="F3499" s="85" t="b">
        <v>1</v>
      </c>
      <c r="G3499" s="85"/>
      <c r="H3499" s="85"/>
    </row>
    <row r="3500" spans="1:8">
      <c r="A3500" s="83" t="s">
        <v>9115</v>
      </c>
      <c r="B3500" s="83" t="s">
        <v>9116</v>
      </c>
      <c r="C3500" s="83" t="s">
        <v>9115</v>
      </c>
      <c r="D3500" s="83" t="s">
        <v>9145</v>
      </c>
      <c r="E3500" s="84" t="b">
        <f>drrm_cca_policies_do82_2010</f>
        <v>0</v>
      </c>
      <c r="F3500" s="83" t="b">
        <f t="shared" ref="F3500:F3515" si="60">OR(E3500=TRUE, E3500=FALSE)</f>
        <v>1</v>
      </c>
      <c r="G3500" s="83" t="s">
        <v>2287</v>
      </c>
      <c r="H3500" s="83"/>
    </row>
    <row r="3501" spans="1:8">
      <c r="A3501" s="83" t="s">
        <v>9117</v>
      </c>
      <c r="B3501" s="83" t="s">
        <v>9116</v>
      </c>
      <c r="C3501" s="83" t="s">
        <v>9117</v>
      </c>
      <c r="D3501" s="83" t="s">
        <v>9146</v>
      </c>
      <c r="E3501" s="84" t="b">
        <f>drrm_cca_policies_do83_2011</f>
        <v>1</v>
      </c>
      <c r="F3501" s="83" t="b">
        <f t="shared" si="60"/>
        <v>1</v>
      </c>
      <c r="G3501" s="83" t="s">
        <v>2287</v>
      </c>
      <c r="H3501" s="83"/>
    </row>
    <row r="3502" spans="1:8">
      <c r="A3502" s="83" t="s">
        <v>9118</v>
      </c>
      <c r="B3502" s="83" t="s">
        <v>9116</v>
      </c>
      <c r="C3502" s="83" t="s">
        <v>9118</v>
      </c>
      <c r="D3502" s="83" t="s">
        <v>9147</v>
      </c>
      <c r="E3502" s="84" t="b">
        <f>drrm_cca_policies_do43_2012</f>
        <v>1</v>
      </c>
      <c r="F3502" s="83" t="b">
        <f t="shared" si="60"/>
        <v>1</v>
      </c>
      <c r="G3502" s="83" t="s">
        <v>2287</v>
      </c>
      <c r="H3502" s="83"/>
    </row>
    <row r="3503" spans="1:8">
      <c r="A3503" s="83" t="s">
        <v>9119</v>
      </c>
      <c r="B3503" s="83" t="s">
        <v>9116</v>
      </c>
      <c r="C3503" s="83" t="s">
        <v>9119</v>
      </c>
      <c r="D3503" s="83" t="s">
        <v>9148</v>
      </c>
      <c r="E3503" s="84" t="b">
        <f>drrm_cca_policies_do21_2015</f>
        <v>1</v>
      </c>
      <c r="F3503" s="83" t="b">
        <f t="shared" si="60"/>
        <v>1</v>
      </c>
      <c r="G3503" s="83" t="s">
        <v>2287</v>
      </c>
      <c r="H3503" s="83"/>
    </row>
    <row r="3504" spans="1:8">
      <c r="A3504" s="83" t="s">
        <v>9120</v>
      </c>
      <c r="B3504" s="83" t="s">
        <v>9116</v>
      </c>
      <c r="C3504" s="83" t="s">
        <v>9120</v>
      </c>
      <c r="D3504" s="83" t="s">
        <v>9149</v>
      </c>
      <c r="E3504" s="84" t="b">
        <f>drrm_cca_policies_do23_2015</f>
        <v>1</v>
      </c>
      <c r="F3504" s="83" t="b">
        <f t="shared" si="60"/>
        <v>1</v>
      </c>
      <c r="G3504" s="83" t="s">
        <v>2287</v>
      </c>
      <c r="H3504" s="83"/>
    </row>
    <row r="3505" spans="1:9">
      <c r="A3505" s="83" t="s">
        <v>9121</v>
      </c>
      <c r="B3505" s="83" t="s">
        <v>9116</v>
      </c>
      <c r="C3505" s="83" t="s">
        <v>9121</v>
      </c>
      <c r="D3505" s="83" t="s">
        <v>9150</v>
      </c>
      <c r="E3505" s="84" t="b">
        <f>drrm_cca_policies_do27_2015</f>
        <v>0</v>
      </c>
      <c r="F3505" s="83" t="b">
        <f t="shared" si="60"/>
        <v>1</v>
      </c>
      <c r="G3505" s="83" t="s">
        <v>2287</v>
      </c>
      <c r="H3505" s="83"/>
    </row>
    <row r="3506" spans="1:9">
      <c r="A3506" s="83" t="s">
        <v>9122</v>
      </c>
      <c r="B3506" s="83" t="s">
        <v>9116</v>
      </c>
      <c r="C3506" s="83" t="s">
        <v>9122</v>
      </c>
      <c r="D3506" s="83" t="s">
        <v>9151</v>
      </c>
      <c r="E3506" s="84" t="b">
        <f>drrm_cca_policies_do37_2015</f>
        <v>1</v>
      </c>
      <c r="F3506" s="83" t="b">
        <f t="shared" si="60"/>
        <v>1</v>
      </c>
      <c r="G3506" s="83" t="s">
        <v>2287</v>
      </c>
      <c r="H3506" s="83"/>
    </row>
    <row r="3507" spans="1:9">
      <c r="A3507" s="83" t="s">
        <v>9123</v>
      </c>
      <c r="B3507" s="83" t="s">
        <v>9116</v>
      </c>
      <c r="C3507" s="83" t="s">
        <v>9123</v>
      </c>
      <c r="D3507" s="83" t="s">
        <v>9152</v>
      </c>
      <c r="E3507" s="84" t="b">
        <f>drrm_cca_policies_do28_2016</f>
        <v>1</v>
      </c>
      <c r="F3507" s="83" t="b">
        <f t="shared" si="60"/>
        <v>1</v>
      </c>
      <c r="G3507" s="83" t="s">
        <v>2287</v>
      </c>
      <c r="H3507" s="83"/>
    </row>
    <row r="3508" spans="1:9">
      <c r="A3508" s="83" t="s">
        <v>9124</v>
      </c>
      <c r="B3508" s="83" t="s">
        <v>9116</v>
      </c>
      <c r="C3508" s="83" t="s">
        <v>9124</v>
      </c>
      <c r="D3508" s="83" t="s">
        <v>9153</v>
      </c>
      <c r="E3508" s="84" t="b">
        <f>drrm_cca_policies_do24_2021</f>
        <v>1</v>
      </c>
      <c r="F3508" s="83" t="b">
        <f t="shared" si="60"/>
        <v>1</v>
      </c>
      <c r="G3508" s="83" t="s">
        <v>2287</v>
      </c>
      <c r="H3508" s="83"/>
      <c r="I3508" s="110" t="s">
        <v>11532</v>
      </c>
    </row>
    <row r="3509" spans="1:9">
      <c r="A3509" s="83" t="s">
        <v>9125</v>
      </c>
      <c r="B3509" s="83" t="s">
        <v>9116</v>
      </c>
      <c r="C3509" s="83" t="s">
        <v>9125</v>
      </c>
      <c r="D3509" s="83" t="s">
        <v>9154</v>
      </c>
      <c r="E3509" s="84" t="b">
        <f>drrm_cca_policies_do33_2021</f>
        <v>1</v>
      </c>
      <c r="F3509" s="83" t="b">
        <f t="shared" si="60"/>
        <v>1</v>
      </c>
      <c r="G3509" s="83" t="s">
        <v>2287</v>
      </c>
      <c r="H3509" s="83"/>
      <c r="I3509" s="110" t="s">
        <v>11532</v>
      </c>
    </row>
    <row r="3510" spans="1:9">
      <c r="A3510" s="83" t="s">
        <v>9126</v>
      </c>
      <c r="B3510" s="83" t="s">
        <v>9116</v>
      </c>
      <c r="C3510" s="83" t="s">
        <v>9126</v>
      </c>
      <c r="D3510" s="83" t="s">
        <v>9155</v>
      </c>
      <c r="E3510" s="84" t="b">
        <f>drrm_cca_policies_dm084_2019</f>
        <v>1</v>
      </c>
      <c r="F3510" s="83" t="b">
        <f t="shared" si="60"/>
        <v>1</v>
      </c>
      <c r="G3510" s="83" t="s">
        <v>2287</v>
      </c>
      <c r="H3510" s="83"/>
      <c r="I3510" s="110" t="s">
        <v>11532</v>
      </c>
    </row>
    <row r="3511" spans="1:9">
      <c r="A3511" s="83" t="s">
        <v>9127</v>
      </c>
      <c r="B3511" s="83" t="s">
        <v>9116</v>
      </c>
      <c r="C3511" s="83" t="s">
        <v>9127</v>
      </c>
      <c r="D3511" s="83" t="s">
        <v>9156</v>
      </c>
      <c r="E3511" s="84" t="b">
        <f>drrm_cca_policies_do44_2005</f>
        <v>1</v>
      </c>
      <c r="F3511" s="83" t="b">
        <f t="shared" si="60"/>
        <v>1</v>
      </c>
      <c r="G3511" s="83" t="s">
        <v>2287</v>
      </c>
      <c r="H3511" s="83"/>
    </row>
    <row r="3512" spans="1:9">
      <c r="A3512" s="83" t="s">
        <v>9128</v>
      </c>
      <c r="B3512" s="83" t="s">
        <v>9116</v>
      </c>
      <c r="C3512" s="83" t="s">
        <v>9128</v>
      </c>
      <c r="D3512" s="83" t="s">
        <v>9157</v>
      </c>
      <c r="E3512" s="84" t="b">
        <f>drrm_cca_policies_do40_2012</f>
        <v>1</v>
      </c>
      <c r="F3512" s="83" t="b">
        <f t="shared" si="60"/>
        <v>1</v>
      </c>
      <c r="G3512" s="83" t="s">
        <v>2287</v>
      </c>
      <c r="H3512" s="83"/>
    </row>
    <row r="3513" spans="1:9">
      <c r="A3513" s="83" t="s">
        <v>9129</v>
      </c>
      <c r="B3513" s="83" t="s">
        <v>9116</v>
      </c>
      <c r="C3513" s="83" t="s">
        <v>9129</v>
      </c>
      <c r="D3513" s="83" t="s">
        <v>9158</v>
      </c>
      <c r="E3513" s="84" t="b">
        <f>drrm_cca_policies_do57_2017</f>
        <v>1</v>
      </c>
      <c r="F3513" s="83" t="b">
        <f t="shared" si="60"/>
        <v>1</v>
      </c>
      <c r="G3513" s="83" t="s">
        <v>2287</v>
      </c>
      <c r="H3513" s="83"/>
    </row>
    <row r="3514" spans="1:9">
      <c r="A3514" s="83" t="s">
        <v>9130</v>
      </c>
      <c r="B3514" s="83" t="s">
        <v>9116</v>
      </c>
      <c r="C3514" s="83" t="s">
        <v>9130</v>
      </c>
      <c r="D3514" s="83" t="s">
        <v>9159</v>
      </c>
      <c r="E3514" s="84" t="b">
        <f>drrm_cca_policies_do32_2019</f>
        <v>1</v>
      </c>
      <c r="F3514" s="83" t="b">
        <f t="shared" si="60"/>
        <v>1</v>
      </c>
      <c r="G3514" s="83" t="s">
        <v>2287</v>
      </c>
      <c r="H3514" s="83"/>
    </row>
    <row r="3515" spans="1:9">
      <c r="A3515" s="83" t="s">
        <v>9131</v>
      </c>
      <c r="B3515" s="83" t="s">
        <v>9116</v>
      </c>
      <c r="C3515" s="83" t="s">
        <v>9131</v>
      </c>
      <c r="D3515" s="83" t="s">
        <v>9160</v>
      </c>
      <c r="E3515" s="84" t="b">
        <f>drrm_cca_policies_dm221_2013</f>
        <v>1</v>
      </c>
      <c r="F3515" s="83" t="b">
        <f t="shared" si="60"/>
        <v>1</v>
      </c>
      <c r="G3515" s="83" t="s">
        <v>2287</v>
      </c>
      <c r="H3515" s="83"/>
    </row>
    <row r="3516" spans="1:9">
      <c r="A3516" s="83" t="s">
        <v>9132</v>
      </c>
      <c r="B3516" s="83" t="s">
        <v>9116</v>
      </c>
      <c r="C3516" s="83" t="s">
        <v>9132</v>
      </c>
      <c r="D3516" s="83" t="s">
        <v>9161</v>
      </c>
      <c r="E3516" s="84">
        <f>drrm_policy_learner_exclude_m</f>
        <v>524</v>
      </c>
      <c r="F3516" s="83" t="b">
        <v>1</v>
      </c>
      <c r="G3516" s="83"/>
      <c r="H3516" s="83"/>
      <c r="I3516" s="110" t="s">
        <v>11532</v>
      </c>
    </row>
    <row r="3517" spans="1:9">
      <c r="A3517" s="83" t="s">
        <v>9133</v>
      </c>
      <c r="B3517" s="83" t="s">
        <v>9116</v>
      </c>
      <c r="C3517" s="83" t="s">
        <v>9133</v>
      </c>
      <c r="D3517" s="83" t="s">
        <v>9162</v>
      </c>
      <c r="E3517" s="84">
        <f>drrm_policy_learner_exclude_f</f>
        <v>499</v>
      </c>
      <c r="F3517" s="83" t="b">
        <v>1</v>
      </c>
      <c r="G3517" s="83"/>
      <c r="H3517" s="83"/>
      <c r="I3517" s="110" t="s">
        <v>11532</v>
      </c>
    </row>
    <row r="3518" spans="1:9">
      <c r="A3518" s="83" t="s">
        <v>9134</v>
      </c>
      <c r="B3518" s="83" t="s">
        <v>9116</v>
      </c>
      <c r="C3518" s="83" t="s">
        <v>9134</v>
      </c>
      <c r="D3518" s="83" t="s">
        <v>9163</v>
      </c>
      <c r="E3518" s="84">
        <f>drrm_policy_learner_ip_m</f>
        <v>0</v>
      </c>
      <c r="F3518" s="83" t="b">
        <v>1</v>
      </c>
      <c r="G3518" s="83"/>
      <c r="H3518" s="83"/>
      <c r="I3518" s="110" t="s">
        <v>11532</v>
      </c>
    </row>
    <row r="3519" spans="1:9">
      <c r="A3519" s="83" t="s">
        <v>9135</v>
      </c>
      <c r="B3519" s="83" t="s">
        <v>9116</v>
      </c>
      <c r="C3519" s="83" t="s">
        <v>9135</v>
      </c>
      <c r="D3519" s="83" t="s">
        <v>9164</v>
      </c>
      <c r="E3519" s="84">
        <f>drrm_policy_learner_ip_f</f>
        <v>0</v>
      </c>
      <c r="F3519" s="83" t="b">
        <v>1</v>
      </c>
      <c r="G3519" s="83"/>
      <c r="H3519" s="83"/>
      <c r="I3519" s="110" t="s">
        <v>11532</v>
      </c>
    </row>
    <row r="3520" spans="1:9">
      <c r="A3520" s="83" t="s">
        <v>9136</v>
      </c>
      <c r="B3520" s="83" t="s">
        <v>9116</v>
      </c>
      <c r="C3520" s="83" t="s">
        <v>9136</v>
      </c>
      <c r="D3520" s="83" t="s">
        <v>9165</v>
      </c>
      <c r="E3520" s="84">
        <f>drrm_policy_learner_muslim_m</f>
        <v>0</v>
      </c>
      <c r="F3520" s="83" t="b">
        <v>1</v>
      </c>
      <c r="G3520" s="83"/>
      <c r="H3520" s="83"/>
      <c r="I3520" s="110" t="s">
        <v>11532</v>
      </c>
    </row>
    <row r="3521" spans="1:9">
      <c r="A3521" s="83" t="s">
        <v>9137</v>
      </c>
      <c r="B3521" s="83" t="s">
        <v>9116</v>
      </c>
      <c r="C3521" s="83" t="s">
        <v>9137</v>
      </c>
      <c r="D3521" s="83" t="s">
        <v>9166</v>
      </c>
      <c r="E3521" s="84">
        <f>drrm_policy_learner_muslim_f</f>
        <v>0</v>
      </c>
      <c r="F3521" s="83" t="b">
        <v>1</v>
      </c>
      <c r="G3521" s="83"/>
      <c r="H3521" s="83"/>
      <c r="I3521" s="110" t="s">
        <v>11532</v>
      </c>
    </row>
    <row r="3522" spans="1:9">
      <c r="A3522" s="83" t="s">
        <v>9138</v>
      </c>
      <c r="B3522" s="83" t="s">
        <v>9116</v>
      </c>
      <c r="C3522" s="83" t="s">
        <v>9138</v>
      </c>
      <c r="D3522" s="83" t="s">
        <v>9167</v>
      </c>
      <c r="E3522" s="84">
        <f>drrm_policy_learner_lwd_m</f>
        <v>39</v>
      </c>
      <c r="F3522" s="83" t="b">
        <v>1</v>
      </c>
      <c r="G3522" s="83"/>
      <c r="H3522" s="83"/>
      <c r="I3522" s="110" t="s">
        <v>11532</v>
      </c>
    </row>
    <row r="3523" spans="1:9">
      <c r="A3523" s="83" t="s">
        <v>9139</v>
      </c>
      <c r="B3523" s="83" t="s">
        <v>9116</v>
      </c>
      <c r="C3523" s="83" t="s">
        <v>9139</v>
      </c>
      <c r="D3523" s="83" t="s">
        <v>9168</v>
      </c>
      <c r="E3523" s="84">
        <f>drrm_policy_learner_lwd_f</f>
        <v>16</v>
      </c>
      <c r="F3523" s="83" t="b">
        <v>1</v>
      </c>
      <c r="G3523" s="83"/>
      <c r="H3523" s="83"/>
      <c r="I3523" s="110" t="s">
        <v>11532</v>
      </c>
    </row>
    <row r="3524" spans="1:9">
      <c r="A3524" s="83" t="s">
        <v>9140</v>
      </c>
      <c r="B3524" s="83" t="s">
        <v>9116</v>
      </c>
      <c r="C3524" s="83" t="s">
        <v>9140</v>
      </c>
      <c r="D3524" s="83" t="s">
        <v>9169</v>
      </c>
      <c r="E3524" s="84">
        <f>drrm_number_of_schoollevelpolicy_learners</f>
        <v>0</v>
      </c>
      <c r="F3524" s="83" t="b">
        <v>1</v>
      </c>
      <c r="G3524" s="83"/>
      <c r="H3524" s="83"/>
      <c r="I3524" s="110" t="s">
        <v>11532</v>
      </c>
    </row>
    <row r="3525" spans="1:9">
      <c r="A3525" s="83" t="s">
        <v>9141</v>
      </c>
      <c r="B3525" s="83" t="s">
        <v>9116</v>
      </c>
      <c r="C3525" s="83" t="s">
        <v>9141</v>
      </c>
      <c r="D3525" s="83" t="s">
        <v>9170</v>
      </c>
      <c r="E3525" s="84">
        <f>drrm_number_of_schoollevelpolicy_schpersonnel</f>
        <v>0</v>
      </c>
      <c r="F3525" s="83" t="b">
        <v>1</v>
      </c>
      <c r="G3525" s="83"/>
      <c r="H3525" s="83"/>
      <c r="I3525" s="110" t="s">
        <v>11532</v>
      </c>
    </row>
    <row r="3526" spans="1:9">
      <c r="A3526" s="83" t="s">
        <v>9142</v>
      </c>
      <c r="B3526" s="83" t="s">
        <v>9116</v>
      </c>
      <c r="C3526" s="83" t="s">
        <v>9142</v>
      </c>
      <c r="D3526" s="83" t="s">
        <v>9171</v>
      </c>
      <c r="E3526" s="84">
        <f>drrm_number_of_schoollevelpolicy_parents</f>
        <v>0</v>
      </c>
      <c r="F3526" s="83" t="b">
        <v>1</v>
      </c>
      <c r="G3526" s="83"/>
      <c r="H3526" s="83"/>
      <c r="I3526" s="110" t="s">
        <v>11532</v>
      </c>
    </row>
    <row r="3527" spans="1:9">
      <c r="A3527" s="83" t="s">
        <v>9143</v>
      </c>
      <c r="B3527" s="83" t="s">
        <v>9116</v>
      </c>
      <c r="C3527" s="83" t="s">
        <v>9143</v>
      </c>
      <c r="D3527" s="83" t="s">
        <v>9172</v>
      </c>
      <c r="E3527" s="84">
        <f>drrm_number_of_schoollevelpolicy_lgu</f>
        <v>0</v>
      </c>
      <c r="F3527" s="83" t="b">
        <v>1</v>
      </c>
      <c r="G3527" s="83"/>
      <c r="H3527" s="83"/>
      <c r="I3527" s="110" t="s">
        <v>11532</v>
      </c>
    </row>
    <row r="3528" spans="1:9" ht="16" thickBot="1">
      <c r="A3528" s="85" t="s">
        <v>9144</v>
      </c>
      <c r="B3528" s="85" t="s">
        <v>9116</v>
      </c>
      <c r="C3528" s="85" t="s">
        <v>9144</v>
      </c>
      <c r="D3528" s="85" t="s">
        <v>9173</v>
      </c>
      <c r="E3528" s="86">
        <f>drrm_number_of_schoollevelpolicy_ngo</f>
        <v>0</v>
      </c>
      <c r="F3528" s="85" t="b">
        <v>1</v>
      </c>
      <c r="G3528" s="85"/>
      <c r="H3528" s="85"/>
      <c r="I3528" s="110" t="s">
        <v>11532</v>
      </c>
    </row>
    <row r="3529" spans="1:9">
      <c r="A3529" s="83" t="s">
        <v>9180</v>
      </c>
      <c r="B3529" s="83" t="s">
        <v>9116</v>
      </c>
      <c r="C3529" s="83" t="s">
        <v>9180</v>
      </c>
      <c r="D3529" s="83" t="s">
        <v>9174</v>
      </c>
      <c r="E3529" s="84" t="b">
        <f>drrm_sch_compre_drrm_ccam_pbp_chk</f>
        <v>0</v>
      </c>
      <c r="F3529" s="83" t="b">
        <f t="shared" ref="F3529:F3537" si="61">OR(E3529=TRUE, E3529=FALSE)</f>
        <v>1</v>
      </c>
      <c r="G3529" s="83" t="s">
        <v>2287</v>
      </c>
      <c r="H3529" s="83"/>
      <c r="I3529" s="110" t="s">
        <v>11532</v>
      </c>
    </row>
    <row r="3530" spans="1:9">
      <c r="A3530" s="83" t="s">
        <v>9181</v>
      </c>
      <c r="B3530" s="83" t="s">
        <v>9116</v>
      </c>
      <c r="C3530" s="83" t="s">
        <v>9181</v>
      </c>
      <c r="D3530" s="83" t="s">
        <v>9175</v>
      </c>
      <c r="E3530" s="84" t="b">
        <f>drrm_sch_drrmccampbp_develop_chk_schpersonnel</f>
        <v>1</v>
      </c>
      <c r="F3530" s="83" t="b">
        <f t="shared" si="61"/>
        <v>1</v>
      </c>
      <c r="G3530" s="83" t="s">
        <v>2287</v>
      </c>
      <c r="H3530" s="83"/>
      <c r="I3530" s="110" t="s">
        <v>11532</v>
      </c>
    </row>
    <row r="3531" spans="1:9">
      <c r="A3531" s="83" t="s">
        <v>9182</v>
      </c>
      <c r="B3531" s="83" t="s">
        <v>9116</v>
      </c>
      <c r="C3531" s="83" t="s">
        <v>9182</v>
      </c>
      <c r="D3531" s="83" t="s">
        <v>9176</v>
      </c>
      <c r="E3531" s="84" t="b">
        <f>drrm_sch_drrmccampbp_develop_chk_parents</f>
        <v>1</v>
      </c>
      <c r="F3531" s="83" t="b">
        <f t="shared" si="61"/>
        <v>1</v>
      </c>
      <c r="G3531" s="83" t="s">
        <v>2287</v>
      </c>
      <c r="H3531" s="83"/>
      <c r="I3531" s="110" t="s">
        <v>11532</v>
      </c>
    </row>
    <row r="3532" spans="1:9">
      <c r="A3532" s="83" t="s">
        <v>9183</v>
      </c>
      <c r="B3532" s="83" t="s">
        <v>9116</v>
      </c>
      <c r="C3532" s="83" t="s">
        <v>9183</v>
      </c>
      <c r="D3532" s="83" t="s">
        <v>9177</v>
      </c>
      <c r="E3532" s="84" t="b">
        <f>drrm_sch_drrmccampbp_develop_chk_lgu</f>
        <v>1</v>
      </c>
      <c r="F3532" s="83" t="b">
        <f t="shared" si="61"/>
        <v>1</v>
      </c>
      <c r="G3532" s="83" t="s">
        <v>2287</v>
      </c>
      <c r="H3532" s="83"/>
      <c r="I3532" s="110" t="s">
        <v>11532</v>
      </c>
    </row>
    <row r="3533" spans="1:9">
      <c r="A3533" s="83" t="s">
        <v>9184</v>
      </c>
      <c r="B3533" s="83" t="s">
        <v>9116</v>
      </c>
      <c r="C3533" s="83" t="s">
        <v>9184</v>
      </c>
      <c r="D3533" s="83" t="s">
        <v>9178</v>
      </c>
      <c r="E3533" s="84" t="b">
        <f>drrm_sch_drrmccampbp_develop_chk_extpartners</f>
        <v>1</v>
      </c>
      <c r="F3533" s="83" t="b">
        <f t="shared" si="61"/>
        <v>1</v>
      </c>
      <c r="G3533" s="83" t="s">
        <v>2287</v>
      </c>
      <c r="H3533" s="83"/>
      <c r="I3533" s="110" t="s">
        <v>11532</v>
      </c>
    </row>
    <row r="3534" spans="1:9">
      <c r="A3534" s="83" t="s">
        <v>9185</v>
      </c>
      <c r="B3534" s="83" t="s">
        <v>9116</v>
      </c>
      <c r="C3534" s="83" t="s">
        <v>9185</v>
      </c>
      <c r="D3534" s="83" t="s">
        <v>9179</v>
      </c>
      <c r="E3534" s="84" t="b">
        <f>drrm_sch_drrmccampbp_consider_lwd_chk</f>
        <v>1</v>
      </c>
      <c r="F3534" s="83" t="b">
        <f t="shared" si="61"/>
        <v>1</v>
      </c>
      <c r="G3534" s="83" t="s">
        <v>2287</v>
      </c>
      <c r="H3534" s="83"/>
      <c r="I3534" s="110" t="s">
        <v>11532</v>
      </c>
    </row>
    <row r="3535" spans="1:9">
      <c r="A3535" s="83" t="s">
        <v>9186</v>
      </c>
      <c r="B3535" s="83" t="s">
        <v>9116</v>
      </c>
      <c r="C3535" s="83" t="s">
        <v>9186</v>
      </c>
      <c r="D3535" s="83" t="s">
        <v>9197</v>
      </c>
      <c r="E3535" s="84" t="b">
        <f>drrm_sch_drrmccampbp_consider_iksp_chk</f>
        <v>1</v>
      </c>
      <c r="F3535" s="83" t="b">
        <f t="shared" si="61"/>
        <v>1</v>
      </c>
      <c r="G3535" s="83" t="s">
        <v>2287</v>
      </c>
      <c r="H3535" s="83"/>
      <c r="I3535" s="110" t="s">
        <v>11532</v>
      </c>
    </row>
    <row r="3536" spans="1:9">
      <c r="A3536" s="83" t="s">
        <v>9187</v>
      </c>
      <c r="B3536" s="83" t="s">
        <v>9116</v>
      </c>
      <c r="C3536" s="83" t="s">
        <v>9187</v>
      </c>
      <c r="D3536" s="83" t="s">
        <v>9198</v>
      </c>
      <c r="E3536" s="84" t="b">
        <f>drrm_sch_drrmccampbp_gender_sensitive_chk</f>
        <v>1</v>
      </c>
      <c r="F3536" s="83" t="b">
        <f t="shared" si="61"/>
        <v>1</v>
      </c>
      <c r="G3536" s="83" t="s">
        <v>2287</v>
      </c>
      <c r="H3536" s="83"/>
      <c r="I3536" s="110" t="s">
        <v>11532</v>
      </c>
    </row>
    <row r="3537" spans="1:9">
      <c r="A3537" s="83" t="s">
        <v>9188</v>
      </c>
      <c r="B3537" s="83" t="s">
        <v>9116</v>
      </c>
      <c r="C3537" s="83" t="s">
        <v>9188</v>
      </c>
      <c r="D3537" s="83" t="s">
        <v>9199</v>
      </c>
      <c r="E3537" s="84" t="b">
        <f>drrm_sch_compre_drrm_ccam_pbp_chk2</f>
        <v>1</v>
      </c>
      <c r="F3537" s="83" t="b">
        <f t="shared" si="61"/>
        <v>1</v>
      </c>
      <c r="G3537" s="83" t="s">
        <v>2287</v>
      </c>
      <c r="H3537" s="83"/>
      <c r="I3537" s="110" t="s">
        <v>11532</v>
      </c>
    </row>
    <row r="3538" spans="1:9">
      <c r="A3538" s="83" t="s">
        <v>9189</v>
      </c>
      <c r="B3538" s="83" t="s">
        <v>9116</v>
      </c>
      <c r="C3538" s="83" t="s">
        <v>9189</v>
      </c>
      <c r="D3538" s="83" t="s">
        <v>9200</v>
      </c>
      <c r="E3538" s="84">
        <f>drrm_learner_participated_drrmccampbp_exclude_m</f>
        <v>524</v>
      </c>
      <c r="F3538" s="83" t="b">
        <v>1</v>
      </c>
      <c r="G3538" s="83"/>
      <c r="H3538" s="83"/>
      <c r="I3538" s="110" t="s">
        <v>11532</v>
      </c>
    </row>
    <row r="3539" spans="1:9">
      <c r="A3539" s="83" t="s">
        <v>9190</v>
      </c>
      <c r="B3539" s="83" t="s">
        <v>9116</v>
      </c>
      <c r="C3539" s="83" t="s">
        <v>9190</v>
      </c>
      <c r="D3539" s="83" t="s">
        <v>9201</v>
      </c>
      <c r="E3539" s="84">
        <f>drrm_learner_participated_drrmccampbp_exclude_f</f>
        <v>499</v>
      </c>
      <c r="F3539" s="83" t="b">
        <v>1</v>
      </c>
      <c r="G3539" s="83"/>
      <c r="H3539" s="83"/>
      <c r="I3539" s="110" t="s">
        <v>11532</v>
      </c>
    </row>
    <row r="3540" spans="1:9">
      <c r="A3540" s="83" t="s">
        <v>9191</v>
      </c>
      <c r="B3540" s="83" t="s">
        <v>9116</v>
      </c>
      <c r="C3540" s="83" t="s">
        <v>9191</v>
      </c>
      <c r="D3540" s="83" t="s">
        <v>9202</v>
      </c>
      <c r="E3540" s="84">
        <f>drrm_learner_participated_drrmccampbp_ip_m</f>
        <v>0</v>
      </c>
      <c r="F3540" s="83" t="b">
        <v>1</v>
      </c>
      <c r="G3540" s="83"/>
      <c r="H3540" s="83"/>
      <c r="I3540" s="110" t="s">
        <v>11532</v>
      </c>
    </row>
    <row r="3541" spans="1:9">
      <c r="A3541" s="83" t="s">
        <v>9192</v>
      </c>
      <c r="B3541" s="83" t="s">
        <v>9116</v>
      </c>
      <c r="C3541" s="83" t="s">
        <v>9192</v>
      </c>
      <c r="D3541" s="83" t="s">
        <v>9203</v>
      </c>
      <c r="E3541" s="84">
        <f>drrm_learner_participated_drrmccampbp_ip_f</f>
        <v>0</v>
      </c>
      <c r="F3541" s="83" t="b">
        <v>1</v>
      </c>
      <c r="G3541" s="83"/>
      <c r="H3541" s="83"/>
      <c r="I3541" s="110" t="s">
        <v>11532</v>
      </c>
    </row>
    <row r="3542" spans="1:9">
      <c r="A3542" s="83" t="s">
        <v>9193</v>
      </c>
      <c r="B3542" s="83" t="s">
        <v>9116</v>
      </c>
      <c r="C3542" s="83" t="s">
        <v>9193</v>
      </c>
      <c r="D3542" s="83" t="s">
        <v>9204</v>
      </c>
      <c r="E3542" s="84">
        <f>drrm_learner_participated_drrmccampbp_muslim_m</f>
        <v>0</v>
      </c>
      <c r="F3542" s="83" t="b">
        <v>1</v>
      </c>
      <c r="G3542" s="83"/>
      <c r="H3542" s="83"/>
      <c r="I3542" s="110" t="s">
        <v>11532</v>
      </c>
    </row>
    <row r="3543" spans="1:9">
      <c r="A3543" s="83" t="s">
        <v>9194</v>
      </c>
      <c r="B3543" s="83" t="s">
        <v>9116</v>
      </c>
      <c r="C3543" s="83" t="s">
        <v>9194</v>
      </c>
      <c r="D3543" s="83" t="s">
        <v>9205</v>
      </c>
      <c r="E3543" s="84">
        <f>drrm_learner_participated_drrmccampbp_muslim_f</f>
        <v>0</v>
      </c>
      <c r="F3543" s="83" t="b">
        <v>1</v>
      </c>
      <c r="G3543" s="83"/>
      <c r="H3543" s="83"/>
      <c r="I3543" s="110" t="s">
        <v>11532</v>
      </c>
    </row>
    <row r="3544" spans="1:9">
      <c r="A3544" s="83" t="s">
        <v>9195</v>
      </c>
      <c r="B3544" s="83" t="s">
        <v>9116</v>
      </c>
      <c r="C3544" s="83" t="s">
        <v>9195</v>
      </c>
      <c r="D3544" s="83" t="s">
        <v>9206</v>
      </c>
      <c r="E3544" s="84">
        <f>drrm_learner_participated_drrmccampbp_lwd_m</f>
        <v>39</v>
      </c>
      <c r="F3544" s="83" t="b">
        <v>1</v>
      </c>
      <c r="G3544" s="83"/>
      <c r="H3544" s="83"/>
      <c r="I3544" s="110" t="s">
        <v>11532</v>
      </c>
    </row>
    <row r="3545" spans="1:9">
      <c r="A3545" s="83" t="s">
        <v>9196</v>
      </c>
      <c r="B3545" s="83" t="s">
        <v>9116</v>
      </c>
      <c r="C3545" s="83" t="s">
        <v>9196</v>
      </c>
      <c r="D3545" s="83" t="s">
        <v>9207</v>
      </c>
      <c r="E3545" s="84">
        <f>drrm_learner_participated_drrmccampbp_lwd_f</f>
        <v>16</v>
      </c>
      <c r="F3545" s="83" t="b">
        <v>1</v>
      </c>
      <c r="G3545" s="83"/>
      <c r="H3545" s="83"/>
      <c r="I3545" s="110" t="s">
        <v>11532</v>
      </c>
    </row>
    <row r="3546" spans="1:9">
      <c r="A3546" s="83" t="s">
        <v>9208</v>
      </c>
      <c r="B3546" s="83" t="s">
        <v>9116</v>
      </c>
      <c r="C3546" s="83" t="s">
        <v>9208</v>
      </c>
      <c r="D3546" s="83" t="s">
        <v>9219</v>
      </c>
      <c r="E3546" s="84" t="b">
        <f>drrm_sch_functional_drrm_team_chk</f>
        <v>1</v>
      </c>
      <c r="F3546" s="83" t="b">
        <f t="shared" ref="F3546:F3547" si="62">OR(E3546=TRUE, E3546=FALSE)</f>
        <v>1</v>
      </c>
      <c r="G3546" s="83" t="s">
        <v>2287</v>
      </c>
      <c r="H3546" s="83"/>
      <c r="I3546" s="110" t="s">
        <v>11532</v>
      </c>
    </row>
    <row r="3547" spans="1:9">
      <c r="A3547" s="83" t="s">
        <v>9209</v>
      </c>
      <c r="B3547" s="83" t="s">
        <v>9116</v>
      </c>
      <c r="C3547" s="83" t="s">
        <v>9209</v>
      </c>
      <c r="D3547" s="83" t="s">
        <v>9220</v>
      </c>
      <c r="E3547" s="84" t="b">
        <f>drrm_sch_designated_drrm_coor_chk</f>
        <v>1</v>
      </c>
      <c r="F3547" s="83" t="b">
        <f t="shared" si="62"/>
        <v>1</v>
      </c>
      <c r="G3547" s="83" t="s">
        <v>2287</v>
      </c>
      <c r="H3547" s="83"/>
      <c r="I3547" s="110" t="s">
        <v>11532</v>
      </c>
    </row>
    <row r="3548" spans="1:9">
      <c r="A3548" s="83" t="s">
        <v>9210</v>
      </c>
      <c r="B3548" s="83" t="s">
        <v>9116</v>
      </c>
      <c r="C3548" s="83" t="s">
        <v>9210</v>
      </c>
      <c r="D3548" s="83" t="s">
        <v>9221</v>
      </c>
      <c r="E3548" s="84">
        <f>drrm_drrm_no_of_ppas</f>
        <v>0</v>
      </c>
      <c r="F3548" s="83" t="b">
        <v>1</v>
      </c>
      <c r="G3548" s="83"/>
      <c r="H3548" s="83"/>
      <c r="I3548" s="110" t="s">
        <v>11532</v>
      </c>
    </row>
    <row r="3549" spans="1:9">
      <c r="A3549" s="83" t="s">
        <v>9211</v>
      </c>
      <c r="B3549" s="83" t="s">
        <v>9116</v>
      </c>
      <c r="C3549" s="83" t="s">
        <v>9211</v>
      </c>
      <c r="D3549" s="83" t="s">
        <v>9222</v>
      </c>
      <c r="E3549" s="117">
        <f>drrm_drrm_cost_of_ppas</f>
        <v>0</v>
      </c>
      <c r="F3549" s="83" t="b">
        <v>1</v>
      </c>
      <c r="G3549" s="83"/>
      <c r="H3549" s="83"/>
      <c r="I3549" s="110" t="s">
        <v>11532</v>
      </c>
    </row>
    <row r="3550" spans="1:9">
      <c r="A3550" s="83" t="s">
        <v>9212</v>
      </c>
      <c r="B3550" s="83" t="s">
        <v>9116</v>
      </c>
      <c r="C3550" s="83" t="s">
        <v>9212</v>
      </c>
      <c r="D3550" s="83" t="s">
        <v>9223</v>
      </c>
      <c r="E3550" s="1704">
        <f>drrm_drrm_percent_sch_budget</f>
        <v>0</v>
      </c>
      <c r="F3550" s="83" t="b">
        <v>1</v>
      </c>
      <c r="G3550" s="83"/>
      <c r="H3550" s="83"/>
      <c r="I3550" s="110" t="s">
        <v>11532</v>
      </c>
    </row>
    <row r="3551" spans="1:9">
      <c r="A3551" s="83" t="s">
        <v>9213</v>
      </c>
      <c r="B3551" s="83" t="s">
        <v>9116</v>
      </c>
      <c r="C3551" s="83" t="s">
        <v>9213</v>
      </c>
      <c r="D3551" s="83" t="s">
        <v>9224</v>
      </c>
      <c r="E3551" s="84">
        <f>drrm_ccam_no_of_ppas</f>
        <v>0</v>
      </c>
      <c r="F3551" s="83" t="b">
        <v>1</v>
      </c>
      <c r="G3551" s="83"/>
      <c r="H3551" s="83"/>
      <c r="I3551" s="110" t="s">
        <v>11532</v>
      </c>
    </row>
    <row r="3552" spans="1:9">
      <c r="A3552" s="83" t="s">
        <v>9214</v>
      </c>
      <c r="B3552" s="83" t="s">
        <v>9116</v>
      </c>
      <c r="C3552" s="83" t="s">
        <v>9214</v>
      </c>
      <c r="D3552" s="83" t="s">
        <v>9225</v>
      </c>
      <c r="E3552" s="117">
        <f>drrm_ccam_cost_of_ppas</f>
        <v>0</v>
      </c>
      <c r="F3552" s="83" t="b">
        <v>1</v>
      </c>
      <c r="G3552" s="83"/>
      <c r="H3552" s="83"/>
      <c r="I3552" s="110" t="s">
        <v>11532</v>
      </c>
    </row>
    <row r="3553" spans="1:9">
      <c r="A3553" s="83" t="s">
        <v>9215</v>
      </c>
      <c r="B3553" s="83" t="s">
        <v>9116</v>
      </c>
      <c r="C3553" s="83" t="s">
        <v>9215</v>
      </c>
      <c r="D3553" s="83" t="s">
        <v>9226</v>
      </c>
      <c r="E3553" s="1704">
        <f>drrm_ccam_percent_sch_budget</f>
        <v>0</v>
      </c>
      <c r="F3553" s="83" t="b">
        <v>1</v>
      </c>
      <c r="G3553" s="83"/>
      <c r="H3553" s="83"/>
      <c r="I3553" s="110" t="s">
        <v>11532</v>
      </c>
    </row>
    <row r="3554" spans="1:9">
      <c r="A3554" s="83" t="s">
        <v>9216</v>
      </c>
      <c r="B3554" s="83" t="s">
        <v>9116</v>
      </c>
      <c r="C3554" s="83" t="s">
        <v>9216</v>
      </c>
      <c r="D3554" s="83" t="s">
        <v>9227</v>
      </c>
      <c r="E3554" s="84">
        <f>drrm_pbuild_no_of_ppas</f>
        <v>0</v>
      </c>
      <c r="F3554" s="83" t="b">
        <v>1</v>
      </c>
      <c r="G3554" s="83"/>
      <c r="H3554" s="83"/>
      <c r="I3554" s="110" t="s">
        <v>11532</v>
      </c>
    </row>
    <row r="3555" spans="1:9">
      <c r="A3555" s="83" t="s">
        <v>9217</v>
      </c>
      <c r="B3555" s="83" t="s">
        <v>9116</v>
      </c>
      <c r="C3555" s="83" t="s">
        <v>9217</v>
      </c>
      <c r="D3555" s="83" t="s">
        <v>9228</v>
      </c>
      <c r="E3555" s="117">
        <f>drrm_pbuild_cost_of_ppas</f>
        <v>0</v>
      </c>
      <c r="F3555" s="83" t="b">
        <v>1</v>
      </c>
      <c r="G3555" s="83"/>
      <c r="H3555" s="83"/>
      <c r="I3555" s="110" t="s">
        <v>11532</v>
      </c>
    </row>
    <row r="3556" spans="1:9">
      <c r="A3556" s="83" t="s">
        <v>9218</v>
      </c>
      <c r="B3556" s="83" t="s">
        <v>9116</v>
      </c>
      <c r="C3556" s="83" t="s">
        <v>9218</v>
      </c>
      <c r="D3556" s="83" t="s">
        <v>9229</v>
      </c>
      <c r="E3556" s="1704">
        <f>drrm_pbuild_percent_sch_budget</f>
        <v>0</v>
      </c>
      <c r="F3556" s="83" t="b">
        <v>1</v>
      </c>
      <c r="G3556" s="83"/>
      <c r="H3556" s="83"/>
      <c r="I3556" s="110" t="s">
        <v>11532</v>
      </c>
    </row>
    <row r="3557" spans="1:9">
      <c r="A3557" s="83" t="s">
        <v>9230</v>
      </c>
      <c r="B3557" s="83" t="s">
        <v>9116</v>
      </c>
      <c r="C3557" s="83" t="s">
        <v>9230</v>
      </c>
      <c r="D3557" s="83" t="s">
        <v>9234</v>
      </c>
      <c r="E3557" s="84">
        <f>drrm_dim_personnel_trained_teaching_m</f>
        <v>1</v>
      </c>
      <c r="F3557" s="83" t="b">
        <v>1</v>
      </c>
      <c r="G3557" s="83"/>
      <c r="H3557" s="83"/>
      <c r="I3557" s="110" t="s">
        <v>11532</v>
      </c>
    </row>
    <row r="3558" spans="1:9">
      <c r="A3558" s="83" t="s">
        <v>9231</v>
      </c>
      <c r="B3558" s="83" t="s">
        <v>9116</v>
      </c>
      <c r="C3558" s="83" t="s">
        <v>9231</v>
      </c>
      <c r="D3558" s="83" t="s">
        <v>9235</v>
      </c>
      <c r="E3558" s="84">
        <f>drrm_dim_personnel_trained_teaching_f</f>
        <v>0</v>
      </c>
      <c r="F3558" s="83" t="b">
        <v>1</v>
      </c>
      <c r="G3558" s="83"/>
      <c r="H3558" s="83"/>
      <c r="I3558" s="110" t="s">
        <v>11532</v>
      </c>
    </row>
    <row r="3559" spans="1:9">
      <c r="A3559" s="83" t="s">
        <v>9232</v>
      </c>
      <c r="B3559" s="83" t="s">
        <v>9116</v>
      </c>
      <c r="C3559" s="83" t="s">
        <v>9232</v>
      </c>
      <c r="D3559" s="83" t="s">
        <v>9236</v>
      </c>
      <c r="E3559" s="84">
        <f>drrm_dim_personnel_trained_nteaching_m</f>
        <v>0</v>
      </c>
      <c r="F3559" s="83" t="b">
        <v>1</v>
      </c>
      <c r="G3559" s="83"/>
      <c r="H3559" s="83"/>
      <c r="I3559" s="110" t="s">
        <v>11532</v>
      </c>
    </row>
    <row r="3560" spans="1:9">
      <c r="A3560" s="83" t="s">
        <v>9233</v>
      </c>
      <c r="B3560" s="83" t="s">
        <v>9116</v>
      </c>
      <c r="C3560" s="83" t="s">
        <v>9233</v>
      </c>
      <c r="D3560" s="83" t="s">
        <v>9237</v>
      </c>
      <c r="E3560" s="84">
        <f>drrm_dim_personnel_trained_nteaching_f</f>
        <v>0</v>
      </c>
      <c r="F3560" s="83" t="b">
        <v>1</v>
      </c>
      <c r="G3560" s="83"/>
      <c r="H3560" s="83"/>
      <c r="I3560" s="110" t="s">
        <v>11532</v>
      </c>
    </row>
    <row r="3561" spans="1:9">
      <c r="A3561" s="83" t="s">
        <v>9241</v>
      </c>
      <c r="B3561" s="83" t="s">
        <v>9116</v>
      </c>
      <c r="C3561" s="83" t="s">
        <v>9241</v>
      </c>
      <c r="D3561" s="83" t="s">
        <v>9238</v>
      </c>
      <c r="E3561" s="84">
        <f>drrm_dim_trainings_for_teaching_nteaching_data_mgmt</f>
        <v>1</v>
      </c>
      <c r="F3561" s="83" t="b">
        <v>1</v>
      </c>
      <c r="G3561" s="83"/>
      <c r="H3561" s="83"/>
      <c r="I3561" s="110" t="s">
        <v>11532</v>
      </c>
    </row>
    <row r="3562" spans="1:9">
      <c r="A3562" s="83" t="s">
        <v>9242</v>
      </c>
      <c r="B3562" s="83" t="s">
        <v>9116</v>
      </c>
      <c r="C3562" s="83" t="s">
        <v>9242</v>
      </c>
      <c r="D3562" s="83" t="s">
        <v>9239</v>
      </c>
      <c r="E3562" s="84">
        <f>drrm_dim_evidence_based_drrmccampbp</f>
        <v>0</v>
      </c>
      <c r="F3562" s="83" t="b">
        <v>1</v>
      </c>
      <c r="G3562" s="83"/>
      <c r="H3562" s="83"/>
      <c r="I3562" s="110" t="s">
        <v>11532</v>
      </c>
    </row>
    <row r="3563" spans="1:9">
      <c r="A3563" s="83" t="s">
        <v>9243</v>
      </c>
      <c r="B3563" s="83" t="s">
        <v>9116</v>
      </c>
      <c r="C3563" s="83" t="s">
        <v>9243</v>
      </c>
      <c r="D3563" s="83" t="s">
        <v>9240</v>
      </c>
      <c r="E3563" s="84">
        <f>drrm_dim_programs_developed_based_research</f>
        <v>0</v>
      </c>
      <c r="F3563" s="83" t="b">
        <v>1</v>
      </c>
      <c r="G3563" s="83"/>
      <c r="H3563" s="83"/>
      <c r="I3563" s="110" t="s">
        <v>11532</v>
      </c>
    </row>
    <row r="3564" spans="1:9" s="112" customFormat="1" ht="16" thickBot="1">
      <c r="A3564" s="85" t="s">
        <v>9244</v>
      </c>
      <c r="B3564" s="85" t="s">
        <v>9116</v>
      </c>
      <c r="C3564" s="85" t="s">
        <v>9244</v>
      </c>
      <c r="D3564" s="85" t="s">
        <v>9245</v>
      </c>
      <c r="E3564" s="86" t="b">
        <f>drrm_dim_used_drrmccampbp_software_datacollect_chk</f>
        <v>1</v>
      </c>
      <c r="F3564" s="85" t="b">
        <f t="shared" ref="F3564:F3566" si="63">OR(E3564=TRUE, E3564=FALSE)</f>
        <v>1</v>
      </c>
      <c r="G3564" s="85" t="s">
        <v>2287</v>
      </c>
      <c r="H3564" s="85"/>
      <c r="I3564" s="121" t="s">
        <v>11532</v>
      </c>
    </row>
    <row r="3565" spans="1:9">
      <c r="A3565" s="83" t="s">
        <v>9246</v>
      </c>
      <c r="B3565" s="83" t="s">
        <v>9116</v>
      </c>
      <c r="C3565" s="83" t="s">
        <v>9246</v>
      </c>
      <c r="D3565" s="83" t="s">
        <v>9251</v>
      </c>
      <c r="E3565" s="84" t="b">
        <f>drrm_sch_monitoring_evaluation_implementing_drrmccampbp_chk</f>
        <v>1</v>
      </c>
      <c r="F3565" s="83" t="b">
        <f t="shared" si="63"/>
        <v>1</v>
      </c>
      <c r="G3565" s="83" t="s">
        <v>2287</v>
      </c>
      <c r="H3565" s="83"/>
      <c r="I3565" s="110" t="s">
        <v>11532</v>
      </c>
    </row>
    <row r="3566" spans="1:9">
      <c r="A3566" s="83" t="s">
        <v>9247</v>
      </c>
      <c r="B3566" s="83" t="s">
        <v>9116</v>
      </c>
      <c r="C3566" s="83" t="s">
        <v>9247</v>
      </c>
      <c r="D3566" s="83" t="s">
        <v>9252</v>
      </c>
      <c r="E3566" s="84" t="b">
        <f>drrm_sch_use_css_monitoring_chk</f>
        <v>1</v>
      </c>
      <c r="F3566" s="83" t="b">
        <f t="shared" si="63"/>
        <v>1</v>
      </c>
      <c r="G3566" s="83" t="s">
        <v>2287</v>
      </c>
      <c r="H3566" s="83"/>
      <c r="I3566" s="110" t="s">
        <v>11532</v>
      </c>
    </row>
    <row r="3567" spans="1:9">
      <c r="A3567" s="83" t="s">
        <v>9248</v>
      </c>
      <c r="B3567" s="83" t="s">
        <v>9116</v>
      </c>
      <c r="C3567" s="83" t="s">
        <v>9248</v>
      </c>
      <c r="D3567" s="83" t="s">
        <v>9253</v>
      </c>
      <c r="E3567" s="84">
        <f>drrm_documented_practices_drrmccam</f>
        <v>4</v>
      </c>
      <c r="F3567" s="83" t="b">
        <v>1</v>
      </c>
      <c r="G3567" s="83"/>
      <c r="H3567" s="83"/>
      <c r="I3567" s="110" t="s">
        <v>11532</v>
      </c>
    </row>
    <row r="3568" spans="1:9">
      <c r="A3568" s="83" t="s">
        <v>9249</v>
      </c>
      <c r="B3568" s="83" t="s">
        <v>9116</v>
      </c>
      <c r="C3568" s="83" t="s">
        <v>9249</v>
      </c>
      <c r="D3568" s="83" t="s">
        <v>9255</v>
      </c>
      <c r="E3568" s="84">
        <f>drrm_documented_practices_pbuilding</f>
        <v>0</v>
      </c>
      <c r="F3568" s="83" t="b">
        <v>1</v>
      </c>
      <c r="G3568" s="83"/>
      <c r="H3568" s="83"/>
      <c r="I3568" s="110" t="s">
        <v>11532</v>
      </c>
    </row>
    <row r="3569" spans="1:9" s="112" customFormat="1" ht="16" thickBot="1">
      <c r="A3569" s="85" t="s">
        <v>9250</v>
      </c>
      <c r="B3569" s="85" t="s">
        <v>9116</v>
      </c>
      <c r="C3569" s="85" t="s">
        <v>9250</v>
      </c>
      <c r="D3569" s="85" t="s">
        <v>9254</v>
      </c>
      <c r="E3569" s="86">
        <f>drrm_programs_developed_resultof_monitoring_evaluation_chk</f>
        <v>1</v>
      </c>
      <c r="F3569" s="85" t="b">
        <v>1</v>
      </c>
      <c r="G3569" s="85"/>
      <c r="H3569" s="85"/>
      <c r="I3569" s="121" t="s">
        <v>11532</v>
      </c>
    </row>
    <row r="3570" spans="1:9">
      <c r="A3570" s="83" t="s">
        <v>9269</v>
      </c>
      <c r="B3570" s="83" t="s">
        <v>9256</v>
      </c>
      <c r="C3570" s="83" t="s">
        <v>9269</v>
      </c>
      <c r="D3570" s="83" t="s">
        <v>9291</v>
      </c>
      <c r="E3570" s="84">
        <f>number_classroom_risk_instructional_safe</f>
        <v>27</v>
      </c>
      <c r="F3570" s="83" t="b">
        <v>1</v>
      </c>
      <c r="G3570" s="83"/>
      <c r="H3570" s="83"/>
      <c r="I3570" s="110" t="s">
        <v>11532</v>
      </c>
    </row>
    <row r="3571" spans="1:9">
      <c r="A3571" s="83" t="s">
        <v>9270</v>
      </c>
      <c r="B3571" s="83" t="s">
        <v>9256</v>
      </c>
      <c r="C3571" s="83" t="s">
        <v>9270</v>
      </c>
      <c r="D3571" s="83" t="s">
        <v>9292</v>
      </c>
      <c r="E3571" s="84">
        <f>number_classroom_risk_instructional_unsafe</f>
        <v>1</v>
      </c>
      <c r="F3571" s="83" t="b">
        <v>1</v>
      </c>
      <c r="G3571" s="83"/>
      <c r="H3571" s="83"/>
      <c r="I3571" s="110" t="s">
        <v>11532</v>
      </c>
    </row>
    <row r="3572" spans="1:9">
      <c r="A3572" s="83" t="s">
        <v>9271</v>
      </c>
      <c r="B3572" s="83" t="s">
        <v>9256</v>
      </c>
      <c r="C3572" s="83" t="s">
        <v>9271</v>
      </c>
      <c r="D3572" s="83" t="s">
        <v>9293</v>
      </c>
      <c r="E3572" s="84">
        <f>number_classroom_risk_noninstructional_safe</f>
        <v>3</v>
      </c>
      <c r="F3572" s="83" t="b">
        <v>1</v>
      </c>
      <c r="G3572" s="83"/>
      <c r="H3572" s="83"/>
      <c r="I3572" s="110" t="s">
        <v>11532</v>
      </c>
    </row>
    <row r="3573" spans="1:9">
      <c r="A3573" s="83" t="s">
        <v>9272</v>
      </c>
      <c r="B3573" s="83" t="s">
        <v>9256</v>
      </c>
      <c r="C3573" s="83" t="s">
        <v>9272</v>
      </c>
      <c r="D3573" s="83" t="s">
        <v>9294</v>
      </c>
      <c r="E3573" s="84">
        <f>number_classroom_risk_noninstructional_unsafe</f>
        <v>0</v>
      </c>
      <c r="F3573" s="83" t="b">
        <v>1</v>
      </c>
      <c r="G3573" s="83"/>
      <c r="H3573" s="83"/>
      <c r="I3573" s="110" t="s">
        <v>11532</v>
      </c>
    </row>
    <row r="3574" spans="1:9">
      <c r="A3574" s="83" t="s">
        <v>9273</v>
      </c>
      <c r="B3574" s="83" t="s">
        <v>9256</v>
      </c>
      <c r="C3574" s="83" t="s">
        <v>9273</v>
      </c>
      <c r="D3574" s="83" t="s">
        <v>9295</v>
      </c>
      <c r="E3574" s="84">
        <f>number_instruct_spaces_retrofitted</f>
        <v>0</v>
      </c>
      <c r="F3574" s="83" t="b">
        <v>1</v>
      </c>
      <c r="G3574" s="83"/>
      <c r="H3574" s="83"/>
      <c r="I3574" s="110" t="s">
        <v>11532</v>
      </c>
    </row>
    <row r="3575" spans="1:9">
      <c r="A3575" s="83" t="s">
        <v>9299</v>
      </c>
      <c r="B3575" s="83" t="s">
        <v>9256</v>
      </c>
      <c r="C3575" s="83" t="s">
        <v>9299</v>
      </c>
      <c r="D3575" s="83" t="s">
        <v>9296</v>
      </c>
      <c r="E3575" s="84">
        <f>number_noninstruct_spaces_retrofitted</f>
        <v>0</v>
      </c>
      <c r="F3575" s="83" t="b">
        <v>1</v>
      </c>
      <c r="G3575" s="83"/>
      <c r="H3575" s="83"/>
      <c r="I3575" s="110" t="s">
        <v>11532</v>
      </c>
    </row>
    <row r="3576" spans="1:9">
      <c r="A3576" s="83" t="s">
        <v>9274</v>
      </c>
      <c r="B3576" s="83" t="s">
        <v>9256</v>
      </c>
      <c r="C3576" s="83" t="s">
        <v>9274</v>
      </c>
      <c r="D3576" s="83" t="s">
        <v>9297</v>
      </c>
      <c r="E3576" s="84">
        <f>number_instruct_spaces_constructed_inclusive_resilient_design</f>
        <v>24</v>
      </c>
      <c r="F3576" s="83" t="b">
        <v>1</v>
      </c>
      <c r="G3576" s="83"/>
      <c r="H3576" s="83"/>
      <c r="I3576" s="110" t="s">
        <v>11532</v>
      </c>
    </row>
    <row r="3577" spans="1:9">
      <c r="A3577" s="83" t="s">
        <v>9275</v>
      </c>
      <c r="B3577" s="83" t="s">
        <v>9256</v>
      </c>
      <c r="C3577" s="83" t="s">
        <v>9275</v>
      </c>
      <c r="D3577" s="83" t="s">
        <v>9298</v>
      </c>
      <c r="E3577" s="84">
        <f>number_noninstruct_spaces_constructed_inclusive_resilient_design</f>
        <v>3</v>
      </c>
      <c r="F3577" s="83" t="b">
        <v>1</v>
      </c>
      <c r="G3577" s="83"/>
      <c r="H3577" s="83"/>
      <c r="I3577" s="110" t="s">
        <v>11532</v>
      </c>
    </row>
    <row r="3578" spans="1:9">
      <c r="A3578" s="83" t="s">
        <v>9277</v>
      </c>
      <c r="B3578" s="83" t="s">
        <v>9256</v>
      </c>
      <c r="C3578" s="83" t="s">
        <v>9277</v>
      </c>
      <c r="D3578" s="83" t="s">
        <v>9300</v>
      </c>
      <c r="E3578" s="84" t="b">
        <f>sch_struct_hazard_measure_floodwall</f>
        <v>0</v>
      </c>
      <c r="F3578" s="83" t="b">
        <f t="shared" ref="F3578:F3582" si="64">OR(E3578=TRUE, E3578=FALSE)</f>
        <v>1</v>
      </c>
      <c r="G3578" s="83" t="s">
        <v>2287</v>
      </c>
      <c r="H3578" s="83"/>
      <c r="I3578" s="110" t="s">
        <v>11532</v>
      </c>
    </row>
    <row r="3579" spans="1:9">
      <c r="A3579" s="83" t="s">
        <v>9278</v>
      </c>
      <c r="B3579" s="83" t="s">
        <v>9256</v>
      </c>
      <c r="C3579" s="83" t="s">
        <v>9278</v>
      </c>
      <c r="D3579" s="83" t="s">
        <v>9301</v>
      </c>
      <c r="E3579" s="84" t="b">
        <f>sch_struct_hazard_measure_firewall</f>
        <v>0</v>
      </c>
      <c r="F3579" s="83" t="b">
        <f t="shared" si="64"/>
        <v>1</v>
      </c>
      <c r="G3579" s="83" t="s">
        <v>2287</v>
      </c>
      <c r="H3579" s="83"/>
      <c r="I3579" s="110" t="s">
        <v>11532</v>
      </c>
    </row>
    <row r="3580" spans="1:9">
      <c r="A3580" s="83" t="s">
        <v>9276</v>
      </c>
      <c r="B3580" s="83" t="s">
        <v>9256</v>
      </c>
      <c r="C3580" s="83" t="s">
        <v>9276</v>
      </c>
      <c r="D3580" s="83" t="s">
        <v>9302</v>
      </c>
      <c r="E3580" s="84" t="b">
        <f>sch_struct_hazard_measure_seawall</f>
        <v>1</v>
      </c>
      <c r="F3580" s="83" t="b">
        <f t="shared" si="64"/>
        <v>1</v>
      </c>
      <c r="G3580" s="83" t="s">
        <v>2287</v>
      </c>
      <c r="H3580" s="83"/>
      <c r="I3580" s="110" t="s">
        <v>11532</v>
      </c>
    </row>
    <row r="3581" spans="1:9">
      <c r="A3581" s="83" t="s">
        <v>9279</v>
      </c>
      <c r="B3581" s="83" t="s">
        <v>9256</v>
      </c>
      <c r="C3581" s="83" t="s">
        <v>9279</v>
      </c>
      <c r="D3581" s="83" t="s">
        <v>9303</v>
      </c>
      <c r="E3581" s="84" t="b">
        <f>sch_struct_hazard_measure_slopeprotect</f>
        <v>0</v>
      </c>
      <c r="F3581" s="83" t="b">
        <f t="shared" si="64"/>
        <v>1</v>
      </c>
      <c r="G3581" s="83" t="s">
        <v>2287</v>
      </c>
      <c r="H3581" s="83"/>
      <c r="I3581" s="110" t="s">
        <v>11532</v>
      </c>
    </row>
    <row r="3582" spans="1:9">
      <c r="A3582" s="83" t="s">
        <v>9280</v>
      </c>
      <c r="B3582" s="83" t="s">
        <v>9256</v>
      </c>
      <c r="C3582" s="83" t="s">
        <v>9280</v>
      </c>
      <c r="D3582" s="83" t="s">
        <v>9304</v>
      </c>
      <c r="E3582" s="84" t="b">
        <f>sch_struct_hazard_measure_others</f>
        <v>0</v>
      </c>
      <c r="F3582" s="83" t="b">
        <f t="shared" si="64"/>
        <v>1</v>
      </c>
      <c r="G3582" s="83" t="s">
        <v>2287</v>
      </c>
      <c r="H3582" s="83"/>
      <c r="I3582" s="110" t="s">
        <v>11532</v>
      </c>
    </row>
    <row r="3583" spans="1:9">
      <c r="A3583" s="83" t="s">
        <v>9281</v>
      </c>
      <c r="B3583" s="83" t="s">
        <v>9256</v>
      </c>
      <c r="C3583" s="83" t="s">
        <v>9281</v>
      </c>
      <c r="D3583" s="83" t="s">
        <v>9305</v>
      </c>
      <c r="E3583" s="84">
        <f>sch_struct_hazard_measure_others_specify</f>
        <v>0</v>
      </c>
      <c r="F3583" s="83" t="b">
        <v>1</v>
      </c>
      <c r="G3583" s="83"/>
      <c r="H3583" s="83"/>
      <c r="I3583" s="110" t="s">
        <v>11532</v>
      </c>
    </row>
    <row r="3584" spans="1:9">
      <c r="A3584" s="83" t="s">
        <v>9282</v>
      </c>
      <c r="B3584" s="83" t="s">
        <v>9256</v>
      </c>
      <c r="C3584" s="83" t="s">
        <v>9282</v>
      </c>
      <c r="D3584" s="83" t="s">
        <v>9306</v>
      </c>
      <c r="E3584" s="84" t="b">
        <f>sch_nonstruct_hazard_measure_ns_slopeprotect</f>
        <v>0</v>
      </c>
      <c r="F3584" s="83" t="b">
        <f t="shared" ref="F3584:F3588" si="65">OR(E3584=TRUE, E3584=FALSE)</f>
        <v>1</v>
      </c>
      <c r="G3584" s="83" t="s">
        <v>2287</v>
      </c>
      <c r="H3584" s="83"/>
      <c r="I3584" s="110" t="s">
        <v>11532</v>
      </c>
    </row>
    <row r="3585" spans="1:9">
      <c r="A3585" s="83" t="s">
        <v>9283</v>
      </c>
      <c r="B3585" s="83" t="s">
        <v>9256</v>
      </c>
      <c r="C3585" s="83" t="s">
        <v>9283</v>
      </c>
      <c r="D3585" s="83" t="s">
        <v>9307</v>
      </c>
      <c r="E3585" s="84" t="b">
        <f>sch_nonstruct_hazard_measure_vegetation</f>
        <v>0</v>
      </c>
      <c r="F3585" s="83" t="b">
        <f t="shared" si="65"/>
        <v>1</v>
      </c>
      <c r="G3585" s="83" t="s">
        <v>2287</v>
      </c>
      <c r="H3585" s="83"/>
      <c r="I3585" s="110" t="s">
        <v>11532</v>
      </c>
    </row>
    <row r="3586" spans="1:9">
      <c r="A3586" s="83" t="s">
        <v>9284</v>
      </c>
      <c r="B3586" s="83" t="s">
        <v>9256</v>
      </c>
      <c r="C3586" s="83" t="s">
        <v>9284</v>
      </c>
      <c r="D3586" s="83" t="s">
        <v>9308</v>
      </c>
      <c r="E3586" s="84" t="b">
        <f>sch_nonstruct_hazard_measure_porlandscaping</f>
        <v>0</v>
      </c>
      <c r="F3586" s="83" t="b">
        <f t="shared" si="65"/>
        <v>1</v>
      </c>
      <c r="G3586" s="83" t="s">
        <v>2287</v>
      </c>
      <c r="H3586" s="83"/>
      <c r="I3586" s="110" t="s">
        <v>11532</v>
      </c>
    </row>
    <row r="3587" spans="1:9">
      <c r="A3587" s="83" t="s">
        <v>9285</v>
      </c>
      <c r="B3587" s="83" t="s">
        <v>9256</v>
      </c>
      <c r="C3587" s="83" t="s">
        <v>9285</v>
      </c>
      <c r="D3587" s="83" t="s">
        <v>9309</v>
      </c>
      <c r="E3587" s="84" t="b">
        <f>sch_nonstruct_hazard_measure_pruning</f>
        <v>0</v>
      </c>
      <c r="F3587" s="83" t="b">
        <f t="shared" si="65"/>
        <v>1</v>
      </c>
      <c r="G3587" s="83" t="s">
        <v>2287</v>
      </c>
      <c r="H3587" s="83"/>
      <c r="I3587" s="110" t="s">
        <v>11532</v>
      </c>
    </row>
    <row r="3588" spans="1:9">
      <c r="A3588" s="83" t="s">
        <v>9286</v>
      </c>
      <c r="B3588" s="83" t="s">
        <v>9256</v>
      </c>
      <c r="C3588" s="83" t="s">
        <v>9286</v>
      </c>
      <c r="D3588" s="83" t="s">
        <v>9310</v>
      </c>
      <c r="E3588" s="84" t="b">
        <f>sch_nonstruct_hazard_measure_others</f>
        <v>0</v>
      </c>
      <c r="F3588" s="83" t="b">
        <f t="shared" si="65"/>
        <v>1</v>
      </c>
      <c r="G3588" s="83" t="s">
        <v>2287</v>
      </c>
      <c r="H3588" s="83"/>
      <c r="I3588" s="110" t="s">
        <v>11532</v>
      </c>
    </row>
    <row r="3589" spans="1:9">
      <c r="A3589" s="83" t="s">
        <v>9287</v>
      </c>
      <c r="B3589" s="83" t="s">
        <v>9256</v>
      </c>
      <c r="C3589" s="83" t="s">
        <v>9287</v>
      </c>
      <c r="D3589" s="83" t="s">
        <v>9311</v>
      </c>
      <c r="E3589" s="84">
        <f>sch_nonstruct_hazard_measure_others_specify</f>
        <v>0</v>
      </c>
      <c r="F3589" s="83" t="b">
        <v>1</v>
      </c>
      <c r="G3589" s="83"/>
      <c r="H3589" s="83"/>
      <c r="I3589" s="110" t="s">
        <v>11532</v>
      </c>
    </row>
    <row r="3590" spans="1:9">
      <c r="A3590" s="83" t="s">
        <v>9288</v>
      </c>
      <c r="B3590" s="83" t="s">
        <v>9256</v>
      </c>
      <c r="C3590" s="83" t="s">
        <v>9288</v>
      </c>
      <c r="D3590" s="83" t="s">
        <v>9312</v>
      </c>
      <c r="E3590" s="84" t="b">
        <f>sch_conducts_regular_inspect_instruct_noninstruct_spaces</f>
        <v>1</v>
      </c>
      <c r="F3590" s="83" t="b">
        <f t="shared" ref="F3590:F3604" si="66">OR(E3590=TRUE, E3590=FALSE)</f>
        <v>1</v>
      </c>
      <c r="G3590" s="83" t="s">
        <v>2287</v>
      </c>
      <c r="H3590" s="83"/>
      <c r="I3590" s="110" t="s">
        <v>11532</v>
      </c>
    </row>
    <row r="3591" spans="1:9">
      <c r="A3591" s="83" t="s">
        <v>9289</v>
      </c>
      <c r="B3591" s="83" t="s">
        <v>9256</v>
      </c>
      <c r="C3591" s="83" t="s">
        <v>9289</v>
      </c>
      <c r="D3591" s="83" t="s">
        <v>9313</v>
      </c>
      <c r="E3591" s="84" t="b">
        <f>sch_head_budget_maintenance_instruct_noninstruct_spaces</f>
        <v>1</v>
      </c>
      <c r="F3591" s="83" t="b">
        <f t="shared" si="66"/>
        <v>1</v>
      </c>
      <c r="G3591" s="83" t="s">
        <v>2287</v>
      </c>
      <c r="H3591" s="83"/>
      <c r="I3591" s="110" t="s">
        <v>11532</v>
      </c>
    </row>
    <row r="3592" spans="1:9">
      <c r="A3592" s="83" t="s">
        <v>9290</v>
      </c>
      <c r="B3592" s="83" t="s">
        <v>9256</v>
      </c>
      <c r="C3592" s="83" t="s">
        <v>9290</v>
      </c>
      <c r="D3592" s="83" t="s">
        <v>9314</v>
      </c>
      <c r="E3592" s="84" t="b">
        <f>sch_maintain_regular_repair_instruct_noninstruct_spaces</f>
        <v>1</v>
      </c>
      <c r="F3592" s="83" t="b">
        <f t="shared" si="66"/>
        <v>1</v>
      </c>
      <c r="G3592" s="83" t="s">
        <v>2287</v>
      </c>
      <c r="H3592" s="83"/>
      <c r="I3592" s="110" t="s">
        <v>11532</v>
      </c>
    </row>
    <row r="3593" spans="1:9">
      <c r="A3593" s="83" t="s">
        <v>9257</v>
      </c>
      <c r="B3593" s="83" t="s">
        <v>9256</v>
      </c>
      <c r="C3593" s="83" t="s">
        <v>9257</v>
      </c>
      <c r="D3593" s="83" t="s">
        <v>9315</v>
      </c>
      <c r="E3593" s="84" t="b">
        <f>sch_safelearn_repair_y_jan</f>
        <v>0</v>
      </c>
      <c r="F3593" s="83" t="b">
        <f t="shared" si="66"/>
        <v>1</v>
      </c>
      <c r="G3593" s="83" t="s">
        <v>2287</v>
      </c>
      <c r="H3593" s="83"/>
    </row>
    <row r="3594" spans="1:9">
      <c r="A3594" s="83" t="s">
        <v>9258</v>
      </c>
      <c r="B3594" s="83" t="s">
        <v>9256</v>
      </c>
      <c r="C3594" s="83" t="s">
        <v>9258</v>
      </c>
      <c r="D3594" s="83" t="s">
        <v>9316</v>
      </c>
      <c r="E3594" s="84" t="b">
        <f>sch_safelearn_repair_y_feb</f>
        <v>0</v>
      </c>
      <c r="F3594" s="83" t="b">
        <f t="shared" si="66"/>
        <v>1</v>
      </c>
      <c r="G3594" s="83" t="s">
        <v>2287</v>
      </c>
      <c r="H3594" s="83"/>
    </row>
    <row r="3595" spans="1:9">
      <c r="A3595" s="83" t="s">
        <v>9259</v>
      </c>
      <c r="B3595" s="83" t="s">
        <v>9256</v>
      </c>
      <c r="C3595" s="83" t="s">
        <v>9259</v>
      </c>
      <c r="D3595" s="83" t="s">
        <v>9317</v>
      </c>
      <c r="E3595" s="84" t="b">
        <f>sch_safelearn_repair_y_mar</f>
        <v>0</v>
      </c>
      <c r="F3595" s="83" t="b">
        <f t="shared" si="66"/>
        <v>1</v>
      </c>
      <c r="G3595" s="83" t="s">
        <v>2287</v>
      </c>
      <c r="H3595" s="83"/>
    </row>
    <row r="3596" spans="1:9">
      <c r="A3596" s="83" t="s">
        <v>9260</v>
      </c>
      <c r="B3596" s="83" t="s">
        <v>9256</v>
      </c>
      <c r="C3596" s="83" t="s">
        <v>9260</v>
      </c>
      <c r="D3596" s="83" t="s">
        <v>9318</v>
      </c>
      <c r="E3596" s="84" t="b">
        <f>sch_safelearn_repair_y_apr</f>
        <v>0</v>
      </c>
      <c r="F3596" s="83" t="b">
        <f t="shared" si="66"/>
        <v>1</v>
      </c>
      <c r="G3596" s="83" t="s">
        <v>2287</v>
      </c>
      <c r="H3596" s="83"/>
    </row>
    <row r="3597" spans="1:9">
      <c r="A3597" s="83" t="s">
        <v>9261</v>
      </c>
      <c r="B3597" s="83" t="s">
        <v>9256</v>
      </c>
      <c r="C3597" s="83" t="s">
        <v>9261</v>
      </c>
      <c r="D3597" s="83" t="s">
        <v>9319</v>
      </c>
      <c r="E3597" s="84" t="b">
        <f>sch_safelearn_repair_y_may</f>
        <v>0</v>
      </c>
      <c r="F3597" s="83" t="b">
        <f t="shared" si="66"/>
        <v>1</v>
      </c>
      <c r="G3597" s="83" t="s">
        <v>2287</v>
      </c>
      <c r="H3597" s="83"/>
    </row>
    <row r="3598" spans="1:9">
      <c r="A3598" s="83" t="s">
        <v>9262</v>
      </c>
      <c r="B3598" s="83" t="s">
        <v>9256</v>
      </c>
      <c r="C3598" s="83" t="s">
        <v>9262</v>
      </c>
      <c r="D3598" s="83" t="s">
        <v>9320</v>
      </c>
      <c r="E3598" s="84" t="b">
        <f>sch_safelearn_repair_y_jun</f>
        <v>0</v>
      </c>
      <c r="F3598" s="83" t="b">
        <f t="shared" si="66"/>
        <v>1</v>
      </c>
      <c r="G3598" s="83" t="s">
        <v>2287</v>
      </c>
      <c r="H3598" s="83"/>
    </row>
    <row r="3599" spans="1:9">
      <c r="A3599" s="83" t="s">
        <v>9263</v>
      </c>
      <c r="B3599" s="83" t="s">
        <v>9256</v>
      </c>
      <c r="C3599" s="83" t="s">
        <v>9263</v>
      </c>
      <c r="D3599" s="83" t="s">
        <v>9321</v>
      </c>
      <c r="E3599" s="84" t="b">
        <f>sch_safelearn_repair_y_jul</f>
        <v>0</v>
      </c>
      <c r="F3599" s="83" t="b">
        <f t="shared" si="66"/>
        <v>1</v>
      </c>
      <c r="G3599" s="83" t="s">
        <v>2287</v>
      </c>
      <c r="H3599" s="83"/>
    </row>
    <row r="3600" spans="1:9">
      <c r="A3600" s="83" t="s">
        <v>9264</v>
      </c>
      <c r="B3600" s="83" t="s">
        <v>9256</v>
      </c>
      <c r="C3600" s="83" t="s">
        <v>9264</v>
      </c>
      <c r="D3600" s="83" t="s">
        <v>9322</v>
      </c>
      <c r="E3600" s="84" t="b">
        <f>sch_safelearn_repair_y_aug</f>
        <v>0</v>
      </c>
      <c r="F3600" s="83" t="b">
        <f t="shared" si="66"/>
        <v>1</v>
      </c>
      <c r="G3600" s="83" t="s">
        <v>2287</v>
      </c>
      <c r="H3600" s="83"/>
    </row>
    <row r="3601" spans="1:9">
      <c r="A3601" s="83" t="s">
        <v>9265</v>
      </c>
      <c r="B3601" s="83" t="s">
        <v>9256</v>
      </c>
      <c r="C3601" s="83" t="s">
        <v>9265</v>
      </c>
      <c r="D3601" s="83" t="s">
        <v>9323</v>
      </c>
      <c r="E3601" s="84" t="b">
        <f>sch_safelearn_repair_y_sep</f>
        <v>0</v>
      </c>
      <c r="F3601" s="83" t="b">
        <f t="shared" si="66"/>
        <v>1</v>
      </c>
      <c r="G3601" s="83" t="s">
        <v>2287</v>
      </c>
      <c r="H3601" s="83"/>
    </row>
    <row r="3602" spans="1:9">
      <c r="A3602" s="83" t="s">
        <v>9266</v>
      </c>
      <c r="B3602" s="83" t="s">
        <v>9256</v>
      </c>
      <c r="C3602" s="83" t="s">
        <v>9266</v>
      </c>
      <c r="D3602" s="83" t="s">
        <v>9324</v>
      </c>
      <c r="E3602" s="84" t="b">
        <f>sch_safelearn_repair_y_oct</f>
        <v>0</v>
      </c>
      <c r="F3602" s="83" t="b">
        <f t="shared" si="66"/>
        <v>1</v>
      </c>
      <c r="G3602" s="83" t="s">
        <v>2287</v>
      </c>
      <c r="H3602" s="83"/>
    </row>
    <row r="3603" spans="1:9">
      <c r="A3603" s="83" t="s">
        <v>9267</v>
      </c>
      <c r="B3603" s="83" t="s">
        <v>9256</v>
      </c>
      <c r="C3603" s="83" t="s">
        <v>9267</v>
      </c>
      <c r="D3603" s="83" t="s">
        <v>9325</v>
      </c>
      <c r="E3603" s="84" t="b">
        <f>sch_safelearn_repair_y_nov</f>
        <v>0</v>
      </c>
      <c r="F3603" s="83" t="b">
        <f t="shared" si="66"/>
        <v>1</v>
      </c>
      <c r="G3603" s="83" t="s">
        <v>2287</v>
      </c>
      <c r="H3603" s="83"/>
    </row>
    <row r="3604" spans="1:9" s="112" customFormat="1" ht="16" thickBot="1">
      <c r="A3604" s="85" t="s">
        <v>9268</v>
      </c>
      <c r="B3604" s="85" t="s">
        <v>9256</v>
      </c>
      <c r="C3604" s="85" t="s">
        <v>9268</v>
      </c>
      <c r="D3604" s="85" t="s">
        <v>9326</v>
      </c>
      <c r="E3604" s="86" t="b">
        <f>sch_safelearn_repair_y_dec</f>
        <v>0</v>
      </c>
      <c r="F3604" s="85" t="b">
        <f t="shared" si="66"/>
        <v>1</v>
      </c>
      <c r="G3604" s="85" t="s">
        <v>2287</v>
      </c>
      <c r="H3604" s="85"/>
    </row>
    <row r="3605" spans="1:9">
      <c r="A3605" s="83" t="s">
        <v>9327</v>
      </c>
      <c r="B3605" s="83" t="s">
        <v>9256</v>
      </c>
      <c r="C3605" s="83" t="s">
        <v>9327</v>
      </c>
      <c r="D3605" s="83" t="s">
        <v>9344</v>
      </c>
      <c r="E3605" s="84" t="b">
        <f>sch_safety_precaution_newold_bldg_construct</f>
        <v>0</v>
      </c>
      <c r="F3605" s="83" t="b">
        <f t="shared" ref="F3605" si="67">OR(E3605=TRUE, E3605=FALSE)</f>
        <v>1</v>
      </c>
      <c r="G3605" s="83" t="s">
        <v>2287</v>
      </c>
      <c r="H3605" s="83"/>
      <c r="I3605" s="110" t="s">
        <v>11532</v>
      </c>
    </row>
    <row r="3606" spans="1:9">
      <c r="A3606" s="83" t="s">
        <v>9328</v>
      </c>
      <c r="B3606" s="83" t="s">
        <v>9256</v>
      </c>
      <c r="C3606" s="83" t="s">
        <v>9328</v>
      </c>
      <c r="D3606" s="83" t="s">
        <v>9345</v>
      </c>
      <c r="E3606" s="84">
        <f>sch_repaired_fs_instruct_beff</f>
        <v>0</v>
      </c>
      <c r="F3606" s="83" t="b">
        <v>1</v>
      </c>
      <c r="G3606" s="83"/>
      <c r="H3606" s="83"/>
      <c r="I3606" s="110" t="s">
        <v>11532</v>
      </c>
    </row>
    <row r="3607" spans="1:9">
      <c r="A3607" s="83" t="s">
        <v>9329</v>
      </c>
      <c r="B3607" s="83" t="s">
        <v>9256</v>
      </c>
      <c r="C3607" s="83" t="s">
        <v>9329</v>
      </c>
      <c r="D3607" s="83" t="s">
        <v>9346</v>
      </c>
      <c r="E3607" s="84">
        <f>sch_repaired_fs_instruct_qrf</f>
        <v>0</v>
      </c>
      <c r="F3607" s="83" t="b">
        <v>1</v>
      </c>
      <c r="G3607" s="83"/>
      <c r="H3607" s="83"/>
      <c r="I3607" s="110" t="s">
        <v>11532</v>
      </c>
    </row>
    <row r="3608" spans="1:9">
      <c r="A3608" s="83" t="s">
        <v>9330</v>
      </c>
      <c r="B3608" s="83" t="s">
        <v>9256</v>
      </c>
      <c r="C3608" s="83" t="s">
        <v>9330</v>
      </c>
      <c r="D3608" s="83" t="s">
        <v>9347</v>
      </c>
      <c r="E3608" s="84">
        <f>sch_repaired_fs_instruct_ndrrmf</f>
        <v>0</v>
      </c>
      <c r="F3608" s="83" t="b">
        <v>1</v>
      </c>
      <c r="G3608" s="83"/>
      <c r="H3608" s="83"/>
      <c r="I3608" s="110" t="s">
        <v>11532</v>
      </c>
    </row>
    <row r="3609" spans="1:9">
      <c r="A3609" s="83" t="s">
        <v>9331</v>
      </c>
      <c r="B3609" s="83" t="s">
        <v>9256</v>
      </c>
      <c r="C3609" s="83" t="s">
        <v>9331</v>
      </c>
      <c r="D3609" s="83" t="s">
        <v>9348</v>
      </c>
      <c r="E3609" s="84">
        <f>sch_repaired_fs_instruct_ep</f>
        <v>0</v>
      </c>
      <c r="F3609" s="83" t="b">
        <v>1</v>
      </c>
      <c r="G3609" s="83"/>
      <c r="H3609" s="83"/>
      <c r="I3609" s="110" t="s">
        <v>11532</v>
      </c>
    </row>
    <row r="3610" spans="1:9">
      <c r="A3610" s="83" t="s">
        <v>9332</v>
      </c>
      <c r="B3610" s="83" t="s">
        <v>9256</v>
      </c>
      <c r="C3610" s="83" t="s">
        <v>9332</v>
      </c>
      <c r="D3610" s="83" t="s">
        <v>9349</v>
      </c>
      <c r="E3610" s="84">
        <f>sch_repaired_fs_noninstruct_beff</f>
        <v>0</v>
      </c>
      <c r="F3610" s="83" t="b">
        <v>1</v>
      </c>
      <c r="G3610" s="83"/>
      <c r="H3610" s="83"/>
      <c r="I3610" s="110" t="s">
        <v>11532</v>
      </c>
    </row>
    <row r="3611" spans="1:9">
      <c r="A3611" s="83" t="s">
        <v>9333</v>
      </c>
      <c r="B3611" s="83" t="s">
        <v>9256</v>
      </c>
      <c r="C3611" s="83" t="s">
        <v>9333</v>
      </c>
      <c r="D3611" s="83" t="s">
        <v>9350</v>
      </c>
      <c r="E3611" s="84">
        <f>sch_repaired_fs_noninstruct_qrf</f>
        <v>0</v>
      </c>
      <c r="F3611" s="83" t="b">
        <v>1</v>
      </c>
      <c r="G3611" s="83"/>
      <c r="H3611" s="83"/>
      <c r="I3611" s="110" t="s">
        <v>11532</v>
      </c>
    </row>
    <row r="3612" spans="1:9">
      <c r="A3612" s="83" t="s">
        <v>9334</v>
      </c>
      <c r="B3612" s="83" t="s">
        <v>9256</v>
      </c>
      <c r="C3612" s="83" t="s">
        <v>9334</v>
      </c>
      <c r="D3612" s="83" t="s">
        <v>9351</v>
      </c>
      <c r="E3612" s="84">
        <f>sch_repaired_fs_noninstruct_ndrrmf</f>
        <v>0</v>
      </c>
      <c r="F3612" s="83" t="b">
        <v>1</v>
      </c>
      <c r="G3612" s="83"/>
      <c r="H3612" s="83"/>
      <c r="I3612" s="110" t="s">
        <v>11532</v>
      </c>
    </row>
    <row r="3613" spans="1:9">
      <c r="A3613" s="83" t="s">
        <v>9335</v>
      </c>
      <c r="B3613" s="83" t="s">
        <v>9256</v>
      </c>
      <c r="C3613" s="83" t="s">
        <v>9335</v>
      </c>
      <c r="D3613" s="83" t="s">
        <v>9352</v>
      </c>
      <c r="E3613" s="84">
        <f>sch_repaired_fs_noninstruct_ep</f>
        <v>0</v>
      </c>
      <c r="F3613" s="83" t="b">
        <v>1</v>
      </c>
      <c r="G3613" s="83"/>
      <c r="H3613" s="83"/>
      <c r="I3613" s="110" t="s">
        <v>11532</v>
      </c>
    </row>
    <row r="3614" spans="1:9">
      <c r="A3614" s="83" t="s">
        <v>9336</v>
      </c>
      <c r="B3614" s="83" t="s">
        <v>9256</v>
      </c>
      <c r="C3614" s="83" t="s">
        <v>9336</v>
      </c>
      <c r="D3614" s="83" t="s">
        <v>9353</v>
      </c>
      <c r="E3614" s="84">
        <f>sch_reconstruct_fs_instruct_beff</f>
        <v>0</v>
      </c>
      <c r="F3614" s="83" t="b">
        <v>1</v>
      </c>
      <c r="G3614" s="83"/>
      <c r="H3614" s="83"/>
      <c r="I3614" s="110" t="s">
        <v>11532</v>
      </c>
    </row>
    <row r="3615" spans="1:9">
      <c r="A3615" s="83" t="s">
        <v>9337</v>
      </c>
      <c r="B3615" s="83" t="s">
        <v>9256</v>
      </c>
      <c r="C3615" s="83" t="s">
        <v>9337</v>
      </c>
      <c r="D3615" s="83" t="s">
        <v>9354</v>
      </c>
      <c r="E3615" s="84">
        <f>sch_reconstruct_fs_instruct_qrf</f>
        <v>0</v>
      </c>
      <c r="F3615" s="83" t="b">
        <v>1</v>
      </c>
      <c r="G3615" s="83"/>
      <c r="H3615" s="83"/>
      <c r="I3615" s="110" t="s">
        <v>11532</v>
      </c>
    </row>
    <row r="3616" spans="1:9">
      <c r="A3616" s="83" t="s">
        <v>9338</v>
      </c>
      <c r="B3616" s="83" t="s">
        <v>9256</v>
      </c>
      <c r="C3616" s="83" t="s">
        <v>9338</v>
      </c>
      <c r="D3616" s="83" t="s">
        <v>9355</v>
      </c>
      <c r="E3616" s="84">
        <f>sch_reconstruct_fs_instruct_ndrrmf</f>
        <v>0</v>
      </c>
      <c r="F3616" s="83" t="b">
        <v>1</v>
      </c>
      <c r="G3616" s="83"/>
      <c r="H3616" s="83"/>
      <c r="I3616" s="110" t="s">
        <v>11532</v>
      </c>
    </row>
    <row r="3617" spans="1:9">
      <c r="A3617" s="83" t="s">
        <v>9339</v>
      </c>
      <c r="B3617" s="83" t="s">
        <v>9256</v>
      </c>
      <c r="C3617" s="83" t="s">
        <v>9339</v>
      </c>
      <c r="D3617" s="83" t="s">
        <v>9356</v>
      </c>
      <c r="E3617" s="84">
        <f>sch_reconstruct_fs_instruct_ep</f>
        <v>0</v>
      </c>
      <c r="F3617" s="83" t="b">
        <v>1</v>
      </c>
      <c r="G3617" s="83"/>
      <c r="H3617" s="83"/>
      <c r="I3617" s="110" t="s">
        <v>11532</v>
      </c>
    </row>
    <row r="3618" spans="1:9">
      <c r="A3618" s="83" t="s">
        <v>9340</v>
      </c>
      <c r="B3618" s="83" t="s">
        <v>9256</v>
      </c>
      <c r="C3618" s="83" t="s">
        <v>9340</v>
      </c>
      <c r="D3618" s="83" t="s">
        <v>9357</v>
      </c>
      <c r="E3618" s="84">
        <f>sch_reconstruct_fs_noninstruct_beff</f>
        <v>0</v>
      </c>
      <c r="F3618" s="83" t="b">
        <v>1</v>
      </c>
      <c r="G3618" s="83"/>
      <c r="H3618" s="83"/>
      <c r="I3618" s="110" t="s">
        <v>11532</v>
      </c>
    </row>
    <row r="3619" spans="1:9">
      <c r="A3619" s="83" t="s">
        <v>9341</v>
      </c>
      <c r="B3619" s="83" t="s">
        <v>9256</v>
      </c>
      <c r="C3619" s="83" t="s">
        <v>9341</v>
      </c>
      <c r="D3619" s="83" t="s">
        <v>9358</v>
      </c>
      <c r="E3619" s="84">
        <f>sch_reconstruct_fs_noninstruct_qrf</f>
        <v>0</v>
      </c>
      <c r="F3619" s="83" t="b">
        <v>1</v>
      </c>
      <c r="G3619" s="83"/>
      <c r="H3619" s="83"/>
      <c r="I3619" s="110" t="s">
        <v>11532</v>
      </c>
    </row>
    <row r="3620" spans="1:9">
      <c r="A3620" s="83" t="s">
        <v>9342</v>
      </c>
      <c r="B3620" s="83" t="s">
        <v>9256</v>
      </c>
      <c r="C3620" s="83" t="s">
        <v>9342</v>
      </c>
      <c r="D3620" s="83" t="s">
        <v>9359</v>
      </c>
      <c r="E3620" s="84">
        <f>sch_reconstruct_fs_noninstruct_ndrrmf</f>
        <v>0</v>
      </c>
      <c r="F3620" s="83" t="b">
        <v>1</v>
      </c>
      <c r="G3620" s="83"/>
      <c r="H3620" s="83"/>
      <c r="I3620" s="110" t="s">
        <v>11532</v>
      </c>
    </row>
    <row r="3621" spans="1:9" s="112" customFormat="1" ht="16" thickBot="1">
      <c r="A3621" s="85" t="s">
        <v>9343</v>
      </c>
      <c r="B3621" s="85" t="s">
        <v>9256</v>
      </c>
      <c r="C3621" s="85" t="s">
        <v>9343</v>
      </c>
      <c r="D3621" s="85" t="s">
        <v>9360</v>
      </c>
      <c r="E3621" s="86">
        <f>sch_reconstruct_fs_noninstruct_ep</f>
        <v>0</v>
      </c>
      <c r="F3621" s="85" t="b">
        <v>1</v>
      </c>
      <c r="G3621" s="85"/>
      <c r="H3621" s="85"/>
      <c r="I3621" s="121" t="s">
        <v>11532</v>
      </c>
    </row>
    <row r="3622" spans="1:9">
      <c r="A3622" s="83" t="s">
        <v>9379</v>
      </c>
      <c r="B3622" s="83" t="s">
        <v>9361</v>
      </c>
      <c r="C3622" s="83" t="s">
        <v>9379</v>
      </c>
      <c r="D3622" s="83" t="s">
        <v>9416</v>
      </c>
      <c r="E3622" s="84" t="b">
        <f>slrapp_conduct_student_sch_watch_hazzard_mapping</f>
        <v>0</v>
      </c>
      <c r="F3622" s="83" t="b">
        <v>1</v>
      </c>
      <c r="G3622" s="83" t="s">
        <v>2287</v>
      </c>
      <c r="H3622" s="83"/>
      <c r="I3622" s="110" t="s">
        <v>11532</v>
      </c>
    </row>
    <row r="3623" spans="1:9">
      <c r="A3623" s="83" t="s">
        <v>9380</v>
      </c>
      <c r="B3623" s="83" t="s">
        <v>9361</v>
      </c>
      <c r="C3623" s="83" t="s">
        <v>9380</v>
      </c>
      <c r="D3623" s="83" t="s">
        <v>9417</v>
      </c>
      <c r="E3623" s="84" t="b">
        <f>slrapp_incorp_studschwatch_hazmap_drrmccampbpsip</f>
        <v>0</v>
      </c>
      <c r="F3623" s="83" t="b">
        <v>1</v>
      </c>
      <c r="G3623" s="83" t="s">
        <v>2287</v>
      </c>
      <c r="H3623" s="83"/>
      <c r="I3623" s="110" t="s">
        <v>11532</v>
      </c>
    </row>
    <row r="3624" spans="1:9">
      <c r="A3624" s="83" t="s">
        <v>9382</v>
      </c>
      <c r="B3624" s="83" t="s">
        <v>9361</v>
      </c>
      <c r="C3624" s="83" t="s">
        <v>9382</v>
      </c>
      <c r="D3624" s="83" t="s">
        <v>9418</v>
      </c>
      <c r="E3624" s="84" t="b">
        <f>slrapp_sch_watchteam_coor_concern_agencies</f>
        <v>0</v>
      </c>
      <c r="F3624" s="83" t="b">
        <v>1</v>
      </c>
      <c r="G3624" s="83" t="s">
        <v>2287</v>
      </c>
      <c r="H3624" s="83"/>
      <c r="I3624" s="110" t="s">
        <v>11532</v>
      </c>
    </row>
    <row r="3625" spans="1:9">
      <c r="A3625" s="83" t="s">
        <v>9381</v>
      </c>
      <c r="B3625" s="83" t="s">
        <v>9361</v>
      </c>
      <c r="C3625" s="83" t="s">
        <v>9381</v>
      </c>
      <c r="D3625" s="83" t="s">
        <v>9419</v>
      </c>
      <c r="E3625" s="84" t="b">
        <f>slrapp_sch_watchteam_submit_schplanteam</f>
        <v>0</v>
      </c>
      <c r="F3625" s="83" t="b">
        <v>1</v>
      </c>
      <c r="G3625" s="83" t="s">
        <v>2287</v>
      </c>
      <c r="H3625" s="83"/>
      <c r="I3625" s="110" t="s">
        <v>11532</v>
      </c>
    </row>
    <row r="3626" spans="1:9">
      <c r="A3626" s="83" t="s">
        <v>9383</v>
      </c>
      <c r="B3626" s="83" t="s">
        <v>9361</v>
      </c>
      <c r="C3626" s="83" t="s">
        <v>9383</v>
      </c>
      <c r="D3626" s="83" t="s">
        <v>9420</v>
      </c>
      <c r="E3626" s="84" t="b">
        <f>slrapp_sch_planteam_link_swhm_educadata</f>
        <v>0</v>
      </c>
      <c r="F3626" s="83" t="b">
        <v>1</v>
      </c>
      <c r="G3626" s="83" t="s">
        <v>2287</v>
      </c>
      <c r="H3626" s="83"/>
      <c r="I3626" s="110" t="s">
        <v>11532</v>
      </c>
    </row>
    <row r="3627" spans="1:9">
      <c r="A3627" s="83" t="s">
        <v>9362</v>
      </c>
      <c r="B3627" s="83" t="s">
        <v>9361</v>
      </c>
      <c r="C3627" s="83" t="s">
        <v>9362</v>
      </c>
      <c r="D3627" s="83" t="s">
        <v>9421</v>
      </c>
      <c r="E3627" s="84" t="b">
        <f>spec_cont_plan_nh_tropicalcyclone</f>
        <v>0</v>
      </c>
      <c r="F3627" s="83" t="b">
        <v>1</v>
      </c>
      <c r="G3627" s="83" t="s">
        <v>2287</v>
      </c>
      <c r="H3627" s="83"/>
    </row>
    <row r="3628" spans="1:9">
      <c r="A3628" s="83" t="s">
        <v>9370</v>
      </c>
      <c r="B3628" s="83" t="s">
        <v>9361</v>
      </c>
      <c r="C3628" s="83" t="s">
        <v>9370</v>
      </c>
      <c r="D3628" s="83" t="s">
        <v>9422</v>
      </c>
      <c r="E3628" s="84" t="b">
        <f>spec_cont_plan_nh_stormsurge</f>
        <v>0</v>
      </c>
      <c r="F3628" s="83" t="b">
        <v>1</v>
      </c>
      <c r="G3628" s="83" t="s">
        <v>2287</v>
      </c>
      <c r="H3628" s="83"/>
      <c r="I3628" s="110" t="s">
        <v>11532</v>
      </c>
    </row>
    <row r="3629" spans="1:9">
      <c r="A3629" s="83" t="s">
        <v>9363</v>
      </c>
      <c r="B3629" s="83" t="s">
        <v>9361</v>
      </c>
      <c r="C3629" s="83" t="s">
        <v>9363</v>
      </c>
      <c r="D3629" s="83" t="s">
        <v>9423</v>
      </c>
      <c r="E3629" s="84" t="b">
        <f>spec_cont_plan_nh_flood</f>
        <v>1</v>
      </c>
      <c r="F3629" s="83" t="b">
        <v>1</v>
      </c>
      <c r="G3629" s="83" t="s">
        <v>2287</v>
      </c>
      <c r="H3629" s="83"/>
    </row>
    <row r="3630" spans="1:9">
      <c r="A3630" s="83" t="s">
        <v>9364</v>
      </c>
      <c r="B3630" s="83" t="s">
        <v>9361</v>
      </c>
      <c r="C3630" s="83" t="s">
        <v>9364</v>
      </c>
      <c r="D3630" s="83" t="s">
        <v>9424</v>
      </c>
      <c r="E3630" s="84" t="b">
        <f>spec_cont_plan_nh_drought</f>
        <v>0</v>
      </c>
      <c r="F3630" s="83" t="b">
        <v>1</v>
      </c>
      <c r="G3630" s="83" t="s">
        <v>2287</v>
      </c>
      <c r="H3630" s="83"/>
    </row>
    <row r="3631" spans="1:9">
      <c r="A3631" s="83" t="s">
        <v>9365</v>
      </c>
      <c r="B3631" s="83" t="s">
        <v>9361</v>
      </c>
      <c r="C3631" s="83" t="s">
        <v>9365</v>
      </c>
      <c r="D3631" s="83" t="s">
        <v>9425</v>
      </c>
      <c r="E3631" s="84" t="b">
        <f>spec_cont_plan_nh_landslide</f>
        <v>0</v>
      </c>
      <c r="F3631" s="83" t="b">
        <v>1</v>
      </c>
      <c r="G3631" s="83" t="s">
        <v>2287</v>
      </c>
      <c r="H3631" s="83"/>
    </row>
    <row r="3632" spans="1:9">
      <c r="A3632" s="83" t="s">
        <v>9366</v>
      </c>
      <c r="B3632" s="83" t="s">
        <v>9361</v>
      </c>
      <c r="C3632" s="83" t="s">
        <v>9366</v>
      </c>
      <c r="D3632" s="83" t="s">
        <v>9426</v>
      </c>
      <c r="E3632" s="84" t="b">
        <f>spec_cont_plan_nh_earthquake</f>
        <v>1</v>
      </c>
      <c r="F3632" s="83" t="b">
        <v>1</v>
      </c>
      <c r="G3632" s="83" t="s">
        <v>2287</v>
      </c>
      <c r="H3632" s="83"/>
    </row>
    <row r="3633" spans="1:9">
      <c r="A3633" s="83" t="s">
        <v>9367</v>
      </c>
      <c r="B3633" s="83" t="s">
        <v>9361</v>
      </c>
      <c r="C3633" s="83" t="s">
        <v>9367</v>
      </c>
      <c r="D3633" s="83" t="s">
        <v>9427</v>
      </c>
      <c r="E3633" s="84" t="b">
        <f>spec_cont_plan_nh_volcaniceruption</f>
        <v>0</v>
      </c>
      <c r="F3633" s="83" t="b">
        <v>1</v>
      </c>
      <c r="G3633" s="83" t="s">
        <v>2287</v>
      </c>
      <c r="H3633" s="83"/>
    </row>
    <row r="3634" spans="1:9">
      <c r="A3634" s="83" t="s">
        <v>9368</v>
      </c>
      <c r="B3634" s="83" t="s">
        <v>9361</v>
      </c>
      <c r="C3634" s="83" t="s">
        <v>9368</v>
      </c>
      <c r="D3634" s="83" t="s">
        <v>9428</v>
      </c>
      <c r="E3634" s="84" t="b">
        <f>spec_cont_plan_nh_tsunami</f>
        <v>0</v>
      </c>
      <c r="F3634" s="83" t="b">
        <v>1</v>
      </c>
      <c r="G3634" s="83" t="s">
        <v>2287</v>
      </c>
      <c r="H3634" s="83"/>
    </row>
    <row r="3635" spans="1:9">
      <c r="A3635" s="83" t="s">
        <v>9369</v>
      </c>
      <c r="B3635" s="83" t="s">
        <v>9361</v>
      </c>
      <c r="C3635" s="83" t="s">
        <v>9369</v>
      </c>
      <c r="D3635" s="83" t="s">
        <v>9429</v>
      </c>
      <c r="E3635" s="84" t="b">
        <f>spec_cont_plan_nh_fire</f>
        <v>0</v>
      </c>
      <c r="F3635" s="83" t="b">
        <v>1</v>
      </c>
      <c r="G3635" s="83" t="s">
        <v>2287</v>
      </c>
      <c r="H3635" s="83"/>
    </row>
    <row r="3636" spans="1:9">
      <c r="A3636" s="83" t="s">
        <v>9371</v>
      </c>
      <c r="B3636" s="83" t="s">
        <v>9361</v>
      </c>
      <c r="C3636" s="83" t="s">
        <v>9371</v>
      </c>
      <c r="D3636" s="83" t="s">
        <v>9430</v>
      </c>
      <c r="E3636" s="84" t="b">
        <f>spec_cont_plan_nh_others</f>
        <v>0</v>
      </c>
      <c r="F3636" s="83" t="b">
        <v>1</v>
      </c>
      <c r="G3636" s="83" t="s">
        <v>2287</v>
      </c>
      <c r="H3636" s="83"/>
      <c r="I3636" s="110" t="s">
        <v>11532</v>
      </c>
    </row>
    <row r="3637" spans="1:9">
      <c r="A3637" s="83" t="s">
        <v>9372</v>
      </c>
      <c r="B3637" s="83" t="s">
        <v>9361</v>
      </c>
      <c r="C3637" s="83" t="s">
        <v>9372</v>
      </c>
      <c r="D3637" s="83" t="s">
        <v>9431</v>
      </c>
      <c r="E3637" s="84">
        <f>spec_cont_plan_nh_others_specify</f>
        <v>0</v>
      </c>
      <c r="F3637" s="83" t="b">
        <v>1</v>
      </c>
      <c r="G3637" s="83"/>
      <c r="H3637" s="83"/>
      <c r="I3637" s="110" t="s">
        <v>11532</v>
      </c>
    </row>
    <row r="3638" spans="1:9">
      <c r="A3638" s="83" t="s">
        <v>9373</v>
      </c>
      <c r="B3638" s="83" t="s">
        <v>9361</v>
      </c>
      <c r="C3638" s="83" t="s">
        <v>9373</v>
      </c>
      <c r="D3638" s="83" t="s">
        <v>9433</v>
      </c>
      <c r="E3638" s="84" t="b">
        <f>spec_cont_plan_hih_armed_conflict</f>
        <v>0</v>
      </c>
      <c r="F3638" s="83" t="b">
        <v>1</v>
      </c>
      <c r="G3638" s="83" t="s">
        <v>2287</v>
      </c>
      <c r="H3638" s="83"/>
    </row>
    <row r="3639" spans="1:9">
      <c r="A3639" s="83" t="s">
        <v>9374</v>
      </c>
      <c r="B3639" s="83" t="s">
        <v>9361</v>
      </c>
      <c r="C3639" s="83" t="s">
        <v>9374</v>
      </c>
      <c r="D3639" s="83" t="s">
        <v>9434</v>
      </c>
      <c r="E3639" s="84" t="b">
        <f>spec_cont_plan_hih_bomb_threats</f>
        <v>0</v>
      </c>
      <c r="F3639" s="83" t="b">
        <v>1</v>
      </c>
      <c r="G3639" s="83" t="s">
        <v>2287</v>
      </c>
      <c r="H3639" s="83"/>
    </row>
    <row r="3640" spans="1:9">
      <c r="A3640" s="83" t="s">
        <v>9375</v>
      </c>
      <c r="B3640" s="83" t="s">
        <v>9361</v>
      </c>
      <c r="C3640" s="83" t="s">
        <v>9375</v>
      </c>
      <c r="D3640" s="83" t="s">
        <v>9435</v>
      </c>
      <c r="E3640" s="84" t="b">
        <f>spec_cont_plan_hih_civilian</f>
        <v>0</v>
      </c>
      <c r="F3640" s="83" t="b">
        <v>1</v>
      </c>
      <c r="G3640" s="83" t="s">
        <v>2287</v>
      </c>
      <c r="H3640" s="83"/>
    </row>
    <row r="3641" spans="1:9">
      <c r="A3641" s="83" t="s">
        <v>9376</v>
      </c>
      <c r="B3641" s="83" t="s">
        <v>9361</v>
      </c>
      <c r="C3641" s="83" t="s">
        <v>9376</v>
      </c>
      <c r="D3641" s="83" t="s">
        <v>9436</v>
      </c>
      <c r="E3641" s="84" t="b">
        <f>spec_cont_plan_hih_fire</f>
        <v>1</v>
      </c>
      <c r="F3641" s="83" t="b">
        <v>1</v>
      </c>
      <c r="G3641" s="83" t="s">
        <v>2287</v>
      </c>
      <c r="H3641" s="83"/>
    </row>
    <row r="3642" spans="1:9">
      <c r="A3642" s="83" t="s">
        <v>9377</v>
      </c>
      <c r="B3642" s="83" t="s">
        <v>9361</v>
      </c>
      <c r="C3642" s="83" t="s">
        <v>9377</v>
      </c>
      <c r="D3642" s="83" t="s">
        <v>9432</v>
      </c>
      <c r="E3642" s="84" t="b">
        <f>spec_cont_plan_hih_others</f>
        <v>0</v>
      </c>
      <c r="F3642" s="83" t="b">
        <v>1</v>
      </c>
      <c r="G3642" s="83" t="s">
        <v>2287</v>
      </c>
      <c r="H3642" s="83"/>
    </row>
    <row r="3643" spans="1:9">
      <c r="A3643" s="83" t="s">
        <v>9378</v>
      </c>
      <c r="B3643" s="83" t="s">
        <v>9361</v>
      </c>
      <c r="C3643" s="83" t="s">
        <v>9378</v>
      </c>
      <c r="D3643" s="83" t="s">
        <v>9437</v>
      </c>
      <c r="E3643" s="84">
        <f>spec_cont_plan_hih_others_specify</f>
        <v>0</v>
      </c>
      <c r="F3643" s="83" t="b">
        <v>1</v>
      </c>
      <c r="G3643" s="83"/>
      <c r="H3643" s="83"/>
    </row>
    <row r="3644" spans="1:9">
      <c r="A3644" s="83" t="s">
        <v>9384</v>
      </c>
      <c r="B3644" s="83" t="s">
        <v>9361</v>
      </c>
      <c r="C3644" s="83" t="s">
        <v>9384</v>
      </c>
      <c r="D3644" s="83" t="s">
        <v>9438</v>
      </c>
      <c r="E3644" s="84" t="b">
        <f>sch_cont_plan_standard_hazard_vulne_assess</f>
        <v>1</v>
      </c>
      <c r="F3644" s="83" t="b">
        <v>1</v>
      </c>
      <c r="G3644" s="83" t="s">
        <v>2287</v>
      </c>
      <c r="H3644" s="83"/>
      <c r="I3644" s="110" t="s">
        <v>11532</v>
      </c>
    </row>
    <row r="3645" spans="1:9">
      <c r="A3645" s="83" t="s">
        <v>9385</v>
      </c>
      <c r="B3645" s="83" t="s">
        <v>9361</v>
      </c>
      <c r="C3645" s="83" t="s">
        <v>9385</v>
      </c>
      <c r="D3645" s="83" t="s">
        <v>9439</v>
      </c>
      <c r="E3645" s="84" t="b">
        <f>sch_cont_plan_standard_evacplan</f>
        <v>1</v>
      </c>
      <c r="F3645" s="83" t="b">
        <v>1</v>
      </c>
      <c r="G3645" s="83" t="s">
        <v>2287</v>
      </c>
      <c r="H3645" s="83"/>
      <c r="I3645" s="110" t="s">
        <v>11532</v>
      </c>
    </row>
    <row r="3646" spans="1:9">
      <c r="A3646" s="83" t="s">
        <v>9386</v>
      </c>
      <c r="B3646" s="83" t="s">
        <v>9361</v>
      </c>
      <c r="C3646" s="83" t="s">
        <v>9386</v>
      </c>
      <c r="D3646" s="83" t="s">
        <v>9440</v>
      </c>
      <c r="E3646" s="84" t="b">
        <f>sch_cont_plan_standard_sfrp</f>
        <v>1</v>
      </c>
      <c r="F3646" s="83" t="b">
        <v>1</v>
      </c>
      <c r="G3646" s="83" t="s">
        <v>2287</v>
      </c>
      <c r="H3646" s="83"/>
      <c r="I3646" s="110" t="s">
        <v>11532</v>
      </c>
    </row>
    <row r="3647" spans="1:9">
      <c r="A3647" s="83" t="s">
        <v>9387</v>
      </c>
      <c r="B3647" s="83" t="s">
        <v>9361</v>
      </c>
      <c r="C3647" s="83" t="s">
        <v>9387</v>
      </c>
      <c r="D3647" s="83" t="s">
        <v>9441</v>
      </c>
      <c r="E3647" s="84" t="b">
        <f>sch_cont_plan_standard_tracksystem</f>
        <v>1</v>
      </c>
      <c r="F3647" s="83" t="b">
        <v>1</v>
      </c>
      <c r="G3647" s="83" t="s">
        <v>2287</v>
      </c>
      <c r="H3647" s="83"/>
      <c r="I3647" s="110" t="s">
        <v>11532</v>
      </c>
    </row>
    <row r="3648" spans="1:9">
      <c r="A3648" s="83" t="s">
        <v>9388</v>
      </c>
      <c r="B3648" s="83" t="s">
        <v>9361</v>
      </c>
      <c r="C3648" s="83" t="s">
        <v>9388</v>
      </c>
      <c r="D3648" s="83" t="s">
        <v>9442</v>
      </c>
      <c r="E3648" s="84" t="b">
        <f>sch_cont_plan_standard_response_earlyrecov</f>
        <v>1</v>
      </c>
      <c r="F3648" s="83" t="b">
        <v>1</v>
      </c>
      <c r="G3648" s="83" t="s">
        <v>2287</v>
      </c>
      <c r="H3648" s="83"/>
      <c r="I3648" s="110" t="s">
        <v>11532</v>
      </c>
    </row>
    <row r="3649" spans="1:9">
      <c r="A3649" s="83" t="s">
        <v>9389</v>
      </c>
      <c r="B3649" s="83" t="s">
        <v>9361</v>
      </c>
      <c r="C3649" s="83" t="s">
        <v>9389</v>
      </c>
      <c r="D3649" s="83" t="s">
        <v>9443</v>
      </c>
      <c r="E3649" s="84" t="b">
        <f>sch_cont_plan_standard_tls_wash</f>
        <v>1</v>
      </c>
      <c r="F3649" s="83" t="b">
        <v>1</v>
      </c>
      <c r="G3649" s="83" t="s">
        <v>2287</v>
      </c>
      <c r="H3649" s="83"/>
      <c r="I3649" s="110" t="s">
        <v>11532</v>
      </c>
    </row>
    <row r="3650" spans="1:9">
      <c r="A3650" s="83" t="s">
        <v>9390</v>
      </c>
      <c r="B3650" s="83" t="s">
        <v>9361</v>
      </c>
      <c r="C3650" s="83" t="s">
        <v>9390</v>
      </c>
      <c r="D3650" s="83" t="s">
        <v>9444</v>
      </c>
      <c r="E3650" s="84" t="b">
        <f>sch_cont_plan_standard_pre_evaccenter</f>
        <v>1</v>
      </c>
      <c r="F3650" s="83" t="b">
        <v>1</v>
      </c>
      <c r="G3650" s="83" t="s">
        <v>2287</v>
      </c>
      <c r="H3650" s="83"/>
      <c r="I3650" s="110" t="s">
        <v>11532</v>
      </c>
    </row>
    <row r="3651" spans="1:9">
      <c r="A3651" s="83" t="s">
        <v>9391</v>
      </c>
      <c r="B3651" s="83" t="s">
        <v>9361</v>
      </c>
      <c r="C3651" s="83" t="s">
        <v>9391</v>
      </c>
      <c r="D3651" s="83" t="s">
        <v>9447</v>
      </c>
      <c r="E3651" s="84" t="b">
        <f>sch_cont_plan_standard_space_temp_evaccenter</f>
        <v>0</v>
      </c>
      <c r="F3651" s="83" t="b">
        <v>1</v>
      </c>
      <c r="G3651" s="83" t="s">
        <v>2287</v>
      </c>
      <c r="H3651" s="83"/>
      <c r="I3651" s="110" t="s">
        <v>11532</v>
      </c>
    </row>
    <row r="3652" spans="1:9">
      <c r="A3652" s="83" t="s">
        <v>9392</v>
      </c>
      <c r="B3652" s="83" t="s">
        <v>9361</v>
      </c>
      <c r="C3652" s="83" t="s">
        <v>9392</v>
      </c>
      <c r="D3652" s="83" t="s">
        <v>9448</v>
      </c>
      <c r="E3652" s="84" t="b">
        <f>sch_cont_plan_standard_classresump_strat</f>
        <v>0</v>
      </c>
      <c r="F3652" s="83" t="b">
        <v>1</v>
      </c>
      <c r="G3652" s="83" t="s">
        <v>2287</v>
      </c>
      <c r="H3652" s="83"/>
      <c r="I3652" s="110" t="s">
        <v>11532</v>
      </c>
    </row>
    <row r="3653" spans="1:9">
      <c r="A3653" s="83" t="s">
        <v>9393</v>
      </c>
      <c r="B3653" s="83" t="s">
        <v>9361</v>
      </c>
      <c r="C3653" s="83" t="s">
        <v>9393</v>
      </c>
      <c r="D3653" s="83" t="s">
        <v>9449</v>
      </c>
      <c r="E3653" s="84" t="b">
        <f>sch_cont_plan_standard_list_emersupplies</f>
        <v>1</v>
      </c>
      <c r="F3653" s="83" t="b">
        <v>1</v>
      </c>
      <c r="G3653" s="83" t="s">
        <v>2287</v>
      </c>
      <c r="H3653" s="83"/>
      <c r="I3653" s="110" t="s">
        <v>11532</v>
      </c>
    </row>
    <row r="3654" spans="1:9">
      <c r="A3654" s="83" t="s">
        <v>9453</v>
      </c>
      <c r="B3654" s="83" t="s">
        <v>9361</v>
      </c>
      <c r="C3654" s="83" t="s">
        <v>9453</v>
      </c>
      <c r="D3654" s="83" t="s">
        <v>9450</v>
      </c>
      <c r="E3654" s="84" t="b">
        <f>sch_cont_plan_standard_list_partners_event_disaster_emergency</f>
        <v>1</v>
      </c>
      <c r="F3654" s="83" t="b">
        <v>1</v>
      </c>
      <c r="G3654" s="83" t="s">
        <v>2287</v>
      </c>
      <c r="H3654" s="83"/>
      <c r="I3654" s="110" t="s">
        <v>11532</v>
      </c>
    </row>
    <row r="3655" spans="1:9">
      <c r="A3655" s="83" t="s">
        <v>9394</v>
      </c>
      <c r="B3655" s="83" t="s">
        <v>9361</v>
      </c>
      <c r="C3655" s="83" t="s">
        <v>9394</v>
      </c>
      <c r="D3655" s="83" t="s">
        <v>9452</v>
      </c>
      <c r="E3655" s="84" t="b">
        <f>sch_cont_plan_standard_established_drrm_team</f>
        <v>1</v>
      </c>
      <c r="F3655" s="83" t="b">
        <v>1</v>
      </c>
      <c r="G3655" s="83" t="s">
        <v>2287</v>
      </c>
      <c r="H3655" s="83"/>
      <c r="I3655" s="110" t="s">
        <v>11532</v>
      </c>
    </row>
    <row r="3656" spans="1:9">
      <c r="A3656" s="83" t="s">
        <v>9395</v>
      </c>
      <c r="B3656" s="83" t="s">
        <v>9361</v>
      </c>
      <c r="C3656" s="83" t="s">
        <v>9395</v>
      </c>
      <c r="D3656" s="83" t="s">
        <v>9451</v>
      </c>
      <c r="E3656" s="84" t="b">
        <f>sch_cont_plan_standard_lockdown_protocol</f>
        <v>0</v>
      </c>
      <c r="F3656" s="83" t="b">
        <v>1</v>
      </c>
      <c r="G3656" s="83" t="s">
        <v>2287</v>
      </c>
      <c r="H3656" s="83"/>
      <c r="I3656" s="110" t="s">
        <v>11532</v>
      </c>
    </row>
    <row r="3657" spans="1:9">
      <c r="A3657" s="83" t="s">
        <v>9396</v>
      </c>
      <c r="B3657" s="83" t="s">
        <v>9361</v>
      </c>
      <c r="C3657" s="83" t="s">
        <v>9396</v>
      </c>
      <c r="D3657" s="83" t="s">
        <v>9445</v>
      </c>
      <c r="E3657" s="84" t="b">
        <f>sch_cont_plan_covid_space_quaratine_facility</f>
        <v>1</v>
      </c>
      <c r="F3657" s="83" t="b">
        <v>1</v>
      </c>
      <c r="G3657" s="83" t="s">
        <v>2287</v>
      </c>
      <c r="H3657" s="83"/>
      <c r="I3657" s="110" t="s">
        <v>11532</v>
      </c>
    </row>
    <row r="3658" spans="1:9">
      <c r="A3658" s="83" t="s">
        <v>9397</v>
      </c>
      <c r="B3658" s="83" t="s">
        <v>9361</v>
      </c>
      <c r="C3658" s="83" t="s">
        <v>9397</v>
      </c>
      <c r="D3658" s="83" t="s">
        <v>9446</v>
      </c>
      <c r="E3658" s="84" t="b">
        <f>sch_cont_plan_covid_health_safety_protocol</f>
        <v>1</v>
      </c>
      <c r="F3658" s="83" t="b">
        <v>1</v>
      </c>
      <c r="G3658" s="83" t="s">
        <v>2287</v>
      </c>
      <c r="H3658" s="83"/>
      <c r="I3658" s="110" t="s">
        <v>11532</v>
      </c>
    </row>
    <row r="3659" spans="1:9">
      <c r="A3659" s="83" t="s">
        <v>9398</v>
      </c>
      <c r="B3659" s="83" t="s">
        <v>9361</v>
      </c>
      <c r="C3659" s="83" t="s">
        <v>9398</v>
      </c>
      <c r="D3659" s="83" t="s">
        <v>9454</v>
      </c>
      <c r="E3659" s="84" t="b">
        <f>sch_cont_plan_covid_avail_ppe</f>
        <v>0</v>
      </c>
      <c r="F3659" s="83" t="b">
        <v>1</v>
      </c>
      <c r="G3659" s="83" t="s">
        <v>2287</v>
      </c>
      <c r="H3659" s="83"/>
      <c r="I3659" s="110" t="s">
        <v>11532</v>
      </c>
    </row>
    <row r="3660" spans="1:9">
      <c r="A3660" s="83" t="s">
        <v>9399</v>
      </c>
      <c r="B3660" s="83" t="s">
        <v>9361</v>
      </c>
      <c r="C3660" s="83" t="s">
        <v>9399</v>
      </c>
      <c r="D3660" s="83" t="s">
        <v>9455</v>
      </c>
      <c r="E3660" s="84" t="b">
        <f>sch_cont_plan_covid_mgmt_covid_cases</f>
        <v>1</v>
      </c>
      <c r="F3660" s="83" t="b">
        <v>1</v>
      </c>
      <c r="G3660" s="83" t="s">
        <v>2287</v>
      </c>
      <c r="H3660" s="83"/>
      <c r="I3660" s="110" t="s">
        <v>11532</v>
      </c>
    </row>
    <row r="3661" spans="1:9">
      <c r="A3661" s="83" t="s">
        <v>9400</v>
      </c>
      <c r="B3661" s="83" t="s">
        <v>9361</v>
      </c>
      <c r="C3661" s="83" t="s">
        <v>9400</v>
      </c>
      <c r="D3661" s="83" t="s">
        <v>9456</v>
      </c>
      <c r="E3661" s="84" t="b">
        <f>sch_cont_plan_conducted_with_learners</f>
        <v>1</v>
      </c>
      <c r="F3661" s="83" t="b">
        <v>1</v>
      </c>
      <c r="G3661" s="83" t="s">
        <v>2287</v>
      </c>
      <c r="H3661" s="83"/>
      <c r="I3661" s="110" t="s">
        <v>11532</v>
      </c>
    </row>
    <row r="3662" spans="1:9">
      <c r="A3662" s="83" t="s">
        <v>9401</v>
      </c>
      <c r="B3662" s="83" t="s">
        <v>9361</v>
      </c>
      <c r="C3662" s="83" t="s">
        <v>9401</v>
      </c>
      <c r="D3662" s="83" t="s">
        <v>9457</v>
      </c>
      <c r="E3662" s="84" t="b">
        <f>sch_cont_plan_conducted_with_personnel</f>
        <v>1</v>
      </c>
      <c r="F3662" s="83" t="b">
        <v>1</v>
      </c>
      <c r="G3662" s="83" t="s">
        <v>2287</v>
      </c>
      <c r="H3662" s="83"/>
      <c r="I3662" s="110" t="s">
        <v>11532</v>
      </c>
    </row>
    <row r="3663" spans="1:9">
      <c r="A3663" s="83" t="s">
        <v>9402</v>
      </c>
      <c r="B3663" s="83" t="s">
        <v>9361</v>
      </c>
      <c r="C3663" s="83" t="s">
        <v>9402</v>
      </c>
      <c r="D3663" s="83" t="s">
        <v>9458</v>
      </c>
      <c r="E3663" s="84" t="b">
        <f>sch_cont_plan_conducted_with_parents</f>
        <v>1</v>
      </c>
      <c r="F3663" s="83" t="b">
        <v>1</v>
      </c>
      <c r="G3663" s="83" t="s">
        <v>2287</v>
      </c>
      <c r="H3663" s="83"/>
      <c r="I3663" s="110" t="s">
        <v>11532</v>
      </c>
    </row>
    <row r="3664" spans="1:9">
      <c r="A3664" s="83" t="s">
        <v>9403</v>
      </c>
      <c r="B3664" s="83" t="s">
        <v>9361</v>
      </c>
      <c r="C3664" s="83" t="s">
        <v>9403</v>
      </c>
      <c r="D3664" s="83" t="s">
        <v>9459</v>
      </c>
      <c r="E3664" s="84" t="b">
        <f>sch_cont_plan_conducted_with_lgu</f>
        <v>1</v>
      </c>
      <c r="F3664" s="83" t="b">
        <v>1</v>
      </c>
      <c r="G3664" s="83" t="s">
        <v>2287</v>
      </c>
      <c r="H3664" s="83"/>
      <c r="I3664" s="110" t="s">
        <v>11532</v>
      </c>
    </row>
    <row r="3665" spans="1:9">
      <c r="A3665" s="83" t="s">
        <v>9404</v>
      </c>
      <c r="B3665" s="83" t="s">
        <v>9361</v>
      </c>
      <c r="C3665" s="83" t="s">
        <v>9404</v>
      </c>
      <c r="D3665" s="83" t="s">
        <v>9460</v>
      </c>
      <c r="E3665" s="84" t="b">
        <f>sch_cont_plan_conducted_with_partners</f>
        <v>1</v>
      </c>
      <c r="F3665" s="83" t="b">
        <v>1</v>
      </c>
      <c r="G3665" s="83" t="s">
        <v>2287</v>
      </c>
      <c r="H3665" s="83"/>
      <c r="I3665" s="110" t="s">
        <v>11532</v>
      </c>
    </row>
    <row r="3666" spans="1:9">
      <c r="A3666" s="83" t="s">
        <v>9405</v>
      </c>
      <c r="B3666" s="83" t="s">
        <v>9361</v>
      </c>
      <c r="C3666" s="83" t="s">
        <v>9405</v>
      </c>
      <c r="D3666" s="83" t="s">
        <v>9461</v>
      </c>
      <c r="E3666" s="84" t="b">
        <f>sch_docu_mou_moa_ff_jmc2013_ra10821</f>
        <v>0</v>
      </c>
      <c r="F3666" s="83" t="b">
        <v>1</v>
      </c>
      <c r="G3666" s="83" t="s">
        <v>2287</v>
      </c>
      <c r="H3666" s="83"/>
      <c r="I3666" s="110" t="s">
        <v>11532</v>
      </c>
    </row>
    <row r="3667" spans="1:9">
      <c r="A3667" s="83" t="s">
        <v>9406</v>
      </c>
      <c r="B3667" s="83" t="s">
        <v>9361</v>
      </c>
      <c r="C3667" s="83" t="s">
        <v>9406</v>
      </c>
      <c r="D3667" s="83" t="s">
        <v>9462</v>
      </c>
      <c r="E3667" s="84" t="b">
        <f>sch_docu_terms_cond_facilityforcovid_memo_osec_202002</f>
        <v>0</v>
      </c>
      <c r="F3667" s="83" t="b">
        <v>1</v>
      </c>
      <c r="G3667" s="83" t="s">
        <v>2287</v>
      </c>
      <c r="H3667" s="83"/>
      <c r="I3667" s="110" t="s">
        <v>11532</v>
      </c>
    </row>
    <row r="3668" spans="1:9">
      <c r="A3668" s="83" t="s">
        <v>9407</v>
      </c>
      <c r="B3668" s="83" t="s">
        <v>9361</v>
      </c>
      <c r="C3668" s="83" t="s">
        <v>9407</v>
      </c>
      <c r="D3668" s="83" t="s">
        <v>9463</v>
      </c>
      <c r="E3668" s="84" t="b">
        <f>sch_present_result_fepp_pta_lgu</f>
        <v>0</v>
      </c>
      <c r="F3668" s="83" t="b">
        <v>1</v>
      </c>
      <c r="G3668" s="83" t="s">
        <v>2287</v>
      </c>
      <c r="H3668" s="83"/>
      <c r="I3668" s="110" t="s">
        <v>11532</v>
      </c>
    </row>
    <row r="3669" spans="1:9">
      <c r="A3669" s="83" t="s">
        <v>9408</v>
      </c>
      <c r="B3669" s="83" t="s">
        <v>9361</v>
      </c>
      <c r="C3669" s="83" t="s">
        <v>9408</v>
      </c>
      <c r="D3669" s="83" t="s">
        <v>9464</v>
      </c>
      <c r="E3669" s="84" t="b">
        <f>sch_taken_action_result_fepp</f>
        <v>0</v>
      </c>
      <c r="F3669" s="83" t="b">
        <v>1</v>
      </c>
      <c r="G3669" s="83" t="s">
        <v>2287</v>
      </c>
      <c r="H3669" s="83"/>
      <c r="I3669" s="110" t="s">
        <v>11532</v>
      </c>
    </row>
    <row r="3670" spans="1:9">
      <c r="A3670" s="83" t="s">
        <v>9409</v>
      </c>
      <c r="B3670" s="83" t="s">
        <v>9361</v>
      </c>
      <c r="C3670" s="83" t="s">
        <v>9409</v>
      </c>
      <c r="D3670" s="83" t="s">
        <v>9465</v>
      </c>
      <c r="E3670" s="84" t="b">
        <f>sch_develop_implement_drrm_commplan</f>
        <v>1</v>
      </c>
      <c r="F3670" s="83" t="b">
        <v>1</v>
      </c>
      <c r="G3670" s="83" t="s">
        <v>2287</v>
      </c>
      <c r="H3670" s="83"/>
      <c r="I3670" s="110" t="s">
        <v>11532</v>
      </c>
    </row>
    <row r="3671" spans="1:9">
      <c r="A3671" s="83" t="s">
        <v>9410</v>
      </c>
      <c r="B3671" s="83" t="s">
        <v>9361</v>
      </c>
      <c r="C3671" s="83" t="s">
        <v>9410</v>
      </c>
      <c r="D3671" s="83" t="s">
        <v>9466</v>
      </c>
      <c r="E3671" s="84" t="b">
        <f>sch_implement_drrmccampbp_withpartners</f>
        <v>1</v>
      </c>
      <c r="F3671" s="83" t="b">
        <v>1</v>
      </c>
      <c r="G3671" s="83" t="s">
        <v>2287</v>
      </c>
      <c r="H3671" s="83"/>
      <c r="I3671" s="110" t="s">
        <v>11532</v>
      </c>
    </row>
    <row r="3672" spans="1:9">
      <c r="A3672" s="83" t="s">
        <v>9411</v>
      </c>
      <c r="B3672" s="83" t="s">
        <v>9361</v>
      </c>
      <c r="C3672" s="83" t="s">
        <v>9411</v>
      </c>
      <c r="D3672" s="83" t="s">
        <v>9467</v>
      </c>
      <c r="E3672" s="84" t="b">
        <f>sch_participated_drrmccampdp_activities_lgu_partners</f>
        <v>1</v>
      </c>
      <c r="F3672" s="83" t="b">
        <v>1</v>
      </c>
      <c r="G3672" s="83" t="s">
        <v>2287</v>
      </c>
      <c r="H3672" s="83"/>
      <c r="I3672" s="110" t="s">
        <v>11532</v>
      </c>
    </row>
    <row r="3673" spans="1:9">
      <c r="A3673" s="83" t="s">
        <v>9413</v>
      </c>
      <c r="B3673" s="83" t="s">
        <v>9361</v>
      </c>
      <c r="C3673" s="83" t="s">
        <v>9413</v>
      </c>
      <c r="D3673" s="83" t="s">
        <v>9468</v>
      </c>
      <c r="E3673" s="84">
        <f>number_partners_support_drrm_ccamppa_activities</f>
        <v>4</v>
      </c>
      <c r="F3673" s="83" t="b">
        <v>1</v>
      </c>
      <c r="G3673" s="83"/>
      <c r="H3673" s="83"/>
      <c r="I3673" s="110" t="s">
        <v>11532</v>
      </c>
    </row>
    <row r="3674" spans="1:9">
      <c r="A3674" s="83" t="s">
        <v>9412</v>
      </c>
      <c r="B3674" s="83" t="s">
        <v>9361</v>
      </c>
      <c r="C3674" s="83" t="s">
        <v>9412</v>
      </c>
      <c r="D3674" s="83" t="s">
        <v>9469</v>
      </c>
      <c r="E3674" s="84">
        <f>number_partners_support_pbuilding_activities</f>
        <v>0</v>
      </c>
      <c r="F3674" s="83" t="b">
        <v>1</v>
      </c>
      <c r="G3674" s="83"/>
      <c r="H3674" s="83"/>
      <c r="I3674" s="110" t="s">
        <v>11532</v>
      </c>
    </row>
    <row r="3675" spans="1:9">
      <c r="A3675" s="83" t="s">
        <v>9414</v>
      </c>
      <c r="B3675" s="83" t="s">
        <v>9361</v>
      </c>
      <c r="C3675" s="83" t="s">
        <v>9414</v>
      </c>
      <c r="D3675" s="83" t="s">
        <v>9470</v>
      </c>
      <c r="E3675" s="84">
        <f>number_drrm_ccam_pbpppa_imple_withpartners</f>
        <v>1</v>
      </c>
      <c r="F3675" s="83" t="b">
        <v>1</v>
      </c>
      <c r="G3675" s="83"/>
      <c r="H3675" s="83"/>
      <c r="I3675" s="110" t="s">
        <v>11532</v>
      </c>
    </row>
    <row r="3676" spans="1:9" ht="16" thickBot="1">
      <c r="A3676" s="85" t="s">
        <v>9415</v>
      </c>
      <c r="B3676" s="85" t="s">
        <v>9361</v>
      </c>
      <c r="C3676" s="85" t="s">
        <v>9415</v>
      </c>
      <c r="D3676" s="85" t="s">
        <v>9471</v>
      </c>
      <c r="E3676" s="86">
        <f>number_drrm_ccam_pbp_conducted_teaching_nonteaching</f>
        <v>0</v>
      </c>
      <c r="F3676" s="85" t="b">
        <v>1</v>
      </c>
      <c r="G3676" s="85"/>
      <c r="H3676" s="85"/>
      <c r="I3676" s="110" t="s">
        <v>11532</v>
      </c>
    </row>
    <row r="3677" spans="1:9">
      <c r="A3677" s="83" t="s">
        <v>9472</v>
      </c>
      <c r="B3677" s="83" t="s">
        <v>9361</v>
      </c>
      <c r="C3677" s="83" t="s">
        <v>9472</v>
      </c>
      <c r="D3677" s="83" t="s">
        <v>9631</v>
      </c>
      <c r="E3677" s="84" t="b">
        <f>sch_conducted_brigada_eskwela_ensure_school_safety</f>
        <v>0</v>
      </c>
      <c r="F3677" s="83" t="b">
        <v>1</v>
      </c>
      <c r="G3677" s="83" t="s">
        <v>2287</v>
      </c>
      <c r="H3677" s="83"/>
    </row>
    <row r="3678" spans="1:9">
      <c r="A3678" s="83" t="s">
        <v>9473</v>
      </c>
      <c r="B3678" s="83" t="s">
        <v>9361</v>
      </c>
      <c r="C3678" s="83" t="s">
        <v>9473</v>
      </c>
      <c r="D3678" s="83" t="s">
        <v>9632</v>
      </c>
      <c r="E3678" s="84" t="b">
        <f>sch_functional_early_warning_system</f>
        <v>1</v>
      </c>
      <c r="F3678" s="83" t="b">
        <v>1</v>
      </c>
      <c r="G3678" s="83" t="s">
        <v>2287</v>
      </c>
      <c r="H3678" s="83"/>
    </row>
    <row r="3679" spans="1:9">
      <c r="A3679" s="83" t="s">
        <v>9474</v>
      </c>
      <c r="B3679" s="83" t="s">
        <v>9361</v>
      </c>
      <c r="C3679" s="83" t="s">
        <v>9474</v>
      </c>
      <c r="D3679" s="83" t="s">
        <v>9633</v>
      </c>
      <c r="E3679" s="84" t="b">
        <f>sch_provided_safety_emer_supplies_deped_partners</f>
        <v>1</v>
      </c>
      <c r="F3679" s="83" t="b">
        <v>1</v>
      </c>
      <c r="G3679" s="83" t="s">
        <v>2287</v>
      </c>
      <c r="H3679" s="83"/>
      <c r="I3679" s="110" t="s">
        <v>11532</v>
      </c>
    </row>
    <row r="3680" spans="1:9">
      <c r="A3680" s="83" t="s">
        <v>9475</v>
      </c>
      <c r="B3680" s="83" t="s">
        <v>9361</v>
      </c>
      <c r="C3680" s="83" t="s">
        <v>9475</v>
      </c>
      <c r="D3680" s="83" t="s">
        <v>9634</v>
      </c>
      <c r="E3680" s="84">
        <f>number_emergency_supplies_equip_foldstretch_deped</f>
        <v>1</v>
      </c>
      <c r="F3680" s="83" t="b">
        <v>1</v>
      </c>
      <c r="G3680" s="83"/>
      <c r="H3680" s="83"/>
      <c r="I3680" s="110" t="s">
        <v>11532</v>
      </c>
    </row>
    <row r="3681" spans="1:9">
      <c r="A3681" s="83" t="s">
        <v>9476</v>
      </c>
      <c r="B3681" s="83" t="s">
        <v>9361</v>
      </c>
      <c r="C3681" s="83" t="s">
        <v>9476</v>
      </c>
      <c r="D3681" s="83" t="s">
        <v>9635</v>
      </c>
      <c r="E3681" s="84">
        <f>number_emergency_supplies_equip_foldstretch_partner</f>
        <v>0</v>
      </c>
      <c r="F3681" s="83" t="b">
        <v>1</v>
      </c>
      <c r="G3681" s="83"/>
      <c r="H3681" s="83"/>
      <c r="I3681" s="110" t="s">
        <v>11532</v>
      </c>
    </row>
    <row r="3682" spans="1:9">
      <c r="A3682" s="83" t="s">
        <v>9477</v>
      </c>
      <c r="B3682" s="83" t="s">
        <v>9361</v>
      </c>
      <c r="C3682" s="83" t="s">
        <v>9477</v>
      </c>
      <c r="D3682" s="83" t="s">
        <v>9636</v>
      </c>
      <c r="E3682" s="84">
        <f>number_emergency_supplies_equip_cadaver_deped</f>
        <v>0</v>
      </c>
      <c r="F3682" s="83" t="b">
        <v>1</v>
      </c>
      <c r="G3682" s="83"/>
      <c r="H3682" s="83"/>
      <c r="I3682" s="110" t="s">
        <v>11532</v>
      </c>
    </row>
    <row r="3683" spans="1:9">
      <c r="A3683" s="83" t="s">
        <v>9478</v>
      </c>
      <c r="B3683" s="83" t="s">
        <v>9361</v>
      </c>
      <c r="C3683" s="83" t="s">
        <v>9478</v>
      </c>
      <c r="D3683" s="83" t="s">
        <v>9637</v>
      </c>
      <c r="E3683" s="84">
        <f>number_emergency_supplies_equip_cadaver_partner</f>
        <v>0</v>
      </c>
      <c r="F3683" s="83" t="b">
        <v>1</v>
      </c>
      <c r="G3683" s="83"/>
      <c r="H3683" s="83"/>
      <c r="I3683" s="110" t="s">
        <v>11532</v>
      </c>
    </row>
    <row r="3684" spans="1:9">
      <c r="A3684" s="83" t="s">
        <v>9479</v>
      </c>
      <c r="B3684" s="83" t="s">
        <v>9361</v>
      </c>
      <c r="C3684" s="83" t="s">
        <v>9479</v>
      </c>
      <c r="D3684" s="83" t="s">
        <v>9638</v>
      </c>
      <c r="E3684" s="84">
        <f>number_emergency_supplies_equip_ccollar_deped</f>
        <v>0</v>
      </c>
      <c r="F3684" s="83" t="b">
        <v>1</v>
      </c>
      <c r="G3684" s="83"/>
      <c r="H3684" s="83"/>
      <c r="I3684" s="110" t="s">
        <v>11532</v>
      </c>
    </row>
    <row r="3685" spans="1:9">
      <c r="A3685" s="83" t="s">
        <v>9480</v>
      </c>
      <c r="B3685" s="83" t="s">
        <v>9361</v>
      </c>
      <c r="C3685" s="83" t="s">
        <v>9480</v>
      </c>
      <c r="D3685" s="83" t="s">
        <v>9639</v>
      </c>
      <c r="E3685" s="84">
        <f>number_emergency_supplies_equip_ccollar_partner</f>
        <v>0</v>
      </c>
      <c r="F3685" s="83" t="b">
        <v>1</v>
      </c>
      <c r="G3685" s="83"/>
      <c r="H3685" s="83"/>
      <c r="I3685" s="110" t="s">
        <v>11532</v>
      </c>
    </row>
    <row r="3686" spans="1:9">
      <c r="A3686" s="83" t="s">
        <v>9481</v>
      </c>
      <c r="B3686" s="83" t="s">
        <v>9361</v>
      </c>
      <c r="C3686" s="83" t="s">
        <v>9481</v>
      </c>
      <c r="D3686" s="83" t="s">
        <v>9640</v>
      </c>
      <c r="E3686" s="84">
        <f>number_emergency_supplies_equip_cot_deped</f>
        <v>0</v>
      </c>
      <c r="F3686" s="83" t="b">
        <v>1</v>
      </c>
      <c r="G3686" s="83"/>
      <c r="H3686" s="83"/>
      <c r="I3686" s="110" t="s">
        <v>11532</v>
      </c>
    </row>
    <row r="3687" spans="1:9">
      <c r="A3687" s="83" t="s">
        <v>9482</v>
      </c>
      <c r="B3687" s="83" t="s">
        <v>9361</v>
      </c>
      <c r="C3687" s="83" t="s">
        <v>9482</v>
      </c>
      <c r="D3687" s="83" t="s">
        <v>9641</v>
      </c>
      <c r="E3687" s="84">
        <f>number_emergency_supplies_equip_cot_partner</f>
        <v>0</v>
      </c>
      <c r="F3687" s="83" t="b">
        <v>1</v>
      </c>
      <c r="G3687" s="83"/>
      <c r="H3687" s="83"/>
      <c r="I3687" s="110" t="s">
        <v>11532</v>
      </c>
    </row>
    <row r="3688" spans="1:9">
      <c r="A3688" s="83" t="s">
        <v>9483</v>
      </c>
      <c r="B3688" s="83" t="s">
        <v>9361</v>
      </c>
      <c r="C3688" s="83" t="s">
        <v>9483</v>
      </c>
      <c r="D3688" s="83" t="s">
        <v>9642</v>
      </c>
      <c r="E3688" s="84">
        <f>number_emergency_supplies_equip_cprboard_deped</f>
        <v>0</v>
      </c>
      <c r="F3688" s="83" t="b">
        <v>1</v>
      </c>
      <c r="G3688" s="83"/>
      <c r="H3688" s="83"/>
      <c r="I3688" s="110" t="s">
        <v>11532</v>
      </c>
    </row>
    <row r="3689" spans="1:9">
      <c r="A3689" s="83" t="s">
        <v>9484</v>
      </c>
      <c r="B3689" s="83" t="s">
        <v>9361</v>
      </c>
      <c r="C3689" s="83" t="s">
        <v>9484</v>
      </c>
      <c r="D3689" s="83" t="s">
        <v>9643</v>
      </c>
      <c r="E3689" s="84">
        <f>number_emergency_supplies_equip_cprboard_partner</f>
        <v>0</v>
      </c>
      <c r="F3689" s="83" t="b">
        <v>1</v>
      </c>
      <c r="G3689" s="83"/>
      <c r="H3689" s="83"/>
      <c r="I3689" s="110" t="s">
        <v>11532</v>
      </c>
    </row>
    <row r="3690" spans="1:9">
      <c r="A3690" s="83" t="s">
        <v>9485</v>
      </c>
      <c r="B3690" s="83" t="s">
        <v>9361</v>
      </c>
      <c r="C3690" s="83" t="s">
        <v>9485</v>
      </c>
      <c r="D3690" s="83" t="s">
        <v>9644</v>
      </c>
      <c r="E3690" s="84">
        <f>number_emergency_supplies_equip_headlamp_deped</f>
        <v>0</v>
      </c>
      <c r="F3690" s="83" t="b">
        <v>1</v>
      </c>
      <c r="G3690" s="83"/>
      <c r="H3690" s="83"/>
      <c r="I3690" s="110" t="s">
        <v>11532</v>
      </c>
    </row>
    <row r="3691" spans="1:9">
      <c r="A3691" s="83" t="s">
        <v>9486</v>
      </c>
      <c r="B3691" s="83" t="s">
        <v>9361</v>
      </c>
      <c r="C3691" s="83" t="s">
        <v>9486</v>
      </c>
      <c r="D3691" s="83" t="s">
        <v>9645</v>
      </c>
      <c r="E3691" s="84">
        <f>number_emergency_supplies_equip_headlamp_partner</f>
        <v>0</v>
      </c>
      <c r="F3691" s="83" t="b">
        <v>1</v>
      </c>
      <c r="G3691" s="83"/>
      <c r="H3691" s="83"/>
      <c r="I3691" s="110" t="s">
        <v>11532</v>
      </c>
    </row>
    <row r="3692" spans="1:9">
      <c r="A3692" s="83" t="s">
        <v>9487</v>
      </c>
      <c r="B3692" s="83" t="s">
        <v>9361</v>
      </c>
      <c r="C3692" s="83" t="s">
        <v>9487</v>
      </c>
      <c r="D3692" s="83" t="s">
        <v>9646</v>
      </c>
      <c r="E3692" s="84">
        <f>number_emergency_supplies_equip_whistle_deped</f>
        <v>0</v>
      </c>
      <c r="F3692" s="83" t="b">
        <v>1</v>
      </c>
      <c r="G3692" s="83"/>
      <c r="H3692" s="83"/>
      <c r="I3692" s="110" t="s">
        <v>11532</v>
      </c>
    </row>
    <row r="3693" spans="1:9">
      <c r="A3693" s="83" t="s">
        <v>9488</v>
      </c>
      <c r="B3693" s="83" t="s">
        <v>9361</v>
      </c>
      <c r="C3693" s="83" t="s">
        <v>9488</v>
      </c>
      <c r="D3693" s="83" t="s">
        <v>9647</v>
      </c>
      <c r="E3693" s="84">
        <f>number_emergency_supplies_equip_whistle_partner</f>
        <v>0</v>
      </c>
      <c r="F3693" s="83" t="b">
        <v>1</v>
      </c>
      <c r="G3693" s="83"/>
      <c r="H3693" s="83"/>
      <c r="I3693" s="110" t="s">
        <v>11532</v>
      </c>
    </row>
    <row r="3694" spans="1:9">
      <c r="A3694" s="83" t="s">
        <v>9489</v>
      </c>
      <c r="B3694" s="83" t="s">
        <v>9361</v>
      </c>
      <c r="C3694" s="83" t="s">
        <v>9489</v>
      </c>
      <c r="D3694" s="83" t="s">
        <v>9648</v>
      </c>
      <c r="E3694" s="84">
        <f>number_emergency_supplies_equip_fireextinguisher_deped</f>
        <v>1</v>
      </c>
      <c r="F3694" s="83" t="b">
        <v>1</v>
      </c>
      <c r="G3694" s="83"/>
      <c r="H3694" s="83"/>
      <c r="I3694" s="110" t="s">
        <v>11532</v>
      </c>
    </row>
    <row r="3695" spans="1:9">
      <c r="A3695" s="83" t="s">
        <v>9490</v>
      </c>
      <c r="B3695" s="83" t="s">
        <v>9361</v>
      </c>
      <c r="C3695" s="83" t="s">
        <v>9490</v>
      </c>
      <c r="D3695" s="83" t="s">
        <v>9649</v>
      </c>
      <c r="E3695" s="84">
        <f>number_emergency_supplies_equip_fireextinguisher_partner</f>
        <v>0</v>
      </c>
      <c r="F3695" s="83" t="b">
        <v>1</v>
      </c>
      <c r="G3695" s="83"/>
      <c r="H3695" s="83"/>
      <c r="I3695" s="110" t="s">
        <v>11532</v>
      </c>
    </row>
    <row r="3696" spans="1:9">
      <c r="A3696" s="83" t="s">
        <v>9491</v>
      </c>
      <c r="B3696" s="83" t="s">
        <v>9361</v>
      </c>
      <c r="C3696" s="83" t="s">
        <v>9491</v>
      </c>
      <c r="D3696" s="83" t="s">
        <v>9650</v>
      </c>
      <c r="E3696" s="84">
        <f>number_emergency_supplies_equip_fak_learner_deped</f>
        <v>0</v>
      </c>
      <c r="F3696" s="83" t="b">
        <v>1</v>
      </c>
      <c r="G3696" s="83"/>
      <c r="H3696" s="83"/>
      <c r="I3696" s="110" t="s">
        <v>11532</v>
      </c>
    </row>
    <row r="3697" spans="1:9">
      <c r="A3697" s="83" t="s">
        <v>9492</v>
      </c>
      <c r="B3697" s="83" t="s">
        <v>9361</v>
      </c>
      <c r="C3697" s="83" t="s">
        <v>9492</v>
      </c>
      <c r="D3697" s="83" t="s">
        <v>9651</v>
      </c>
      <c r="E3697" s="84">
        <f>number_emergency_supplies_equip_fak_learner_partner</f>
        <v>0</v>
      </c>
      <c r="F3697" s="83" t="b">
        <v>1</v>
      </c>
      <c r="G3697" s="83"/>
      <c r="H3697" s="83"/>
      <c r="I3697" s="110" t="s">
        <v>11532</v>
      </c>
    </row>
    <row r="3698" spans="1:9">
      <c r="A3698" s="83" t="s">
        <v>9493</v>
      </c>
      <c r="B3698" s="83" t="s">
        <v>9361</v>
      </c>
      <c r="C3698" s="83" t="s">
        <v>9493</v>
      </c>
      <c r="D3698" s="83" t="s">
        <v>9652</v>
      </c>
      <c r="E3698" s="84">
        <f>number_emergency_supplies_equip_fak_personnel_deped</f>
        <v>0</v>
      </c>
      <c r="F3698" s="83" t="b">
        <v>1</v>
      </c>
      <c r="G3698" s="83"/>
      <c r="H3698" s="83"/>
      <c r="I3698" s="110" t="s">
        <v>11532</v>
      </c>
    </row>
    <row r="3699" spans="1:9">
      <c r="A3699" s="83" t="s">
        <v>9494</v>
      </c>
      <c r="B3699" s="83" t="s">
        <v>9361</v>
      </c>
      <c r="C3699" s="83" t="s">
        <v>9494</v>
      </c>
      <c r="D3699" s="83" t="s">
        <v>9653</v>
      </c>
      <c r="E3699" s="84">
        <f>number_emergency_supplies_equip_fak_personnel_partner</f>
        <v>0</v>
      </c>
      <c r="F3699" s="83" t="b">
        <v>1</v>
      </c>
      <c r="G3699" s="83"/>
      <c r="H3699" s="83"/>
      <c r="I3699" s="110" t="s">
        <v>11532</v>
      </c>
    </row>
    <row r="3700" spans="1:9">
      <c r="A3700" s="83" t="s">
        <v>9495</v>
      </c>
      <c r="B3700" s="83" t="s">
        <v>9361</v>
      </c>
      <c r="C3700" s="83" t="s">
        <v>9495</v>
      </c>
      <c r="D3700" s="83" t="s">
        <v>9654</v>
      </c>
      <c r="E3700" s="84">
        <f>number_emergency_supplies_equip_gobag_learner_deped</f>
        <v>0</v>
      </c>
      <c r="F3700" s="83" t="b">
        <v>1</v>
      </c>
      <c r="G3700" s="83"/>
      <c r="H3700" s="83"/>
      <c r="I3700" s="110" t="s">
        <v>11532</v>
      </c>
    </row>
    <row r="3701" spans="1:9">
      <c r="A3701" s="83" t="s">
        <v>9496</v>
      </c>
      <c r="B3701" s="83" t="s">
        <v>9361</v>
      </c>
      <c r="C3701" s="83" t="s">
        <v>9496</v>
      </c>
      <c r="D3701" s="83" t="s">
        <v>9655</v>
      </c>
      <c r="E3701" s="84">
        <f>number_emergency_supplies_equip_gobag_learner_partner</f>
        <v>0</v>
      </c>
      <c r="F3701" s="83" t="b">
        <v>1</v>
      </c>
      <c r="G3701" s="83"/>
      <c r="H3701" s="83"/>
      <c r="I3701" s="110" t="s">
        <v>11532</v>
      </c>
    </row>
    <row r="3702" spans="1:9">
      <c r="A3702" s="83" t="s">
        <v>9497</v>
      </c>
      <c r="B3702" s="83" t="s">
        <v>9361</v>
      </c>
      <c r="C3702" s="83" t="s">
        <v>9497</v>
      </c>
      <c r="D3702" s="83" t="s">
        <v>9656</v>
      </c>
      <c r="E3702" s="84">
        <f>number_emergency_supplies_equip_gobag_personnel_deped</f>
        <v>0</v>
      </c>
      <c r="F3702" s="83" t="b">
        <v>1</v>
      </c>
      <c r="G3702" s="83"/>
      <c r="H3702" s="83"/>
      <c r="I3702" s="110" t="s">
        <v>11532</v>
      </c>
    </row>
    <row r="3703" spans="1:9">
      <c r="A3703" s="83" t="s">
        <v>9498</v>
      </c>
      <c r="B3703" s="83" t="s">
        <v>9361</v>
      </c>
      <c r="C3703" s="83" t="s">
        <v>9498</v>
      </c>
      <c r="D3703" s="83" t="s">
        <v>9657</v>
      </c>
      <c r="E3703" s="84">
        <f>number_emergency_supplies_equip_gobag_personnel_partner</f>
        <v>0</v>
      </c>
      <c r="F3703" s="83" t="b">
        <v>1</v>
      </c>
      <c r="G3703" s="83"/>
      <c r="H3703" s="83"/>
      <c r="I3703" s="110" t="s">
        <v>11532</v>
      </c>
    </row>
    <row r="3704" spans="1:9">
      <c r="A3704" s="83" t="s">
        <v>9499</v>
      </c>
      <c r="B3704" s="83" t="s">
        <v>9361</v>
      </c>
      <c r="C3704" s="83" t="s">
        <v>9499</v>
      </c>
      <c r="D3704" s="83" t="s">
        <v>9658</v>
      </c>
      <c r="E3704" s="84">
        <f>number_emergency_supplies_equip_radio_deped</f>
        <v>0</v>
      </c>
      <c r="F3704" s="83" t="b">
        <v>1</v>
      </c>
      <c r="G3704" s="83"/>
      <c r="H3704" s="83"/>
      <c r="I3704" s="110" t="s">
        <v>11532</v>
      </c>
    </row>
    <row r="3705" spans="1:9">
      <c r="A3705" s="83" t="s">
        <v>9500</v>
      </c>
      <c r="B3705" s="83" t="s">
        <v>9361</v>
      </c>
      <c r="C3705" s="83" t="s">
        <v>9500</v>
      </c>
      <c r="D3705" s="83" t="s">
        <v>9659</v>
      </c>
      <c r="E3705" s="84">
        <f>number_emergency_supplies_equip_radio_partner</f>
        <v>0</v>
      </c>
      <c r="F3705" s="83" t="b">
        <v>1</v>
      </c>
      <c r="G3705" s="83"/>
      <c r="H3705" s="83"/>
      <c r="I3705" s="110" t="s">
        <v>11532</v>
      </c>
    </row>
    <row r="3706" spans="1:9">
      <c r="A3706" s="83" t="s">
        <v>9501</v>
      </c>
      <c r="B3706" s="83" t="s">
        <v>9361</v>
      </c>
      <c r="C3706" s="83" t="s">
        <v>9501</v>
      </c>
      <c r="D3706" s="83" t="s">
        <v>9660</v>
      </c>
      <c r="E3706" s="84">
        <f>number_emergency_supplies_equip_ledflashlight_deped</f>
        <v>0</v>
      </c>
      <c r="F3706" s="83" t="b">
        <v>1</v>
      </c>
      <c r="G3706" s="83"/>
      <c r="H3706" s="83"/>
      <c r="I3706" s="110" t="s">
        <v>11532</v>
      </c>
    </row>
    <row r="3707" spans="1:9">
      <c r="A3707" s="83" t="s">
        <v>9502</v>
      </c>
      <c r="B3707" s="83" t="s">
        <v>9361</v>
      </c>
      <c r="C3707" s="83" t="s">
        <v>9502</v>
      </c>
      <c r="D3707" s="83" t="s">
        <v>9661</v>
      </c>
      <c r="E3707" s="84">
        <f>number_emergency_supplies_equip_ledflashlight_partner</f>
        <v>0</v>
      </c>
      <c r="F3707" s="83" t="b">
        <v>1</v>
      </c>
      <c r="G3707" s="83"/>
      <c r="H3707" s="83"/>
      <c r="I3707" s="110" t="s">
        <v>11532</v>
      </c>
    </row>
    <row r="3708" spans="1:9">
      <c r="A3708" s="83" t="s">
        <v>9503</v>
      </c>
      <c r="B3708" s="83" t="s">
        <v>9361</v>
      </c>
      <c r="C3708" s="83" t="s">
        <v>9503</v>
      </c>
      <c r="D3708" s="83" t="s">
        <v>9662</v>
      </c>
      <c r="E3708" s="84">
        <f>number_emergency_supplies_equip_ledsearchlight_deped</f>
        <v>0</v>
      </c>
      <c r="F3708" s="83" t="b">
        <v>1</v>
      </c>
      <c r="G3708" s="83"/>
      <c r="H3708" s="83"/>
      <c r="I3708" s="110" t="s">
        <v>11532</v>
      </c>
    </row>
    <row r="3709" spans="1:9">
      <c r="A3709" s="83" t="s">
        <v>9504</v>
      </c>
      <c r="B3709" s="83" t="s">
        <v>9361</v>
      </c>
      <c r="C3709" s="83" t="s">
        <v>9504</v>
      </c>
      <c r="D3709" s="83" t="s">
        <v>9663</v>
      </c>
      <c r="E3709" s="84">
        <f>number_emergency_supplies_equip_ledsearchlight_partner</f>
        <v>0</v>
      </c>
      <c r="F3709" s="83" t="b">
        <v>1</v>
      </c>
      <c r="G3709" s="83"/>
      <c r="H3709" s="83"/>
      <c r="I3709" s="110" t="s">
        <v>11532</v>
      </c>
    </row>
    <row r="3710" spans="1:9">
      <c r="A3710" s="83" t="s">
        <v>9505</v>
      </c>
      <c r="B3710" s="83" t="s">
        <v>9361</v>
      </c>
      <c r="C3710" s="83" t="s">
        <v>9505</v>
      </c>
      <c r="D3710" s="83" t="s">
        <v>9664</v>
      </c>
      <c r="E3710" s="84">
        <f>number_emergency_supplies_equip_lifevest_deped</f>
        <v>0</v>
      </c>
      <c r="F3710" s="83" t="b">
        <v>1</v>
      </c>
      <c r="G3710" s="83"/>
      <c r="H3710" s="83"/>
      <c r="I3710" s="110" t="s">
        <v>11532</v>
      </c>
    </row>
    <row r="3711" spans="1:9">
      <c r="A3711" s="83" t="s">
        <v>9506</v>
      </c>
      <c r="B3711" s="83" t="s">
        <v>9361</v>
      </c>
      <c r="C3711" s="83" t="s">
        <v>9506</v>
      </c>
      <c r="D3711" s="83" t="s">
        <v>9665</v>
      </c>
      <c r="E3711" s="84">
        <f>number_emergency_supplies_equip_lifevest_partner</f>
        <v>0</v>
      </c>
      <c r="F3711" s="83" t="b">
        <v>1</v>
      </c>
      <c r="G3711" s="83"/>
      <c r="H3711" s="83"/>
      <c r="I3711" s="110" t="s">
        <v>11532</v>
      </c>
    </row>
    <row r="3712" spans="1:9">
      <c r="A3712" s="83" t="s">
        <v>9507</v>
      </c>
      <c r="B3712" s="83" t="s">
        <v>9361</v>
      </c>
      <c r="C3712" s="83" t="s">
        <v>9507</v>
      </c>
      <c r="D3712" s="83" t="s">
        <v>9666</v>
      </c>
      <c r="E3712" s="84">
        <f>number_emergency_supplies_equip_mediccushion_deped</f>
        <v>0</v>
      </c>
      <c r="F3712" s="83" t="b">
        <v>1</v>
      </c>
      <c r="G3712" s="83"/>
      <c r="H3712" s="83"/>
      <c r="I3712" s="110" t="s">
        <v>11532</v>
      </c>
    </row>
    <row r="3713" spans="1:9">
      <c r="A3713" s="83" t="s">
        <v>9508</v>
      </c>
      <c r="B3713" s="83" t="s">
        <v>9361</v>
      </c>
      <c r="C3713" s="83" t="s">
        <v>9508</v>
      </c>
      <c r="D3713" s="83" t="s">
        <v>9667</v>
      </c>
      <c r="E3713" s="84">
        <f>number_emergency_supplies_equip_mediccushion_partner</f>
        <v>0</v>
      </c>
      <c r="F3713" s="83" t="b">
        <v>1</v>
      </c>
      <c r="G3713" s="83"/>
      <c r="H3713" s="83"/>
      <c r="I3713" s="110" t="s">
        <v>11532</v>
      </c>
    </row>
    <row r="3714" spans="1:9">
      <c r="A3714" s="83" t="s">
        <v>9509</v>
      </c>
      <c r="B3714" s="83" t="s">
        <v>9361</v>
      </c>
      <c r="C3714" s="83" t="s">
        <v>9509</v>
      </c>
      <c r="D3714" s="83" t="s">
        <v>9668</v>
      </c>
      <c r="E3714" s="84">
        <f>number_emergency_supplies_equip_spineboard_deped</f>
        <v>0</v>
      </c>
      <c r="F3714" s="83" t="b">
        <v>1</v>
      </c>
      <c r="G3714" s="83"/>
      <c r="H3714" s="83"/>
      <c r="I3714" s="110" t="s">
        <v>11532</v>
      </c>
    </row>
    <row r="3715" spans="1:9">
      <c r="A3715" s="83" t="s">
        <v>9510</v>
      </c>
      <c r="B3715" s="83" t="s">
        <v>9361</v>
      </c>
      <c r="C3715" s="83" t="s">
        <v>9510</v>
      </c>
      <c r="D3715" s="83" t="s">
        <v>9670</v>
      </c>
      <c r="E3715" s="84">
        <f>number_emergency_supplies_equip_spineboard_partner</f>
        <v>0</v>
      </c>
      <c r="F3715" s="83" t="b">
        <v>1</v>
      </c>
      <c r="G3715" s="83"/>
      <c r="H3715" s="83"/>
      <c r="I3715" s="110" t="s">
        <v>11532</v>
      </c>
    </row>
    <row r="3716" spans="1:9">
      <c r="A3716" s="83" t="s">
        <v>9511</v>
      </c>
      <c r="B3716" s="83" t="s">
        <v>9361</v>
      </c>
      <c r="C3716" s="83" t="s">
        <v>9511</v>
      </c>
      <c r="D3716" s="83" t="s">
        <v>9669</v>
      </c>
      <c r="E3716" s="84">
        <f>number_emergency_supplies_equip_pasystem_deped</f>
        <v>0</v>
      </c>
      <c r="F3716" s="83" t="b">
        <v>1</v>
      </c>
      <c r="G3716" s="83"/>
      <c r="H3716" s="83"/>
      <c r="I3716" s="110" t="s">
        <v>11532</v>
      </c>
    </row>
    <row r="3717" spans="1:9">
      <c r="A3717" s="83" t="s">
        <v>9512</v>
      </c>
      <c r="B3717" s="83" t="s">
        <v>9361</v>
      </c>
      <c r="C3717" s="83" t="s">
        <v>9512</v>
      </c>
      <c r="D3717" s="83" t="s">
        <v>9671</v>
      </c>
      <c r="E3717" s="84">
        <f>number_emergency_supplies_equip_pasystem_partner</f>
        <v>0</v>
      </c>
      <c r="F3717" s="83" t="b">
        <v>1</v>
      </c>
      <c r="G3717" s="83"/>
      <c r="H3717" s="83"/>
      <c r="I3717" s="110" t="s">
        <v>11532</v>
      </c>
    </row>
    <row r="3718" spans="1:9">
      <c r="A3718" s="83" t="s">
        <v>9513</v>
      </c>
      <c r="B3718" s="83" t="s">
        <v>9361</v>
      </c>
      <c r="C3718" s="83" t="s">
        <v>9513</v>
      </c>
      <c r="D3718" s="83" t="s">
        <v>9672</v>
      </c>
      <c r="E3718" s="84">
        <f>number_emergency_supplies_equip_safetycoat_deped</f>
        <v>0</v>
      </c>
      <c r="F3718" s="83" t="b">
        <v>1</v>
      </c>
      <c r="G3718" s="83"/>
      <c r="H3718" s="83"/>
      <c r="I3718" s="110" t="s">
        <v>11532</v>
      </c>
    </row>
    <row r="3719" spans="1:9">
      <c r="A3719" s="83" t="s">
        <v>9514</v>
      </c>
      <c r="B3719" s="83" t="s">
        <v>9361</v>
      </c>
      <c r="C3719" s="83" t="s">
        <v>9514</v>
      </c>
      <c r="D3719" s="83" t="s">
        <v>9673</v>
      </c>
      <c r="E3719" s="84">
        <f>number_emergency_supplies_equip_safetycoat_partner</f>
        <v>0</v>
      </c>
      <c r="F3719" s="83" t="b">
        <v>1</v>
      </c>
      <c r="G3719" s="83"/>
      <c r="H3719" s="83"/>
      <c r="I3719" s="110" t="s">
        <v>11532</v>
      </c>
    </row>
    <row r="3720" spans="1:9">
      <c r="A3720" s="83" t="s">
        <v>9515</v>
      </c>
      <c r="B3720" s="83" t="s">
        <v>9361</v>
      </c>
      <c r="C3720" s="83" t="s">
        <v>9515</v>
      </c>
      <c r="D3720" s="83" t="s">
        <v>9674</v>
      </c>
      <c r="E3720" s="84">
        <f>number_emergency_supplies_equip_safetyhelmet_deped</f>
        <v>0</v>
      </c>
      <c r="F3720" s="83" t="b">
        <v>1</v>
      </c>
      <c r="G3720" s="83"/>
      <c r="H3720" s="83"/>
      <c r="I3720" s="110" t="s">
        <v>11532</v>
      </c>
    </row>
    <row r="3721" spans="1:9">
      <c r="A3721" s="83" t="s">
        <v>9516</v>
      </c>
      <c r="B3721" s="83" t="s">
        <v>9361</v>
      </c>
      <c r="C3721" s="83" t="s">
        <v>9516</v>
      </c>
      <c r="D3721" s="83" t="s">
        <v>9675</v>
      </c>
      <c r="E3721" s="84">
        <f>number_emergency_supplies_equip_safetyhelmet_partner</f>
        <v>0</v>
      </c>
      <c r="F3721" s="83" t="b">
        <v>1</v>
      </c>
      <c r="G3721" s="83"/>
      <c r="H3721" s="83"/>
      <c r="I3721" s="110" t="s">
        <v>11532</v>
      </c>
    </row>
    <row r="3722" spans="1:9">
      <c r="A3722" s="83" t="s">
        <v>9517</v>
      </c>
      <c r="B3722" s="83" t="s">
        <v>9361</v>
      </c>
      <c r="C3722" s="83" t="s">
        <v>9517</v>
      </c>
      <c r="D3722" s="83" t="s">
        <v>9676</v>
      </c>
      <c r="E3722" s="84">
        <f>number_emergency_supplies_equip_safetyshoes_deped</f>
        <v>0</v>
      </c>
      <c r="F3722" s="83" t="b">
        <v>1</v>
      </c>
      <c r="G3722" s="83"/>
      <c r="H3722" s="83"/>
      <c r="I3722" s="110" t="s">
        <v>11532</v>
      </c>
    </row>
    <row r="3723" spans="1:9">
      <c r="A3723" s="83" t="s">
        <v>9518</v>
      </c>
      <c r="B3723" s="83" t="s">
        <v>9361</v>
      </c>
      <c r="C3723" s="83" t="s">
        <v>9518</v>
      </c>
      <c r="D3723" s="83" t="s">
        <v>9677</v>
      </c>
      <c r="E3723" s="84">
        <f>number_emergency_supplies_equip_safetyshoes_partner</f>
        <v>0</v>
      </c>
      <c r="F3723" s="83" t="b">
        <v>1</v>
      </c>
      <c r="G3723" s="83"/>
      <c r="H3723" s="83"/>
      <c r="I3723" s="110" t="s">
        <v>11532</v>
      </c>
    </row>
    <row r="3724" spans="1:9">
      <c r="A3724" s="83" t="s">
        <v>9519</v>
      </c>
      <c r="B3724" s="83" t="s">
        <v>9361</v>
      </c>
      <c r="C3724" s="83" t="s">
        <v>9519</v>
      </c>
      <c r="D3724" s="83" t="s">
        <v>9678</v>
      </c>
      <c r="E3724" s="84">
        <f>number_emergency_supplies_equip_splinter_deped</f>
        <v>0</v>
      </c>
      <c r="F3724" s="83" t="b">
        <v>1</v>
      </c>
      <c r="G3724" s="83"/>
      <c r="H3724" s="83"/>
      <c r="I3724" s="110" t="s">
        <v>11532</v>
      </c>
    </row>
    <row r="3725" spans="1:9">
      <c r="A3725" s="83" t="s">
        <v>9520</v>
      </c>
      <c r="B3725" s="83" t="s">
        <v>9361</v>
      </c>
      <c r="C3725" s="83" t="s">
        <v>9520</v>
      </c>
      <c r="D3725" s="83" t="s">
        <v>9679</v>
      </c>
      <c r="E3725" s="84">
        <f>number_emergency_supplies_equip_splinter_partner</f>
        <v>0</v>
      </c>
      <c r="F3725" s="83" t="b">
        <v>1</v>
      </c>
      <c r="G3725" s="83"/>
      <c r="H3725" s="83"/>
      <c r="I3725" s="110" t="s">
        <v>11532</v>
      </c>
    </row>
    <row r="3726" spans="1:9">
      <c r="A3726" s="83" t="s">
        <v>9521</v>
      </c>
      <c r="B3726" s="83" t="s">
        <v>9361</v>
      </c>
      <c r="C3726" s="83" t="s">
        <v>9521</v>
      </c>
      <c r="D3726" s="83" t="s">
        <v>9680</v>
      </c>
      <c r="E3726" s="84">
        <f>number_emergency_supplies_equip_steelbox_deped</f>
        <v>0</v>
      </c>
      <c r="F3726" s="83" t="b">
        <v>1</v>
      </c>
      <c r="G3726" s="83"/>
      <c r="H3726" s="83"/>
      <c r="I3726" s="110" t="s">
        <v>11532</v>
      </c>
    </row>
    <row r="3727" spans="1:9">
      <c r="A3727" s="83" t="s">
        <v>9522</v>
      </c>
      <c r="B3727" s="83" t="s">
        <v>9361</v>
      </c>
      <c r="C3727" s="83" t="s">
        <v>9522</v>
      </c>
      <c r="D3727" s="83" t="s">
        <v>9681</v>
      </c>
      <c r="E3727" s="84">
        <f>number_emergency_supplies_equip_steelbox_partner</f>
        <v>0</v>
      </c>
      <c r="F3727" s="83" t="b">
        <v>1</v>
      </c>
      <c r="G3727" s="83"/>
      <c r="H3727" s="83"/>
      <c r="I3727" s="110" t="s">
        <v>11532</v>
      </c>
    </row>
    <row r="3728" spans="1:9">
      <c r="A3728" s="83" t="s">
        <v>9523</v>
      </c>
      <c r="B3728" s="83" t="s">
        <v>9361</v>
      </c>
      <c r="C3728" s="83" t="s">
        <v>9523</v>
      </c>
      <c r="D3728" s="83" t="s">
        <v>9682</v>
      </c>
      <c r="E3728" s="84">
        <f>number_emergency_supplies_equip_steelcabinet_deped</f>
        <v>0</v>
      </c>
      <c r="F3728" s="83" t="b">
        <v>1</v>
      </c>
      <c r="G3728" s="83"/>
      <c r="H3728" s="83"/>
      <c r="I3728" s="110" t="s">
        <v>11532</v>
      </c>
    </row>
    <row r="3729" spans="1:9">
      <c r="A3729" s="83" t="s">
        <v>9524</v>
      </c>
      <c r="B3729" s="83" t="s">
        <v>9361</v>
      </c>
      <c r="C3729" s="83" t="s">
        <v>9524</v>
      </c>
      <c r="D3729" s="83" t="s">
        <v>9683</v>
      </c>
      <c r="E3729" s="84">
        <f>number_emergency_supplies_equip_steelcabinet_partner</f>
        <v>0</v>
      </c>
      <c r="F3729" s="83" t="b">
        <v>1</v>
      </c>
      <c r="G3729" s="83"/>
      <c r="H3729" s="83"/>
      <c r="I3729" s="110" t="s">
        <v>11532</v>
      </c>
    </row>
    <row r="3730" spans="1:9">
      <c r="A3730" s="83" t="s">
        <v>9525</v>
      </c>
      <c r="B3730" s="83" t="s">
        <v>9361</v>
      </c>
      <c r="C3730" s="83" t="s">
        <v>9525</v>
      </c>
      <c r="D3730" s="83" t="s">
        <v>9684</v>
      </c>
      <c r="E3730" s="84">
        <f>number_emergency_supplies_equip_trafficvest_deped</f>
        <v>0</v>
      </c>
      <c r="F3730" s="83" t="b">
        <v>1</v>
      </c>
      <c r="G3730" s="83"/>
      <c r="H3730" s="83"/>
      <c r="I3730" s="110" t="s">
        <v>11532</v>
      </c>
    </row>
    <row r="3731" spans="1:9">
      <c r="A3731" s="83" t="s">
        <v>9526</v>
      </c>
      <c r="B3731" s="83" t="s">
        <v>9361</v>
      </c>
      <c r="C3731" s="83" t="s">
        <v>9526</v>
      </c>
      <c r="D3731" s="83" t="s">
        <v>9685</v>
      </c>
      <c r="E3731" s="84">
        <f>number_emergency_supplies_equip_trafficvest_partner</f>
        <v>0</v>
      </c>
      <c r="F3731" s="83" t="b">
        <v>1</v>
      </c>
      <c r="G3731" s="83"/>
      <c r="H3731" s="83"/>
      <c r="I3731" s="110" t="s">
        <v>11532</v>
      </c>
    </row>
    <row r="3732" spans="1:9">
      <c r="A3732" s="83" t="s">
        <v>9527</v>
      </c>
      <c r="B3732" s="83" t="s">
        <v>9361</v>
      </c>
      <c r="C3732" s="83" t="s">
        <v>9527</v>
      </c>
      <c r="D3732" s="83" t="s">
        <v>9686</v>
      </c>
      <c r="E3732" s="84">
        <f>number_emergency_supplies_equip_transpobag_deped</f>
        <v>0</v>
      </c>
      <c r="F3732" s="83" t="b">
        <v>1</v>
      </c>
      <c r="G3732" s="83"/>
      <c r="H3732" s="83"/>
      <c r="I3732" s="110" t="s">
        <v>11532</v>
      </c>
    </row>
    <row r="3733" spans="1:9">
      <c r="A3733" s="83" t="s">
        <v>9528</v>
      </c>
      <c r="B3733" s="83" t="s">
        <v>9361</v>
      </c>
      <c r="C3733" s="83" t="s">
        <v>9528</v>
      </c>
      <c r="D3733" s="83" t="s">
        <v>9687</v>
      </c>
      <c r="E3733" s="84">
        <f>number_emergency_supplies_equip_transpobag_partner</f>
        <v>0</v>
      </c>
      <c r="F3733" s="83" t="b">
        <v>1</v>
      </c>
      <c r="G3733" s="83"/>
      <c r="H3733" s="83"/>
      <c r="I3733" s="110" t="s">
        <v>11532</v>
      </c>
    </row>
    <row r="3734" spans="1:9">
      <c r="A3734" s="83" t="s">
        <v>9529</v>
      </c>
      <c r="B3734" s="83" t="s">
        <v>9361</v>
      </c>
      <c r="C3734" s="83" t="s">
        <v>9529</v>
      </c>
      <c r="D3734" s="83" t="s">
        <v>9688</v>
      </c>
      <c r="E3734" s="84">
        <f>number_emergency_supplies_equip_traumabag_deped</f>
        <v>0</v>
      </c>
      <c r="F3734" s="83" t="b">
        <v>1</v>
      </c>
      <c r="G3734" s="83"/>
      <c r="H3734" s="83"/>
      <c r="I3734" s="110" t="s">
        <v>11532</v>
      </c>
    </row>
    <row r="3735" spans="1:9">
      <c r="A3735" s="83" t="s">
        <v>9530</v>
      </c>
      <c r="B3735" s="83" t="s">
        <v>9361</v>
      </c>
      <c r="C3735" s="83" t="s">
        <v>9530</v>
      </c>
      <c r="D3735" s="83" t="s">
        <v>9689</v>
      </c>
      <c r="E3735" s="84">
        <f>number_emergency_supplies_equip_traumabag_partner</f>
        <v>0</v>
      </c>
      <c r="F3735" s="83" t="b">
        <v>1</v>
      </c>
      <c r="G3735" s="83"/>
      <c r="H3735" s="83"/>
      <c r="I3735" s="110" t="s">
        <v>11532</v>
      </c>
    </row>
    <row r="3736" spans="1:9">
      <c r="A3736" s="83" t="s">
        <v>9531</v>
      </c>
      <c r="B3736" s="83" t="s">
        <v>9361</v>
      </c>
      <c r="C3736" s="83" t="s">
        <v>9531</v>
      </c>
      <c r="D3736" s="83" t="s">
        <v>9690</v>
      </c>
      <c r="E3736" s="84">
        <f>number_emergency_supplies_equip_headimmobilizer_deped</f>
        <v>0</v>
      </c>
      <c r="F3736" s="83" t="b">
        <v>1</v>
      </c>
      <c r="G3736" s="83"/>
      <c r="H3736" s="83"/>
      <c r="I3736" s="110" t="s">
        <v>11532</v>
      </c>
    </row>
    <row r="3737" spans="1:9">
      <c r="A3737" s="83" t="s">
        <v>9532</v>
      </c>
      <c r="B3737" s="83" t="s">
        <v>9361</v>
      </c>
      <c r="C3737" s="83" t="s">
        <v>9532</v>
      </c>
      <c r="D3737" s="83" t="s">
        <v>9691</v>
      </c>
      <c r="E3737" s="84">
        <f>number_emergency_supplies_equip_headimmobilizer_partner</f>
        <v>0</v>
      </c>
      <c r="F3737" s="83" t="b">
        <v>1</v>
      </c>
      <c r="G3737" s="83"/>
      <c r="H3737" s="83"/>
      <c r="I3737" s="110" t="s">
        <v>11532</v>
      </c>
    </row>
    <row r="3738" spans="1:9">
      <c r="A3738" s="83" t="s">
        <v>9533</v>
      </c>
      <c r="B3738" s="83" t="s">
        <v>9361</v>
      </c>
      <c r="C3738" s="83" t="s">
        <v>9533</v>
      </c>
      <c r="D3738" s="83" t="s">
        <v>9692</v>
      </c>
      <c r="E3738" s="84">
        <f>number_response_rescue_equip_bicycle_deped</f>
        <v>0</v>
      </c>
      <c r="F3738" s="83" t="b">
        <v>1</v>
      </c>
      <c r="G3738" s="83"/>
      <c r="H3738" s="83"/>
      <c r="I3738" s="110" t="s">
        <v>11532</v>
      </c>
    </row>
    <row r="3739" spans="1:9">
      <c r="A3739" s="83" t="s">
        <v>9534</v>
      </c>
      <c r="B3739" s="83" t="s">
        <v>9361</v>
      </c>
      <c r="C3739" s="83" t="s">
        <v>9534</v>
      </c>
      <c r="D3739" s="83" t="s">
        <v>9693</v>
      </c>
      <c r="E3739" s="84">
        <f>number_response_rescue_equip_bicycle_partner</f>
        <v>0</v>
      </c>
      <c r="F3739" s="83" t="b">
        <v>1</v>
      </c>
      <c r="G3739" s="83"/>
      <c r="H3739" s="83"/>
      <c r="I3739" s="110" t="s">
        <v>11532</v>
      </c>
    </row>
    <row r="3740" spans="1:9">
      <c r="A3740" s="83" t="s">
        <v>9535</v>
      </c>
      <c r="B3740" s="83" t="s">
        <v>9361</v>
      </c>
      <c r="C3740" s="83" t="s">
        <v>9535</v>
      </c>
      <c r="D3740" s="83" t="s">
        <v>9694</v>
      </c>
      <c r="E3740" s="84">
        <f>number_response_rescue_equip_firecabinet_deped</f>
        <v>0</v>
      </c>
      <c r="F3740" s="83" t="b">
        <v>1</v>
      </c>
      <c r="G3740" s="83"/>
      <c r="H3740" s="83"/>
      <c r="I3740" s="110" t="s">
        <v>11532</v>
      </c>
    </row>
    <row r="3741" spans="1:9">
      <c r="A3741" s="83" t="s">
        <v>9536</v>
      </c>
      <c r="B3741" s="83" t="s">
        <v>9361</v>
      </c>
      <c r="C3741" s="83" t="s">
        <v>9536</v>
      </c>
      <c r="D3741" s="83" t="s">
        <v>9695</v>
      </c>
      <c r="E3741" s="84">
        <f>number_response_rescue_equip_firecabinet_partner</f>
        <v>0</v>
      </c>
      <c r="F3741" s="83" t="b">
        <v>1</v>
      </c>
      <c r="G3741" s="83"/>
      <c r="H3741" s="83"/>
      <c r="I3741" s="110" t="s">
        <v>11532</v>
      </c>
    </row>
    <row r="3742" spans="1:9">
      <c r="A3742" s="83" t="s">
        <v>9537</v>
      </c>
      <c r="B3742" s="83" t="s">
        <v>9361</v>
      </c>
      <c r="C3742" s="83" t="s">
        <v>9537</v>
      </c>
      <c r="D3742" s="83" t="s">
        <v>9696</v>
      </c>
      <c r="E3742" s="84">
        <f>number_response_rescue_equip_fireextinguisher_deped</f>
        <v>0</v>
      </c>
      <c r="F3742" s="83" t="b">
        <v>1</v>
      </c>
      <c r="G3742" s="83"/>
      <c r="H3742" s="83"/>
      <c r="I3742" s="110" t="s">
        <v>11532</v>
      </c>
    </row>
    <row r="3743" spans="1:9">
      <c r="A3743" s="83" t="s">
        <v>9538</v>
      </c>
      <c r="B3743" s="83" t="s">
        <v>9361</v>
      </c>
      <c r="C3743" s="83" t="s">
        <v>9538</v>
      </c>
      <c r="D3743" s="83" t="s">
        <v>9697</v>
      </c>
      <c r="E3743" s="84">
        <f>number_response_rescue_equip_fireextinguisher_partner</f>
        <v>0</v>
      </c>
      <c r="F3743" s="83" t="b">
        <v>1</v>
      </c>
      <c r="G3743" s="83"/>
      <c r="H3743" s="83"/>
      <c r="I3743" s="110" t="s">
        <v>11532</v>
      </c>
    </row>
    <row r="3744" spans="1:9">
      <c r="A3744" s="83" t="s">
        <v>9539</v>
      </c>
      <c r="B3744" s="83" t="s">
        <v>9361</v>
      </c>
      <c r="C3744" s="83" t="s">
        <v>9539</v>
      </c>
      <c r="D3744" s="83" t="s">
        <v>9698</v>
      </c>
      <c r="E3744" s="84">
        <f>number_response_rescue_equip_firehose_deped</f>
        <v>0</v>
      </c>
      <c r="F3744" s="83" t="b">
        <v>1</v>
      </c>
      <c r="G3744" s="83"/>
      <c r="H3744" s="83"/>
      <c r="I3744" s="110" t="s">
        <v>11532</v>
      </c>
    </row>
    <row r="3745" spans="1:9">
      <c r="A3745" s="83" t="s">
        <v>9540</v>
      </c>
      <c r="B3745" s="83" t="s">
        <v>9361</v>
      </c>
      <c r="C3745" s="83" t="s">
        <v>9540</v>
      </c>
      <c r="D3745" s="83" t="s">
        <v>9699</v>
      </c>
      <c r="E3745" s="84">
        <f>number_response_rescue_equip_firehose_partner</f>
        <v>0</v>
      </c>
      <c r="F3745" s="83" t="b">
        <v>1</v>
      </c>
      <c r="G3745" s="83"/>
      <c r="H3745" s="83"/>
      <c r="I3745" s="110" t="s">
        <v>11532</v>
      </c>
    </row>
    <row r="3746" spans="1:9">
      <c r="A3746" s="83" t="s">
        <v>9541</v>
      </c>
      <c r="B3746" s="83" t="s">
        <v>9361</v>
      </c>
      <c r="C3746" s="83" t="s">
        <v>9541</v>
      </c>
      <c r="D3746" s="83" t="s">
        <v>9700</v>
      </c>
      <c r="E3746" s="84">
        <f>number_response_rescue_equip_lifevest_deped</f>
        <v>0</v>
      </c>
      <c r="F3746" s="83" t="b">
        <v>1</v>
      </c>
      <c r="G3746" s="83"/>
      <c r="H3746" s="83"/>
      <c r="I3746" s="110" t="s">
        <v>11532</v>
      </c>
    </row>
    <row r="3747" spans="1:9">
      <c r="A3747" s="83" t="s">
        <v>9542</v>
      </c>
      <c r="B3747" s="83" t="s">
        <v>9361</v>
      </c>
      <c r="C3747" s="83" t="s">
        <v>9542</v>
      </c>
      <c r="D3747" s="83" t="s">
        <v>9701</v>
      </c>
      <c r="E3747" s="84">
        <f>number_response_rescue_equip_lifevest_partner</f>
        <v>0</v>
      </c>
      <c r="F3747" s="83" t="b">
        <v>1</v>
      </c>
      <c r="G3747" s="83"/>
      <c r="H3747" s="83"/>
      <c r="I3747" s="110" t="s">
        <v>11532</v>
      </c>
    </row>
    <row r="3748" spans="1:9">
      <c r="A3748" s="83" t="s">
        <v>9543</v>
      </c>
      <c r="B3748" s="83" t="s">
        <v>9361</v>
      </c>
      <c r="C3748" s="83" t="s">
        <v>9543</v>
      </c>
      <c r="D3748" s="83" t="s">
        <v>9702</v>
      </c>
      <c r="E3748" s="84">
        <f>number_response_rescue_equip_motorbanca_deped</f>
        <v>0</v>
      </c>
      <c r="F3748" s="83" t="b">
        <v>1</v>
      </c>
      <c r="G3748" s="83"/>
      <c r="H3748" s="83"/>
      <c r="I3748" s="110" t="s">
        <v>11532</v>
      </c>
    </row>
    <row r="3749" spans="1:9">
      <c r="A3749" s="83" t="s">
        <v>9544</v>
      </c>
      <c r="B3749" s="83" t="s">
        <v>9361</v>
      </c>
      <c r="C3749" s="83" t="s">
        <v>9544</v>
      </c>
      <c r="D3749" s="83" t="s">
        <v>9703</v>
      </c>
      <c r="E3749" s="84">
        <f>number_response_rescue_equip_motorbanca_partner</f>
        <v>0</v>
      </c>
      <c r="F3749" s="83" t="b">
        <v>1</v>
      </c>
      <c r="G3749" s="83"/>
      <c r="H3749" s="83"/>
      <c r="I3749" s="110" t="s">
        <v>11532</v>
      </c>
    </row>
    <row r="3750" spans="1:9">
      <c r="A3750" s="83" t="s">
        <v>9545</v>
      </c>
      <c r="B3750" s="83" t="s">
        <v>9361</v>
      </c>
      <c r="C3750" s="83" t="s">
        <v>9545</v>
      </c>
      <c r="D3750" s="83" t="s">
        <v>9704</v>
      </c>
      <c r="E3750" s="84">
        <f>number_response_rescue_equip_powersprayer_deped</f>
        <v>0</v>
      </c>
      <c r="F3750" s="83" t="b">
        <v>1</v>
      </c>
      <c r="G3750" s="83"/>
      <c r="H3750" s="83"/>
      <c r="I3750" s="110" t="s">
        <v>11532</v>
      </c>
    </row>
    <row r="3751" spans="1:9">
      <c r="A3751" s="83" t="s">
        <v>9546</v>
      </c>
      <c r="B3751" s="83" t="s">
        <v>9361</v>
      </c>
      <c r="C3751" s="83" t="s">
        <v>9546</v>
      </c>
      <c r="D3751" s="83" t="s">
        <v>9705</v>
      </c>
      <c r="E3751" s="84">
        <f>number_response_rescue_equip_powersprayer_partner</f>
        <v>0</v>
      </c>
      <c r="F3751" s="83" t="b">
        <v>1</v>
      </c>
      <c r="G3751" s="83"/>
      <c r="H3751" s="83"/>
      <c r="I3751" s="110" t="s">
        <v>11532</v>
      </c>
    </row>
    <row r="3752" spans="1:9">
      <c r="A3752" s="83" t="s">
        <v>9547</v>
      </c>
      <c r="B3752" s="83" t="s">
        <v>9361</v>
      </c>
      <c r="C3752" s="83" t="s">
        <v>9547</v>
      </c>
      <c r="D3752" s="83" t="s">
        <v>9706</v>
      </c>
      <c r="E3752" s="84">
        <f>sch_participated_drill_01_earthquake</f>
        <v>0</v>
      </c>
      <c r="F3752" s="83" t="b">
        <v>1</v>
      </c>
      <c r="G3752" s="83"/>
      <c r="H3752" s="83"/>
    </row>
    <row r="3753" spans="1:9">
      <c r="A3753" s="83" t="s">
        <v>9548</v>
      </c>
      <c r="B3753" s="83" t="s">
        <v>9361</v>
      </c>
      <c r="C3753" s="83" t="s">
        <v>9548</v>
      </c>
      <c r="D3753" s="83" t="s">
        <v>9707</v>
      </c>
      <c r="E3753" s="84">
        <f>sch_participated_drill_02_earthquake</f>
        <v>0</v>
      </c>
      <c r="F3753" s="83" t="b">
        <v>1</v>
      </c>
      <c r="G3753" s="83"/>
      <c r="H3753" s="83"/>
    </row>
    <row r="3754" spans="1:9">
      <c r="A3754" s="83" t="s">
        <v>9549</v>
      </c>
      <c r="B3754" s="83" t="s">
        <v>9361</v>
      </c>
      <c r="C3754" s="83" t="s">
        <v>9549</v>
      </c>
      <c r="D3754" s="83" t="s">
        <v>9708</v>
      </c>
      <c r="E3754" s="84">
        <f>sch_participated_drill_03_earthquake</f>
        <v>1</v>
      </c>
      <c r="F3754" s="83" t="b">
        <v>1</v>
      </c>
      <c r="G3754" s="83"/>
      <c r="H3754" s="83"/>
    </row>
    <row r="3755" spans="1:9">
      <c r="A3755" s="83" t="s">
        <v>9550</v>
      </c>
      <c r="B3755" s="83" t="s">
        <v>9361</v>
      </c>
      <c r="C3755" s="83" t="s">
        <v>9550</v>
      </c>
      <c r="D3755" s="83" t="s">
        <v>9709</v>
      </c>
      <c r="E3755" s="84">
        <f>sch_participated_drill_04_earthquake</f>
        <v>0</v>
      </c>
      <c r="F3755" s="83" t="b">
        <v>1</v>
      </c>
      <c r="G3755" s="83"/>
      <c r="H3755" s="83"/>
    </row>
    <row r="3756" spans="1:9">
      <c r="A3756" s="83" t="s">
        <v>9551</v>
      </c>
      <c r="B3756" s="83" t="s">
        <v>9361</v>
      </c>
      <c r="C3756" s="83" t="s">
        <v>9551</v>
      </c>
      <c r="D3756" s="83" t="s">
        <v>9710</v>
      </c>
      <c r="E3756" s="84">
        <f>sch_participated_drill_05_earthquake</f>
        <v>0</v>
      </c>
      <c r="F3756" s="83" t="b">
        <v>1</v>
      </c>
      <c r="G3756" s="83"/>
      <c r="H3756" s="83"/>
    </row>
    <row r="3757" spans="1:9">
      <c r="A3757" s="83" t="s">
        <v>9552</v>
      </c>
      <c r="B3757" s="83" t="s">
        <v>9361</v>
      </c>
      <c r="C3757" s="83" t="s">
        <v>9552</v>
      </c>
      <c r="D3757" s="83" t="s">
        <v>9711</v>
      </c>
      <c r="E3757" s="84">
        <f>sch_participated_drill_06_earthquake</f>
        <v>1</v>
      </c>
      <c r="F3757" s="83" t="b">
        <v>1</v>
      </c>
      <c r="G3757" s="83"/>
      <c r="H3757" s="83"/>
    </row>
    <row r="3758" spans="1:9">
      <c r="A3758" s="83" t="s">
        <v>9553</v>
      </c>
      <c r="B3758" s="83" t="s">
        <v>9361</v>
      </c>
      <c r="C3758" s="83" t="s">
        <v>9553</v>
      </c>
      <c r="D3758" s="83" t="s">
        <v>9712</v>
      </c>
      <c r="E3758" s="84">
        <f>sch_participated_drill_07_earthquake</f>
        <v>0</v>
      </c>
      <c r="F3758" s="83" t="b">
        <v>1</v>
      </c>
      <c r="G3758" s="83"/>
      <c r="H3758" s="83"/>
    </row>
    <row r="3759" spans="1:9">
      <c r="A3759" s="83" t="s">
        <v>9554</v>
      </c>
      <c r="B3759" s="83" t="s">
        <v>9361</v>
      </c>
      <c r="C3759" s="83" t="s">
        <v>9554</v>
      </c>
      <c r="D3759" s="83" t="s">
        <v>9713</v>
      </c>
      <c r="E3759" s="84">
        <f>sch_participated_drill_08_earthquake</f>
        <v>0</v>
      </c>
      <c r="F3759" s="83" t="b">
        <v>1</v>
      </c>
      <c r="G3759" s="83"/>
      <c r="H3759" s="83"/>
    </row>
    <row r="3760" spans="1:9">
      <c r="A3760" s="83" t="s">
        <v>9555</v>
      </c>
      <c r="B3760" s="83" t="s">
        <v>9361</v>
      </c>
      <c r="C3760" s="83" t="s">
        <v>9555</v>
      </c>
      <c r="D3760" s="83" t="s">
        <v>9714</v>
      </c>
      <c r="E3760" s="84">
        <f>sch_participated_drill_09_earthquake</f>
        <v>1</v>
      </c>
      <c r="F3760" s="83" t="b">
        <v>1</v>
      </c>
      <c r="G3760" s="83"/>
      <c r="H3760" s="83"/>
    </row>
    <row r="3761" spans="1:8">
      <c r="A3761" s="83" t="s">
        <v>9556</v>
      </c>
      <c r="B3761" s="83" t="s">
        <v>9361</v>
      </c>
      <c r="C3761" s="83" t="s">
        <v>9556</v>
      </c>
      <c r="D3761" s="83" t="s">
        <v>9715</v>
      </c>
      <c r="E3761" s="84">
        <f>sch_participated_drill_10_earthquake</f>
        <v>0</v>
      </c>
      <c r="F3761" s="83" t="b">
        <v>1</v>
      </c>
      <c r="G3761" s="83"/>
      <c r="H3761" s="83"/>
    </row>
    <row r="3762" spans="1:8">
      <c r="A3762" s="83" t="s">
        <v>9557</v>
      </c>
      <c r="B3762" s="83" t="s">
        <v>9361</v>
      </c>
      <c r="C3762" s="83" t="s">
        <v>9557</v>
      </c>
      <c r="D3762" s="83" t="s">
        <v>9716</v>
      </c>
      <c r="E3762" s="84">
        <f>sch_participated_drill_11_earthquake</f>
        <v>0</v>
      </c>
      <c r="F3762" s="83" t="b">
        <v>1</v>
      </c>
      <c r="G3762" s="83"/>
      <c r="H3762" s="83"/>
    </row>
    <row r="3763" spans="1:8">
      <c r="A3763" s="83" t="s">
        <v>9558</v>
      </c>
      <c r="B3763" s="83" t="s">
        <v>9361</v>
      </c>
      <c r="C3763" s="83" t="s">
        <v>9558</v>
      </c>
      <c r="D3763" s="83" t="s">
        <v>9717</v>
      </c>
      <c r="E3763" s="84">
        <f>sch_participated_drill_12_earthquake</f>
        <v>1</v>
      </c>
      <c r="F3763" s="83" t="b">
        <v>1</v>
      </c>
      <c r="G3763" s="83"/>
      <c r="H3763" s="83"/>
    </row>
    <row r="3764" spans="1:8">
      <c r="A3764" s="83" t="s">
        <v>9559</v>
      </c>
      <c r="B3764" s="83" t="s">
        <v>9361</v>
      </c>
      <c r="C3764" s="83" t="s">
        <v>9559</v>
      </c>
      <c r="D3764" s="83" t="s">
        <v>9718</v>
      </c>
      <c r="E3764" s="84">
        <f>sch_participated_drill_01_fire</f>
        <v>0</v>
      </c>
      <c r="F3764" s="83" t="b">
        <v>1</v>
      </c>
      <c r="G3764" s="83"/>
      <c r="H3764" s="83"/>
    </row>
    <row r="3765" spans="1:8">
      <c r="A3765" s="83" t="s">
        <v>9560</v>
      </c>
      <c r="B3765" s="83" t="s">
        <v>9361</v>
      </c>
      <c r="C3765" s="83" t="s">
        <v>9560</v>
      </c>
      <c r="D3765" s="83" t="s">
        <v>9719</v>
      </c>
      <c r="E3765" s="84">
        <f>sch_participated_drill_02_fire</f>
        <v>0</v>
      </c>
      <c r="F3765" s="83" t="b">
        <v>1</v>
      </c>
      <c r="G3765" s="83"/>
      <c r="H3765" s="83"/>
    </row>
    <row r="3766" spans="1:8">
      <c r="A3766" s="83" t="s">
        <v>9561</v>
      </c>
      <c r="B3766" s="83" t="s">
        <v>9361</v>
      </c>
      <c r="C3766" s="83" t="s">
        <v>9561</v>
      </c>
      <c r="D3766" s="83" t="s">
        <v>9720</v>
      </c>
      <c r="E3766" s="84">
        <f>sch_participated_drill_03_fire</f>
        <v>1</v>
      </c>
      <c r="F3766" s="83" t="b">
        <v>1</v>
      </c>
      <c r="G3766" s="83"/>
      <c r="H3766" s="83"/>
    </row>
    <row r="3767" spans="1:8">
      <c r="A3767" s="83" t="s">
        <v>9562</v>
      </c>
      <c r="B3767" s="83" t="s">
        <v>9361</v>
      </c>
      <c r="C3767" s="83" t="s">
        <v>9562</v>
      </c>
      <c r="D3767" s="83" t="s">
        <v>9721</v>
      </c>
      <c r="E3767" s="84">
        <f>sch_participated_drill_04_fire</f>
        <v>0</v>
      </c>
      <c r="F3767" s="83" t="b">
        <v>1</v>
      </c>
      <c r="G3767" s="83"/>
      <c r="H3767" s="83"/>
    </row>
    <row r="3768" spans="1:8">
      <c r="A3768" s="83" t="s">
        <v>9563</v>
      </c>
      <c r="B3768" s="83" t="s">
        <v>9361</v>
      </c>
      <c r="C3768" s="83" t="s">
        <v>9563</v>
      </c>
      <c r="D3768" s="83" t="s">
        <v>9722</v>
      </c>
      <c r="E3768" s="84">
        <f>sch_participated_drill_05_fire</f>
        <v>0</v>
      </c>
      <c r="F3768" s="83" t="b">
        <v>1</v>
      </c>
      <c r="G3768" s="83"/>
      <c r="H3768" s="83"/>
    </row>
    <row r="3769" spans="1:8">
      <c r="A3769" s="83" t="s">
        <v>9564</v>
      </c>
      <c r="B3769" s="83" t="s">
        <v>9361</v>
      </c>
      <c r="C3769" s="83" t="s">
        <v>9564</v>
      </c>
      <c r="D3769" s="83" t="s">
        <v>9723</v>
      </c>
      <c r="E3769" s="84">
        <f>sch_participated_drill_06_fire</f>
        <v>1</v>
      </c>
      <c r="F3769" s="83" t="b">
        <v>1</v>
      </c>
      <c r="G3769" s="83"/>
      <c r="H3769" s="83"/>
    </row>
    <row r="3770" spans="1:8">
      <c r="A3770" s="83" t="s">
        <v>9565</v>
      </c>
      <c r="B3770" s="83" t="s">
        <v>9361</v>
      </c>
      <c r="C3770" s="83" t="s">
        <v>9565</v>
      </c>
      <c r="D3770" s="83" t="s">
        <v>9724</v>
      </c>
      <c r="E3770" s="84">
        <f>sch_participated_drill_07_fire</f>
        <v>0</v>
      </c>
      <c r="F3770" s="83" t="b">
        <v>1</v>
      </c>
      <c r="G3770" s="83"/>
      <c r="H3770" s="83"/>
    </row>
    <row r="3771" spans="1:8">
      <c r="A3771" s="83" t="s">
        <v>9566</v>
      </c>
      <c r="B3771" s="83" t="s">
        <v>9361</v>
      </c>
      <c r="C3771" s="83" t="s">
        <v>9566</v>
      </c>
      <c r="D3771" s="83" t="s">
        <v>9725</v>
      </c>
      <c r="E3771" s="84">
        <f>sch_participated_drill_08_fire</f>
        <v>0</v>
      </c>
      <c r="F3771" s="83" t="b">
        <v>1</v>
      </c>
      <c r="G3771" s="83"/>
      <c r="H3771" s="83"/>
    </row>
    <row r="3772" spans="1:8">
      <c r="A3772" s="83" t="s">
        <v>9567</v>
      </c>
      <c r="B3772" s="83" t="s">
        <v>9361</v>
      </c>
      <c r="C3772" s="83" t="s">
        <v>9567</v>
      </c>
      <c r="D3772" s="83" t="s">
        <v>9726</v>
      </c>
      <c r="E3772" s="84">
        <f>sch_participated_drill_09_fire</f>
        <v>1</v>
      </c>
      <c r="F3772" s="83" t="b">
        <v>1</v>
      </c>
      <c r="G3772" s="83"/>
      <c r="H3772" s="83"/>
    </row>
    <row r="3773" spans="1:8">
      <c r="A3773" s="83" t="s">
        <v>9568</v>
      </c>
      <c r="B3773" s="83" t="s">
        <v>9361</v>
      </c>
      <c r="C3773" s="83" t="s">
        <v>9568</v>
      </c>
      <c r="D3773" s="83" t="s">
        <v>9727</v>
      </c>
      <c r="E3773" s="84">
        <f>sch_participated_drill_10_fire</f>
        <v>0</v>
      </c>
      <c r="F3773" s="83" t="b">
        <v>1</v>
      </c>
      <c r="G3773" s="83"/>
      <c r="H3773" s="83"/>
    </row>
    <row r="3774" spans="1:8">
      <c r="A3774" s="83" t="s">
        <v>9569</v>
      </c>
      <c r="B3774" s="83" t="s">
        <v>9361</v>
      </c>
      <c r="C3774" s="83" t="s">
        <v>9569</v>
      </c>
      <c r="D3774" s="83" t="s">
        <v>9728</v>
      </c>
      <c r="E3774" s="84">
        <f>sch_participated_drill_11_fire</f>
        <v>0</v>
      </c>
      <c r="F3774" s="83" t="b">
        <v>1</v>
      </c>
      <c r="G3774" s="83"/>
      <c r="H3774" s="83"/>
    </row>
    <row r="3775" spans="1:8">
      <c r="A3775" s="83" t="s">
        <v>9570</v>
      </c>
      <c r="B3775" s="83" t="s">
        <v>9361</v>
      </c>
      <c r="C3775" s="83" t="s">
        <v>9570</v>
      </c>
      <c r="D3775" s="83" t="s">
        <v>9729</v>
      </c>
      <c r="E3775" s="84">
        <f>sch_participated_drill_12_fire</f>
        <v>1</v>
      </c>
      <c r="F3775" s="83" t="b">
        <v>1</v>
      </c>
      <c r="G3775" s="83"/>
      <c r="H3775" s="83"/>
    </row>
    <row r="3776" spans="1:8">
      <c r="A3776" s="83" t="s">
        <v>9571</v>
      </c>
      <c r="B3776" s="83" t="s">
        <v>9361</v>
      </c>
      <c r="C3776" s="83" t="s">
        <v>9571</v>
      </c>
      <c r="D3776" s="83" t="s">
        <v>9730</v>
      </c>
      <c r="E3776" s="84">
        <f>sch_participated_drill_01_flood_evacuation</f>
        <v>0</v>
      </c>
      <c r="F3776" s="83" t="b">
        <v>1</v>
      </c>
      <c r="G3776" s="83"/>
      <c r="H3776" s="83"/>
    </row>
    <row r="3777" spans="1:8">
      <c r="A3777" s="83" t="s">
        <v>9572</v>
      </c>
      <c r="B3777" s="83" t="s">
        <v>9361</v>
      </c>
      <c r="C3777" s="83" t="s">
        <v>9572</v>
      </c>
      <c r="D3777" s="83" t="s">
        <v>9731</v>
      </c>
      <c r="E3777" s="84">
        <f>sch_participated_drill_02_flood_evacuation</f>
        <v>0</v>
      </c>
      <c r="F3777" s="83" t="b">
        <v>1</v>
      </c>
      <c r="G3777" s="83"/>
      <c r="H3777" s="83"/>
    </row>
    <row r="3778" spans="1:8">
      <c r="A3778" s="83" t="s">
        <v>9573</v>
      </c>
      <c r="B3778" s="83" t="s">
        <v>9361</v>
      </c>
      <c r="C3778" s="83" t="s">
        <v>9573</v>
      </c>
      <c r="D3778" s="83" t="s">
        <v>9732</v>
      </c>
      <c r="E3778" s="84">
        <f>sch_participated_drill_03_flood_evacuation</f>
        <v>0</v>
      </c>
      <c r="F3778" s="83" t="b">
        <v>1</v>
      </c>
      <c r="G3778" s="83"/>
      <c r="H3778" s="83"/>
    </row>
    <row r="3779" spans="1:8">
      <c r="A3779" s="83" t="s">
        <v>9574</v>
      </c>
      <c r="B3779" s="83" t="s">
        <v>9361</v>
      </c>
      <c r="C3779" s="83" t="s">
        <v>9574</v>
      </c>
      <c r="D3779" s="83" t="s">
        <v>9733</v>
      </c>
      <c r="E3779" s="84">
        <f>sch_participated_drill_04_flood_evacuation</f>
        <v>0</v>
      </c>
      <c r="F3779" s="83" t="b">
        <v>1</v>
      </c>
      <c r="G3779" s="83"/>
      <c r="H3779" s="83"/>
    </row>
    <row r="3780" spans="1:8">
      <c r="A3780" s="83" t="s">
        <v>9575</v>
      </c>
      <c r="B3780" s="83" t="s">
        <v>9361</v>
      </c>
      <c r="C3780" s="83" t="s">
        <v>9575</v>
      </c>
      <c r="D3780" s="83" t="s">
        <v>9734</v>
      </c>
      <c r="E3780" s="84">
        <f>sch_participated_drill_05_flood_evacuation</f>
        <v>0</v>
      </c>
      <c r="F3780" s="83" t="b">
        <v>1</v>
      </c>
      <c r="G3780" s="83"/>
      <c r="H3780" s="83"/>
    </row>
    <row r="3781" spans="1:8">
      <c r="A3781" s="83" t="s">
        <v>9576</v>
      </c>
      <c r="B3781" s="83" t="s">
        <v>9361</v>
      </c>
      <c r="C3781" s="83" t="s">
        <v>9576</v>
      </c>
      <c r="D3781" s="83" t="s">
        <v>9735</v>
      </c>
      <c r="E3781" s="84">
        <f>sch_participated_drill_06_flood_evacuation</f>
        <v>0</v>
      </c>
      <c r="F3781" s="83" t="b">
        <v>1</v>
      </c>
      <c r="G3781" s="83"/>
      <c r="H3781" s="83"/>
    </row>
    <row r="3782" spans="1:8">
      <c r="A3782" s="83" t="s">
        <v>9577</v>
      </c>
      <c r="B3782" s="83" t="s">
        <v>9361</v>
      </c>
      <c r="C3782" s="83" t="s">
        <v>9577</v>
      </c>
      <c r="D3782" s="83" t="s">
        <v>9736</v>
      </c>
      <c r="E3782" s="84">
        <f>sch_participated_drill_07_flood_evacuation</f>
        <v>0</v>
      </c>
      <c r="F3782" s="83" t="b">
        <v>1</v>
      </c>
      <c r="G3782" s="83"/>
      <c r="H3782" s="83"/>
    </row>
    <row r="3783" spans="1:8">
      <c r="A3783" s="83" t="s">
        <v>9578</v>
      </c>
      <c r="B3783" s="83" t="s">
        <v>9361</v>
      </c>
      <c r="C3783" s="83" t="s">
        <v>9578</v>
      </c>
      <c r="D3783" s="83" t="s">
        <v>9737</v>
      </c>
      <c r="E3783" s="84">
        <f>sch_participated_drill_08_flood_evacuation</f>
        <v>0</v>
      </c>
      <c r="F3783" s="83" t="b">
        <v>1</v>
      </c>
      <c r="G3783" s="83"/>
      <c r="H3783" s="83"/>
    </row>
    <row r="3784" spans="1:8">
      <c r="A3784" s="83" t="s">
        <v>9579</v>
      </c>
      <c r="B3784" s="83" t="s">
        <v>9361</v>
      </c>
      <c r="C3784" s="83" t="s">
        <v>9579</v>
      </c>
      <c r="D3784" s="83" t="s">
        <v>9738</v>
      </c>
      <c r="E3784" s="84">
        <f>sch_participated_drill_09_flood_evacuation</f>
        <v>0</v>
      </c>
      <c r="F3784" s="83" t="b">
        <v>1</v>
      </c>
      <c r="G3784" s="83"/>
      <c r="H3784" s="83"/>
    </row>
    <row r="3785" spans="1:8">
      <c r="A3785" s="83" t="s">
        <v>9580</v>
      </c>
      <c r="B3785" s="83" t="s">
        <v>9361</v>
      </c>
      <c r="C3785" s="83" t="s">
        <v>9580</v>
      </c>
      <c r="D3785" s="83" t="s">
        <v>9739</v>
      </c>
      <c r="E3785" s="84">
        <f>sch_participated_drill_10_flood_evacuation</f>
        <v>0</v>
      </c>
      <c r="F3785" s="83" t="b">
        <v>1</v>
      </c>
      <c r="G3785" s="83"/>
      <c r="H3785" s="83"/>
    </row>
    <row r="3786" spans="1:8">
      <c r="A3786" s="83" t="s">
        <v>9581</v>
      </c>
      <c r="B3786" s="83" t="s">
        <v>9361</v>
      </c>
      <c r="C3786" s="83" t="s">
        <v>9581</v>
      </c>
      <c r="D3786" s="83" t="s">
        <v>9740</v>
      </c>
      <c r="E3786" s="84">
        <f>sch_participated_drill_11_flood_evacuation</f>
        <v>0</v>
      </c>
      <c r="F3786" s="83" t="b">
        <v>1</v>
      </c>
      <c r="G3786" s="83"/>
      <c r="H3786" s="83"/>
    </row>
    <row r="3787" spans="1:8">
      <c r="A3787" s="83" t="s">
        <v>9582</v>
      </c>
      <c r="B3787" s="83" t="s">
        <v>9361</v>
      </c>
      <c r="C3787" s="83" t="s">
        <v>9582</v>
      </c>
      <c r="D3787" s="83" t="s">
        <v>9741</v>
      </c>
      <c r="E3787" s="84">
        <f>sch_participated_drill_12_flood_evacuation</f>
        <v>0</v>
      </c>
      <c r="F3787" s="83" t="b">
        <v>1</v>
      </c>
      <c r="G3787" s="83"/>
      <c r="H3787" s="83"/>
    </row>
    <row r="3788" spans="1:8">
      <c r="A3788" s="83" t="s">
        <v>9583</v>
      </c>
      <c r="B3788" s="83" t="s">
        <v>9361</v>
      </c>
      <c r="C3788" s="83" t="s">
        <v>9583</v>
      </c>
      <c r="D3788" s="83" t="s">
        <v>9742</v>
      </c>
      <c r="E3788" s="84">
        <f>sch_participated_drill_01_lockdown</f>
        <v>0</v>
      </c>
      <c r="F3788" s="83" t="b">
        <v>1</v>
      </c>
      <c r="G3788" s="83"/>
      <c r="H3788" s="83"/>
    </row>
    <row r="3789" spans="1:8">
      <c r="A3789" s="83" t="s">
        <v>9584</v>
      </c>
      <c r="B3789" s="83" t="s">
        <v>9361</v>
      </c>
      <c r="C3789" s="83" t="s">
        <v>9584</v>
      </c>
      <c r="D3789" s="83" t="s">
        <v>9743</v>
      </c>
      <c r="E3789" s="84">
        <f>sch_participated_drill_02_lockdown</f>
        <v>0</v>
      </c>
      <c r="F3789" s="83" t="b">
        <v>1</v>
      </c>
      <c r="G3789" s="83"/>
      <c r="H3789" s="83"/>
    </row>
    <row r="3790" spans="1:8">
      <c r="A3790" s="83" t="s">
        <v>9585</v>
      </c>
      <c r="B3790" s="83" t="s">
        <v>9361</v>
      </c>
      <c r="C3790" s="83" t="s">
        <v>9585</v>
      </c>
      <c r="D3790" s="83" t="s">
        <v>9744</v>
      </c>
      <c r="E3790" s="84">
        <f>sch_participated_drill_03_lockdown</f>
        <v>0</v>
      </c>
      <c r="F3790" s="83" t="b">
        <v>1</v>
      </c>
      <c r="G3790" s="83"/>
      <c r="H3790" s="83"/>
    </row>
    <row r="3791" spans="1:8">
      <c r="A3791" s="83" t="s">
        <v>9586</v>
      </c>
      <c r="B3791" s="83" t="s">
        <v>9361</v>
      </c>
      <c r="C3791" s="83" t="s">
        <v>9586</v>
      </c>
      <c r="D3791" s="83" t="s">
        <v>9745</v>
      </c>
      <c r="E3791" s="84">
        <f>sch_participated_drill_04_lockdown</f>
        <v>0</v>
      </c>
      <c r="F3791" s="83" t="b">
        <v>1</v>
      </c>
      <c r="G3791" s="83"/>
      <c r="H3791" s="83"/>
    </row>
    <row r="3792" spans="1:8">
      <c r="A3792" s="83" t="s">
        <v>9587</v>
      </c>
      <c r="B3792" s="83" t="s">
        <v>9361</v>
      </c>
      <c r="C3792" s="83" t="s">
        <v>9587</v>
      </c>
      <c r="D3792" s="83" t="s">
        <v>9746</v>
      </c>
      <c r="E3792" s="84">
        <f>sch_participated_drill_05_lockdown</f>
        <v>0</v>
      </c>
      <c r="F3792" s="83" t="b">
        <v>1</v>
      </c>
      <c r="G3792" s="83"/>
      <c r="H3792" s="83"/>
    </row>
    <row r="3793" spans="1:8">
      <c r="A3793" s="83" t="s">
        <v>9588</v>
      </c>
      <c r="B3793" s="83" t="s">
        <v>9361</v>
      </c>
      <c r="C3793" s="83" t="s">
        <v>9588</v>
      </c>
      <c r="D3793" s="83" t="s">
        <v>9747</v>
      </c>
      <c r="E3793" s="84">
        <f>sch_participated_drill_06_lockdown</f>
        <v>0</v>
      </c>
      <c r="F3793" s="83" t="b">
        <v>1</v>
      </c>
      <c r="G3793" s="83"/>
      <c r="H3793" s="83"/>
    </row>
    <row r="3794" spans="1:8">
      <c r="A3794" s="83" t="s">
        <v>9589</v>
      </c>
      <c r="B3794" s="83" t="s">
        <v>9361</v>
      </c>
      <c r="C3794" s="83" t="s">
        <v>9589</v>
      </c>
      <c r="D3794" s="83" t="s">
        <v>9748</v>
      </c>
      <c r="E3794" s="84">
        <f>sch_participated_drill_07_lockdown</f>
        <v>0</v>
      </c>
      <c r="F3794" s="83" t="b">
        <v>1</v>
      </c>
      <c r="G3794" s="83"/>
      <c r="H3794" s="83"/>
    </row>
    <row r="3795" spans="1:8">
      <c r="A3795" s="83" t="s">
        <v>9590</v>
      </c>
      <c r="B3795" s="83" t="s">
        <v>9361</v>
      </c>
      <c r="C3795" s="83" t="s">
        <v>9590</v>
      </c>
      <c r="D3795" s="83" t="s">
        <v>9749</v>
      </c>
      <c r="E3795" s="84">
        <f>sch_participated_drill_08_lockdown</f>
        <v>0</v>
      </c>
      <c r="F3795" s="83" t="b">
        <v>1</v>
      </c>
      <c r="G3795" s="83"/>
      <c r="H3795" s="83"/>
    </row>
    <row r="3796" spans="1:8">
      <c r="A3796" s="83" t="s">
        <v>9591</v>
      </c>
      <c r="B3796" s="83" t="s">
        <v>9361</v>
      </c>
      <c r="C3796" s="83" t="s">
        <v>9591</v>
      </c>
      <c r="D3796" s="83" t="s">
        <v>9750</v>
      </c>
      <c r="E3796" s="84">
        <f>sch_participated_drill_09_lockdown</f>
        <v>0</v>
      </c>
      <c r="F3796" s="83" t="b">
        <v>1</v>
      </c>
      <c r="G3796" s="83"/>
      <c r="H3796" s="83"/>
    </row>
    <row r="3797" spans="1:8">
      <c r="A3797" s="83" t="s">
        <v>9592</v>
      </c>
      <c r="B3797" s="83" t="s">
        <v>9361</v>
      </c>
      <c r="C3797" s="83" t="s">
        <v>9592</v>
      </c>
      <c r="D3797" s="83" t="s">
        <v>9751</v>
      </c>
      <c r="E3797" s="84">
        <f>sch_participated_drill_10_lockdown</f>
        <v>0</v>
      </c>
      <c r="F3797" s="83" t="b">
        <v>1</v>
      </c>
      <c r="G3797" s="83"/>
      <c r="H3797" s="83"/>
    </row>
    <row r="3798" spans="1:8">
      <c r="A3798" s="83" t="s">
        <v>9593</v>
      </c>
      <c r="B3798" s="83" t="s">
        <v>9361</v>
      </c>
      <c r="C3798" s="83" t="s">
        <v>9593</v>
      </c>
      <c r="D3798" s="83" t="s">
        <v>9752</v>
      </c>
      <c r="E3798" s="84">
        <f>sch_participated_drill_11_lockdown</f>
        <v>0</v>
      </c>
      <c r="F3798" s="83" t="b">
        <v>1</v>
      </c>
      <c r="G3798" s="83"/>
      <c r="H3798" s="83"/>
    </row>
    <row r="3799" spans="1:8">
      <c r="A3799" s="83" t="s">
        <v>9594</v>
      </c>
      <c r="B3799" s="83" t="s">
        <v>9361</v>
      </c>
      <c r="C3799" s="83" t="s">
        <v>9594</v>
      </c>
      <c r="D3799" s="83" t="s">
        <v>9753</v>
      </c>
      <c r="E3799" s="84">
        <f>sch_participated_drill_12_lockdown</f>
        <v>0</v>
      </c>
      <c r="F3799" s="83" t="b">
        <v>1</v>
      </c>
      <c r="G3799" s="83"/>
      <c r="H3799" s="83"/>
    </row>
    <row r="3800" spans="1:8">
      <c r="A3800" s="83" t="s">
        <v>9595</v>
      </c>
      <c r="B3800" s="83" t="s">
        <v>9361</v>
      </c>
      <c r="C3800" s="83" t="s">
        <v>9595</v>
      </c>
      <c r="D3800" s="83" t="s">
        <v>9754</v>
      </c>
      <c r="E3800" s="84">
        <f>sch_participated_drill_01_stormsurge</f>
        <v>0</v>
      </c>
      <c r="F3800" s="83" t="b">
        <v>1</v>
      </c>
      <c r="G3800" s="83"/>
      <c r="H3800" s="83"/>
    </row>
    <row r="3801" spans="1:8">
      <c r="A3801" s="83" t="s">
        <v>9596</v>
      </c>
      <c r="B3801" s="83" t="s">
        <v>9361</v>
      </c>
      <c r="C3801" s="83" t="s">
        <v>9596</v>
      </c>
      <c r="D3801" s="83" t="s">
        <v>9755</v>
      </c>
      <c r="E3801" s="84">
        <f>sch_participated_drill_02_stormsurge</f>
        <v>0</v>
      </c>
      <c r="F3801" s="83" t="b">
        <v>1</v>
      </c>
      <c r="G3801" s="83"/>
      <c r="H3801" s="83"/>
    </row>
    <row r="3802" spans="1:8">
      <c r="A3802" s="83" t="s">
        <v>9597</v>
      </c>
      <c r="B3802" s="83" t="s">
        <v>9361</v>
      </c>
      <c r="C3802" s="83" t="s">
        <v>9597</v>
      </c>
      <c r="D3802" s="83" t="s">
        <v>9756</v>
      </c>
      <c r="E3802" s="84">
        <f>sch_participated_drill_03_stormsurge</f>
        <v>0</v>
      </c>
      <c r="F3802" s="83" t="b">
        <v>1</v>
      </c>
      <c r="G3802" s="83"/>
      <c r="H3802" s="83"/>
    </row>
    <row r="3803" spans="1:8">
      <c r="A3803" s="83" t="s">
        <v>9598</v>
      </c>
      <c r="B3803" s="83" t="s">
        <v>9361</v>
      </c>
      <c r="C3803" s="83" t="s">
        <v>9598</v>
      </c>
      <c r="D3803" s="83" t="s">
        <v>9757</v>
      </c>
      <c r="E3803" s="84">
        <f>sch_participated_drill_04_stormsurge</f>
        <v>0</v>
      </c>
      <c r="F3803" s="83" t="b">
        <v>1</v>
      </c>
      <c r="G3803" s="83"/>
      <c r="H3803" s="83"/>
    </row>
    <row r="3804" spans="1:8">
      <c r="A3804" s="83" t="s">
        <v>9599</v>
      </c>
      <c r="B3804" s="83" t="s">
        <v>9361</v>
      </c>
      <c r="C3804" s="83" t="s">
        <v>9599</v>
      </c>
      <c r="D3804" s="83" t="s">
        <v>9758</v>
      </c>
      <c r="E3804" s="84">
        <f>sch_participated_drill_05_stormsurge</f>
        <v>0</v>
      </c>
      <c r="F3804" s="83" t="b">
        <v>1</v>
      </c>
      <c r="G3804" s="83"/>
      <c r="H3804" s="83"/>
    </row>
    <row r="3805" spans="1:8">
      <c r="A3805" s="83" t="s">
        <v>9600</v>
      </c>
      <c r="B3805" s="83" t="s">
        <v>9361</v>
      </c>
      <c r="C3805" s="83" t="s">
        <v>9600</v>
      </c>
      <c r="D3805" s="83" t="s">
        <v>9759</v>
      </c>
      <c r="E3805" s="84">
        <f>sch_participated_drill_06_stormsurge</f>
        <v>0</v>
      </c>
      <c r="F3805" s="83" t="b">
        <v>1</v>
      </c>
      <c r="G3805" s="83"/>
      <c r="H3805" s="83"/>
    </row>
    <row r="3806" spans="1:8">
      <c r="A3806" s="83" t="s">
        <v>9601</v>
      </c>
      <c r="B3806" s="83" t="s">
        <v>9361</v>
      </c>
      <c r="C3806" s="83" t="s">
        <v>9601</v>
      </c>
      <c r="D3806" s="83" t="s">
        <v>9760</v>
      </c>
      <c r="E3806" s="84">
        <f>sch_participated_drill_07_stormsurge</f>
        <v>0</v>
      </c>
      <c r="F3806" s="83" t="b">
        <v>1</v>
      </c>
      <c r="G3806" s="83"/>
      <c r="H3806" s="83"/>
    </row>
    <row r="3807" spans="1:8">
      <c r="A3807" s="83" t="s">
        <v>9602</v>
      </c>
      <c r="B3807" s="83" t="s">
        <v>9361</v>
      </c>
      <c r="C3807" s="83" t="s">
        <v>9602</v>
      </c>
      <c r="D3807" s="83" t="s">
        <v>9761</v>
      </c>
      <c r="E3807" s="84">
        <f>sch_participated_drill_08_stormsurge</f>
        <v>0</v>
      </c>
      <c r="F3807" s="83" t="b">
        <v>1</v>
      </c>
      <c r="G3807" s="83"/>
      <c r="H3807" s="83"/>
    </row>
    <row r="3808" spans="1:8">
      <c r="A3808" s="83" t="s">
        <v>9603</v>
      </c>
      <c r="B3808" s="83" t="s">
        <v>9361</v>
      </c>
      <c r="C3808" s="83" t="s">
        <v>9603</v>
      </c>
      <c r="D3808" s="83" t="s">
        <v>9762</v>
      </c>
      <c r="E3808" s="84">
        <f>sch_participated_drill_09_stormsurge</f>
        <v>0</v>
      </c>
      <c r="F3808" s="83" t="b">
        <v>1</v>
      </c>
      <c r="G3808" s="83"/>
      <c r="H3808" s="83"/>
    </row>
    <row r="3809" spans="1:9">
      <c r="A3809" s="83" t="s">
        <v>9604</v>
      </c>
      <c r="B3809" s="83" t="s">
        <v>9361</v>
      </c>
      <c r="C3809" s="83" t="s">
        <v>9604</v>
      </c>
      <c r="D3809" s="83" t="s">
        <v>9763</v>
      </c>
      <c r="E3809" s="84">
        <f>sch_participated_drill_10_stormsurge</f>
        <v>0</v>
      </c>
      <c r="F3809" s="83" t="b">
        <v>1</v>
      </c>
      <c r="G3809" s="83"/>
      <c r="H3809" s="83"/>
    </row>
    <row r="3810" spans="1:9">
      <c r="A3810" s="83" t="s">
        <v>9605</v>
      </c>
      <c r="B3810" s="83" t="s">
        <v>9361</v>
      </c>
      <c r="C3810" s="83" t="s">
        <v>9605</v>
      </c>
      <c r="D3810" s="83" t="s">
        <v>9764</v>
      </c>
      <c r="E3810" s="84">
        <f>sch_participated_drill_11_stormsurge</f>
        <v>0</v>
      </c>
      <c r="F3810" s="83" t="b">
        <v>1</v>
      </c>
      <c r="G3810" s="83"/>
      <c r="H3810" s="83"/>
    </row>
    <row r="3811" spans="1:9">
      <c r="A3811" s="83" t="s">
        <v>9606</v>
      </c>
      <c r="B3811" s="83" t="s">
        <v>9361</v>
      </c>
      <c r="C3811" s="83" t="s">
        <v>9606</v>
      </c>
      <c r="D3811" s="83" t="s">
        <v>9765</v>
      </c>
      <c r="E3811" s="84">
        <f>sch_participated_drill_12_stormsurge</f>
        <v>0</v>
      </c>
      <c r="F3811" s="83" t="b">
        <v>1</v>
      </c>
      <c r="G3811" s="83"/>
      <c r="H3811" s="83"/>
    </row>
    <row r="3812" spans="1:9">
      <c r="A3812" s="83" t="s">
        <v>9607</v>
      </c>
      <c r="B3812" s="83" t="s">
        <v>9361</v>
      </c>
      <c r="C3812" s="83" t="s">
        <v>9607</v>
      </c>
      <c r="D3812" s="83" t="s">
        <v>9766</v>
      </c>
      <c r="E3812" s="84">
        <f>sch_participated_drill_01_tsunami</f>
        <v>0</v>
      </c>
      <c r="F3812" s="83" t="b">
        <v>1</v>
      </c>
      <c r="G3812" s="83"/>
      <c r="H3812" s="83"/>
    </row>
    <row r="3813" spans="1:9">
      <c r="A3813" s="83" t="s">
        <v>9608</v>
      </c>
      <c r="B3813" s="83" t="s">
        <v>9361</v>
      </c>
      <c r="C3813" s="83" t="s">
        <v>9608</v>
      </c>
      <c r="D3813" s="83" t="s">
        <v>9767</v>
      </c>
      <c r="E3813" s="84">
        <f>sch_participated_drill_02_tsunami</f>
        <v>0</v>
      </c>
      <c r="F3813" s="83" t="b">
        <v>1</v>
      </c>
      <c r="G3813" s="83"/>
      <c r="H3813" s="83"/>
    </row>
    <row r="3814" spans="1:9">
      <c r="A3814" s="83" t="s">
        <v>9609</v>
      </c>
      <c r="B3814" s="83" t="s">
        <v>9361</v>
      </c>
      <c r="C3814" s="83" t="s">
        <v>9609</v>
      </c>
      <c r="D3814" s="83" t="s">
        <v>9768</v>
      </c>
      <c r="E3814" s="84">
        <f>sch_participated_drill_03_tsunami</f>
        <v>0</v>
      </c>
      <c r="F3814" s="83" t="b">
        <v>1</v>
      </c>
      <c r="G3814" s="83"/>
      <c r="H3814" s="83"/>
    </row>
    <row r="3815" spans="1:9">
      <c r="A3815" s="83" t="s">
        <v>9610</v>
      </c>
      <c r="B3815" s="83" t="s">
        <v>9361</v>
      </c>
      <c r="C3815" s="83" t="s">
        <v>9610</v>
      </c>
      <c r="D3815" s="83" t="s">
        <v>9769</v>
      </c>
      <c r="E3815" s="84">
        <f>sch_participated_drill_04_tsunami</f>
        <v>0</v>
      </c>
      <c r="F3815" s="83" t="b">
        <v>1</v>
      </c>
      <c r="G3815" s="83"/>
      <c r="H3815" s="83"/>
    </row>
    <row r="3816" spans="1:9">
      <c r="A3816" s="83" t="s">
        <v>9611</v>
      </c>
      <c r="B3816" s="83" t="s">
        <v>9361</v>
      </c>
      <c r="C3816" s="83" t="s">
        <v>9611</v>
      </c>
      <c r="D3816" s="83" t="s">
        <v>9770</v>
      </c>
      <c r="E3816" s="84">
        <f>sch_participated_drill_05_tsunami</f>
        <v>0</v>
      </c>
      <c r="F3816" s="83" t="b">
        <v>1</v>
      </c>
      <c r="G3816" s="83"/>
      <c r="H3816" s="83"/>
    </row>
    <row r="3817" spans="1:9">
      <c r="A3817" s="83" t="s">
        <v>9612</v>
      </c>
      <c r="B3817" s="83" t="s">
        <v>9361</v>
      </c>
      <c r="C3817" s="83" t="s">
        <v>9612</v>
      </c>
      <c r="D3817" s="83" t="s">
        <v>9771</v>
      </c>
      <c r="E3817" s="84">
        <f>sch_participated_drill_06_tsunami</f>
        <v>0</v>
      </c>
      <c r="F3817" s="83" t="b">
        <v>1</v>
      </c>
      <c r="G3817" s="83"/>
      <c r="H3817" s="83"/>
    </row>
    <row r="3818" spans="1:9">
      <c r="A3818" s="83" t="s">
        <v>9613</v>
      </c>
      <c r="B3818" s="83" t="s">
        <v>9361</v>
      </c>
      <c r="C3818" s="83" t="s">
        <v>9613</v>
      </c>
      <c r="D3818" s="83" t="s">
        <v>9772</v>
      </c>
      <c r="E3818" s="84">
        <f>sch_participated_drill_07_tsunami</f>
        <v>0</v>
      </c>
      <c r="F3818" s="83" t="b">
        <v>1</v>
      </c>
      <c r="G3818" s="83"/>
      <c r="H3818" s="83"/>
    </row>
    <row r="3819" spans="1:9">
      <c r="A3819" s="83" t="s">
        <v>9614</v>
      </c>
      <c r="B3819" s="83" t="s">
        <v>9361</v>
      </c>
      <c r="C3819" s="83" t="s">
        <v>9614</v>
      </c>
      <c r="D3819" s="83" t="s">
        <v>9773</v>
      </c>
      <c r="E3819" s="84">
        <f>sch_participated_drill_08_tsunami</f>
        <v>0</v>
      </c>
      <c r="F3819" s="83" t="b">
        <v>1</v>
      </c>
      <c r="G3819" s="83"/>
      <c r="H3819" s="83"/>
    </row>
    <row r="3820" spans="1:9">
      <c r="A3820" s="83" t="s">
        <v>9615</v>
      </c>
      <c r="B3820" s="83" t="s">
        <v>9361</v>
      </c>
      <c r="C3820" s="83" t="s">
        <v>9615</v>
      </c>
      <c r="D3820" s="83" t="s">
        <v>9774</v>
      </c>
      <c r="E3820" s="84">
        <f>sch_participated_drill_09_tsunami</f>
        <v>0</v>
      </c>
      <c r="F3820" s="83" t="b">
        <v>1</v>
      </c>
      <c r="G3820" s="83"/>
      <c r="H3820" s="83"/>
    </row>
    <row r="3821" spans="1:9">
      <c r="A3821" s="83" t="s">
        <v>9616</v>
      </c>
      <c r="B3821" s="83" t="s">
        <v>9361</v>
      </c>
      <c r="C3821" s="83" t="s">
        <v>9616</v>
      </c>
      <c r="D3821" s="83" t="s">
        <v>9775</v>
      </c>
      <c r="E3821" s="84">
        <f>sch_participated_drill_10_tsunami</f>
        <v>0</v>
      </c>
      <c r="F3821" s="83" t="b">
        <v>1</v>
      </c>
      <c r="G3821" s="83"/>
      <c r="H3821" s="83"/>
    </row>
    <row r="3822" spans="1:9">
      <c r="A3822" s="83" t="s">
        <v>9617</v>
      </c>
      <c r="B3822" s="83" t="s">
        <v>9361</v>
      </c>
      <c r="C3822" s="83" t="s">
        <v>9617</v>
      </c>
      <c r="D3822" s="83" t="s">
        <v>9776</v>
      </c>
      <c r="E3822" s="84">
        <f>sch_participated_drill_11_tsunami</f>
        <v>0</v>
      </c>
      <c r="F3822" s="83" t="b">
        <v>1</v>
      </c>
      <c r="G3822" s="83"/>
      <c r="H3822" s="83"/>
    </row>
    <row r="3823" spans="1:9">
      <c r="A3823" s="83" t="s">
        <v>9618</v>
      </c>
      <c r="B3823" s="83" t="s">
        <v>9361</v>
      </c>
      <c r="C3823" s="83" t="s">
        <v>9618</v>
      </c>
      <c r="D3823" s="83" t="s">
        <v>9777</v>
      </c>
      <c r="E3823" s="84">
        <f>sch_participated_drill_12_tsunami</f>
        <v>0</v>
      </c>
      <c r="F3823" s="83" t="b">
        <v>1</v>
      </c>
      <c r="G3823" s="83"/>
      <c r="H3823" s="83"/>
    </row>
    <row r="3824" spans="1:9">
      <c r="A3824" s="83" t="s">
        <v>9619</v>
      </c>
      <c r="B3824" s="83" t="s">
        <v>9361</v>
      </c>
      <c r="C3824" s="83" t="s">
        <v>9619</v>
      </c>
      <c r="D3824" s="83" t="s">
        <v>9778</v>
      </c>
      <c r="E3824" s="84">
        <f>sch_personnel_participated_drills_teaching_m</f>
        <v>2</v>
      </c>
      <c r="F3824" s="83" t="b">
        <v>1</v>
      </c>
      <c r="G3824" s="83"/>
      <c r="H3824" s="83"/>
      <c r="I3824" s="110" t="s">
        <v>11532</v>
      </c>
    </row>
    <row r="3825" spans="1:9">
      <c r="A3825" s="83" t="s">
        <v>9620</v>
      </c>
      <c r="B3825" s="83" t="s">
        <v>9361</v>
      </c>
      <c r="C3825" s="83" t="s">
        <v>9620</v>
      </c>
      <c r="D3825" s="83" t="s">
        <v>9779</v>
      </c>
      <c r="E3825" s="84">
        <f>sch_personnel_participated_drills_teaching_f</f>
        <v>40</v>
      </c>
      <c r="F3825" s="83" t="b">
        <v>1</v>
      </c>
      <c r="G3825" s="83"/>
      <c r="H3825" s="83"/>
      <c r="I3825" s="110" t="s">
        <v>11532</v>
      </c>
    </row>
    <row r="3826" spans="1:9">
      <c r="A3826" s="83" t="s">
        <v>9621</v>
      </c>
      <c r="B3826" s="83" t="s">
        <v>9361</v>
      </c>
      <c r="C3826" s="83" t="s">
        <v>9621</v>
      </c>
      <c r="D3826" s="83" t="s">
        <v>9780</v>
      </c>
      <c r="E3826" s="84">
        <f>sch_personnel_participated_drills_nonteaching_m</f>
        <v>3</v>
      </c>
      <c r="F3826" s="83" t="b">
        <v>1</v>
      </c>
      <c r="G3826" s="83"/>
      <c r="H3826" s="83"/>
      <c r="I3826" s="110" t="s">
        <v>11532</v>
      </c>
    </row>
    <row r="3827" spans="1:9">
      <c r="A3827" s="83" t="s">
        <v>9622</v>
      </c>
      <c r="B3827" s="83" t="s">
        <v>9361</v>
      </c>
      <c r="C3827" s="83" t="s">
        <v>9622</v>
      </c>
      <c r="D3827" s="83" t="s">
        <v>9781</v>
      </c>
      <c r="E3827" s="84">
        <f>sch_personnel_participated_drills_nonteaching_f</f>
        <v>1</v>
      </c>
      <c r="F3827" s="83" t="b">
        <v>1</v>
      </c>
      <c r="G3827" s="83"/>
      <c r="H3827" s="83"/>
      <c r="I3827" s="110" t="s">
        <v>11532</v>
      </c>
    </row>
    <row r="3828" spans="1:9">
      <c r="A3828" s="83" t="s">
        <v>9623</v>
      </c>
      <c r="B3828" s="83" t="s">
        <v>9361</v>
      </c>
      <c r="C3828" s="83" t="s">
        <v>9623</v>
      </c>
      <c r="D3828" s="83" t="s">
        <v>9782</v>
      </c>
      <c r="E3828" s="84">
        <f>sch_learner_participated_drills_exclude_m</f>
        <v>524</v>
      </c>
      <c r="F3828" s="83" t="b">
        <v>1</v>
      </c>
      <c r="G3828" s="83"/>
      <c r="H3828" s="83"/>
      <c r="I3828" s="110" t="s">
        <v>11532</v>
      </c>
    </row>
    <row r="3829" spans="1:9">
      <c r="A3829" s="83" t="s">
        <v>9624</v>
      </c>
      <c r="B3829" s="83" t="s">
        <v>9361</v>
      </c>
      <c r="C3829" s="83" t="s">
        <v>9624</v>
      </c>
      <c r="D3829" s="83" t="s">
        <v>9783</v>
      </c>
      <c r="E3829" s="84">
        <f>sch_learner_participated_drills_exclude_f</f>
        <v>299</v>
      </c>
      <c r="F3829" s="83" t="b">
        <v>1</v>
      </c>
      <c r="G3829" s="83"/>
      <c r="H3829" s="83"/>
      <c r="I3829" s="110" t="s">
        <v>11532</v>
      </c>
    </row>
    <row r="3830" spans="1:9">
      <c r="A3830" s="83" t="s">
        <v>9625</v>
      </c>
      <c r="B3830" s="83" t="s">
        <v>9361</v>
      </c>
      <c r="C3830" s="83" t="s">
        <v>9625</v>
      </c>
      <c r="D3830" s="83" t="s">
        <v>9784</v>
      </c>
      <c r="E3830" s="84">
        <f>sch_learner_participated_drills_ip_m</f>
        <v>0</v>
      </c>
      <c r="F3830" s="83" t="b">
        <v>1</v>
      </c>
      <c r="G3830" s="83"/>
      <c r="H3830" s="83"/>
      <c r="I3830" s="110" t="s">
        <v>11532</v>
      </c>
    </row>
    <row r="3831" spans="1:9">
      <c r="A3831" s="83" t="s">
        <v>9626</v>
      </c>
      <c r="B3831" s="83" t="s">
        <v>9361</v>
      </c>
      <c r="C3831" s="83" t="s">
        <v>9626</v>
      </c>
      <c r="D3831" s="83" t="s">
        <v>9785</v>
      </c>
      <c r="E3831" s="84">
        <f>sch_learner_participated_drills_ip_f</f>
        <v>0</v>
      </c>
      <c r="F3831" s="83" t="b">
        <v>1</v>
      </c>
      <c r="G3831" s="83"/>
      <c r="H3831" s="83"/>
      <c r="I3831" s="110" t="s">
        <v>11532</v>
      </c>
    </row>
    <row r="3832" spans="1:9">
      <c r="A3832" s="83" t="s">
        <v>9627</v>
      </c>
      <c r="B3832" s="83" t="s">
        <v>9361</v>
      </c>
      <c r="C3832" s="83" t="s">
        <v>9627</v>
      </c>
      <c r="D3832" s="83" t="s">
        <v>9786</v>
      </c>
      <c r="E3832" s="84">
        <f>sch_learner_participated_drills_muslim_m</f>
        <v>0</v>
      </c>
      <c r="F3832" s="83" t="b">
        <v>1</v>
      </c>
      <c r="G3832" s="83"/>
      <c r="H3832" s="83"/>
      <c r="I3832" s="110" t="s">
        <v>11532</v>
      </c>
    </row>
    <row r="3833" spans="1:9">
      <c r="A3833" s="83" t="s">
        <v>9628</v>
      </c>
      <c r="B3833" s="83" t="s">
        <v>9361</v>
      </c>
      <c r="C3833" s="83" t="s">
        <v>9628</v>
      </c>
      <c r="D3833" s="83" t="s">
        <v>9787</v>
      </c>
      <c r="E3833" s="84">
        <f>sch_learner_participated_drills_muslim_f</f>
        <v>0</v>
      </c>
      <c r="F3833" s="83" t="b">
        <v>1</v>
      </c>
      <c r="G3833" s="83"/>
      <c r="H3833" s="83"/>
      <c r="I3833" s="110" t="s">
        <v>11532</v>
      </c>
    </row>
    <row r="3834" spans="1:9">
      <c r="A3834" s="83" t="s">
        <v>9629</v>
      </c>
      <c r="B3834" s="83" t="s">
        <v>9361</v>
      </c>
      <c r="C3834" s="83" t="s">
        <v>9629</v>
      </c>
      <c r="D3834" s="83" t="s">
        <v>9788</v>
      </c>
      <c r="E3834" s="84">
        <f>sch_learner_participated_drills_lwd_m</f>
        <v>39</v>
      </c>
      <c r="F3834" s="83" t="b">
        <v>1</v>
      </c>
      <c r="G3834" s="83"/>
      <c r="H3834" s="83"/>
      <c r="I3834" s="110" t="s">
        <v>11532</v>
      </c>
    </row>
    <row r="3835" spans="1:9" s="112" customFormat="1" ht="16" thickBot="1">
      <c r="A3835" s="85" t="s">
        <v>9630</v>
      </c>
      <c r="B3835" s="85" t="s">
        <v>9361</v>
      </c>
      <c r="C3835" s="85" t="s">
        <v>9630</v>
      </c>
      <c r="D3835" s="85" t="s">
        <v>9789</v>
      </c>
      <c r="E3835" s="86">
        <f>sch_learner_participated_drills_lwd_f</f>
        <v>16</v>
      </c>
      <c r="F3835" s="85" t="b">
        <v>1</v>
      </c>
      <c r="G3835" s="85"/>
      <c r="H3835" s="85"/>
      <c r="I3835" s="121" t="s">
        <v>11532</v>
      </c>
    </row>
    <row r="3836" spans="1:9">
      <c r="A3836" s="83" t="s">
        <v>9790</v>
      </c>
      <c r="B3836" s="83" t="s">
        <v>9361</v>
      </c>
      <c r="C3836" s="83" t="s">
        <v>9790</v>
      </c>
      <c r="D3836" s="83" t="s">
        <v>9878</v>
      </c>
      <c r="E3836" s="84" t="b">
        <f>sch_conduct_brigada_aftermath_disaster</f>
        <v>1</v>
      </c>
      <c r="F3836" s="83" t="b">
        <v>1</v>
      </c>
      <c r="G3836" s="83" t="s">
        <v>2287</v>
      </c>
      <c r="H3836" s="83"/>
      <c r="I3836" s="110" t="s">
        <v>11532</v>
      </c>
    </row>
    <row r="3837" spans="1:9">
      <c r="A3837" s="83" t="s">
        <v>9791</v>
      </c>
      <c r="B3837" s="83" t="s">
        <v>9361</v>
      </c>
      <c r="C3837" s="83" t="s">
        <v>9791</v>
      </c>
      <c r="D3837" s="83" t="s">
        <v>9879</v>
      </c>
      <c r="E3837" s="84">
        <f>sch_number_partners_support_pbuilding_after_armed</f>
        <v>0</v>
      </c>
      <c r="F3837" s="83" t="b">
        <v>1</v>
      </c>
      <c r="G3837" s="83"/>
      <c r="H3837" s="83"/>
      <c r="I3837" s="110" t="s">
        <v>11532</v>
      </c>
    </row>
    <row r="3838" spans="1:9">
      <c r="A3838" s="83" t="s">
        <v>9792</v>
      </c>
      <c r="B3838" s="83" t="s">
        <v>9361</v>
      </c>
      <c r="C3838" s="83" t="s">
        <v>9792</v>
      </c>
      <c r="D3838" s="83" t="s">
        <v>9880</v>
      </c>
      <c r="E3838" s="84" t="b">
        <f>sch_submit_radar_to_drrmsco_after_hazard</f>
        <v>1</v>
      </c>
      <c r="F3838" s="83" t="b">
        <v>1</v>
      </c>
      <c r="G3838" s="83" t="s">
        <v>2287</v>
      </c>
      <c r="H3838" s="83"/>
      <c r="I3838" s="110" t="s">
        <v>11532</v>
      </c>
    </row>
    <row r="3839" spans="1:9">
      <c r="A3839" s="83" t="s">
        <v>9807</v>
      </c>
      <c r="B3839" s="83" t="s">
        <v>9361</v>
      </c>
      <c r="C3839" s="83" t="s">
        <v>9807</v>
      </c>
      <c r="D3839" s="83" t="s">
        <v>9881</v>
      </c>
      <c r="E3839" s="84">
        <f>response_interv_drrms_fundsupport_cleanup_number</f>
        <v>0</v>
      </c>
      <c r="F3839" s="83" t="b">
        <v>1</v>
      </c>
      <c r="G3839" s="83"/>
      <c r="H3839" s="83"/>
      <c r="I3839" s="110" t="s">
        <v>11532</v>
      </c>
    </row>
    <row r="3840" spans="1:9">
      <c r="A3840" s="83" t="s">
        <v>9808</v>
      </c>
      <c r="B3840" s="83" t="s">
        <v>9361</v>
      </c>
      <c r="C3840" s="83" t="s">
        <v>9808</v>
      </c>
      <c r="D3840" s="83" t="s">
        <v>9882</v>
      </c>
      <c r="E3840" s="115">
        <f>response_interv_drrms_fundsupport_cleanup_date</f>
        <v>0</v>
      </c>
      <c r="F3840" s="83" t="b">
        <v>1</v>
      </c>
      <c r="G3840" s="83"/>
      <c r="H3840" s="83"/>
      <c r="I3840" s="110" t="s">
        <v>11532</v>
      </c>
    </row>
    <row r="3841" spans="1:9">
      <c r="A3841" s="83" t="s">
        <v>9793</v>
      </c>
      <c r="B3841" s="83" t="s">
        <v>9361</v>
      </c>
      <c r="C3841" s="83" t="s">
        <v>9793</v>
      </c>
      <c r="D3841" s="83" t="s">
        <v>9883</v>
      </c>
      <c r="E3841" s="84">
        <f>response_interv_drrms_fundsupport_tempspace_number</f>
        <v>0</v>
      </c>
      <c r="F3841" s="83" t="b">
        <v>1</v>
      </c>
      <c r="G3841" s="83"/>
      <c r="H3841" s="83"/>
      <c r="I3841" s="110" t="s">
        <v>11532</v>
      </c>
    </row>
    <row r="3842" spans="1:9">
      <c r="A3842" s="83" t="s">
        <v>9794</v>
      </c>
      <c r="B3842" s="83" t="s">
        <v>9361</v>
      </c>
      <c r="C3842" s="83" t="s">
        <v>9794</v>
      </c>
      <c r="D3842" s="83" t="s">
        <v>9884</v>
      </c>
      <c r="E3842" s="115">
        <f>response_interv_drrms_fundsupport_tempspace_date</f>
        <v>0</v>
      </c>
      <c r="F3842" s="83" t="b">
        <v>1</v>
      </c>
      <c r="G3842" s="83"/>
      <c r="H3842" s="83"/>
      <c r="I3842" s="110" t="s">
        <v>11532</v>
      </c>
    </row>
    <row r="3843" spans="1:9">
      <c r="A3843" s="83" t="s">
        <v>9795</v>
      </c>
      <c r="B3843" s="83" t="s">
        <v>9361</v>
      </c>
      <c r="C3843" s="83" t="s">
        <v>9795</v>
      </c>
      <c r="D3843" s="83" t="s">
        <v>9885</v>
      </c>
      <c r="E3843" s="84">
        <f>response_interv_drrms_fundsupport_tempwash_number</f>
        <v>0</v>
      </c>
      <c r="F3843" s="83" t="b">
        <v>1</v>
      </c>
      <c r="G3843" s="83"/>
      <c r="H3843" s="83"/>
      <c r="I3843" s="110" t="s">
        <v>11532</v>
      </c>
    </row>
    <row r="3844" spans="1:9">
      <c r="A3844" s="83" t="s">
        <v>9796</v>
      </c>
      <c r="B3844" s="83" t="s">
        <v>9361</v>
      </c>
      <c r="C3844" s="83" t="s">
        <v>9796</v>
      </c>
      <c r="D3844" s="83" t="s">
        <v>9886</v>
      </c>
      <c r="E3844" s="115">
        <f>response_interv_drrms_fundsupport_tempwash_date</f>
        <v>0</v>
      </c>
      <c r="F3844" s="83" t="b">
        <v>1</v>
      </c>
      <c r="G3844" s="83"/>
      <c r="H3844" s="83"/>
      <c r="I3844" s="110" t="s">
        <v>11532</v>
      </c>
    </row>
    <row r="3845" spans="1:9">
      <c r="A3845" s="83" t="s">
        <v>9797</v>
      </c>
      <c r="B3845" s="83" t="s">
        <v>9361</v>
      </c>
      <c r="C3845" s="83" t="s">
        <v>9797</v>
      </c>
      <c r="D3845" s="83" t="s">
        <v>9887</v>
      </c>
      <c r="E3845" s="84">
        <f>response_interv_drrms_fundsupport_emerfeeding_number</f>
        <v>0</v>
      </c>
      <c r="F3845" s="83" t="b">
        <v>1</v>
      </c>
      <c r="G3845" s="83"/>
      <c r="H3845" s="83"/>
      <c r="I3845" s="110" t="s">
        <v>11532</v>
      </c>
    </row>
    <row r="3846" spans="1:9">
      <c r="A3846" s="83" t="s">
        <v>9798</v>
      </c>
      <c r="B3846" s="83" t="s">
        <v>9361</v>
      </c>
      <c r="C3846" s="83" t="s">
        <v>9798</v>
      </c>
      <c r="D3846" s="83" t="s">
        <v>9888</v>
      </c>
      <c r="E3846" s="115">
        <f>response_interv_drrms_fundsupport_emerfeeding_date</f>
        <v>0</v>
      </c>
      <c r="F3846" s="83" t="b">
        <v>1</v>
      </c>
      <c r="G3846" s="83"/>
      <c r="H3846" s="83"/>
      <c r="I3846" s="110" t="s">
        <v>11532</v>
      </c>
    </row>
    <row r="3847" spans="1:9">
      <c r="A3847" s="83" t="s">
        <v>9799</v>
      </c>
      <c r="B3847" s="83" t="s">
        <v>9361</v>
      </c>
      <c r="C3847" s="83" t="s">
        <v>9799</v>
      </c>
      <c r="D3847" s="83" t="s">
        <v>9889</v>
      </c>
      <c r="E3847" s="84">
        <f>response_interv_drrms_hygienekit_number</f>
        <v>0</v>
      </c>
      <c r="F3847" s="83" t="b">
        <v>1</v>
      </c>
      <c r="G3847" s="83"/>
      <c r="H3847" s="83"/>
      <c r="I3847" s="110" t="s">
        <v>11532</v>
      </c>
    </row>
    <row r="3848" spans="1:9">
      <c r="A3848" s="83" t="s">
        <v>9800</v>
      </c>
      <c r="B3848" s="83" t="s">
        <v>9361</v>
      </c>
      <c r="C3848" s="83" t="s">
        <v>9800</v>
      </c>
      <c r="D3848" s="83" t="s">
        <v>9890</v>
      </c>
      <c r="E3848" s="115">
        <f>response_interv_drrms_hygienekit_date</f>
        <v>0</v>
      </c>
      <c r="F3848" s="83" t="b">
        <v>1</v>
      </c>
      <c r="G3848" s="83"/>
      <c r="H3848" s="83"/>
      <c r="I3848" s="110" t="s">
        <v>11532</v>
      </c>
    </row>
    <row r="3849" spans="1:9">
      <c r="A3849" s="83" t="s">
        <v>9801</v>
      </c>
      <c r="B3849" s="83" t="s">
        <v>9361</v>
      </c>
      <c r="C3849" s="83" t="s">
        <v>9801</v>
      </c>
      <c r="D3849" s="83" t="s">
        <v>9891</v>
      </c>
      <c r="E3849" s="84">
        <f>response_interv_drrms_learnerkit_number</f>
        <v>0</v>
      </c>
      <c r="F3849" s="83" t="b">
        <v>1</v>
      </c>
      <c r="G3849" s="83"/>
      <c r="H3849" s="83"/>
      <c r="I3849" s="110" t="s">
        <v>11532</v>
      </c>
    </row>
    <row r="3850" spans="1:9">
      <c r="A3850" s="83" t="s">
        <v>9802</v>
      </c>
      <c r="B3850" s="83" t="s">
        <v>9361</v>
      </c>
      <c r="C3850" s="83" t="s">
        <v>9802</v>
      </c>
      <c r="D3850" s="83" t="s">
        <v>9892</v>
      </c>
      <c r="E3850" s="115">
        <f>response_interv_drrms_learnerkit_date</f>
        <v>0</v>
      </c>
      <c r="F3850" s="83" t="b">
        <v>1</v>
      </c>
      <c r="G3850" s="83"/>
      <c r="H3850" s="83"/>
      <c r="I3850" s="110" t="s">
        <v>11532</v>
      </c>
    </row>
    <row r="3851" spans="1:9">
      <c r="A3851" s="83" t="s">
        <v>9803</v>
      </c>
      <c r="B3851" s="83" t="s">
        <v>9361</v>
      </c>
      <c r="C3851" s="83" t="s">
        <v>9803</v>
      </c>
      <c r="D3851" s="83" t="s">
        <v>9893</v>
      </c>
      <c r="E3851" s="84">
        <f>response_interv_drrms_teacherkit_number</f>
        <v>0</v>
      </c>
      <c r="F3851" s="83" t="b">
        <v>1</v>
      </c>
      <c r="G3851" s="83"/>
      <c r="H3851" s="83"/>
      <c r="I3851" s="110" t="s">
        <v>11532</v>
      </c>
    </row>
    <row r="3852" spans="1:9">
      <c r="A3852" s="83" t="s">
        <v>9804</v>
      </c>
      <c r="B3852" s="83" t="s">
        <v>9361</v>
      </c>
      <c r="C3852" s="83" t="s">
        <v>9804</v>
      </c>
      <c r="D3852" s="83" t="s">
        <v>9894</v>
      </c>
      <c r="E3852" s="115">
        <f>response_interv_drrms_teacherkit_date</f>
        <v>0</v>
      </c>
      <c r="F3852" s="83" t="b">
        <v>1</v>
      </c>
      <c r="G3852" s="83"/>
      <c r="H3852" s="83"/>
      <c r="I3852" s="110" t="s">
        <v>11532</v>
      </c>
    </row>
    <row r="3853" spans="1:9">
      <c r="A3853" s="83" t="s">
        <v>9805</v>
      </c>
      <c r="B3853" s="83" t="s">
        <v>9361</v>
      </c>
      <c r="C3853" s="83" t="s">
        <v>9805</v>
      </c>
      <c r="D3853" s="83" t="s">
        <v>9895</v>
      </c>
      <c r="E3853" s="84">
        <f>response_interv_drrms_material_adm_number</f>
        <v>0</v>
      </c>
      <c r="F3853" s="83" t="b">
        <v>1</v>
      </c>
      <c r="G3853" s="83"/>
      <c r="H3853" s="83"/>
      <c r="I3853" s="110" t="s">
        <v>11532</v>
      </c>
    </row>
    <row r="3854" spans="1:9">
      <c r="A3854" s="83" t="s">
        <v>9806</v>
      </c>
      <c r="B3854" s="83" t="s">
        <v>9361</v>
      </c>
      <c r="C3854" s="83" t="s">
        <v>9806</v>
      </c>
      <c r="D3854" s="83" t="s">
        <v>9896</v>
      </c>
      <c r="E3854" s="115">
        <f>response_interv_drrms_material_adm_date</f>
        <v>0</v>
      </c>
      <c r="F3854" s="83" t="b">
        <v>1</v>
      </c>
      <c r="G3854" s="83"/>
      <c r="H3854" s="83"/>
      <c r="I3854" s="110" t="s">
        <v>11532</v>
      </c>
    </row>
    <row r="3855" spans="1:9">
      <c r="A3855" s="83" t="s">
        <v>9809</v>
      </c>
      <c r="B3855" s="83" t="s">
        <v>9361</v>
      </c>
      <c r="C3855" s="83" t="s">
        <v>9809</v>
      </c>
      <c r="D3855" s="83" t="s">
        <v>9897</v>
      </c>
      <c r="E3855" s="84">
        <f>response_interv_partner_donation_number</f>
        <v>0</v>
      </c>
      <c r="F3855" s="83" t="b">
        <v>1</v>
      </c>
      <c r="G3855" s="83"/>
      <c r="H3855" s="83"/>
      <c r="I3855" s="110" t="s">
        <v>11532</v>
      </c>
    </row>
    <row r="3856" spans="1:9">
      <c r="A3856" s="83" t="s">
        <v>9810</v>
      </c>
      <c r="B3856" s="83" t="s">
        <v>9361</v>
      </c>
      <c r="C3856" s="83" t="s">
        <v>9810</v>
      </c>
      <c r="D3856" s="83" t="s">
        <v>9898</v>
      </c>
      <c r="E3856" s="84">
        <f>response_interv_partner_emerfeeding_number</f>
        <v>0</v>
      </c>
      <c r="F3856" s="83" t="b">
        <v>1</v>
      </c>
      <c r="G3856" s="83"/>
      <c r="H3856" s="83"/>
      <c r="I3856" s="110" t="s">
        <v>11532</v>
      </c>
    </row>
    <row r="3857" spans="1:9">
      <c r="A3857" s="83" t="s">
        <v>9811</v>
      </c>
      <c r="B3857" s="83" t="s">
        <v>9361</v>
      </c>
      <c r="C3857" s="83" t="s">
        <v>9811</v>
      </c>
      <c r="D3857" s="83" t="s">
        <v>9899</v>
      </c>
      <c r="E3857" s="84">
        <f>response_interv_partner_hygienekit_number</f>
        <v>0</v>
      </c>
      <c r="F3857" s="83" t="b">
        <v>1</v>
      </c>
      <c r="G3857" s="83"/>
      <c r="H3857" s="83"/>
      <c r="I3857" s="110" t="s">
        <v>11532</v>
      </c>
    </row>
    <row r="3858" spans="1:9">
      <c r="A3858" s="83" t="s">
        <v>9812</v>
      </c>
      <c r="B3858" s="83" t="s">
        <v>9361</v>
      </c>
      <c r="C3858" s="83" t="s">
        <v>9812</v>
      </c>
      <c r="D3858" s="83" t="s">
        <v>9900</v>
      </c>
      <c r="E3858" s="84">
        <f>response_interv_partner_learnerkit_number</f>
        <v>0</v>
      </c>
      <c r="F3858" s="83" t="b">
        <v>1</v>
      </c>
      <c r="G3858" s="83"/>
      <c r="H3858" s="83"/>
      <c r="I3858" s="110" t="s">
        <v>11532</v>
      </c>
    </row>
    <row r="3859" spans="1:9">
      <c r="A3859" s="83" t="s">
        <v>9813</v>
      </c>
      <c r="B3859" s="83" t="s">
        <v>9361</v>
      </c>
      <c r="C3859" s="83" t="s">
        <v>9813</v>
      </c>
      <c r="D3859" s="83" t="s">
        <v>9901</v>
      </c>
      <c r="E3859" s="84">
        <f>response_interv_partner_teacherkit_number</f>
        <v>0</v>
      </c>
      <c r="F3859" s="83" t="b">
        <v>1</v>
      </c>
      <c r="G3859" s="83"/>
      <c r="H3859" s="83"/>
      <c r="I3859" s="110" t="s">
        <v>11532</v>
      </c>
    </row>
    <row r="3860" spans="1:9">
      <c r="A3860" s="83" t="s">
        <v>9814</v>
      </c>
      <c r="B3860" s="83" t="s">
        <v>9361</v>
      </c>
      <c r="C3860" s="83" t="s">
        <v>9814</v>
      </c>
      <c r="D3860" s="83" t="s">
        <v>9902</v>
      </c>
      <c r="E3860" s="84">
        <f>response_interv_partner_material_adm_number</f>
        <v>0</v>
      </c>
      <c r="F3860" s="83" t="b">
        <v>1</v>
      </c>
      <c r="G3860" s="83"/>
      <c r="H3860" s="83"/>
      <c r="I3860" s="110" t="s">
        <v>11532</v>
      </c>
    </row>
    <row r="3861" spans="1:9">
      <c r="A3861" s="83" t="s">
        <v>9815</v>
      </c>
      <c r="B3861" s="83" t="s">
        <v>9361</v>
      </c>
      <c r="C3861" s="83" t="s">
        <v>9815</v>
      </c>
      <c r="D3861" s="83" t="s">
        <v>9903</v>
      </c>
      <c r="E3861" s="84">
        <f>response_interv_partner_material_mhpss_number</f>
        <v>0</v>
      </c>
      <c r="F3861" s="83" t="b">
        <v>1</v>
      </c>
      <c r="G3861" s="83"/>
      <c r="H3861" s="83"/>
      <c r="I3861" s="110" t="s">
        <v>11532</v>
      </c>
    </row>
    <row r="3862" spans="1:9">
      <c r="A3862" s="83" t="s">
        <v>9816</v>
      </c>
      <c r="B3862" s="83" t="s">
        <v>9361</v>
      </c>
      <c r="C3862" s="83" t="s">
        <v>9816</v>
      </c>
      <c r="D3862" s="83" t="s">
        <v>9904</v>
      </c>
      <c r="E3862" s="84">
        <f>response_interv_partner_temp_learningspace_number</f>
        <v>0</v>
      </c>
      <c r="F3862" s="83" t="b">
        <v>1</v>
      </c>
      <c r="G3862" s="83"/>
      <c r="H3862" s="83"/>
      <c r="I3862" s="110" t="s">
        <v>11532</v>
      </c>
    </row>
    <row r="3863" spans="1:9">
      <c r="A3863" s="83" t="s">
        <v>9817</v>
      </c>
      <c r="B3863" s="83" t="s">
        <v>9361</v>
      </c>
      <c r="C3863" s="83" t="s">
        <v>9817</v>
      </c>
      <c r="D3863" s="83" t="s">
        <v>9905</v>
      </c>
      <c r="E3863" s="84">
        <f>response_interv_partner_temp_wash_number</f>
        <v>0</v>
      </c>
      <c r="F3863" s="83" t="b">
        <v>1</v>
      </c>
      <c r="G3863" s="83"/>
      <c r="H3863" s="83"/>
      <c r="I3863" s="110" t="s">
        <v>11532</v>
      </c>
    </row>
    <row r="3864" spans="1:9">
      <c r="A3864" s="83" t="s">
        <v>9818</v>
      </c>
      <c r="B3864" s="83" t="s">
        <v>9361</v>
      </c>
      <c r="C3864" s="83" t="s">
        <v>9818</v>
      </c>
      <c r="D3864" s="83" t="s">
        <v>9906</v>
      </c>
      <c r="E3864" s="84">
        <f>number_personnel_trained_adm_partofresponse_teaching_m</f>
        <v>0</v>
      </c>
      <c r="F3864" s="83" t="b">
        <v>1</v>
      </c>
      <c r="G3864" s="83"/>
      <c r="H3864" s="83"/>
      <c r="I3864" s="110" t="s">
        <v>11532</v>
      </c>
    </row>
    <row r="3865" spans="1:9">
      <c r="A3865" s="83" t="s">
        <v>9819</v>
      </c>
      <c r="B3865" s="83" t="s">
        <v>9361</v>
      </c>
      <c r="C3865" s="83" t="s">
        <v>9819</v>
      </c>
      <c r="D3865" s="83" t="s">
        <v>9907</v>
      </c>
      <c r="E3865" s="84">
        <f>number_personnel_trained_adm_partofresponse_teaching_f</f>
        <v>0</v>
      </c>
      <c r="F3865" s="83" t="b">
        <v>1</v>
      </c>
      <c r="G3865" s="83"/>
      <c r="H3865" s="83"/>
      <c r="I3865" s="110" t="s">
        <v>11532</v>
      </c>
    </row>
    <row r="3866" spans="1:9">
      <c r="A3866" s="83" t="s">
        <v>9820</v>
      </c>
      <c r="B3866" s="83" t="s">
        <v>9361</v>
      </c>
      <c r="C3866" s="122" t="s">
        <v>9820</v>
      </c>
      <c r="D3866" s="83" t="s">
        <v>9908</v>
      </c>
      <c r="E3866" s="84">
        <f>number_personnel_trained_adm_aftermath_teaching_m</f>
        <v>0</v>
      </c>
      <c r="F3866" s="83" t="b">
        <v>1</v>
      </c>
      <c r="G3866" s="83"/>
      <c r="H3866" s="83"/>
      <c r="I3866" s="110" t="s">
        <v>11532</v>
      </c>
    </row>
    <row r="3867" spans="1:9">
      <c r="A3867" s="83" t="s">
        <v>9821</v>
      </c>
      <c r="B3867" s="83" t="s">
        <v>9361</v>
      </c>
      <c r="C3867" s="83" t="s">
        <v>9821</v>
      </c>
      <c r="D3867" s="83" t="s">
        <v>9909</v>
      </c>
      <c r="E3867" s="84">
        <f>number_personnel_trained_adm_aftermath_teaching_f</f>
        <v>0</v>
      </c>
      <c r="F3867" s="83" t="b">
        <v>1</v>
      </c>
      <c r="G3867" s="83"/>
      <c r="H3867" s="83"/>
      <c r="I3867" s="110" t="s">
        <v>11532</v>
      </c>
    </row>
    <row r="3868" spans="1:9">
      <c r="A3868" s="83" t="s">
        <v>9822</v>
      </c>
      <c r="B3868" s="83" t="s">
        <v>9361</v>
      </c>
      <c r="C3868" s="83" t="s">
        <v>9822</v>
      </c>
      <c r="D3868" s="83" t="s">
        <v>9910</v>
      </c>
      <c r="E3868" s="84" t="b">
        <f>sch_imple_strategy_adm_educcontinuity_disaster_nh</f>
        <v>1</v>
      </c>
      <c r="F3868" s="83" t="b">
        <v>1</v>
      </c>
      <c r="G3868" s="83" t="s">
        <v>2287</v>
      </c>
      <c r="H3868" s="83"/>
      <c r="I3868" s="110" t="s">
        <v>11532</v>
      </c>
    </row>
    <row r="3869" spans="1:9">
      <c r="A3869" s="83" t="s">
        <v>9823</v>
      </c>
      <c r="B3869" s="83" t="s">
        <v>9361</v>
      </c>
      <c r="C3869" s="83" t="s">
        <v>9823</v>
      </c>
      <c r="D3869" s="83" t="s">
        <v>9911</v>
      </c>
      <c r="E3869" s="84" t="b">
        <f>sch_imple_strategy_adm_educcontinuity_disaster_armed</f>
        <v>1</v>
      </c>
      <c r="F3869" s="83" t="b">
        <v>1</v>
      </c>
      <c r="G3869" s="83" t="s">
        <v>2287</v>
      </c>
      <c r="H3869" s="83"/>
      <c r="I3869" s="110" t="s">
        <v>11532</v>
      </c>
    </row>
    <row r="3870" spans="1:9">
      <c r="A3870" s="83" t="s">
        <v>9824</v>
      </c>
      <c r="B3870" s="83" t="s">
        <v>9361</v>
      </c>
      <c r="C3870" s="83" t="s">
        <v>9824</v>
      </c>
      <c r="D3870" s="83" t="s">
        <v>9912</v>
      </c>
      <c r="E3870" s="84" t="b">
        <f>resump_strat_class_shift</f>
        <v>0</v>
      </c>
      <c r="F3870" s="83" t="b">
        <v>1</v>
      </c>
      <c r="G3870" s="83" t="s">
        <v>2287</v>
      </c>
      <c r="H3870" s="83"/>
      <c r="I3870" s="110" t="s">
        <v>11532</v>
      </c>
    </row>
    <row r="3871" spans="1:9">
      <c r="A3871" s="83" t="s">
        <v>9825</v>
      </c>
      <c r="B3871" s="83" t="s">
        <v>9361</v>
      </c>
      <c r="C3871" s="83" t="s">
        <v>9825</v>
      </c>
      <c r="D3871" s="83" t="s">
        <v>9913</v>
      </c>
      <c r="E3871" s="84">
        <f>resump_strat_class_shift_number</f>
        <v>0</v>
      </c>
      <c r="F3871" s="83" t="b">
        <v>1</v>
      </c>
      <c r="G3871" s="83"/>
      <c r="H3871" s="83"/>
      <c r="I3871" s="110" t="s">
        <v>11532</v>
      </c>
    </row>
    <row r="3872" spans="1:9">
      <c r="A3872" s="83" t="s">
        <v>9826</v>
      </c>
      <c r="B3872" s="83" t="s">
        <v>9361</v>
      </c>
      <c r="C3872" s="83" t="s">
        <v>9826</v>
      </c>
      <c r="D3872" s="83" t="s">
        <v>9914</v>
      </c>
      <c r="E3872" s="84" t="b">
        <f>resump_strat_makeup_class</f>
        <v>0</v>
      </c>
      <c r="F3872" s="83" t="b">
        <v>1</v>
      </c>
      <c r="G3872" s="83" t="s">
        <v>2287</v>
      </c>
      <c r="H3872" s="83"/>
      <c r="I3872" s="110" t="s">
        <v>11532</v>
      </c>
    </row>
    <row r="3873" spans="1:9">
      <c r="A3873" s="83" t="s">
        <v>9827</v>
      </c>
      <c r="B3873" s="83" t="s">
        <v>9361</v>
      </c>
      <c r="C3873" s="83" t="s">
        <v>9827</v>
      </c>
      <c r="D3873" s="83" t="s">
        <v>9915</v>
      </c>
      <c r="E3873" s="84">
        <f>resump_strat_makeup_class_number</f>
        <v>0</v>
      </c>
      <c r="F3873" s="83" t="b">
        <v>1</v>
      </c>
      <c r="G3873" s="83"/>
      <c r="H3873" s="83"/>
      <c r="I3873" s="110" t="s">
        <v>11532</v>
      </c>
    </row>
    <row r="3874" spans="1:9">
      <c r="A3874" s="83" t="s">
        <v>9830</v>
      </c>
      <c r="B3874" s="83" t="s">
        <v>9361</v>
      </c>
      <c r="C3874" s="83" t="s">
        <v>9830</v>
      </c>
      <c r="D3874" s="83" t="s">
        <v>9916</v>
      </c>
      <c r="E3874" s="84" t="b">
        <f>resump_strat_modular_learning</f>
        <v>1</v>
      </c>
      <c r="F3874" s="83" t="b">
        <v>1</v>
      </c>
      <c r="G3874" s="83" t="s">
        <v>2287</v>
      </c>
      <c r="H3874" s="83"/>
      <c r="I3874" s="110" t="s">
        <v>11532</v>
      </c>
    </row>
    <row r="3875" spans="1:9">
      <c r="A3875" s="83" t="s">
        <v>9831</v>
      </c>
      <c r="B3875" s="83" t="s">
        <v>9361</v>
      </c>
      <c r="C3875" s="83" t="s">
        <v>9831</v>
      </c>
      <c r="D3875" s="83" t="s">
        <v>9917</v>
      </c>
      <c r="E3875" s="84">
        <f>resump_strat_modular_learning_number</f>
        <v>10</v>
      </c>
      <c r="F3875" s="83" t="b">
        <v>1</v>
      </c>
      <c r="G3875" s="83"/>
      <c r="H3875" s="83"/>
      <c r="I3875" s="110" t="s">
        <v>11532</v>
      </c>
    </row>
    <row r="3876" spans="1:9">
      <c r="A3876" s="83" t="s">
        <v>9828</v>
      </c>
      <c r="B3876" s="83" t="s">
        <v>9361</v>
      </c>
      <c r="C3876" s="83" t="s">
        <v>9828</v>
      </c>
      <c r="D3876" s="83" t="s">
        <v>9918</v>
      </c>
      <c r="E3876" s="84" t="b">
        <f>resump_strat_online_learning</f>
        <v>0</v>
      </c>
      <c r="F3876" s="83" t="b">
        <v>1</v>
      </c>
      <c r="G3876" s="83" t="s">
        <v>2287</v>
      </c>
      <c r="H3876" s="83"/>
      <c r="I3876" s="110" t="s">
        <v>11532</v>
      </c>
    </row>
    <row r="3877" spans="1:9">
      <c r="A3877" s="83" t="s">
        <v>9829</v>
      </c>
      <c r="B3877" s="83" t="s">
        <v>9361</v>
      </c>
      <c r="C3877" s="83" t="s">
        <v>9829</v>
      </c>
      <c r="D3877" s="83" t="s">
        <v>9919</v>
      </c>
      <c r="E3877" s="84">
        <f>resump_strat_online_learning_number</f>
        <v>0</v>
      </c>
      <c r="F3877" s="83" t="b">
        <v>1</v>
      </c>
      <c r="G3877" s="83"/>
      <c r="H3877" s="83"/>
      <c r="I3877" s="110" t="s">
        <v>11532</v>
      </c>
    </row>
    <row r="3878" spans="1:9">
      <c r="A3878" s="83" t="s">
        <v>9832</v>
      </c>
      <c r="B3878" s="83" t="s">
        <v>9361</v>
      </c>
      <c r="C3878" s="83" t="s">
        <v>9832</v>
      </c>
      <c r="D3878" s="83" t="s">
        <v>9920</v>
      </c>
      <c r="E3878" s="84" t="b">
        <f>resump_strat_peer_learning</f>
        <v>0</v>
      </c>
      <c r="F3878" s="83" t="b">
        <v>1</v>
      </c>
      <c r="G3878" s="83" t="s">
        <v>2287</v>
      </c>
      <c r="H3878" s="83"/>
      <c r="I3878" s="110" t="s">
        <v>11532</v>
      </c>
    </row>
    <row r="3879" spans="1:9">
      <c r="A3879" s="83" t="s">
        <v>9833</v>
      </c>
      <c r="B3879" s="83" t="s">
        <v>9361</v>
      </c>
      <c r="C3879" s="83" t="s">
        <v>9833</v>
      </c>
      <c r="D3879" s="83" t="s">
        <v>9921</v>
      </c>
      <c r="E3879" s="84">
        <f>resump_strat_peer_learning_number</f>
        <v>0</v>
      </c>
      <c r="F3879" s="83" t="b">
        <v>1</v>
      </c>
      <c r="G3879" s="83"/>
      <c r="H3879" s="83"/>
      <c r="I3879" s="110" t="s">
        <v>11532</v>
      </c>
    </row>
    <row r="3880" spans="1:9">
      <c r="A3880" s="83" t="s">
        <v>9834</v>
      </c>
      <c r="B3880" s="83" t="s">
        <v>9361</v>
      </c>
      <c r="C3880" s="83" t="s">
        <v>9834</v>
      </c>
      <c r="D3880" s="83" t="s">
        <v>9922</v>
      </c>
      <c r="E3880" s="84" t="b">
        <f>resump_strat_prog_teaching</f>
        <v>0</v>
      </c>
      <c r="F3880" s="83" t="b">
        <v>1</v>
      </c>
      <c r="G3880" s="83" t="s">
        <v>2287</v>
      </c>
      <c r="H3880" s="83"/>
      <c r="I3880" s="110" t="s">
        <v>11532</v>
      </c>
    </row>
    <row r="3881" spans="1:9">
      <c r="A3881" s="83" t="s">
        <v>9835</v>
      </c>
      <c r="B3881" s="83" t="s">
        <v>9361</v>
      </c>
      <c r="C3881" s="83" t="s">
        <v>9835</v>
      </c>
      <c r="D3881" s="83" t="s">
        <v>9923</v>
      </c>
      <c r="E3881" s="84">
        <f>resump_strat_prog_teaching_number</f>
        <v>0</v>
      </c>
      <c r="F3881" s="83" t="b">
        <v>1</v>
      </c>
      <c r="G3881" s="83"/>
      <c r="H3881" s="83"/>
      <c r="I3881" s="110" t="s">
        <v>11532</v>
      </c>
    </row>
    <row r="3882" spans="1:9">
      <c r="A3882" s="83" t="s">
        <v>9837</v>
      </c>
      <c r="B3882" s="83" t="s">
        <v>9361</v>
      </c>
      <c r="C3882" s="83" t="s">
        <v>9837</v>
      </c>
      <c r="D3882" s="83" t="s">
        <v>9924</v>
      </c>
      <c r="E3882" s="84" t="b">
        <f>adm_eimpact</f>
        <v>0</v>
      </c>
      <c r="F3882" s="83" t="b">
        <v>1</v>
      </c>
      <c r="G3882" s="83" t="s">
        <v>2287</v>
      </c>
      <c r="H3882" s="83"/>
      <c r="I3882" s="110" t="s">
        <v>11532</v>
      </c>
    </row>
    <row r="3883" spans="1:9">
      <c r="A3883" s="83" t="s">
        <v>9836</v>
      </c>
      <c r="B3883" s="83" t="s">
        <v>9361</v>
      </c>
      <c r="C3883" s="83" t="s">
        <v>9836</v>
      </c>
      <c r="D3883" s="83" t="s">
        <v>9925</v>
      </c>
      <c r="E3883" s="84">
        <f>adm_eimpact_number</f>
        <v>0</v>
      </c>
      <c r="F3883" s="83" t="b">
        <v>1</v>
      </c>
      <c r="G3883" s="83"/>
      <c r="H3883" s="83"/>
      <c r="I3883" s="110" t="s">
        <v>11532</v>
      </c>
    </row>
    <row r="3884" spans="1:9">
      <c r="A3884" s="83" t="s">
        <v>9838</v>
      </c>
      <c r="B3884" s="83" t="s">
        <v>9361</v>
      </c>
      <c r="C3884" s="83" t="s">
        <v>9838</v>
      </c>
      <c r="D3884" s="83" t="s">
        <v>9926</v>
      </c>
      <c r="E3884" s="84" t="b">
        <f>adm_homeschool</f>
        <v>0</v>
      </c>
      <c r="F3884" s="83" t="b">
        <v>1</v>
      </c>
      <c r="G3884" s="83" t="s">
        <v>2287</v>
      </c>
      <c r="H3884" s="83"/>
      <c r="I3884" s="110" t="s">
        <v>11532</v>
      </c>
    </row>
    <row r="3885" spans="1:9">
      <c r="A3885" s="83" t="s">
        <v>9839</v>
      </c>
      <c r="B3885" s="83" t="s">
        <v>9361</v>
      </c>
      <c r="C3885" s="83" t="s">
        <v>9839</v>
      </c>
      <c r="D3885" s="83" t="s">
        <v>9927</v>
      </c>
      <c r="E3885" s="84">
        <f>adm_homeschool_number</f>
        <v>0</v>
      </c>
      <c r="F3885" s="83" t="b">
        <v>1</v>
      </c>
      <c r="G3885" s="83"/>
      <c r="H3885" s="83"/>
      <c r="I3885" s="110" t="s">
        <v>11532</v>
      </c>
    </row>
    <row r="3886" spans="1:9">
      <c r="A3886" s="83" t="s">
        <v>9840</v>
      </c>
      <c r="B3886" s="83" t="s">
        <v>9361</v>
      </c>
      <c r="C3886" s="83" t="s">
        <v>9840</v>
      </c>
      <c r="D3886" s="83" t="s">
        <v>9928</v>
      </c>
      <c r="E3886" s="84" t="b">
        <f>adm_misosa</f>
        <v>0</v>
      </c>
      <c r="F3886" s="83" t="b">
        <v>1</v>
      </c>
      <c r="G3886" s="83" t="s">
        <v>2287</v>
      </c>
      <c r="H3886" s="83"/>
      <c r="I3886" s="110" t="s">
        <v>11532</v>
      </c>
    </row>
    <row r="3887" spans="1:9">
      <c r="A3887" s="83" t="s">
        <v>9841</v>
      </c>
      <c r="B3887" s="83" t="s">
        <v>9361</v>
      </c>
      <c r="C3887" s="83" t="s">
        <v>9841</v>
      </c>
      <c r="D3887" s="83" t="s">
        <v>9929</v>
      </c>
      <c r="E3887" s="84">
        <f>adm_misosa_number</f>
        <v>0</v>
      </c>
      <c r="F3887" s="83" t="b">
        <v>1</v>
      </c>
      <c r="G3887" s="83"/>
      <c r="H3887" s="83"/>
      <c r="I3887" s="110" t="s">
        <v>11532</v>
      </c>
    </row>
    <row r="3888" spans="1:9">
      <c r="A3888" s="83" t="s">
        <v>9842</v>
      </c>
      <c r="B3888" s="83" t="s">
        <v>9361</v>
      </c>
      <c r="C3888" s="83" t="s">
        <v>9842</v>
      </c>
      <c r="D3888" s="83" t="s">
        <v>9930</v>
      </c>
      <c r="E3888" s="84" t="b">
        <f>adm_nighthighschool</f>
        <v>0</v>
      </c>
      <c r="F3888" s="83" t="b">
        <v>1</v>
      </c>
      <c r="G3888" s="83" t="s">
        <v>2287</v>
      </c>
      <c r="H3888" s="83"/>
      <c r="I3888" s="110" t="s">
        <v>11532</v>
      </c>
    </row>
    <row r="3889" spans="1:9">
      <c r="A3889" s="83" t="s">
        <v>9843</v>
      </c>
      <c r="B3889" s="83" t="s">
        <v>9361</v>
      </c>
      <c r="C3889" s="83" t="s">
        <v>9843</v>
      </c>
      <c r="D3889" s="83" t="s">
        <v>9931</v>
      </c>
      <c r="E3889" s="84">
        <f>adm_nighthighschool_number</f>
        <v>0</v>
      </c>
      <c r="F3889" s="83" t="b">
        <v>1</v>
      </c>
      <c r="G3889" s="83"/>
      <c r="H3889" s="83"/>
      <c r="I3889" s="110" t="s">
        <v>11532</v>
      </c>
    </row>
    <row r="3890" spans="1:9">
      <c r="A3890" s="83" t="s">
        <v>9844</v>
      </c>
      <c r="B3890" s="83" t="s">
        <v>9361</v>
      </c>
      <c r="C3890" s="83" t="s">
        <v>9844</v>
      </c>
      <c r="D3890" s="83" t="s">
        <v>9932</v>
      </c>
      <c r="E3890" s="84" t="b">
        <f>adm_ohsp</f>
        <v>0</v>
      </c>
      <c r="F3890" s="83" t="b">
        <v>1</v>
      </c>
      <c r="G3890" s="83" t="s">
        <v>2287</v>
      </c>
      <c r="H3890" s="83"/>
      <c r="I3890" s="110" t="s">
        <v>11532</v>
      </c>
    </row>
    <row r="3891" spans="1:9">
      <c r="A3891" s="83" t="s">
        <v>9845</v>
      </c>
      <c r="B3891" s="83" t="s">
        <v>9361</v>
      </c>
      <c r="C3891" s="83" t="s">
        <v>9845</v>
      </c>
      <c r="D3891" s="83" t="s">
        <v>9933</v>
      </c>
      <c r="E3891" s="84">
        <f>adm_ohsp_number</f>
        <v>0</v>
      </c>
      <c r="F3891" s="83" t="b">
        <v>1</v>
      </c>
      <c r="G3891" s="83"/>
      <c r="H3891" s="83"/>
      <c r="I3891" s="110" t="s">
        <v>11532</v>
      </c>
    </row>
    <row r="3892" spans="1:9">
      <c r="A3892" s="83" t="s">
        <v>9846</v>
      </c>
      <c r="B3892" s="83" t="s">
        <v>9361</v>
      </c>
      <c r="C3892" s="83" t="s">
        <v>9846</v>
      </c>
      <c r="D3892" s="83" t="s">
        <v>9934</v>
      </c>
      <c r="E3892" s="84">
        <f>number_learners_affect_learning_session_exclude_m</f>
        <v>549</v>
      </c>
      <c r="F3892" s="83" t="b">
        <v>1</v>
      </c>
      <c r="G3892" s="83"/>
      <c r="H3892" s="83"/>
      <c r="I3892" s="110" t="s">
        <v>11532</v>
      </c>
    </row>
    <row r="3893" spans="1:9">
      <c r="A3893" s="83" t="s">
        <v>9847</v>
      </c>
      <c r="B3893" s="83" t="s">
        <v>9361</v>
      </c>
      <c r="C3893" s="83" t="s">
        <v>9847</v>
      </c>
      <c r="D3893" s="83" t="s">
        <v>9935</v>
      </c>
      <c r="E3893" s="84">
        <f>number_learners_affect_learning_session_exclude_f</f>
        <v>299</v>
      </c>
      <c r="F3893" s="83" t="b">
        <v>1</v>
      </c>
      <c r="G3893" s="83"/>
      <c r="H3893" s="83"/>
      <c r="I3893" s="110" t="s">
        <v>11532</v>
      </c>
    </row>
    <row r="3894" spans="1:9">
      <c r="A3894" s="83" t="s">
        <v>9848</v>
      </c>
      <c r="B3894" s="83" t="s">
        <v>9361</v>
      </c>
      <c r="C3894" s="83" t="s">
        <v>9848</v>
      </c>
      <c r="D3894" s="83" t="s">
        <v>9936</v>
      </c>
      <c r="E3894" s="84">
        <f>number_learners_affect_learning_session_ip_m</f>
        <v>0</v>
      </c>
      <c r="F3894" s="83" t="b">
        <v>1</v>
      </c>
      <c r="G3894" s="83"/>
      <c r="H3894" s="83"/>
      <c r="I3894" s="110" t="s">
        <v>11532</v>
      </c>
    </row>
    <row r="3895" spans="1:9">
      <c r="A3895" s="83" t="s">
        <v>9849</v>
      </c>
      <c r="B3895" s="83" t="s">
        <v>9361</v>
      </c>
      <c r="C3895" s="83" t="s">
        <v>9849</v>
      </c>
      <c r="D3895" s="83" t="s">
        <v>9937</v>
      </c>
      <c r="E3895" s="84">
        <f>number_learners_affect_learning_session_ip_f</f>
        <v>0</v>
      </c>
      <c r="F3895" s="83" t="b">
        <v>1</v>
      </c>
      <c r="G3895" s="83"/>
      <c r="H3895" s="83"/>
      <c r="I3895" s="110" t="s">
        <v>11532</v>
      </c>
    </row>
    <row r="3896" spans="1:9">
      <c r="A3896" s="83" t="s">
        <v>9850</v>
      </c>
      <c r="B3896" s="83" t="s">
        <v>9361</v>
      </c>
      <c r="C3896" s="83" t="s">
        <v>9850</v>
      </c>
      <c r="D3896" s="83" t="s">
        <v>9938</v>
      </c>
      <c r="E3896" s="84">
        <f>number_learners_affect_learning_session_muslim_m</f>
        <v>0</v>
      </c>
      <c r="F3896" s="83" t="b">
        <v>1</v>
      </c>
      <c r="G3896" s="83"/>
      <c r="H3896" s="83"/>
      <c r="I3896" s="110" t="s">
        <v>11532</v>
      </c>
    </row>
    <row r="3897" spans="1:9">
      <c r="A3897" s="83" t="s">
        <v>9851</v>
      </c>
      <c r="B3897" s="83" t="s">
        <v>9361</v>
      </c>
      <c r="C3897" s="83" t="s">
        <v>9851</v>
      </c>
      <c r="D3897" s="83" t="s">
        <v>9939</v>
      </c>
      <c r="E3897" s="84">
        <f>number_learners_affect_learning_session_muslim_f</f>
        <v>0</v>
      </c>
      <c r="F3897" s="83" t="b">
        <v>1</v>
      </c>
      <c r="G3897" s="83"/>
      <c r="H3897" s="83"/>
      <c r="I3897" s="110" t="s">
        <v>11532</v>
      </c>
    </row>
    <row r="3898" spans="1:9">
      <c r="A3898" s="83" t="s">
        <v>9852</v>
      </c>
      <c r="B3898" s="83" t="s">
        <v>9361</v>
      </c>
      <c r="C3898" s="83" t="s">
        <v>9852</v>
      </c>
      <c r="D3898" s="83" t="s">
        <v>9940</v>
      </c>
      <c r="E3898" s="84">
        <f>number_learners_affect_learning_session_lwd_m</f>
        <v>39</v>
      </c>
      <c r="F3898" s="83" t="b">
        <v>1</v>
      </c>
      <c r="G3898" s="83"/>
      <c r="H3898" s="83"/>
      <c r="I3898" s="110" t="s">
        <v>11532</v>
      </c>
    </row>
    <row r="3899" spans="1:9">
      <c r="A3899" s="83" t="s">
        <v>9853</v>
      </c>
      <c r="B3899" s="83" t="s">
        <v>9361</v>
      </c>
      <c r="C3899" s="83" t="s">
        <v>9853</v>
      </c>
      <c r="D3899" s="83" t="s">
        <v>9941</v>
      </c>
      <c r="E3899" s="84">
        <f>number_learners_affect_learning_session_lwd_f</f>
        <v>16</v>
      </c>
      <c r="F3899" s="83" t="b">
        <v>1</v>
      </c>
      <c r="G3899" s="83"/>
      <c r="H3899" s="83"/>
      <c r="I3899" s="110" t="s">
        <v>11532</v>
      </c>
    </row>
    <row r="3900" spans="1:9">
      <c r="A3900" s="83" t="s">
        <v>9854</v>
      </c>
      <c r="B3900" s="83" t="s">
        <v>9361</v>
      </c>
      <c r="C3900" s="83" t="s">
        <v>9854</v>
      </c>
      <c r="D3900" s="83" t="s">
        <v>9942</v>
      </c>
      <c r="E3900" s="84">
        <f>number_learners_affect_mhpss_exclude_m</f>
        <v>549</v>
      </c>
      <c r="F3900" s="83" t="b">
        <v>1</v>
      </c>
      <c r="G3900" s="83"/>
      <c r="H3900" s="83"/>
      <c r="I3900" s="110" t="s">
        <v>11532</v>
      </c>
    </row>
    <row r="3901" spans="1:9">
      <c r="A3901" s="83" t="s">
        <v>9855</v>
      </c>
      <c r="B3901" s="83" t="s">
        <v>9361</v>
      </c>
      <c r="C3901" s="83" t="s">
        <v>9855</v>
      </c>
      <c r="D3901" s="83" t="s">
        <v>9943</v>
      </c>
      <c r="E3901" s="84">
        <f>number_learners_affect_mhpss_exclude_f</f>
        <v>299</v>
      </c>
      <c r="F3901" s="83" t="b">
        <v>1</v>
      </c>
      <c r="G3901" s="83"/>
      <c r="H3901" s="83"/>
      <c r="I3901" s="110" t="s">
        <v>11532</v>
      </c>
    </row>
    <row r="3902" spans="1:9">
      <c r="A3902" s="83" t="s">
        <v>9856</v>
      </c>
      <c r="B3902" s="83" t="s">
        <v>9361</v>
      </c>
      <c r="C3902" s="83" t="s">
        <v>9856</v>
      </c>
      <c r="D3902" s="83" t="s">
        <v>9944</v>
      </c>
      <c r="E3902" s="84">
        <f>number_learners_affect_mhpss_ip_m</f>
        <v>0</v>
      </c>
      <c r="F3902" s="83" t="b">
        <v>1</v>
      </c>
      <c r="G3902" s="83"/>
      <c r="H3902" s="83"/>
      <c r="I3902" s="110" t="s">
        <v>11532</v>
      </c>
    </row>
    <row r="3903" spans="1:9">
      <c r="A3903" s="83" t="s">
        <v>9857</v>
      </c>
      <c r="B3903" s="83" t="s">
        <v>9361</v>
      </c>
      <c r="C3903" s="83" t="s">
        <v>9857</v>
      </c>
      <c r="D3903" s="83" t="s">
        <v>9945</v>
      </c>
      <c r="E3903" s="84">
        <f>number_learners_affect_mhpss_ip_f</f>
        <v>0</v>
      </c>
      <c r="F3903" s="83" t="b">
        <v>1</v>
      </c>
      <c r="G3903" s="83"/>
      <c r="H3903" s="83"/>
      <c r="I3903" s="110" t="s">
        <v>11532</v>
      </c>
    </row>
    <row r="3904" spans="1:9">
      <c r="A3904" s="83" t="s">
        <v>9858</v>
      </c>
      <c r="B3904" s="83" t="s">
        <v>9361</v>
      </c>
      <c r="C3904" s="83" t="s">
        <v>9858</v>
      </c>
      <c r="D3904" s="83" t="s">
        <v>9946</v>
      </c>
      <c r="E3904" s="84">
        <f>number_learners_affect_mhpss_muslim_m</f>
        <v>0</v>
      </c>
      <c r="F3904" s="83" t="b">
        <v>1</v>
      </c>
      <c r="G3904" s="83"/>
      <c r="H3904" s="83"/>
      <c r="I3904" s="110" t="s">
        <v>11532</v>
      </c>
    </row>
    <row r="3905" spans="1:9">
      <c r="A3905" s="83" t="s">
        <v>9859</v>
      </c>
      <c r="B3905" s="83" t="s">
        <v>9361</v>
      </c>
      <c r="C3905" s="83" t="s">
        <v>9859</v>
      </c>
      <c r="D3905" s="83" t="s">
        <v>9947</v>
      </c>
      <c r="E3905" s="84">
        <f>number_learners_affect_mhpss_muslim_f</f>
        <v>0</v>
      </c>
      <c r="F3905" s="83" t="b">
        <v>1</v>
      </c>
      <c r="G3905" s="83"/>
      <c r="H3905" s="83"/>
      <c r="I3905" s="110" t="s">
        <v>11532</v>
      </c>
    </row>
    <row r="3906" spans="1:9">
      <c r="A3906" s="83" t="s">
        <v>9860</v>
      </c>
      <c r="B3906" s="83" t="s">
        <v>9361</v>
      </c>
      <c r="C3906" s="83" t="s">
        <v>9860</v>
      </c>
      <c r="D3906" s="83" t="s">
        <v>9948</v>
      </c>
      <c r="E3906" s="84">
        <f>number_learners_affect_mhpss_lwd_m</f>
        <v>39</v>
      </c>
      <c r="F3906" s="83" t="b">
        <v>1</v>
      </c>
      <c r="G3906" s="83"/>
      <c r="H3906" s="83"/>
      <c r="I3906" s="110" t="s">
        <v>11532</v>
      </c>
    </row>
    <row r="3907" spans="1:9">
      <c r="A3907" s="83" t="s">
        <v>9861</v>
      </c>
      <c r="B3907" s="83" t="s">
        <v>9361</v>
      </c>
      <c r="C3907" s="83" t="s">
        <v>9861</v>
      </c>
      <c r="D3907" s="83" t="s">
        <v>9949</v>
      </c>
      <c r="E3907" s="84">
        <f>number_learners_affect_mhpss_lwd_f</f>
        <v>16</v>
      </c>
      <c r="F3907" s="83" t="b">
        <v>1</v>
      </c>
      <c r="G3907" s="83"/>
      <c r="H3907" s="83"/>
      <c r="I3907" s="110" t="s">
        <v>11532</v>
      </c>
    </row>
    <row r="3908" spans="1:9">
      <c r="A3908" s="83" t="s">
        <v>9862</v>
      </c>
      <c r="B3908" s="83" t="s">
        <v>9361</v>
      </c>
      <c r="C3908" s="83" t="s">
        <v>9862</v>
      </c>
      <c r="D3908" s="83" t="s">
        <v>9950</v>
      </c>
      <c r="E3908" s="84">
        <f>number_learners_affect_need_pss_exclude_m</f>
        <v>549</v>
      </c>
      <c r="F3908" s="83" t="b">
        <v>1</v>
      </c>
      <c r="G3908" s="83"/>
      <c r="H3908" s="83"/>
      <c r="I3908" s="110" t="s">
        <v>11532</v>
      </c>
    </row>
    <row r="3909" spans="1:9">
      <c r="A3909" s="83" t="s">
        <v>9863</v>
      </c>
      <c r="B3909" s="83" t="s">
        <v>9361</v>
      </c>
      <c r="C3909" s="83" t="s">
        <v>9863</v>
      </c>
      <c r="D3909" s="83" t="s">
        <v>9951</v>
      </c>
      <c r="E3909" s="84">
        <f>number_learners_affect_need_pss_exclude_f</f>
        <v>299</v>
      </c>
      <c r="F3909" s="83" t="b">
        <v>1</v>
      </c>
      <c r="G3909" s="83"/>
      <c r="H3909" s="83"/>
      <c r="I3909" s="110" t="s">
        <v>11532</v>
      </c>
    </row>
    <row r="3910" spans="1:9">
      <c r="A3910" s="83" t="s">
        <v>9864</v>
      </c>
      <c r="B3910" s="83" t="s">
        <v>9361</v>
      </c>
      <c r="C3910" s="83" t="s">
        <v>9864</v>
      </c>
      <c r="D3910" s="83" t="s">
        <v>9952</v>
      </c>
      <c r="E3910" s="84">
        <f>number_learners_affect_need_pss_ip_m</f>
        <v>0</v>
      </c>
      <c r="F3910" s="83" t="b">
        <v>1</v>
      </c>
      <c r="G3910" s="83"/>
      <c r="H3910" s="83"/>
      <c r="I3910" s="110" t="s">
        <v>11532</v>
      </c>
    </row>
    <row r="3911" spans="1:9">
      <c r="A3911" s="83" t="s">
        <v>9865</v>
      </c>
      <c r="B3911" s="83" t="s">
        <v>9361</v>
      </c>
      <c r="C3911" s="83" t="s">
        <v>9865</v>
      </c>
      <c r="D3911" s="83" t="s">
        <v>9953</v>
      </c>
      <c r="E3911" s="84">
        <f>number_learners_affect_need_pss_ip_f</f>
        <v>0</v>
      </c>
      <c r="F3911" s="83" t="b">
        <v>1</v>
      </c>
      <c r="G3911" s="83"/>
      <c r="H3911" s="83"/>
      <c r="I3911" s="110" t="s">
        <v>11532</v>
      </c>
    </row>
    <row r="3912" spans="1:9">
      <c r="A3912" s="83" t="s">
        <v>9866</v>
      </c>
      <c r="B3912" s="83" t="s">
        <v>9361</v>
      </c>
      <c r="C3912" s="83" t="s">
        <v>9866</v>
      </c>
      <c r="D3912" s="83" t="s">
        <v>9954</v>
      </c>
      <c r="E3912" s="84">
        <f>number_learners_affect_need_pss_muslim_m</f>
        <v>0</v>
      </c>
      <c r="F3912" s="83" t="b">
        <v>1</v>
      </c>
      <c r="G3912" s="83"/>
      <c r="H3912" s="83"/>
      <c r="I3912" s="110" t="s">
        <v>11532</v>
      </c>
    </row>
    <row r="3913" spans="1:9">
      <c r="A3913" s="83" t="s">
        <v>9867</v>
      </c>
      <c r="B3913" s="83" t="s">
        <v>9361</v>
      </c>
      <c r="C3913" s="83" t="s">
        <v>9867</v>
      </c>
      <c r="D3913" s="83" t="s">
        <v>9955</v>
      </c>
      <c r="E3913" s="84">
        <f>number_learners_affect_need_pss_muslim_f</f>
        <v>0</v>
      </c>
      <c r="F3913" s="83" t="b">
        <v>1</v>
      </c>
      <c r="G3913" s="83"/>
      <c r="H3913" s="83"/>
      <c r="I3913" s="110" t="s">
        <v>11532</v>
      </c>
    </row>
    <row r="3914" spans="1:9">
      <c r="A3914" s="83" t="s">
        <v>9868</v>
      </c>
      <c r="B3914" s="83" t="s">
        <v>9361</v>
      </c>
      <c r="C3914" s="83" t="s">
        <v>9868</v>
      </c>
      <c r="D3914" s="83" t="s">
        <v>9956</v>
      </c>
      <c r="E3914" s="84">
        <f>number_learners_affect_need_pss_lwd_m</f>
        <v>39</v>
      </c>
      <c r="F3914" s="83" t="b">
        <v>1</v>
      </c>
      <c r="G3914" s="83"/>
      <c r="H3914" s="83"/>
      <c r="I3914" s="110" t="s">
        <v>11532</v>
      </c>
    </row>
    <row r="3915" spans="1:9">
      <c r="A3915" s="83" t="s">
        <v>9869</v>
      </c>
      <c r="B3915" s="83" t="s">
        <v>9361</v>
      </c>
      <c r="C3915" s="83" t="s">
        <v>9869</v>
      </c>
      <c r="D3915" s="83" t="s">
        <v>9957</v>
      </c>
      <c r="E3915" s="84">
        <f>number_learners_affect_need_pss_lwd_f</f>
        <v>16</v>
      </c>
      <c r="F3915" s="83" t="b">
        <v>1</v>
      </c>
      <c r="G3915" s="83"/>
      <c r="H3915" s="83"/>
      <c r="I3915" s="110" t="s">
        <v>11532</v>
      </c>
    </row>
    <row r="3916" spans="1:9">
      <c r="A3916" s="83" t="s">
        <v>9870</v>
      </c>
      <c r="B3916" s="83" t="s">
        <v>9361</v>
      </c>
      <c r="C3916" s="83" t="s">
        <v>9870</v>
      </c>
      <c r="D3916" s="83" t="s">
        <v>9958</v>
      </c>
      <c r="E3916" s="84">
        <f>number_learners_affect_ref_mechanism_exclude_m</f>
        <v>549</v>
      </c>
      <c r="F3916" s="83" t="b">
        <v>1</v>
      </c>
      <c r="G3916" s="83"/>
      <c r="H3916" s="83"/>
      <c r="I3916" s="110" t="s">
        <v>11532</v>
      </c>
    </row>
    <row r="3917" spans="1:9">
      <c r="A3917" s="83" t="s">
        <v>9871</v>
      </c>
      <c r="B3917" s="83" t="s">
        <v>9361</v>
      </c>
      <c r="C3917" s="83" t="s">
        <v>9871</v>
      </c>
      <c r="D3917" s="83" t="s">
        <v>9959</v>
      </c>
      <c r="E3917" s="84">
        <f>number_learners_affect_ref_mechanism_exclude_f</f>
        <v>299</v>
      </c>
      <c r="F3917" s="83" t="b">
        <v>1</v>
      </c>
      <c r="G3917" s="83"/>
      <c r="H3917" s="83"/>
      <c r="I3917" s="110" t="s">
        <v>11532</v>
      </c>
    </row>
    <row r="3918" spans="1:9">
      <c r="A3918" s="83" t="s">
        <v>9872</v>
      </c>
      <c r="B3918" s="83" t="s">
        <v>9361</v>
      </c>
      <c r="C3918" s="83" t="s">
        <v>9872</v>
      </c>
      <c r="D3918" s="83" t="s">
        <v>9960</v>
      </c>
      <c r="E3918" s="84">
        <f>number_learners_affect_ref_mechanism_ip_m</f>
        <v>0</v>
      </c>
      <c r="F3918" s="83" t="b">
        <v>1</v>
      </c>
      <c r="G3918" s="83"/>
      <c r="H3918" s="83"/>
      <c r="I3918" s="110" t="s">
        <v>11532</v>
      </c>
    </row>
    <row r="3919" spans="1:9">
      <c r="A3919" s="83" t="s">
        <v>9873</v>
      </c>
      <c r="B3919" s="83" t="s">
        <v>9361</v>
      </c>
      <c r="C3919" s="83" t="s">
        <v>9873</v>
      </c>
      <c r="D3919" s="83" t="s">
        <v>9961</v>
      </c>
      <c r="E3919" s="84">
        <f>number_learners_affect_ref_mechanism_ip_f</f>
        <v>0</v>
      </c>
      <c r="F3919" s="83" t="b">
        <v>1</v>
      </c>
      <c r="G3919" s="83"/>
      <c r="H3919" s="83"/>
      <c r="I3919" s="110" t="s">
        <v>11532</v>
      </c>
    </row>
    <row r="3920" spans="1:9">
      <c r="A3920" s="83" t="s">
        <v>9874</v>
      </c>
      <c r="B3920" s="83" t="s">
        <v>9361</v>
      </c>
      <c r="C3920" s="83" t="s">
        <v>9874</v>
      </c>
      <c r="D3920" s="83" t="s">
        <v>9962</v>
      </c>
      <c r="E3920" s="84">
        <f>number_learners_affect_ref_mechanism_muslim_m</f>
        <v>0</v>
      </c>
      <c r="F3920" s="83" t="b">
        <v>1</v>
      </c>
      <c r="G3920" s="83"/>
      <c r="H3920" s="83"/>
      <c r="I3920" s="110" t="s">
        <v>11532</v>
      </c>
    </row>
    <row r="3921" spans="1:9">
      <c r="A3921" s="83" t="s">
        <v>9875</v>
      </c>
      <c r="B3921" s="83" t="s">
        <v>9361</v>
      </c>
      <c r="C3921" s="83" t="s">
        <v>9875</v>
      </c>
      <c r="D3921" s="83" t="s">
        <v>9963</v>
      </c>
      <c r="E3921" s="84">
        <f>number_learners_affect_ref_mechanism_muslim_f</f>
        <v>0</v>
      </c>
      <c r="F3921" s="83" t="b">
        <v>1</v>
      </c>
      <c r="G3921" s="83"/>
      <c r="H3921" s="83"/>
      <c r="I3921" s="110" t="s">
        <v>11532</v>
      </c>
    </row>
    <row r="3922" spans="1:9">
      <c r="A3922" s="83" t="s">
        <v>9876</v>
      </c>
      <c r="B3922" s="83" t="s">
        <v>9361</v>
      </c>
      <c r="C3922" s="83" t="s">
        <v>9876</v>
      </c>
      <c r="D3922" s="83" t="s">
        <v>9964</v>
      </c>
      <c r="E3922" s="84">
        <f>number_learners_affect_ref_mechanism_lwd_m</f>
        <v>39</v>
      </c>
      <c r="F3922" s="83" t="b">
        <v>1</v>
      </c>
      <c r="G3922" s="83"/>
      <c r="H3922" s="83"/>
      <c r="I3922" s="110" t="s">
        <v>11532</v>
      </c>
    </row>
    <row r="3923" spans="1:9" s="112" customFormat="1" ht="16" thickBot="1">
      <c r="A3923" s="85" t="s">
        <v>9877</v>
      </c>
      <c r="B3923" s="85" t="s">
        <v>9361</v>
      </c>
      <c r="C3923" s="85" t="s">
        <v>9877</v>
      </c>
      <c r="D3923" s="85" t="s">
        <v>9965</v>
      </c>
      <c r="E3923" s="86">
        <f>number_learners_affect_ref_mechanism_lwd_f</f>
        <v>16</v>
      </c>
      <c r="F3923" s="85" t="b">
        <v>1</v>
      </c>
      <c r="G3923" s="85"/>
      <c r="H3923" s="85"/>
      <c r="I3923" s="121" t="s">
        <v>11532</v>
      </c>
    </row>
    <row r="3924" spans="1:9">
      <c r="A3924" s="83" t="s">
        <v>9966</v>
      </c>
      <c r="B3924" s="83" t="s">
        <v>9361</v>
      </c>
      <c r="C3924" s="83" t="s">
        <v>9966</v>
      </c>
      <c r="D3924" s="83" t="s">
        <v>9983</v>
      </c>
      <c r="E3924" s="84">
        <f>personnel_affected_provided_mhpss_teaching_m</f>
        <v>2</v>
      </c>
      <c r="F3924" s="83" t="b">
        <v>1</v>
      </c>
      <c r="G3924" s="83"/>
      <c r="H3924" s="83"/>
      <c r="I3924" s="110" t="s">
        <v>11532</v>
      </c>
    </row>
    <row r="3925" spans="1:9">
      <c r="A3925" s="83" t="s">
        <v>9967</v>
      </c>
      <c r="B3925" s="83" t="s">
        <v>9361</v>
      </c>
      <c r="C3925" s="83" t="s">
        <v>9967</v>
      </c>
      <c r="D3925" s="83" t="s">
        <v>9984</v>
      </c>
      <c r="E3925" s="84">
        <f>personnel_affected_provided_mhpss_teaching_f</f>
        <v>40</v>
      </c>
      <c r="F3925" s="83" t="b">
        <v>1</v>
      </c>
      <c r="G3925" s="83"/>
      <c r="H3925" s="83"/>
      <c r="I3925" s="110" t="s">
        <v>11532</v>
      </c>
    </row>
    <row r="3926" spans="1:9">
      <c r="A3926" s="83" t="s">
        <v>9968</v>
      </c>
      <c r="B3926" s="83" t="s">
        <v>9361</v>
      </c>
      <c r="C3926" s="83" t="s">
        <v>9968</v>
      </c>
      <c r="D3926" s="83" t="s">
        <v>9985</v>
      </c>
      <c r="E3926" s="84">
        <f>personnel_affected_provided_mhpss_nonteaching_m</f>
        <v>3</v>
      </c>
      <c r="F3926" s="83" t="b">
        <v>1</v>
      </c>
      <c r="G3926" s="83"/>
      <c r="H3926" s="83"/>
      <c r="I3926" s="110" t="s">
        <v>11532</v>
      </c>
    </row>
    <row r="3927" spans="1:9">
      <c r="A3927" s="83" t="s">
        <v>9969</v>
      </c>
      <c r="B3927" s="83" t="s">
        <v>9361</v>
      </c>
      <c r="C3927" s="83" t="s">
        <v>9969</v>
      </c>
      <c r="D3927" s="83" t="s">
        <v>9986</v>
      </c>
      <c r="E3927" s="84">
        <f>personnel_affected_provided_mhpss_nonteaching_f</f>
        <v>1</v>
      </c>
      <c r="F3927" s="83" t="b">
        <v>1</v>
      </c>
      <c r="G3927" s="83"/>
      <c r="H3927" s="83"/>
      <c r="I3927" s="110" t="s">
        <v>11532</v>
      </c>
    </row>
    <row r="3928" spans="1:9">
      <c r="A3928" s="83" t="s">
        <v>9970</v>
      </c>
      <c r="B3928" s="83" t="s">
        <v>9361</v>
      </c>
      <c r="C3928" s="83" t="s">
        <v>9970</v>
      </c>
      <c r="D3928" s="83" t="s">
        <v>9987</v>
      </c>
      <c r="E3928" s="84">
        <f>personnel_affected_need_pss_teaching_m</f>
        <v>2</v>
      </c>
      <c r="F3928" s="83" t="b">
        <v>1</v>
      </c>
      <c r="G3928" s="83"/>
      <c r="H3928" s="83"/>
      <c r="I3928" s="110" t="s">
        <v>11532</v>
      </c>
    </row>
    <row r="3929" spans="1:9">
      <c r="A3929" s="83" t="s">
        <v>9971</v>
      </c>
      <c r="B3929" s="83" t="s">
        <v>9361</v>
      </c>
      <c r="C3929" s="83" t="s">
        <v>9971</v>
      </c>
      <c r="D3929" s="83" t="s">
        <v>9988</v>
      </c>
      <c r="E3929" s="84">
        <f>personnel_affected_need_pss_teaching_f</f>
        <v>40</v>
      </c>
      <c r="F3929" s="83" t="b">
        <v>1</v>
      </c>
      <c r="G3929" s="83"/>
      <c r="H3929" s="83"/>
      <c r="I3929" s="110" t="s">
        <v>11532</v>
      </c>
    </row>
    <row r="3930" spans="1:9">
      <c r="A3930" s="83" t="s">
        <v>9972</v>
      </c>
      <c r="B3930" s="83" t="s">
        <v>9361</v>
      </c>
      <c r="C3930" s="83" t="s">
        <v>9972</v>
      </c>
      <c r="D3930" s="83" t="s">
        <v>9989</v>
      </c>
      <c r="E3930" s="84">
        <f>personnel_affected_need_pss_nonteaching_m</f>
        <v>3</v>
      </c>
      <c r="F3930" s="83" t="b">
        <v>1</v>
      </c>
      <c r="G3930" s="83"/>
      <c r="H3930" s="83"/>
      <c r="I3930" s="110" t="s">
        <v>11532</v>
      </c>
    </row>
    <row r="3931" spans="1:9">
      <c r="A3931" s="83" t="s">
        <v>9973</v>
      </c>
      <c r="B3931" s="83" t="s">
        <v>9361</v>
      </c>
      <c r="C3931" s="83" t="s">
        <v>9973</v>
      </c>
      <c r="D3931" s="83" t="s">
        <v>9990</v>
      </c>
      <c r="E3931" s="84">
        <f>personnel_affected_need_pss_nonteaching_f</f>
        <v>1</v>
      </c>
      <c r="F3931" s="83" t="b">
        <v>1</v>
      </c>
      <c r="G3931" s="83"/>
      <c r="H3931" s="83"/>
      <c r="I3931" s="110" t="s">
        <v>11532</v>
      </c>
    </row>
    <row r="3932" spans="1:9">
      <c r="A3932" s="83" t="s">
        <v>9974</v>
      </c>
      <c r="B3932" s="83" t="s">
        <v>9361</v>
      </c>
      <c r="C3932" s="83" t="s">
        <v>9974</v>
      </c>
      <c r="D3932" s="83" t="s">
        <v>9991</v>
      </c>
      <c r="E3932" s="84">
        <f>personnel_affected_ref_mechanism_teaching_m</f>
        <v>2</v>
      </c>
      <c r="F3932" s="83" t="b">
        <v>1</v>
      </c>
      <c r="G3932" s="83"/>
      <c r="H3932" s="83"/>
      <c r="I3932" s="110" t="s">
        <v>11532</v>
      </c>
    </row>
    <row r="3933" spans="1:9">
      <c r="A3933" s="83" t="s">
        <v>9975</v>
      </c>
      <c r="B3933" s="83" t="s">
        <v>9361</v>
      </c>
      <c r="C3933" s="83" t="s">
        <v>9975</v>
      </c>
      <c r="D3933" s="83" t="s">
        <v>9992</v>
      </c>
      <c r="E3933" s="84">
        <f>personnel_affected_ref_mechanism_teaching_f</f>
        <v>40</v>
      </c>
      <c r="F3933" s="83" t="b">
        <v>1</v>
      </c>
      <c r="G3933" s="83"/>
      <c r="H3933" s="83"/>
      <c r="I3933" s="110" t="s">
        <v>11532</v>
      </c>
    </row>
    <row r="3934" spans="1:9">
      <c r="A3934" s="83" t="s">
        <v>9976</v>
      </c>
      <c r="B3934" s="83" t="s">
        <v>9361</v>
      </c>
      <c r="C3934" s="83" t="s">
        <v>9976</v>
      </c>
      <c r="D3934" s="83" t="s">
        <v>9993</v>
      </c>
      <c r="E3934" s="84">
        <f>personnel_affected_ref_mechanism_nonteaching_m</f>
        <v>3</v>
      </c>
      <c r="F3934" s="83" t="b">
        <v>1</v>
      </c>
      <c r="G3934" s="83"/>
      <c r="H3934" s="83"/>
      <c r="I3934" s="110" t="s">
        <v>11532</v>
      </c>
    </row>
    <row r="3935" spans="1:9">
      <c r="A3935" s="83" t="s">
        <v>9977</v>
      </c>
      <c r="B3935" s="83" t="s">
        <v>9361</v>
      </c>
      <c r="C3935" s="83" t="s">
        <v>9977</v>
      </c>
      <c r="D3935" s="83" t="s">
        <v>9994</v>
      </c>
      <c r="E3935" s="84">
        <f>personnel_affected_ref_mechanism_nonteaching_f</f>
        <v>1</v>
      </c>
      <c r="F3935" s="83" t="b">
        <v>1</v>
      </c>
      <c r="G3935" s="83"/>
      <c r="H3935" s="83"/>
      <c r="I3935" s="110" t="s">
        <v>11532</v>
      </c>
    </row>
    <row r="3936" spans="1:9">
      <c r="A3936" s="83" t="s">
        <v>9978</v>
      </c>
      <c r="B3936" s="83" t="s">
        <v>9361</v>
      </c>
      <c r="C3936" s="83" t="s">
        <v>9978</v>
      </c>
      <c r="D3936" s="83" t="s">
        <v>9995</v>
      </c>
      <c r="E3936" s="84">
        <f>number_mhpss_intervention_learner_personnel_bypartners</f>
        <v>1</v>
      </c>
      <c r="F3936" s="83" t="b">
        <v>1</v>
      </c>
      <c r="G3936" s="83"/>
      <c r="H3936" s="83"/>
      <c r="I3936" s="110" t="s">
        <v>11532</v>
      </c>
    </row>
    <row r="3937" spans="1:9">
      <c r="A3937" s="83" t="s">
        <v>9979</v>
      </c>
      <c r="B3937" s="83" t="s">
        <v>9361</v>
      </c>
      <c r="C3937" s="83" t="s">
        <v>9979</v>
      </c>
      <c r="D3937" s="83" t="s">
        <v>9996</v>
      </c>
      <c r="E3937" s="84">
        <f>number_localgroups_mobilized_for_response</f>
        <v>0</v>
      </c>
      <c r="F3937" s="83" t="b">
        <v>1</v>
      </c>
      <c r="G3937" s="83"/>
      <c r="H3937" s="83"/>
      <c r="I3937" s="110" t="s">
        <v>11532</v>
      </c>
    </row>
    <row r="3938" spans="1:9">
      <c r="A3938" s="83" t="s">
        <v>9980</v>
      </c>
      <c r="B3938" s="83" t="s">
        <v>9361</v>
      </c>
      <c r="C3938" s="83" t="s">
        <v>9980</v>
      </c>
      <c r="D3938" s="83" t="s">
        <v>9997</v>
      </c>
      <c r="E3938" s="84" t="b">
        <f>sch_receive_replacement_damaged_furniture_disaster</f>
        <v>0</v>
      </c>
      <c r="F3938" s="83" t="b">
        <v>1</v>
      </c>
      <c r="G3938" s="83" t="s">
        <v>2287</v>
      </c>
      <c r="H3938" s="83"/>
      <c r="I3938" s="110" t="s">
        <v>11532</v>
      </c>
    </row>
    <row r="3939" spans="1:9">
      <c r="A3939" s="83" t="s">
        <v>9981</v>
      </c>
      <c r="B3939" s="83" t="s">
        <v>9361</v>
      </c>
      <c r="C3939" s="83" t="s">
        <v>9981</v>
      </c>
      <c r="D3939" s="83" t="s">
        <v>9998</v>
      </c>
      <c r="E3939" s="84" t="b">
        <f>sch_receive_replacement_damaged_dcp_disaster</f>
        <v>0</v>
      </c>
      <c r="F3939" s="83" t="b">
        <v>1</v>
      </c>
      <c r="G3939" s="83" t="s">
        <v>2287</v>
      </c>
      <c r="H3939" s="83"/>
      <c r="I3939" s="110" t="s">
        <v>11532</v>
      </c>
    </row>
    <row r="3940" spans="1:9">
      <c r="A3940" s="83" t="s">
        <v>10001</v>
      </c>
      <c r="B3940" s="83" t="s">
        <v>9361</v>
      </c>
      <c r="C3940" s="83" t="s">
        <v>10001</v>
      </c>
      <c r="D3940" s="83" t="s">
        <v>9999</v>
      </c>
      <c r="E3940" s="84" t="b">
        <f>sch_receive_replacement_damaged_learningresources_disaster</f>
        <v>0</v>
      </c>
      <c r="F3940" s="83" t="b">
        <v>1</v>
      </c>
      <c r="G3940" s="83" t="s">
        <v>2287</v>
      </c>
      <c r="H3940" s="83"/>
      <c r="I3940" s="110" t="s">
        <v>11532</v>
      </c>
    </row>
    <row r="3941" spans="1:9" s="112" customFormat="1" ht="16" thickBot="1">
      <c r="A3941" s="85" t="s">
        <v>9982</v>
      </c>
      <c r="B3941" s="85" t="s">
        <v>9361</v>
      </c>
      <c r="C3941" s="85" t="s">
        <v>9982</v>
      </c>
      <c r="D3941" s="85" t="s">
        <v>10000</v>
      </c>
      <c r="E3941" s="86" t="b">
        <f>sch_estab_feedback_toreport_recovery_intervention</f>
        <v>1</v>
      </c>
      <c r="F3941" s="85" t="b">
        <v>1</v>
      </c>
      <c r="G3941" s="85" t="s">
        <v>2287</v>
      </c>
      <c r="H3941" s="85"/>
      <c r="I3941" s="121" t="s">
        <v>11532</v>
      </c>
    </row>
    <row r="3942" spans="1:9">
      <c r="A3942" s="83" t="s">
        <v>10002</v>
      </c>
      <c r="B3942" s="83" t="s">
        <v>10149</v>
      </c>
      <c r="C3942" s="83" t="s">
        <v>10002</v>
      </c>
      <c r="D3942" s="83" t="s">
        <v>10207</v>
      </c>
      <c r="E3942" s="84" t="b">
        <f>sch_teachesdrrm_science_k</f>
        <v>1</v>
      </c>
      <c r="F3942" s="83" t="b">
        <v>1</v>
      </c>
      <c r="G3942" s="83"/>
      <c r="H3942" s="83"/>
      <c r="I3942" s="110" t="s">
        <v>11532</v>
      </c>
    </row>
    <row r="3943" spans="1:9">
      <c r="A3943" s="83" t="s">
        <v>10003</v>
      </c>
      <c r="B3943" s="83" t="s">
        <v>10149</v>
      </c>
      <c r="C3943" s="83" t="s">
        <v>10003</v>
      </c>
      <c r="D3943" s="83" t="s">
        <v>10208</v>
      </c>
      <c r="E3943" s="84" t="b">
        <f>sch_teachesdrrm_science_g1</f>
        <v>1</v>
      </c>
      <c r="F3943" s="83" t="b">
        <v>1</v>
      </c>
      <c r="G3943" s="83"/>
      <c r="H3943" s="83"/>
      <c r="I3943" s="110" t="s">
        <v>11532</v>
      </c>
    </row>
    <row r="3944" spans="1:9">
      <c r="A3944" s="83" t="s">
        <v>10004</v>
      </c>
      <c r="B3944" s="83" t="s">
        <v>10149</v>
      </c>
      <c r="C3944" s="83" t="s">
        <v>10004</v>
      </c>
      <c r="D3944" s="83" t="s">
        <v>10209</v>
      </c>
      <c r="E3944" s="84" t="b">
        <f>sch_teachesdrrm_science_g2</f>
        <v>1</v>
      </c>
      <c r="F3944" s="83" t="b">
        <v>1</v>
      </c>
      <c r="G3944" s="83"/>
      <c r="H3944" s="83"/>
      <c r="I3944" s="110" t="s">
        <v>11532</v>
      </c>
    </row>
    <row r="3945" spans="1:9">
      <c r="A3945" s="83" t="s">
        <v>10005</v>
      </c>
      <c r="B3945" s="83" t="s">
        <v>10149</v>
      </c>
      <c r="C3945" s="83" t="s">
        <v>10005</v>
      </c>
      <c r="D3945" s="83" t="s">
        <v>10210</v>
      </c>
      <c r="E3945" s="84" t="b">
        <f>sch_teachesdrrm_science_g3</f>
        <v>1</v>
      </c>
      <c r="F3945" s="83" t="b">
        <v>1</v>
      </c>
      <c r="G3945" s="83"/>
      <c r="H3945" s="83"/>
      <c r="I3945" s="110" t="s">
        <v>11532</v>
      </c>
    </row>
    <row r="3946" spans="1:9">
      <c r="A3946" s="83" t="s">
        <v>10006</v>
      </c>
      <c r="B3946" s="83" t="s">
        <v>10149</v>
      </c>
      <c r="C3946" s="83" t="s">
        <v>10006</v>
      </c>
      <c r="D3946" s="83" t="s">
        <v>10211</v>
      </c>
      <c r="E3946" s="84" t="b">
        <f>sch_teachesdrrm_science_g4</f>
        <v>1</v>
      </c>
      <c r="F3946" s="83" t="b">
        <v>1</v>
      </c>
      <c r="G3946" s="83"/>
      <c r="H3946" s="83"/>
      <c r="I3946" s="110" t="s">
        <v>11532</v>
      </c>
    </row>
    <row r="3947" spans="1:9">
      <c r="A3947" s="83" t="s">
        <v>10007</v>
      </c>
      <c r="B3947" s="83" t="s">
        <v>10149</v>
      </c>
      <c r="C3947" s="83" t="s">
        <v>10007</v>
      </c>
      <c r="D3947" s="83" t="s">
        <v>10212</v>
      </c>
      <c r="E3947" s="84" t="b">
        <f>sch_teachesdrrm_science_g5</f>
        <v>1</v>
      </c>
      <c r="F3947" s="83" t="b">
        <v>1</v>
      </c>
      <c r="G3947" s="83"/>
      <c r="H3947" s="83"/>
      <c r="I3947" s="110" t="s">
        <v>11532</v>
      </c>
    </row>
    <row r="3948" spans="1:9">
      <c r="A3948" s="83" t="s">
        <v>10008</v>
      </c>
      <c r="B3948" s="83" t="s">
        <v>10149</v>
      </c>
      <c r="C3948" s="83" t="s">
        <v>10008</v>
      </c>
      <c r="D3948" s="83" t="s">
        <v>10213</v>
      </c>
      <c r="E3948" s="84" t="b">
        <f>sch_teachesdrrm_science_g6</f>
        <v>1</v>
      </c>
      <c r="F3948" s="83" t="b">
        <v>1</v>
      </c>
      <c r="G3948" s="83"/>
      <c r="H3948" s="83"/>
      <c r="I3948" s="110" t="s">
        <v>11532</v>
      </c>
    </row>
    <row r="3949" spans="1:9">
      <c r="A3949" s="83" t="s">
        <v>10009</v>
      </c>
      <c r="B3949" s="83" t="s">
        <v>10149</v>
      </c>
      <c r="C3949" s="83" t="s">
        <v>10009</v>
      </c>
      <c r="D3949" s="83" t="s">
        <v>10214</v>
      </c>
      <c r="E3949" s="84" t="b">
        <f>sch_teachesccam_science_k</f>
        <v>1</v>
      </c>
      <c r="F3949" s="83" t="b">
        <v>1</v>
      </c>
      <c r="G3949" s="83"/>
      <c r="H3949" s="83"/>
      <c r="I3949" s="110" t="s">
        <v>11532</v>
      </c>
    </row>
    <row r="3950" spans="1:9">
      <c r="A3950" s="83" t="s">
        <v>10010</v>
      </c>
      <c r="B3950" s="83" t="s">
        <v>10149</v>
      </c>
      <c r="C3950" s="83" t="s">
        <v>10010</v>
      </c>
      <c r="D3950" s="83" t="s">
        <v>10215</v>
      </c>
      <c r="E3950" s="84" t="b">
        <f>sch_teachesccam_science_g1</f>
        <v>1</v>
      </c>
      <c r="F3950" s="83" t="b">
        <v>1</v>
      </c>
      <c r="G3950" s="83"/>
      <c r="H3950" s="83"/>
      <c r="I3950" s="110" t="s">
        <v>11532</v>
      </c>
    </row>
    <row r="3951" spans="1:9">
      <c r="A3951" s="83" t="s">
        <v>10011</v>
      </c>
      <c r="B3951" s="83" t="s">
        <v>10149</v>
      </c>
      <c r="C3951" s="83" t="s">
        <v>10011</v>
      </c>
      <c r="D3951" s="83" t="s">
        <v>10216</v>
      </c>
      <c r="E3951" s="84" t="b">
        <f>sch_teachesccam_science_g2</f>
        <v>1</v>
      </c>
      <c r="F3951" s="83" t="b">
        <v>1</v>
      </c>
      <c r="G3951" s="83"/>
      <c r="H3951" s="83"/>
      <c r="I3951" s="110" t="s">
        <v>11532</v>
      </c>
    </row>
    <row r="3952" spans="1:9">
      <c r="A3952" s="83" t="s">
        <v>10012</v>
      </c>
      <c r="B3952" s="83" t="s">
        <v>10149</v>
      </c>
      <c r="C3952" s="83" t="s">
        <v>10012</v>
      </c>
      <c r="D3952" s="83" t="s">
        <v>10217</v>
      </c>
      <c r="E3952" s="84" t="b">
        <f>sch_teachesccam_science_g3</f>
        <v>1</v>
      </c>
      <c r="F3952" s="83" t="b">
        <v>1</v>
      </c>
      <c r="G3952" s="83"/>
      <c r="H3952" s="83"/>
      <c r="I3952" s="110" t="s">
        <v>11532</v>
      </c>
    </row>
    <row r="3953" spans="1:9">
      <c r="A3953" s="83" t="s">
        <v>10013</v>
      </c>
      <c r="B3953" s="83" t="s">
        <v>10149</v>
      </c>
      <c r="C3953" s="83" t="s">
        <v>10013</v>
      </c>
      <c r="D3953" s="83" t="s">
        <v>10218</v>
      </c>
      <c r="E3953" s="84" t="b">
        <f>sch_teachesccam_science_g4</f>
        <v>1</v>
      </c>
      <c r="F3953" s="83" t="b">
        <v>1</v>
      </c>
      <c r="G3953" s="83"/>
      <c r="H3953" s="83"/>
      <c r="I3953" s="110" t="s">
        <v>11532</v>
      </c>
    </row>
    <row r="3954" spans="1:9">
      <c r="A3954" s="83" t="s">
        <v>10014</v>
      </c>
      <c r="B3954" s="83" t="s">
        <v>10149</v>
      </c>
      <c r="C3954" s="83" t="s">
        <v>10014</v>
      </c>
      <c r="D3954" s="83" t="s">
        <v>10219</v>
      </c>
      <c r="E3954" s="84" t="b">
        <f>sch_teachesccam_science_g5</f>
        <v>1</v>
      </c>
      <c r="F3954" s="83" t="b">
        <v>1</v>
      </c>
      <c r="G3954" s="83"/>
      <c r="H3954" s="83"/>
      <c r="I3954" s="110" t="s">
        <v>11532</v>
      </c>
    </row>
    <row r="3955" spans="1:9">
      <c r="A3955" s="83" t="s">
        <v>10015</v>
      </c>
      <c r="B3955" s="83" t="s">
        <v>10149</v>
      </c>
      <c r="C3955" s="83" t="s">
        <v>10015</v>
      </c>
      <c r="D3955" s="83" t="s">
        <v>10220</v>
      </c>
      <c r="E3955" s="84" t="b">
        <f>sch_teachesccam_science_g6</f>
        <v>1</v>
      </c>
      <c r="F3955" s="83" t="b">
        <v>1</v>
      </c>
      <c r="G3955" s="83"/>
      <c r="H3955" s="83"/>
      <c r="I3955" s="110" t="s">
        <v>11532</v>
      </c>
    </row>
    <row r="3956" spans="1:9">
      <c r="A3956" s="83" t="s">
        <v>10023</v>
      </c>
      <c r="B3956" s="83" t="s">
        <v>10149</v>
      </c>
      <c r="C3956" s="83" t="s">
        <v>10023</v>
      </c>
      <c r="D3956" s="83" t="s">
        <v>10221</v>
      </c>
      <c r="E3956" s="84" t="b">
        <f>sch_teachesdrrm_ap_k</f>
        <v>1</v>
      </c>
      <c r="F3956" s="83" t="b">
        <v>1</v>
      </c>
      <c r="G3956" s="83"/>
      <c r="H3956" s="83"/>
      <c r="I3956" s="110" t="s">
        <v>11532</v>
      </c>
    </row>
    <row r="3957" spans="1:9">
      <c r="A3957" s="83" t="s">
        <v>10024</v>
      </c>
      <c r="B3957" s="83" t="s">
        <v>10149</v>
      </c>
      <c r="C3957" s="83" t="s">
        <v>10024</v>
      </c>
      <c r="D3957" s="83" t="s">
        <v>10222</v>
      </c>
      <c r="E3957" s="84" t="b">
        <f>sch_teachesdrrm_ap_g1</f>
        <v>1</v>
      </c>
      <c r="F3957" s="83" t="b">
        <v>1</v>
      </c>
      <c r="G3957" s="83"/>
      <c r="H3957" s="83"/>
      <c r="I3957" s="110" t="s">
        <v>11532</v>
      </c>
    </row>
    <row r="3958" spans="1:9">
      <c r="A3958" s="83" t="s">
        <v>10025</v>
      </c>
      <c r="B3958" s="83" t="s">
        <v>10149</v>
      </c>
      <c r="C3958" s="83" t="s">
        <v>10025</v>
      </c>
      <c r="D3958" s="83" t="s">
        <v>10223</v>
      </c>
      <c r="E3958" s="84" t="b">
        <f>sch_teachesdrrm_ap_g2</f>
        <v>1</v>
      </c>
      <c r="F3958" s="83" t="b">
        <v>1</v>
      </c>
      <c r="G3958" s="83"/>
      <c r="H3958" s="83"/>
      <c r="I3958" s="110" t="s">
        <v>11532</v>
      </c>
    </row>
    <row r="3959" spans="1:9">
      <c r="A3959" s="83" t="s">
        <v>10026</v>
      </c>
      <c r="B3959" s="83" t="s">
        <v>10149</v>
      </c>
      <c r="C3959" s="83" t="s">
        <v>10026</v>
      </c>
      <c r="D3959" s="83" t="s">
        <v>10224</v>
      </c>
      <c r="E3959" s="84" t="b">
        <f>sch_teachesdrrm_ap_g3</f>
        <v>1</v>
      </c>
      <c r="F3959" s="83" t="b">
        <v>1</v>
      </c>
      <c r="G3959" s="83"/>
      <c r="H3959" s="83"/>
      <c r="I3959" s="110" t="s">
        <v>11532</v>
      </c>
    </row>
    <row r="3960" spans="1:9">
      <c r="A3960" s="83" t="s">
        <v>10027</v>
      </c>
      <c r="B3960" s="83" t="s">
        <v>10149</v>
      </c>
      <c r="C3960" s="83" t="s">
        <v>10027</v>
      </c>
      <c r="D3960" s="83" t="s">
        <v>10225</v>
      </c>
      <c r="E3960" s="84" t="b">
        <f>sch_teachesdrrm_ap_g4</f>
        <v>1</v>
      </c>
      <c r="F3960" s="83" t="b">
        <v>1</v>
      </c>
      <c r="G3960" s="83"/>
      <c r="H3960" s="83"/>
      <c r="I3960" s="110" t="s">
        <v>11532</v>
      </c>
    </row>
    <row r="3961" spans="1:9">
      <c r="A3961" s="83" t="s">
        <v>10028</v>
      </c>
      <c r="B3961" s="83" t="s">
        <v>10149</v>
      </c>
      <c r="C3961" s="83" t="s">
        <v>10028</v>
      </c>
      <c r="D3961" s="83" t="s">
        <v>10226</v>
      </c>
      <c r="E3961" s="84" t="b">
        <f>sch_teachesdrrm_ap_g5</f>
        <v>1</v>
      </c>
      <c r="F3961" s="83" t="b">
        <v>1</v>
      </c>
      <c r="G3961" s="83"/>
      <c r="H3961" s="83"/>
      <c r="I3961" s="110" t="s">
        <v>11532</v>
      </c>
    </row>
    <row r="3962" spans="1:9">
      <c r="A3962" s="83" t="s">
        <v>10029</v>
      </c>
      <c r="B3962" s="83" t="s">
        <v>10149</v>
      </c>
      <c r="C3962" s="83" t="s">
        <v>10029</v>
      </c>
      <c r="D3962" s="83" t="s">
        <v>10227</v>
      </c>
      <c r="E3962" s="84" t="b">
        <f>sch_teachesdrrm_ap_g6</f>
        <v>1</v>
      </c>
      <c r="F3962" s="83" t="b">
        <v>1</v>
      </c>
      <c r="G3962" s="83"/>
      <c r="H3962" s="83"/>
      <c r="I3962" s="110" t="s">
        <v>11532</v>
      </c>
    </row>
    <row r="3963" spans="1:9">
      <c r="A3963" s="83" t="s">
        <v>10030</v>
      </c>
      <c r="B3963" s="83" t="s">
        <v>10149</v>
      </c>
      <c r="C3963" s="83" t="s">
        <v>10030</v>
      </c>
      <c r="D3963" s="83" t="s">
        <v>10228</v>
      </c>
      <c r="E3963" s="84" t="b">
        <f>sch_teachesccam_ap_k</f>
        <v>1</v>
      </c>
      <c r="F3963" s="83" t="b">
        <v>1</v>
      </c>
      <c r="G3963" s="83"/>
      <c r="H3963" s="83"/>
      <c r="I3963" s="110" t="s">
        <v>11532</v>
      </c>
    </row>
    <row r="3964" spans="1:9">
      <c r="A3964" s="83" t="s">
        <v>10031</v>
      </c>
      <c r="B3964" s="83" t="s">
        <v>10149</v>
      </c>
      <c r="C3964" s="83" t="s">
        <v>10031</v>
      </c>
      <c r="D3964" s="83" t="s">
        <v>10229</v>
      </c>
      <c r="E3964" s="84" t="b">
        <f>sch_teachesccam_ap_g1</f>
        <v>1</v>
      </c>
      <c r="F3964" s="83" t="b">
        <v>1</v>
      </c>
      <c r="G3964" s="83"/>
      <c r="H3964" s="83"/>
      <c r="I3964" s="110" t="s">
        <v>11532</v>
      </c>
    </row>
    <row r="3965" spans="1:9">
      <c r="A3965" s="83" t="s">
        <v>10032</v>
      </c>
      <c r="B3965" s="83" t="s">
        <v>10149</v>
      </c>
      <c r="C3965" s="83" t="s">
        <v>10032</v>
      </c>
      <c r="D3965" s="83" t="s">
        <v>10230</v>
      </c>
      <c r="E3965" s="84" t="b">
        <f>sch_teachesccam_ap_g2</f>
        <v>1</v>
      </c>
      <c r="F3965" s="83" t="b">
        <v>1</v>
      </c>
      <c r="G3965" s="83"/>
      <c r="H3965" s="83"/>
      <c r="I3965" s="110" t="s">
        <v>11532</v>
      </c>
    </row>
    <row r="3966" spans="1:9">
      <c r="A3966" s="83" t="s">
        <v>10033</v>
      </c>
      <c r="B3966" s="83" t="s">
        <v>10149</v>
      </c>
      <c r="C3966" s="83" t="s">
        <v>10033</v>
      </c>
      <c r="D3966" s="83" t="s">
        <v>10231</v>
      </c>
      <c r="E3966" s="84" t="b">
        <f>sch_teachesccam_ap_g3</f>
        <v>1</v>
      </c>
      <c r="F3966" s="83" t="b">
        <v>1</v>
      </c>
      <c r="G3966" s="83"/>
      <c r="H3966" s="83"/>
      <c r="I3966" s="110" t="s">
        <v>11532</v>
      </c>
    </row>
    <row r="3967" spans="1:9">
      <c r="A3967" s="83" t="s">
        <v>10034</v>
      </c>
      <c r="B3967" s="83" t="s">
        <v>10149</v>
      </c>
      <c r="C3967" s="83" t="s">
        <v>10034</v>
      </c>
      <c r="D3967" s="83" t="s">
        <v>10232</v>
      </c>
      <c r="E3967" s="84" t="b">
        <f>sch_teachesccam_ap_g4</f>
        <v>1</v>
      </c>
      <c r="F3967" s="83" t="b">
        <v>1</v>
      </c>
      <c r="G3967" s="83"/>
      <c r="H3967" s="83"/>
      <c r="I3967" s="110" t="s">
        <v>11532</v>
      </c>
    </row>
    <row r="3968" spans="1:9">
      <c r="A3968" s="83" t="s">
        <v>10035</v>
      </c>
      <c r="B3968" s="83" t="s">
        <v>10149</v>
      </c>
      <c r="C3968" s="83" t="s">
        <v>10035</v>
      </c>
      <c r="D3968" s="83" t="s">
        <v>10233</v>
      </c>
      <c r="E3968" s="84" t="b">
        <f>sch_teachesccam_ap_g5</f>
        <v>1</v>
      </c>
      <c r="F3968" s="83" t="b">
        <v>1</v>
      </c>
      <c r="G3968" s="83"/>
      <c r="H3968" s="83"/>
      <c r="I3968" s="110" t="s">
        <v>11532</v>
      </c>
    </row>
    <row r="3969" spans="1:9">
      <c r="A3969" s="83" t="s">
        <v>10036</v>
      </c>
      <c r="B3969" s="83" t="s">
        <v>10149</v>
      </c>
      <c r="C3969" s="83" t="s">
        <v>10036</v>
      </c>
      <c r="D3969" s="83" t="s">
        <v>10234</v>
      </c>
      <c r="E3969" s="84" t="b">
        <f>sch_teachesccam_ap_g6</f>
        <v>1</v>
      </c>
      <c r="F3969" s="83" t="b">
        <v>1</v>
      </c>
      <c r="G3969" s="83"/>
      <c r="H3969" s="83"/>
      <c r="I3969" s="110" t="s">
        <v>11532</v>
      </c>
    </row>
    <row r="3970" spans="1:9">
      <c r="A3970" s="83" t="s">
        <v>10044</v>
      </c>
      <c r="B3970" s="83" t="s">
        <v>10149</v>
      </c>
      <c r="C3970" s="83" t="s">
        <v>10044</v>
      </c>
      <c r="D3970" s="83" t="s">
        <v>10235</v>
      </c>
      <c r="E3970" s="84" t="b">
        <f>sch_teachesdrrm_esp_k</f>
        <v>1</v>
      </c>
      <c r="F3970" s="83" t="b">
        <v>1</v>
      </c>
      <c r="G3970" s="83"/>
      <c r="H3970" s="83"/>
      <c r="I3970" s="110" t="s">
        <v>11532</v>
      </c>
    </row>
    <row r="3971" spans="1:9">
      <c r="A3971" s="83" t="s">
        <v>10045</v>
      </c>
      <c r="B3971" s="83" t="s">
        <v>10149</v>
      </c>
      <c r="C3971" s="83" t="s">
        <v>10045</v>
      </c>
      <c r="D3971" s="83" t="s">
        <v>10236</v>
      </c>
      <c r="E3971" s="84" t="b">
        <f>sch_teachesdrrm_esp_g1</f>
        <v>1</v>
      </c>
      <c r="F3971" s="83" t="b">
        <v>1</v>
      </c>
      <c r="G3971" s="83"/>
      <c r="H3971" s="83"/>
      <c r="I3971" s="110" t="s">
        <v>11532</v>
      </c>
    </row>
    <row r="3972" spans="1:9">
      <c r="A3972" s="83" t="s">
        <v>10046</v>
      </c>
      <c r="B3972" s="83" t="s">
        <v>10149</v>
      </c>
      <c r="C3972" s="83" t="s">
        <v>10046</v>
      </c>
      <c r="D3972" s="83" t="s">
        <v>10237</v>
      </c>
      <c r="E3972" s="84" t="b">
        <f>sch_teachesdrrm_esp_g2</f>
        <v>1</v>
      </c>
      <c r="F3972" s="83" t="b">
        <v>1</v>
      </c>
      <c r="G3972" s="83"/>
      <c r="H3972" s="83"/>
      <c r="I3972" s="110" t="s">
        <v>11532</v>
      </c>
    </row>
    <row r="3973" spans="1:9">
      <c r="A3973" s="83" t="s">
        <v>10047</v>
      </c>
      <c r="B3973" s="83" t="s">
        <v>10149</v>
      </c>
      <c r="C3973" s="83" t="s">
        <v>10047</v>
      </c>
      <c r="D3973" s="83" t="s">
        <v>10238</v>
      </c>
      <c r="E3973" s="84" t="b">
        <f>sch_teachesdrrm_esp_g3</f>
        <v>1</v>
      </c>
      <c r="F3973" s="83" t="b">
        <v>1</v>
      </c>
      <c r="G3973" s="83"/>
      <c r="H3973" s="83"/>
      <c r="I3973" s="110" t="s">
        <v>11532</v>
      </c>
    </row>
    <row r="3974" spans="1:9">
      <c r="A3974" s="83" t="s">
        <v>10048</v>
      </c>
      <c r="B3974" s="83" t="s">
        <v>10149</v>
      </c>
      <c r="C3974" s="83" t="s">
        <v>10048</v>
      </c>
      <c r="D3974" s="83" t="s">
        <v>10239</v>
      </c>
      <c r="E3974" s="84" t="b">
        <f>sch_teachesdrrm_esp_g4</f>
        <v>1</v>
      </c>
      <c r="F3974" s="83" t="b">
        <v>1</v>
      </c>
      <c r="G3974" s="83"/>
      <c r="H3974" s="83"/>
      <c r="I3974" s="110" t="s">
        <v>11532</v>
      </c>
    </row>
    <row r="3975" spans="1:9">
      <c r="A3975" s="83" t="s">
        <v>10049</v>
      </c>
      <c r="B3975" s="83" t="s">
        <v>10149</v>
      </c>
      <c r="C3975" s="83" t="s">
        <v>10049</v>
      </c>
      <c r="D3975" s="83" t="s">
        <v>10240</v>
      </c>
      <c r="E3975" s="84" t="b">
        <f>sch_teachesdrrm_esp_g5</f>
        <v>1</v>
      </c>
      <c r="F3975" s="83" t="b">
        <v>1</v>
      </c>
      <c r="G3975" s="83"/>
      <c r="H3975" s="83"/>
      <c r="I3975" s="110" t="s">
        <v>11532</v>
      </c>
    </row>
    <row r="3976" spans="1:9">
      <c r="A3976" s="83" t="s">
        <v>10050</v>
      </c>
      <c r="B3976" s="83" t="s">
        <v>10149</v>
      </c>
      <c r="C3976" s="83" t="s">
        <v>10050</v>
      </c>
      <c r="D3976" s="83" t="s">
        <v>10241</v>
      </c>
      <c r="E3976" s="84" t="b">
        <f>sch_teachesdrrm_esp_g6</f>
        <v>1</v>
      </c>
      <c r="F3976" s="83" t="b">
        <v>1</v>
      </c>
      <c r="G3976" s="83"/>
      <c r="H3976" s="83"/>
      <c r="I3976" s="110" t="s">
        <v>11532</v>
      </c>
    </row>
    <row r="3977" spans="1:9">
      <c r="A3977" s="83" t="s">
        <v>10051</v>
      </c>
      <c r="B3977" s="83" t="s">
        <v>10149</v>
      </c>
      <c r="C3977" s="83" t="s">
        <v>10051</v>
      </c>
      <c r="D3977" s="83" t="s">
        <v>10242</v>
      </c>
      <c r="E3977" s="84" t="b">
        <f>sch_teachesccam_esp_k</f>
        <v>1</v>
      </c>
      <c r="F3977" s="83" t="b">
        <v>1</v>
      </c>
      <c r="G3977" s="83"/>
      <c r="H3977" s="83"/>
      <c r="I3977" s="110" t="s">
        <v>11532</v>
      </c>
    </row>
    <row r="3978" spans="1:9">
      <c r="A3978" s="83" t="s">
        <v>10052</v>
      </c>
      <c r="B3978" s="83" t="s">
        <v>10149</v>
      </c>
      <c r="C3978" s="83" t="s">
        <v>10052</v>
      </c>
      <c r="D3978" s="83" t="s">
        <v>10243</v>
      </c>
      <c r="E3978" s="84" t="b">
        <f>sch_teachesccam_esp_g1</f>
        <v>1</v>
      </c>
      <c r="F3978" s="83" t="b">
        <v>1</v>
      </c>
      <c r="G3978" s="83"/>
      <c r="H3978" s="83"/>
      <c r="I3978" s="110" t="s">
        <v>11532</v>
      </c>
    </row>
    <row r="3979" spans="1:9">
      <c r="A3979" s="83" t="s">
        <v>10053</v>
      </c>
      <c r="B3979" s="83" t="s">
        <v>10149</v>
      </c>
      <c r="C3979" s="83" t="s">
        <v>10053</v>
      </c>
      <c r="D3979" s="83" t="s">
        <v>10244</v>
      </c>
      <c r="E3979" s="84" t="b">
        <f>sch_teachesccam_esp_g2</f>
        <v>1</v>
      </c>
      <c r="F3979" s="83" t="b">
        <v>1</v>
      </c>
      <c r="G3979" s="83"/>
      <c r="H3979" s="83"/>
      <c r="I3979" s="110" t="s">
        <v>11532</v>
      </c>
    </row>
    <row r="3980" spans="1:9">
      <c r="A3980" s="83" t="s">
        <v>10054</v>
      </c>
      <c r="B3980" s="83" t="s">
        <v>10149</v>
      </c>
      <c r="C3980" s="83" t="s">
        <v>10054</v>
      </c>
      <c r="D3980" s="83" t="s">
        <v>10245</v>
      </c>
      <c r="E3980" s="84" t="b">
        <f>sch_teachesccam_esp_g3</f>
        <v>1</v>
      </c>
      <c r="F3980" s="83" t="b">
        <v>1</v>
      </c>
      <c r="G3980" s="83"/>
      <c r="H3980" s="83"/>
      <c r="I3980" s="110" t="s">
        <v>11532</v>
      </c>
    </row>
    <row r="3981" spans="1:9">
      <c r="A3981" s="83" t="s">
        <v>10055</v>
      </c>
      <c r="B3981" s="83" t="s">
        <v>10149</v>
      </c>
      <c r="C3981" s="83" t="s">
        <v>10055</v>
      </c>
      <c r="D3981" s="83" t="s">
        <v>10246</v>
      </c>
      <c r="E3981" s="84" t="b">
        <f>sch_teachesccam_esp_g4</f>
        <v>1</v>
      </c>
      <c r="F3981" s="83" t="b">
        <v>1</v>
      </c>
      <c r="G3981" s="83"/>
      <c r="H3981" s="83"/>
      <c r="I3981" s="110" t="s">
        <v>11532</v>
      </c>
    </row>
    <row r="3982" spans="1:9">
      <c r="A3982" s="83" t="s">
        <v>10056</v>
      </c>
      <c r="B3982" s="83" t="s">
        <v>10149</v>
      </c>
      <c r="C3982" s="83" t="s">
        <v>10056</v>
      </c>
      <c r="D3982" s="83" t="s">
        <v>10247</v>
      </c>
      <c r="E3982" s="84" t="b">
        <f>sch_teachesccam_esp_g5</f>
        <v>1</v>
      </c>
      <c r="F3982" s="83" t="b">
        <v>1</v>
      </c>
      <c r="G3982" s="83"/>
      <c r="H3982" s="83"/>
      <c r="I3982" s="110" t="s">
        <v>11532</v>
      </c>
    </row>
    <row r="3983" spans="1:9">
      <c r="A3983" s="83" t="s">
        <v>10057</v>
      </c>
      <c r="B3983" s="83" t="s">
        <v>10149</v>
      </c>
      <c r="C3983" s="83" t="s">
        <v>10057</v>
      </c>
      <c r="D3983" s="83" t="s">
        <v>10248</v>
      </c>
      <c r="E3983" s="84" t="b">
        <f>sch_teachesccam_esp_g6</f>
        <v>1</v>
      </c>
      <c r="F3983" s="83" t="b">
        <v>1</v>
      </c>
      <c r="G3983" s="83"/>
      <c r="H3983" s="83"/>
      <c r="I3983" s="110" t="s">
        <v>11532</v>
      </c>
    </row>
    <row r="3984" spans="1:9">
      <c r="A3984" s="83" t="s">
        <v>10065</v>
      </c>
      <c r="B3984" s="83" t="s">
        <v>10149</v>
      </c>
      <c r="C3984" s="83" t="s">
        <v>10065</v>
      </c>
      <c r="D3984" s="83" t="s">
        <v>10249</v>
      </c>
      <c r="E3984" s="84" t="b">
        <f>sch_teachesdrrm_pe_k</f>
        <v>0</v>
      </c>
      <c r="F3984" s="83" t="b">
        <v>1</v>
      </c>
      <c r="G3984" s="83"/>
      <c r="H3984" s="83"/>
      <c r="I3984" s="110" t="s">
        <v>11532</v>
      </c>
    </row>
    <row r="3985" spans="1:9">
      <c r="A3985" s="83" t="s">
        <v>10066</v>
      </c>
      <c r="B3985" s="83" t="s">
        <v>10149</v>
      </c>
      <c r="C3985" s="83" t="s">
        <v>10066</v>
      </c>
      <c r="D3985" s="83" t="s">
        <v>10250</v>
      </c>
      <c r="E3985" s="84" t="b">
        <f>sch_teachesdrrm_pe_g1</f>
        <v>0</v>
      </c>
      <c r="F3985" s="83" t="b">
        <v>1</v>
      </c>
      <c r="G3985" s="83"/>
      <c r="H3985" s="83"/>
      <c r="I3985" s="110" t="s">
        <v>11532</v>
      </c>
    </row>
    <row r="3986" spans="1:9">
      <c r="A3986" s="83" t="s">
        <v>10067</v>
      </c>
      <c r="B3986" s="83" t="s">
        <v>10149</v>
      </c>
      <c r="C3986" s="83" t="s">
        <v>10067</v>
      </c>
      <c r="D3986" s="83" t="s">
        <v>10251</v>
      </c>
      <c r="E3986" s="84" t="b">
        <f>sch_teachesdrrm_pe_g2</f>
        <v>0</v>
      </c>
      <c r="F3986" s="83" t="b">
        <v>1</v>
      </c>
      <c r="G3986" s="83"/>
      <c r="H3986" s="83"/>
      <c r="I3986" s="110" t="s">
        <v>11532</v>
      </c>
    </row>
    <row r="3987" spans="1:9">
      <c r="A3987" s="83" t="s">
        <v>10068</v>
      </c>
      <c r="B3987" s="83" t="s">
        <v>10149</v>
      </c>
      <c r="C3987" s="83" t="s">
        <v>10068</v>
      </c>
      <c r="D3987" s="83" t="s">
        <v>10252</v>
      </c>
      <c r="E3987" s="84" t="b">
        <f>sch_teachesdrrm_pe_g3</f>
        <v>0</v>
      </c>
      <c r="F3987" s="83" t="b">
        <v>1</v>
      </c>
      <c r="G3987" s="83"/>
      <c r="H3987" s="83"/>
      <c r="I3987" s="110" t="s">
        <v>11532</v>
      </c>
    </row>
    <row r="3988" spans="1:9">
      <c r="A3988" s="83" t="s">
        <v>10069</v>
      </c>
      <c r="B3988" s="83" t="s">
        <v>10149</v>
      </c>
      <c r="C3988" s="83" t="s">
        <v>10069</v>
      </c>
      <c r="D3988" s="83" t="s">
        <v>10253</v>
      </c>
      <c r="E3988" s="84" t="b">
        <f>sch_teachesdrrm_pe_g4</f>
        <v>0</v>
      </c>
      <c r="F3988" s="83" t="b">
        <v>1</v>
      </c>
      <c r="G3988" s="83"/>
      <c r="H3988" s="83"/>
      <c r="I3988" s="110" t="s">
        <v>11532</v>
      </c>
    </row>
    <row r="3989" spans="1:9">
      <c r="A3989" s="83" t="s">
        <v>10070</v>
      </c>
      <c r="B3989" s="83" t="s">
        <v>10149</v>
      </c>
      <c r="C3989" s="83" t="s">
        <v>10070</v>
      </c>
      <c r="D3989" s="83" t="s">
        <v>10254</v>
      </c>
      <c r="E3989" s="84" t="b">
        <f>sch_teachesdrrm_pe_g5</f>
        <v>0</v>
      </c>
      <c r="F3989" s="83" t="b">
        <v>1</v>
      </c>
      <c r="G3989" s="83"/>
      <c r="H3989" s="83"/>
      <c r="I3989" s="110" t="s">
        <v>11532</v>
      </c>
    </row>
    <row r="3990" spans="1:9">
      <c r="A3990" s="83" t="s">
        <v>10071</v>
      </c>
      <c r="B3990" s="83" t="s">
        <v>10149</v>
      </c>
      <c r="C3990" s="83" t="s">
        <v>10071</v>
      </c>
      <c r="D3990" s="83" t="s">
        <v>10255</v>
      </c>
      <c r="E3990" s="84" t="b">
        <f>sch_teachesdrrm_pe_g6</f>
        <v>0</v>
      </c>
      <c r="F3990" s="83" t="b">
        <v>1</v>
      </c>
      <c r="G3990" s="83"/>
      <c r="H3990" s="83"/>
      <c r="I3990" s="110" t="s">
        <v>11532</v>
      </c>
    </row>
    <row r="3991" spans="1:9">
      <c r="A3991" s="83" t="s">
        <v>10072</v>
      </c>
      <c r="B3991" s="83" t="s">
        <v>10149</v>
      </c>
      <c r="C3991" s="83" t="s">
        <v>10072</v>
      </c>
      <c r="D3991" s="83" t="s">
        <v>10256</v>
      </c>
      <c r="E3991" s="84" t="b">
        <f>sch_teachesccam_pe_k</f>
        <v>0</v>
      </c>
      <c r="F3991" s="83" t="b">
        <v>1</v>
      </c>
      <c r="G3991" s="83"/>
      <c r="H3991" s="83"/>
      <c r="I3991" s="110" t="s">
        <v>11532</v>
      </c>
    </row>
    <row r="3992" spans="1:9">
      <c r="A3992" s="83" t="s">
        <v>10073</v>
      </c>
      <c r="B3992" s="83" t="s">
        <v>10149</v>
      </c>
      <c r="C3992" s="83" t="s">
        <v>10073</v>
      </c>
      <c r="D3992" s="83" t="s">
        <v>10257</v>
      </c>
      <c r="E3992" s="84" t="b">
        <f>sch_teachesccam_pe_g1</f>
        <v>0</v>
      </c>
      <c r="F3992" s="83" t="b">
        <v>1</v>
      </c>
      <c r="G3992" s="83"/>
      <c r="H3992" s="83"/>
      <c r="I3992" s="110" t="s">
        <v>11532</v>
      </c>
    </row>
    <row r="3993" spans="1:9">
      <c r="A3993" s="83" t="s">
        <v>10074</v>
      </c>
      <c r="B3993" s="83" t="s">
        <v>10149</v>
      </c>
      <c r="C3993" s="83" t="s">
        <v>10074</v>
      </c>
      <c r="D3993" s="83" t="s">
        <v>10258</v>
      </c>
      <c r="E3993" s="84" t="b">
        <f>sch_teachesccam_pe_g2</f>
        <v>0</v>
      </c>
      <c r="F3993" s="83" t="b">
        <v>1</v>
      </c>
      <c r="G3993" s="83"/>
      <c r="H3993" s="83"/>
      <c r="I3993" s="110" t="s">
        <v>11532</v>
      </c>
    </row>
    <row r="3994" spans="1:9">
      <c r="A3994" s="83" t="s">
        <v>10075</v>
      </c>
      <c r="B3994" s="83" t="s">
        <v>10149</v>
      </c>
      <c r="C3994" s="83" t="s">
        <v>10075</v>
      </c>
      <c r="D3994" s="83" t="s">
        <v>10259</v>
      </c>
      <c r="E3994" s="84" t="b">
        <f>sch_teachesccam_pe_g3</f>
        <v>0</v>
      </c>
      <c r="F3994" s="83" t="b">
        <v>1</v>
      </c>
      <c r="G3994" s="83"/>
      <c r="H3994" s="83"/>
      <c r="I3994" s="110" t="s">
        <v>11532</v>
      </c>
    </row>
    <row r="3995" spans="1:9">
      <c r="A3995" s="83" t="s">
        <v>10076</v>
      </c>
      <c r="B3995" s="83" t="s">
        <v>10149</v>
      </c>
      <c r="C3995" s="83" t="s">
        <v>10076</v>
      </c>
      <c r="D3995" s="83" t="s">
        <v>10260</v>
      </c>
      <c r="E3995" s="84" t="b">
        <f>sch_teachesccam_pe_g4</f>
        <v>0</v>
      </c>
      <c r="F3995" s="83" t="b">
        <v>1</v>
      </c>
      <c r="G3995" s="83"/>
      <c r="H3995" s="83"/>
      <c r="I3995" s="110" t="s">
        <v>11532</v>
      </c>
    </row>
    <row r="3996" spans="1:9">
      <c r="A3996" s="83" t="s">
        <v>10077</v>
      </c>
      <c r="B3996" s="83" t="s">
        <v>10149</v>
      </c>
      <c r="C3996" s="83" t="s">
        <v>10077</v>
      </c>
      <c r="D3996" s="83" t="s">
        <v>10261</v>
      </c>
      <c r="E3996" s="84" t="b">
        <f>sch_teachesccam_pe_g5</f>
        <v>0</v>
      </c>
      <c r="F3996" s="83" t="b">
        <v>1</v>
      </c>
      <c r="G3996" s="83"/>
      <c r="H3996" s="83"/>
      <c r="I3996" s="110" t="s">
        <v>11532</v>
      </c>
    </row>
    <row r="3997" spans="1:9">
      <c r="A3997" s="83" t="s">
        <v>10078</v>
      </c>
      <c r="B3997" s="83" t="s">
        <v>10149</v>
      </c>
      <c r="C3997" s="83" t="s">
        <v>10078</v>
      </c>
      <c r="D3997" s="83" t="s">
        <v>10262</v>
      </c>
      <c r="E3997" s="84" t="b">
        <f>sch_teachesccam_pe_g6</f>
        <v>0</v>
      </c>
      <c r="F3997" s="83" t="b">
        <v>1</v>
      </c>
      <c r="G3997" s="83"/>
      <c r="H3997" s="83"/>
      <c r="I3997" s="110" t="s">
        <v>11532</v>
      </c>
    </row>
    <row r="3998" spans="1:9">
      <c r="A3998" s="83" t="s">
        <v>10086</v>
      </c>
      <c r="B3998" s="83" t="s">
        <v>10149</v>
      </c>
      <c r="C3998" s="83" t="s">
        <v>10086</v>
      </c>
      <c r="D3998" s="83" t="s">
        <v>10263</v>
      </c>
      <c r="E3998" s="84" t="b">
        <f>sch_teachesdrrm_health_k</f>
        <v>0</v>
      </c>
      <c r="F3998" s="83" t="b">
        <v>1</v>
      </c>
      <c r="G3998" s="83"/>
      <c r="H3998" s="83"/>
      <c r="I3998" s="110" t="s">
        <v>11532</v>
      </c>
    </row>
    <row r="3999" spans="1:9">
      <c r="A3999" s="83" t="s">
        <v>10087</v>
      </c>
      <c r="B3999" s="83" t="s">
        <v>10149</v>
      </c>
      <c r="C3999" s="83" t="s">
        <v>10087</v>
      </c>
      <c r="D3999" s="83" t="s">
        <v>10264</v>
      </c>
      <c r="E3999" s="84" t="b">
        <f>sch_teachesdrrm_health_g1</f>
        <v>0</v>
      </c>
      <c r="F3999" s="83" t="b">
        <v>1</v>
      </c>
      <c r="G3999" s="83"/>
      <c r="H3999" s="83"/>
      <c r="I3999" s="110" t="s">
        <v>11532</v>
      </c>
    </row>
    <row r="4000" spans="1:9">
      <c r="A4000" s="83" t="s">
        <v>10088</v>
      </c>
      <c r="B4000" s="83" t="s">
        <v>10149</v>
      </c>
      <c r="C4000" s="83" t="s">
        <v>10088</v>
      </c>
      <c r="D4000" s="83" t="s">
        <v>10265</v>
      </c>
      <c r="E4000" s="84" t="b">
        <f>sch_teachesdrrm_health_g2</f>
        <v>0</v>
      </c>
      <c r="F4000" s="83" t="b">
        <v>1</v>
      </c>
      <c r="G4000" s="83"/>
      <c r="H4000" s="83"/>
      <c r="I4000" s="110" t="s">
        <v>11532</v>
      </c>
    </row>
    <row r="4001" spans="1:9">
      <c r="A4001" s="83" t="s">
        <v>10089</v>
      </c>
      <c r="B4001" s="83" t="s">
        <v>10149</v>
      </c>
      <c r="C4001" s="83" t="s">
        <v>10089</v>
      </c>
      <c r="D4001" s="83" t="s">
        <v>10266</v>
      </c>
      <c r="E4001" s="84" t="b">
        <f>sch_teachesdrrm_health_g3</f>
        <v>0</v>
      </c>
      <c r="F4001" s="83" t="b">
        <v>1</v>
      </c>
      <c r="G4001" s="83"/>
      <c r="H4001" s="83"/>
      <c r="I4001" s="110" t="s">
        <v>11532</v>
      </c>
    </row>
    <row r="4002" spans="1:9">
      <c r="A4002" s="83" t="s">
        <v>10090</v>
      </c>
      <c r="B4002" s="83" t="s">
        <v>10149</v>
      </c>
      <c r="C4002" s="83" t="s">
        <v>10090</v>
      </c>
      <c r="D4002" s="83" t="s">
        <v>10267</v>
      </c>
      <c r="E4002" s="84" t="b">
        <f>sch_teachesdrrm_health_g4</f>
        <v>0</v>
      </c>
      <c r="F4002" s="83" t="b">
        <v>1</v>
      </c>
      <c r="G4002" s="83"/>
      <c r="H4002" s="83"/>
      <c r="I4002" s="110" t="s">
        <v>11532</v>
      </c>
    </row>
    <row r="4003" spans="1:9">
      <c r="A4003" s="83" t="s">
        <v>10091</v>
      </c>
      <c r="B4003" s="83" t="s">
        <v>10149</v>
      </c>
      <c r="C4003" s="83" t="s">
        <v>10091</v>
      </c>
      <c r="D4003" s="83" t="s">
        <v>10268</v>
      </c>
      <c r="E4003" s="84" t="b">
        <f>sch_teachesdrrm_health_g5</f>
        <v>0</v>
      </c>
      <c r="F4003" s="83" t="b">
        <v>1</v>
      </c>
      <c r="G4003" s="83"/>
      <c r="H4003" s="83"/>
      <c r="I4003" s="110" t="s">
        <v>11532</v>
      </c>
    </row>
    <row r="4004" spans="1:9">
      <c r="A4004" s="83" t="s">
        <v>10092</v>
      </c>
      <c r="B4004" s="83" t="s">
        <v>10149</v>
      </c>
      <c r="C4004" s="83" t="s">
        <v>10092</v>
      </c>
      <c r="D4004" s="83" t="s">
        <v>10269</v>
      </c>
      <c r="E4004" s="84" t="b">
        <f>sch_teachesdrrm_health_g6</f>
        <v>0</v>
      </c>
      <c r="F4004" s="83" t="b">
        <v>1</v>
      </c>
      <c r="G4004" s="83"/>
      <c r="H4004" s="83"/>
      <c r="I4004" s="110" t="s">
        <v>11532</v>
      </c>
    </row>
    <row r="4005" spans="1:9">
      <c r="A4005" s="83" t="s">
        <v>10093</v>
      </c>
      <c r="B4005" s="83" t="s">
        <v>10149</v>
      </c>
      <c r="C4005" s="83" t="s">
        <v>10093</v>
      </c>
      <c r="D4005" s="83" t="s">
        <v>10270</v>
      </c>
      <c r="E4005" s="84" t="b">
        <f>sch_teachesccam_health_k</f>
        <v>0</v>
      </c>
      <c r="F4005" s="83" t="b">
        <v>1</v>
      </c>
      <c r="G4005" s="83"/>
      <c r="H4005" s="83"/>
      <c r="I4005" s="110" t="s">
        <v>11532</v>
      </c>
    </row>
    <row r="4006" spans="1:9">
      <c r="A4006" s="83" t="s">
        <v>10094</v>
      </c>
      <c r="B4006" s="83" t="s">
        <v>10149</v>
      </c>
      <c r="C4006" s="83" t="s">
        <v>10094</v>
      </c>
      <c r="D4006" s="83" t="s">
        <v>10271</v>
      </c>
      <c r="E4006" s="84" t="b">
        <f>sch_teachesccam_health_g1</f>
        <v>0</v>
      </c>
      <c r="F4006" s="83" t="b">
        <v>1</v>
      </c>
      <c r="G4006" s="83"/>
      <c r="H4006" s="83"/>
      <c r="I4006" s="110" t="s">
        <v>11532</v>
      </c>
    </row>
    <row r="4007" spans="1:9">
      <c r="A4007" s="83" t="s">
        <v>10095</v>
      </c>
      <c r="B4007" s="83" t="s">
        <v>10149</v>
      </c>
      <c r="C4007" s="83" t="s">
        <v>10095</v>
      </c>
      <c r="D4007" s="83" t="s">
        <v>10272</v>
      </c>
      <c r="E4007" s="84" t="b">
        <f>sch_teachesccam_health_g2</f>
        <v>0</v>
      </c>
      <c r="F4007" s="83" t="b">
        <v>1</v>
      </c>
      <c r="G4007" s="83"/>
      <c r="H4007" s="83"/>
      <c r="I4007" s="110" t="s">
        <v>11532</v>
      </c>
    </row>
    <row r="4008" spans="1:9">
      <c r="A4008" s="83" t="s">
        <v>10096</v>
      </c>
      <c r="B4008" s="83" t="s">
        <v>10149</v>
      </c>
      <c r="C4008" s="83" t="s">
        <v>10096</v>
      </c>
      <c r="D4008" s="83" t="s">
        <v>10273</v>
      </c>
      <c r="E4008" s="84" t="b">
        <f>sch_teachesccam_health_g3</f>
        <v>0</v>
      </c>
      <c r="F4008" s="83" t="b">
        <v>1</v>
      </c>
      <c r="G4008" s="83"/>
      <c r="H4008" s="83"/>
      <c r="I4008" s="110" t="s">
        <v>11532</v>
      </c>
    </row>
    <row r="4009" spans="1:9">
      <c r="A4009" s="83" t="s">
        <v>10097</v>
      </c>
      <c r="B4009" s="83" t="s">
        <v>10149</v>
      </c>
      <c r="C4009" s="83" t="s">
        <v>10097</v>
      </c>
      <c r="D4009" s="83" t="s">
        <v>10274</v>
      </c>
      <c r="E4009" s="84" t="b">
        <f>sch_teachesccam_health_g4</f>
        <v>0</v>
      </c>
      <c r="F4009" s="83" t="b">
        <v>1</v>
      </c>
      <c r="G4009" s="83"/>
      <c r="H4009" s="83"/>
      <c r="I4009" s="110" t="s">
        <v>11532</v>
      </c>
    </row>
    <row r="4010" spans="1:9">
      <c r="A4010" s="83" t="s">
        <v>10098</v>
      </c>
      <c r="B4010" s="83" t="s">
        <v>10149</v>
      </c>
      <c r="C4010" s="83" t="s">
        <v>10098</v>
      </c>
      <c r="D4010" s="83" t="s">
        <v>10275</v>
      </c>
      <c r="E4010" s="84" t="b">
        <f>sch_teachesccam_health_g5</f>
        <v>0</v>
      </c>
      <c r="F4010" s="83" t="b">
        <v>1</v>
      </c>
      <c r="G4010" s="83"/>
      <c r="H4010" s="83"/>
      <c r="I4010" s="110" t="s">
        <v>11532</v>
      </c>
    </row>
    <row r="4011" spans="1:9">
      <c r="A4011" s="83" t="s">
        <v>10099</v>
      </c>
      <c r="B4011" s="83" t="s">
        <v>10149</v>
      </c>
      <c r="C4011" s="83" t="s">
        <v>10099</v>
      </c>
      <c r="D4011" s="83" t="s">
        <v>10276</v>
      </c>
      <c r="E4011" s="84" t="b">
        <f>sch_teachesccam_health_g6</f>
        <v>0</v>
      </c>
      <c r="F4011" s="83" t="b">
        <v>1</v>
      </c>
      <c r="G4011" s="83"/>
      <c r="H4011" s="83"/>
      <c r="I4011" s="110" t="s">
        <v>11532</v>
      </c>
    </row>
    <row r="4012" spans="1:9">
      <c r="A4012" s="83" t="s">
        <v>10107</v>
      </c>
      <c r="B4012" s="83" t="s">
        <v>10149</v>
      </c>
      <c r="C4012" s="83" t="s">
        <v>10107</v>
      </c>
      <c r="D4012" s="83" t="s">
        <v>10277</v>
      </c>
      <c r="E4012" s="84" t="b">
        <f>sch_teachesdrrm_epp_k</f>
        <v>1</v>
      </c>
      <c r="F4012" s="83" t="b">
        <v>1</v>
      </c>
      <c r="G4012" s="83"/>
      <c r="H4012" s="83"/>
      <c r="I4012" s="110" t="s">
        <v>11532</v>
      </c>
    </row>
    <row r="4013" spans="1:9">
      <c r="A4013" s="83" t="s">
        <v>10108</v>
      </c>
      <c r="B4013" s="83" t="s">
        <v>10149</v>
      </c>
      <c r="C4013" s="83" t="s">
        <v>10108</v>
      </c>
      <c r="D4013" s="83" t="s">
        <v>10278</v>
      </c>
      <c r="E4013" s="84" t="b">
        <f>sch_teachesdrrm_epp_g1</f>
        <v>1</v>
      </c>
      <c r="F4013" s="83" t="b">
        <v>1</v>
      </c>
      <c r="G4013" s="83"/>
      <c r="H4013" s="83"/>
      <c r="I4013" s="110" t="s">
        <v>11532</v>
      </c>
    </row>
    <row r="4014" spans="1:9">
      <c r="A4014" s="83" t="s">
        <v>10109</v>
      </c>
      <c r="B4014" s="83" t="s">
        <v>10149</v>
      </c>
      <c r="C4014" s="83" t="s">
        <v>10109</v>
      </c>
      <c r="D4014" s="83" t="s">
        <v>10279</v>
      </c>
      <c r="E4014" s="84" t="b">
        <f>sch_teachesdrrm_epp_g2</f>
        <v>1</v>
      </c>
      <c r="F4014" s="83" t="b">
        <v>1</v>
      </c>
      <c r="G4014" s="83"/>
      <c r="H4014" s="83"/>
      <c r="I4014" s="110" t="s">
        <v>11532</v>
      </c>
    </row>
    <row r="4015" spans="1:9">
      <c r="A4015" s="83" t="s">
        <v>10110</v>
      </c>
      <c r="B4015" s="83" t="s">
        <v>10149</v>
      </c>
      <c r="C4015" s="83" t="s">
        <v>10110</v>
      </c>
      <c r="D4015" s="83" t="s">
        <v>10280</v>
      </c>
      <c r="E4015" s="84" t="b">
        <f>sch_teachesdrrm_epp_g3</f>
        <v>1</v>
      </c>
      <c r="F4015" s="83" t="b">
        <v>1</v>
      </c>
      <c r="G4015" s="83"/>
      <c r="H4015" s="83"/>
      <c r="I4015" s="110" t="s">
        <v>11532</v>
      </c>
    </row>
    <row r="4016" spans="1:9">
      <c r="A4016" s="83" t="s">
        <v>10111</v>
      </c>
      <c r="B4016" s="83" t="s">
        <v>10149</v>
      </c>
      <c r="C4016" s="83" t="s">
        <v>10111</v>
      </c>
      <c r="D4016" s="83" t="s">
        <v>10281</v>
      </c>
      <c r="E4016" s="84" t="b">
        <f>sch_teachesdrrm_epp_g4</f>
        <v>1</v>
      </c>
      <c r="F4016" s="83" t="b">
        <v>1</v>
      </c>
      <c r="G4016" s="83"/>
      <c r="H4016" s="83"/>
      <c r="I4016" s="110" t="s">
        <v>11532</v>
      </c>
    </row>
    <row r="4017" spans="1:9">
      <c r="A4017" s="83" t="s">
        <v>10112</v>
      </c>
      <c r="B4017" s="83" t="s">
        <v>10149</v>
      </c>
      <c r="C4017" s="83" t="s">
        <v>10112</v>
      </c>
      <c r="D4017" s="83" t="s">
        <v>10282</v>
      </c>
      <c r="E4017" s="84" t="b">
        <f>sch_teachesdrrm_epp_g5</f>
        <v>1</v>
      </c>
      <c r="F4017" s="83" t="b">
        <v>1</v>
      </c>
      <c r="G4017" s="83"/>
      <c r="H4017" s="83"/>
      <c r="I4017" s="110" t="s">
        <v>11532</v>
      </c>
    </row>
    <row r="4018" spans="1:9">
      <c r="A4018" s="83" t="s">
        <v>10113</v>
      </c>
      <c r="B4018" s="83" t="s">
        <v>10149</v>
      </c>
      <c r="C4018" s="83" t="s">
        <v>10113</v>
      </c>
      <c r="D4018" s="83" t="s">
        <v>10283</v>
      </c>
      <c r="E4018" s="84" t="b">
        <f>sch_teachesdrrm_epp_g6</f>
        <v>1</v>
      </c>
      <c r="F4018" s="83" t="b">
        <v>1</v>
      </c>
      <c r="G4018" s="83"/>
      <c r="H4018" s="83"/>
      <c r="I4018" s="110" t="s">
        <v>11532</v>
      </c>
    </row>
    <row r="4019" spans="1:9">
      <c r="A4019" s="83" t="s">
        <v>10114</v>
      </c>
      <c r="B4019" s="83" t="s">
        <v>10149</v>
      </c>
      <c r="C4019" s="83" t="s">
        <v>10114</v>
      </c>
      <c r="D4019" s="83" t="s">
        <v>10284</v>
      </c>
      <c r="E4019" s="84" t="b">
        <f>sch_teachesccam_epp_k</f>
        <v>1</v>
      </c>
      <c r="F4019" s="83" t="b">
        <v>1</v>
      </c>
      <c r="G4019" s="83"/>
      <c r="H4019" s="83"/>
      <c r="I4019" s="110" t="s">
        <v>11532</v>
      </c>
    </row>
    <row r="4020" spans="1:9">
      <c r="A4020" s="83" t="s">
        <v>10115</v>
      </c>
      <c r="B4020" s="83" t="s">
        <v>10149</v>
      </c>
      <c r="C4020" s="83" t="s">
        <v>10115</v>
      </c>
      <c r="D4020" s="83" t="s">
        <v>10285</v>
      </c>
      <c r="E4020" s="84" t="b">
        <f>sch_teachesccam_epp_g1</f>
        <v>1</v>
      </c>
      <c r="F4020" s="83" t="b">
        <v>1</v>
      </c>
      <c r="G4020" s="83"/>
      <c r="H4020" s="83"/>
      <c r="I4020" s="110" t="s">
        <v>11532</v>
      </c>
    </row>
    <row r="4021" spans="1:9">
      <c r="A4021" s="83" t="s">
        <v>10116</v>
      </c>
      <c r="B4021" s="83" t="s">
        <v>10149</v>
      </c>
      <c r="C4021" s="83" t="s">
        <v>10116</v>
      </c>
      <c r="D4021" s="83" t="s">
        <v>10286</v>
      </c>
      <c r="E4021" s="84" t="b">
        <f>sch_teachesccam_epp_g2</f>
        <v>1</v>
      </c>
      <c r="F4021" s="83" t="b">
        <v>1</v>
      </c>
      <c r="G4021" s="83"/>
      <c r="H4021" s="83"/>
      <c r="I4021" s="110" t="s">
        <v>11532</v>
      </c>
    </row>
    <row r="4022" spans="1:9">
      <c r="A4022" s="83" t="s">
        <v>10117</v>
      </c>
      <c r="B4022" s="83" t="s">
        <v>10149</v>
      </c>
      <c r="C4022" s="83" t="s">
        <v>10117</v>
      </c>
      <c r="D4022" s="83" t="s">
        <v>10287</v>
      </c>
      <c r="E4022" s="84" t="b">
        <f>sch_teachesccam_epp_g3</f>
        <v>1</v>
      </c>
      <c r="F4022" s="83" t="b">
        <v>1</v>
      </c>
      <c r="G4022" s="83"/>
      <c r="H4022" s="83"/>
      <c r="I4022" s="110" t="s">
        <v>11532</v>
      </c>
    </row>
    <row r="4023" spans="1:9">
      <c r="A4023" s="83" t="s">
        <v>10118</v>
      </c>
      <c r="B4023" s="83" t="s">
        <v>10149</v>
      </c>
      <c r="C4023" s="83" t="s">
        <v>10118</v>
      </c>
      <c r="D4023" s="83" t="s">
        <v>10288</v>
      </c>
      <c r="E4023" s="84" t="b">
        <f>sch_teachesccam_epp_g4</f>
        <v>1</v>
      </c>
      <c r="F4023" s="83" t="b">
        <v>1</v>
      </c>
      <c r="G4023" s="83"/>
      <c r="H4023" s="83"/>
      <c r="I4023" s="110" t="s">
        <v>11532</v>
      </c>
    </row>
    <row r="4024" spans="1:9">
      <c r="A4024" s="83" t="s">
        <v>10119</v>
      </c>
      <c r="B4024" s="83" t="s">
        <v>10149</v>
      </c>
      <c r="C4024" s="83" t="s">
        <v>10119</v>
      </c>
      <c r="D4024" s="83" t="s">
        <v>10289</v>
      </c>
      <c r="E4024" s="84" t="b">
        <f>sch_teachesccam_epp_g5</f>
        <v>1</v>
      </c>
      <c r="F4024" s="83" t="b">
        <v>1</v>
      </c>
      <c r="G4024" s="83"/>
      <c r="H4024" s="83"/>
      <c r="I4024" s="110" t="s">
        <v>11532</v>
      </c>
    </row>
    <row r="4025" spans="1:9">
      <c r="A4025" s="83" t="s">
        <v>10120</v>
      </c>
      <c r="B4025" s="83" t="s">
        <v>10149</v>
      </c>
      <c r="C4025" s="83" t="s">
        <v>10120</v>
      </c>
      <c r="D4025" s="83" t="s">
        <v>10290</v>
      </c>
      <c r="E4025" s="84" t="b">
        <f>sch_teachesccam_epp_g6</f>
        <v>1</v>
      </c>
      <c r="F4025" s="83" t="b">
        <v>1</v>
      </c>
      <c r="G4025" s="83"/>
      <c r="H4025" s="83"/>
      <c r="I4025" s="110" t="s">
        <v>11532</v>
      </c>
    </row>
    <row r="4026" spans="1:9">
      <c r="A4026" s="83" t="s">
        <v>10128</v>
      </c>
      <c r="B4026" s="83" t="s">
        <v>10149</v>
      </c>
      <c r="C4026" s="83" t="s">
        <v>10128</v>
      </c>
      <c r="D4026" s="83" t="s">
        <v>10291</v>
      </c>
      <c r="E4026" s="84" t="b">
        <f>sch_teachesdrrm_others_k</f>
        <v>0</v>
      </c>
      <c r="F4026" s="83" t="b">
        <v>1</v>
      </c>
      <c r="G4026" s="83"/>
      <c r="H4026" s="83"/>
      <c r="I4026" s="110" t="s">
        <v>11532</v>
      </c>
    </row>
    <row r="4027" spans="1:9">
      <c r="A4027" s="83" t="s">
        <v>10129</v>
      </c>
      <c r="B4027" s="83" t="s">
        <v>10149</v>
      </c>
      <c r="C4027" s="83" t="s">
        <v>10129</v>
      </c>
      <c r="D4027" s="83" t="s">
        <v>10292</v>
      </c>
      <c r="E4027" s="84" t="b">
        <f>sch_teachesdrrm_others_g1</f>
        <v>0</v>
      </c>
      <c r="F4027" s="83" t="b">
        <v>1</v>
      </c>
      <c r="G4027" s="83"/>
      <c r="H4027" s="83"/>
      <c r="I4027" s="110" t="s">
        <v>11532</v>
      </c>
    </row>
    <row r="4028" spans="1:9">
      <c r="A4028" s="83" t="s">
        <v>10130</v>
      </c>
      <c r="B4028" s="83" t="s">
        <v>10149</v>
      </c>
      <c r="C4028" s="83" t="s">
        <v>10130</v>
      </c>
      <c r="D4028" s="83" t="s">
        <v>10293</v>
      </c>
      <c r="E4028" s="84" t="b">
        <f>sch_teachesdrrm_others_g2</f>
        <v>0</v>
      </c>
      <c r="F4028" s="83" t="b">
        <v>1</v>
      </c>
      <c r="G4028" s="83"/>
      <c r="H4028" s="83"/>
      <c r="I4028" s="110" t="s">
        <v>11532</v>
      </c>
    </row>
    <row r="4029" spans="1:9">
      <c r="A4029" s="83" t="s">
        <v>10131</v>
      </c>
      <c r="B4029" s="83" t="s">
        <v>10149</v>
      </c>
      <c r="C4029" s="83" t="s">
        <v>10131</v>
      </c>
      <c r="D4029" s="83" t="s">
        <v>10294</v>
      </c>
      <c r="E4029" s="84" t="b">
        <f>sch_teachesdrrm_others_g3</f>
        <v>0</v>
      </c>
      <c r="F4029" s="83" t="b">
        <v>1</v>
      </c>
      <c r="G4029" s="83"/>
      <c r="H4029" s="83"/>
      <c r="I4029" s="110" t="s">
        <v>11532</v>
      </c>
    </row>
    <row r="4030" spans="1:9">
      <c r="A4030" s="83" t="s">
        <v>10132</v>
      </c>
      <c r="B4030" s="83" t="s">
        <v>10149</v>
      </c>
      <c r="C4030" s="83" t="s">
        <v>10132</v>
      </c>
      <c r="D4030" s="83" t="s">
        <v>10295</v>
      </c>
      <c r="E4030" s="84" t="b">
        <f>sch_teachesdrrm_others_g4</f>
        <v>0</v>
      </c>
      <c r="F4030" s="83" t="b">
        <v>1</v>
      </c>
      <c r="G4030" s="83"/>
      <c r="H4030" s="83"/>
      <c r="I4030" s="110" t="s">
        <v>11532</v>
      </c>
    </row>
    <row r="4031" spans="1:9">
      <c r="A4031" s="83" t="s">
        <v>10133</v>
      </c>
      <c r="B4031" s="83" t="s">
        <v>10149</v>
      </c>
      <c r="C4031" s="83" t="s">
        <v>10133</v>
      </c>
      <c r="D4031" s="83" t="s">
        <v>10296</v>
      </c>
      <c r="E4031" s="84" t="b">
        <f>sch_teachesdrrm_others_g5</f>
        <v>0</v>
      </c>
      <c r="F4031" s="83" t="b">
        <v>1</v>
      </c>
      <c r="G4031" s="83"/>
      <c r="H4031" s="83"/>
      <c r="I4031" s="110" t="s">
        <v>11532</v>
      </c>
    </row>
    <row r="4032" spans="1:9">
      <c r="A4032" s="83" t="s">
        <v>10134</v>
      </c>
      <c r="B4032" s="83" t="s">
        <v>10149</v>
      </c>
      <c r="C4032" s="83" t="s">
        <v>10134</v>
      </c>
      <c r="D4032" s="83" t="s">
        <v>10297</v>
      </c>
      <c r="E4032" s="84" t="b">
        <f>sch_teachesdrrm_others_g6</f>
        <v>0</v>
      </c>
      <c r="F4032" s="83" t="b">
        <v>1</v>
      </c>
      <c r="G4032" s="83"/>
      <c r="H4032" s="83"/>
      <c r="I4032" s="110" t="s">
        <v>11532</v>
      </c>
    </row>
    <row r="4033" spans="1:9">
      <c r="A4033" s="83" t="s">
        <v>10135</v>
      </c>
      <c r="B4033" s="83" t="s">
        <v>10149</v>
      </c>
      <c r="C4033" s="83" t="s">
        <v>10135</v>
      </c>
      <c r="D4033" s="83" t="s">
        <v>10298</v>
      </c>
      <c r="E4033" s="84" t="b">
        <f>sch_teachesccam_others_k</f>
        <v>0</v>
      </c>
      <c r="F4033" s="83" t="b">
        <v>1</v>
      </c>
      <c r="G4033" s="83"/>
      <c r="H4033" s="83"/>
      <c r="I4033" s="110" t="s">
        <v>11532</v>
      </c>
    </row>
    <row r="4034" spans="1:9">
      <c r="A4034" s="83" t="s">
        <v>10136</v>
      </c>
      <c r="B4034" s="83" t="s">
        <v>10149</v>
      </c>
      <c r="C4034" s="83" t="s">
        <v>10136</v>
      </c>
      <c r="D4034" s="83" t="s">
        <v>10299</v>
      </c>
      <c r="E4034" s="84" t="b">
        <f>sch_teachesccam_others_g1</f>
        <v>0</v>
      </c>
      <c r="F4034" s="83" t="b">
        <v>1</v>
      </c>
      <c r="G4034" s="83"/>
      <c r="H4034" s="83"/>
      <c r="I4034" s="110" t="s">
        <v>11532</v>
      </c>
    </row>
    <row r="4035" spans="1:9">
      <c r="A4035" s="83" t="s">
        <v>10137</v>
      </c>
      <c r="B4035" s="83" t="s">
        <v>10149</v>
      </c>
      <c r="C4035" s="83" t="s">
        <v>10137</v>
      </c>
      <c r="D4035" s="83" t="s">
        <v>10300</v>
      </c>
      <c r="E4035" s="84" t="b">
        <f>sch_teachesccam_others_g2</f>
        <v>0</v>
      </c>
      <c r="F4035" s="83" t="b">
        <v>1</v>
      </c>
      <c r="G4035" s="83"/>
      <c r="H4035" s="83"/>
      <c r="I4035" s="110" t="s">
        <v>11532</v>
      </c>
    </row>
    <row r="4036" spans="1:9">
      <c r="A4036" s="83" t="s">
        <v>10138</v>
      </c>
      <c r="B4036" s="83" t="s">
        <v>10149</v>
      </c>
      <c r="C4036" s="83" t="s">
        <v>10138</v>
      </c>
      <c r="D4036" s="83" t="s">
        <v>10301</v>
      </c>
      <c r="E4036" s="84" t="b">
        <f>sch_teachesccam_others_g3</f>
        <v>0</v>
      </c>
      <c r="F4036" s="83" t="b">
        <v>1</v>
      </c>
      <c r="G4036" s="83"/>
      <c r="H4036" s="83"/>
      <c r="I4036" s="110" t="s">
        <v>11532</v>
      </c>
    </row>
    <row r="4037" spans="1:9">
      <c r="A4037" s="83" t="s">
        <v>10139</v>
      </c>
      <c r="B4037" s="83" t="s">
        <v>10149</v>
      </c>
      <c r="C4037" s="83" t="s">
        <v>10139</v>
      </c>
      <c r="D4037" s="83" t="s">
        <v>10302</v>
      </c>
      <c r="E4037" s="84" t="b">
        <f>sch_teachesccam_others_g4</f>
        <v>0</v>
      </c>
      <c r="F4037" s="83" t="b">
        <v>1</v>
      </c>
      <c r="G4037" s="83"/>
      <c r="H4037" s="83"/>
      <c r="I4037" s="110" t="s">
        <v>11532</v>
      </c>
    </row>
    <row r="4038" spans="1:9">
      <c r="A4038" s="83" t="s">
        <v>10140</v>
      </c>
      <c r="B4038" s="83" t="s">
        <v>10149</v>
      </c>
      <c r="C4038" s="83" t="s">
        <v>10140</v>
      </c>
      <c r="D4038" s="83" t="s">
        <v>10303</v>
      </c>
      <c r="E4038" s="84" t="b">
        <f>sch_teachesccam_others_g5</f>
        <v>0</v>
      </c>
      <c r="F4038" s="83" t="b">
        <v>1</v>
      </c>
      <c r="G4038" s="83"/>
      <c r="H4038" s="83"/>
      <c r="I4038" s="110" t="s">
        <v>11532</v>
      </c>
    </row>
    <row r="4039" spans="1:9">
      <c r="A4039" s="83" t="s">
        <v>10141</v>
      </c>
      <c r="B4039" s="83" t="s">
        <v>10149</v>
      </c>
      <c r="C4039" s="83" t="s">
        <v>10141</v>
      </c>
      <c r="D4039" s="83" t="s">
        <v>10304</v>
      </c>
      <c r="E4039" s="84" t="b">
        <f>sch_teachesccam_others_g6</f>
        <v>0</v>
      </c>
      <c r="F4039" s="83" t="b">
        <v>1</v>
      </c>
      <c r="G4039" s="83"/>
      <c r="H4039" s="83"/>
      <c r="I4039" s="110" t="s">
        <v>11532</v>
      </c>
    </row>
    <row r="4040" spans="1:9">
      <c r="A4040" s="83" t="s">
        <v>10016</v>
      </c>
      <c r="B4040" s="83" t="s">
        <v>10149</v>
      </c>
      <c r="C4040" s="83" t="s">
        <v>10016</v>
      </c>
      <c r="D4040" s="83" t="s">
        <v>10305</v>
      </c>
      <c r="E4040" s="84" t="b">
        <f>sch_teachespeacebuilding_science_k</f>
        <v>0</v>
      </c>
      <c r="F4040" s="83" t="b">
        <v>1</v>
      </c>
      <c r="G4040" s="83"/>
      <c r="H4040" s="83"/>
    </row>
    <row r="4041" spans="1:9">
      <c r="A4041" s="83" t="s">
        <v>10017</v>
      </c>
      <c r="B4041" s="83" t="s">
        <v>10149</v>
      </c>
      <c r="C4041" s="83" t="s">
        <v>10017</v>
      </c>
      <c r="D4041" s="83" t="s">
        <v>10306</v>
      </c>
      <c r="E4041" s="84" t="b">
        <f>sch_teachespeacebuilding_science_g1</f>
        <v>0</v>
      </c>
      <c r="F4041" s="83" t="b">
        <v>1</v>
      </c>
      <c r="G4041" s="83"/>
      <c r="H4041" s="83"/>
    </row>
    <row r="4042" spans="1:9">
      <c r="A4042" s="83" t="s">
        <v>10018</v>
      </c>
      <c r="B4042" s="83" t="s">
        <v>10149</v>
      </c>
      <c r="C4042" s="83" t="s">
        <v>10018</v>
      </c>
      <c r="D4042" s="83" t="s">
        <v>10307</v>
      </c>
      <c r="E4042" s="84" t="b">
        <f>sch_teachespeacebuilding_science_g2</f>
        <v>0</v>
      </c>
      <c r="F4042" s="83" t="b">
        <v>1</v>
      </c>
      <c r="G4042" s="83"/>
      <c r="H4042" s="83"/>
    </row>
    <row r="4043" spans="1:9">
      <c r="A4043" s="83" t="s">
        <v>10019</v>
      </c>
      <c r="B4043" s="83" t="s">
        <v>10149</v>
      </c>
      <c r="C4043" s="83" t="s">
        <v>10019</v>
      </c>
      <c r="D4043" s="83" t="s">
        <v>10308</v>
      </c>
      <c r="E4043" s="84" t="b">
        <f>sch_teachespeacebuilding_science_g3</f>
        <v>0</v>
      </c>
      <c r="F4043" s="83" t="b">
        <v>1</v>
      </c>
      <c r="G4043" s="83"/>
      <c r="H4043" s="83"/>
    </row>
    <row r="4044" spans="1:9">
      <c r="A4044" s="83" t="s">
        <v>10020</v>
      </c>
      <c r="B4044" s="83" t="s">
        <v>10149</v>
      </c>
      <c r="C4044" s="83" t="s">
        <v>10020</v>
      </c>
      <c r="D4044" s="83" t="s">
        <v>10309</v>
      </c>
      <c r="E4044" s="84" t="b">
        <f>sch_teachespeacebuilding_science_g4</f>
        <v>0</v>
      </c>
      <c r="F4044" s="83" t="b">
        <v>1</v>
      </c>
      <c r="G4044" s="83"/>
      <c r="H4044" s="83"/>
    </row>
    <row r="4045" spans="1:9">
      <c r="A4045" s="83" t="s">
        <v>10021</v>
      </c>
      <c r="B4045" s="83" t="s">
        <v>10149</v>
      </c>
      <c r="C4045" s="83" t="s">
        <v>10021</v>
      </c>
      <c r="D4045" s="83" t="s">
        <v>10310</v>
      </c>
      <c r="E4045" s="84" t="b">
        <f>sch_teachespeacebuilding_science_g5</f>
        <v>0</v>
      </c>
      <c r="F4045" s="83" t="b">
        <v>1</v>
      </c>
      <c r="G4045" s="83"/>
      <c r="H4045" s="83"/>
    </row>
    <row r="4046" spans="1:9">
      <c r="A4046" s="83" t="s">
        <v>10022</v>
      </c>
      <c r="B4046" s="83" t="s">
        <v>10149</v>
      </c>
      <c r="C4046" s="83" t="s">
        <v>10022</v>
      </c>
      <c r="D4046" s="83" t="s">
        <v>10311</v>
      </c>
      <c r="E4046" s="84" t="b">
        <f>sch_teachespeacebuilding_science_g6</f>
        <v>0</v>
      </c>
      <c r="F4046" s="83" t="b">
        <v>1</v>
      </c>
      <c r="G4046" s="83"/>
      <c r="H4046" s="83"/>
    </row>
    <row r="4047" spans="1:9">
      <c r="A4047" s="83" t="s">
        <v>10037</v>
      </c>
      <c r="B4047" s="83" t="s">
        <v>10149</v>
      </c>
      <c r="C4047" s="83" t="s">
        <v>10037</v>
      </c>
      <c r="D4047" s="83" t="s">
        <v>10312</v>
      </c>
      <c r="E4047" s="84" t="b">
        <f>sch_teachespeacebuilding_ap_k</f>
        <v>0</v>
      </c>
      <c r="F4047" s="83" t="b">
        <v>1</v>
      </c>
      <c r="G4047" s="83"/>
      <c r="H4047" s="83"/>
    </row>
    <row r="4048" spans="1:9">
      <c r="A4048" s="83" t="s">
        <v>10038</v>
      </c>
      <c r="B4048" s="83" t="s">
        <v>10149</v>
      </c>
      <c r="C4048" s="83" t="s">
        <v>10038</v>
      </c>
      <c r="D4048" s="83" t="s">
        <v>10313</v>
      </c>
      <c r="E4048" s="84" t="b">
        <f>sch_teachespeacebuilding_ap_g1</f>
        <v>0</v>
      </c>
      <c r="F4048" s="83" t="b">
        <v>1</v>
      </c>
      <c r="G4048" s="83"/>
      <c r="H4048" s="83"/>
    </row>
    <row r="4049" spans="1:8">
      <c r="A4049" s="83" t="s">
        <v>10039</v>
      </c>
      <c r="B4049" s="83" t="s">
        <v>10149</v>
      </c>
      <c r="C4049" s="83" t="s">
        <v>10039</v>
      </c>
      <c r="D4049" s="83" t="s">
        <v>10314</v>
      </c>
      <c r="E4049" s="84" t="b">
        <f>sch_teachespeacebuilding_ap_g2</f>
        <v>0</v>
      </c>
      <c r="F4049" s="83" t="b">
        <v>1</v>
      </c>
      <c r="G4049" s="83"/>
      <c r="H4049" s="83"/>
    </row>
    <row r="4050" spans="1:8">
      <c r="A4050" s="83" t="s">
        <v>10040</v>
      </c>
      <c r="B4050" s="83" t="s">
        <v>10149</v>
      </c>
      <c r="C4050" s="83" t="s">
        <v>10040</v>
      </c>
      <c r="D4050" s="83" t="s">
        <v>10315</v>
      </c>
      <c r="E4050" s="84" t="b">
        <f>sch_teachespeacebuilding_ap_g3</f>
        <v>0</v>
      </c>
      <c r="F4050" s="83" t="b">
        <v>1</v>
      </c>
      <c r="G4050" s="83"/>
      <c r="H4050" s="83"/>
    </row>
    <row r="4051" spans="1:8">
      <c r="A4051" s="83" t="s">
        <v>10041</v>
      </c>
      <c r="B4051" s="83" t="s">
        <v>10149</v>
      </c>
      <c r="C4051" s="83" t="s">
        <v>10041</v>
      </c>
      <c r="D4051" s="83" t="s">
        <v>10316</v>
      </c>
      <c r="E4051" s="84" t="b">
        <f>sch_teachespeacebuilding_ap_g4</f>
        <v>0</v>
      </c>
      <c r="F4051" s="83" t="b">
        <v>1</v>
      </c>
      <c r="G4051" s="83"/>
      <c r="H4051" s="83"/>
    </row>
    <row r="4052" spans="1:8">
      <c r="A4052" s="83" t="s">
        <v>10042</v>
      </c>
      <c r="B4052" s="83" t="s">
        <v>10149</v>
      </c>
      <c r="C4052" s="83" t="s">
        <v>10042</v>
      </c>
      <c r="D4052" s="83" t="s">
        <v>10317</v>
      </c>
      <c r="E4052" s="84" t="b">
        <f>sch_teachespeacebuilding_ap_g5</f>
        <v>0</v>
      </c>
      <c r="F4052" s="83" t="b">
        <v>1</v>
      </c>
      <c r="G4052" s="83"/>
      <c r="H4052" s="83"/>
    </row>
    <row r="4053" spans="1:8">
      <c r="A4053" s="83" t="s">
        <v>10043</v>
      </c>
      <c r="B4053" s="83" t="s">
        <v>10149</v>
      </c>
      <c r="C4053" s="83" t="s">
        <v>10043</v>
      </c>
      <c r="D4053" s="83" t="s">
        <v>10318</v>
      </c>
      <c r="E4053" s="84" t="b">
        <f>sch_teachespeacebuilding_ap_g6</f>
        <v>0</v>
      </c>
      <c r="F4053" s="83" t="b">
        <v>1</v>
      </c>
      <c r="G4053" s="83"/>
      <c r="H4053" s="83"/>
    </row>
    <row r="4054" spans="1:8">
      <c r="A4054" s="83" t="s">
        <v>10058</v>
      </c>
      <c r="B4054" s="83" t="s">
        <v>10149</v>
      </c>
      <c r="C4054" s="83" t="s">
        <v>10058</v>
      </c>
      <c r="D4054" s="83" t="s">
        <v>10319</v>
      </c>
      <c r="E4054" s="84" t="b">
        <f>sch_teachespeacebuilding_esp_k</f>
        <v>0</v>
      </c>
      <c r="F4054" s="83" t="b">
        <v>1</v>
      </c>
      <c r="G4054" s="83"/>
      <c r="H4054" s="83"/>
    </row>
    <row r="4055" spans="1:8">
      <c r="A4055" s="83" t="s">
        <v>10059</v>
      </c>
      <c r="B4055" s="83" t="s">
        <v>10149</v>
      </c>
      <c r="C4055" s="83" t="s">
        <v>10059</v>
      </c>
      <c r="D4055" s="83" t="s">
        <v>10320</v>
      </c>
      <c r="E4055" s="84" t="b">
        <f>sch_teachespeacebuilding_esp_g1</f>
        <v>0</v>
      </c>
      <c r="F4055" s="83" t="b">
        <v>1</v>
      </c>
      <c r="G4055" s="83"/>
      <c r="H4055" s="83"/>
    </row>
    <row r="4056" spans="1:8">
      <c r="A4056" s="83" t="s">
        <v>10060</v>
      </c>
      <c r="B4056" s="83" t="s">
        <v>10149</v>
      </c>
      <c r="C4056" s="83" t="s">
        <v>10060</v>
      </c>
      <c r="D4056" s="83" t="s">
        <v>10321</v>
      </c>
      <c r="E4056" s="84" t="b">
        <f>sch_teachespeacebuilding_esp_g2</f>
        <v>0</v>
      </c>
      <c r="F4056" s="83" t="b">
        <v>1</v>
      </c>
      <c r="G4056" s="83"/>
      <c r="H4056" s="83"/>
    </row>
    <row r="4057" spans="1:8">
      <c r="A4057" s="83" t="s">
        <v>10061</v>
      </c>
      <c r="B4057" s="83" t="s">
        <v>10149</v>
      </c>
      <c r="C4057" s="83" t="s">
        <v>10061</v>
      </c>
      <c r="D4057" s="83" t="s">
        <v>10322</v>
      </c>
      <c r="E4057" s="84" t="b">
        <f>sch_teachespeacebuilding_esp_g3</f>
        <v>0</v>
      </c>
      <c r="F4057" s="83" t="b">
        <v>1</v>
      </c>
      <c r="G4057" s="83"/>
      <c r="H4057" s="83"/>
    </row>
    <row r="4058" spans="1:8">
      <c r="A4058" s="83" t="s">
        <v>10062</v>
      </c>
      <c r="B4058" s="83" t="s">
        <v>10149</v>
      </c>
      <c r="C4058" s="83" t="s">
        <v>10062</v>
      </c>
      <c r="D4058" s="83" t="s">
        <v>10323</v>
      </c>
      <c r="E4058" s="84" t="b">
        <f>sch_teachespeacebuilding_esp_g4</f>
        <v>0</v>
      </c>
      <c r="F4058" s="83" t="b">
        <v>1</v>
      </c>
      <c r="G4058" s="83"/>
      <c r="H4058" s="83"/>
    </row>
    <row r="4059" spans="1:8">
      <c r="A4059" s="83" t="s">
        <v>10063</v>
      </c>
      <c r="B4059" s="83" t="s">
        <v>10149</v>
      </c>
      <c r="C4059" s="83" t="s">
        <v>10063</v>
      </c>
      <c r="D4059" s="83" t="s">
        <v>10324</v>
      </c>
      <c r="E4059" s="84" t="b">
        <f>sch_teachespeacebuilding_esp_g5</f>
        <v>0</v>
      </c>
      <c r="F4059" s="83" t="b">
        <v>1</v>
      </c>
      <c r="G4059" s="83"/>
      <c r="H4059" s="83"/>
    </row>
    <row r="4060" spans="1:8">
      <c r="A4060" s="83" t="s">
        <v>10064</v>
      </c>
      <c r="B4060" s="83" t="s">
        <v>10149</v>
      </c>
      <c r="C4060" s="83" t="s">
        <v>10064</v>
      </c>
      <c r="D4060" s="83" t="s">
        <v>10325</v>
      </c>
      <c r="E4060" s="84" t="b">
        <f>sch_teachespeacebuilding_esp_g6</f>
        <v>0</v>
      </c>
      <c r="F4060" s="83" t="b">
        <v>1</v>
      </c>
      <c r="G4060" s="83"/>
      <c r="H4060" s="83"/>
    </row>
    <row r="4061" spans="1:8">
      <c r="A4061" s="83" t="s">
        <v>10079</v>
      </c>
      <c r="B4061" s="83" t="s">
        <v>10149</v>
      </c>
      <c r="C4061" s="83" t="s">
        <v>10079</v>
      </c>
      <c r="D4061" s="83" t="s">
        <v>10326</v>
      </c>
      <c r="E4061" s="84" t="b">
        <f>sch_teachespeacebuilding_pe_k</f>
        <v>0</v>
      </c>
      <c r="F4061" s="83" t="b">
        <v>1</v>
      </c>
      <c r="G4061" s="83"/>
      <c r="H4061" s="83"/>
    </row>
    <row r="4062" spans="1:8">
      <c r="A4062" s="83" t="s">
        <v>10080</v>
      </c>
      <c r="B4062" s="83" t="s">
        <v>10149</v>
      </c>
      <c r="C4062" s="83" t="s">
        <v>10080</v>
      </c>
      <c r="D4062" s="83" t="s">
        <v>10327</v>
      </c>
      <c r="E4062" s="84" t="b">
        <f>sch_teachespeacebuilding_pe_g1</f>
        <v>0</v>
      </c>
      <c r="F4062" s="83" t="b">
        <v>1</v>
      </c>
      <c r="G4062" s="83"/>
      <c r="H4062" s="83"/>
    </row>
    <row r="4063" spans="1:8">
      <c r="A4063" s="83" t="s">
        <v>10081</v>
      </c>
      <c r="B4063" s="83" t="s">
        <v>10149</v>
      </c>
      <c r="C4063" s="83" t="s">
        <v>10081</v>
      </c>
      <c r="D4063" s="83" t="s">
        <v>10328</v>
      </c>
      <c r="E4063" s="84" t="b">
        <f>sch_teachespeacebuilding_pe_g2</f>
        <v>0</v>
      </c>
      <c r="F4063" s="83" t="b">
        <v>1</v>
      </c>
      <c r="G4063" s="83"/>
      <c r="H4063" s="83"/>
    </row>
    <row r="4064" spans="1:8">
      <c r="A4064" s="83" t="s">
        <v>10082</v>
      </c>
      <c r="B4064" s="83" t="s">
        <v>10149</v>
      </c>
      <c r="C4064" s="83" t="s">
        <v>10082</v>
      </c>
      <c r="D4064" s="83" t="s">
        <v>10329</v>
      </c>
      <c r="E4064" s="84" t="b">
        <f>sch_teachespeacebuilding_pe_g3</f>
        <v>0</v>
      </c>
      <c r="F4064" s="83" t="b">
        <v>1</v>
      </c>
      <c r="G4064" s="83"/>
      <c r="H4064" s="83"/>
    </row>
    <row r="4065" spans="1:8">
      <c r="A4065" s="83" t="s">
        <v>10083</v>
      </c>
      <c r="B4065" s="83" t="s">
        <v>10149</v>
      </c>
      <c r="C4065" s="83" t="s">
        <v>10083</v>
      </c>
      <c r="D4065" s="83" t="s">
        <v>10330</v>
      </c>
      <c r="E4065" s="84" t="b">
        <f>sch_teachespeacebuilding_pe_g4</f>
        <v>0</v>
      </c>
      <c r="F4065" s="83" t="b">
        <v>1</v>
      </c>
      <c r="G4065" s="83"/>
      <c r="H4065" s="83"/>
    </row>
    <row r="4066" spans="1:8">
      <c r="A4066" s="83" t="s">
        <v>10084</v>
      </c>
      <c r="B4066" s="83" t="s">
        <v>10149</v>
      </c>
      <c r="C4066" s="83" t="s">
        <v>10084</v>
      </c>
      <c r="D4066" s="83" t="s">
        <v>10331</v>
      </c>
      <c r="E4066" s="84" t="b">
        <f>sch_teachespeacebuilding_pe_g5</f>
        <v>0</v>
      </c>
      <c r="F4066" s="83" t="b">
        <v>1</v>
      </c>
      <c r="G4066" s="83"/>
      <c r="H4066" s="83"/>
    </row>
    <row r="4067" spans="1:8">
      <c r="A4067" s="83" t="s">
        <v>10085</v>
      </c>
      <c r="B4067" s="83" t="s">
        <v>10149</v>
      </c>
      <c r="C4067" s="83" t="s">
        <v>10085</v>
      </c>
      <c r="D4067" s="83" t="s">
        <v>10332</v>
      </c>
      <c r="E4067" s="84" t="b">
        <f>sch_teachespeacebuilding_pe_g6</f>
        <v>0</v>
      </c>
      <c r="F4067" s="83" t="b">
        <v>1</v>
      </c>
      <c r="G4067" s="83"/>
      <c r="H4067" s="83"/>
    </row>
    <row r="4068" spans="1:8">
      <c r="A4068" s="83" t="s">
        <v>10100</v>
      </c>
      <c r="B4068" s="83" t="s">
        <v>10149</v>
      </c>
      <c r="C4068" s="83" t="s">
        <v>10100</v>
      </c>
      <c r="D4068" s="83" t="s">
        <v>10333</v>
      </c>
      <c r="E4068" s="84" t="b">
        <f>sch_teachespeacebuilding_health_k</f>
        <v>0</v>
      </c>
      <c r="F4068" s="83" t="b">
        <v>1</v>
      </c>
      <c r="G4068" s="83"/>
      <c r="H4068" s="83"/>
    </row>
    <row r="4069" spans="1:8">
      <c r="A4069" s="83" t="s">
        <v>10101</v>
      </c>
      <c r="B4069" s="83" t="s">
        <v>10149</v>
      </c>
      <c r="C4069" s="83" t="s">
        <v>10101</v>
      </c>
      <c r="D4069" s="83" t="s">
        <v>10334</v>
      </c>
      <c r="E4069" s="84" t="b">
        <f>sch_teachespeacebuilding_health_g1</f>
        <v>0</v>
      </c>
      <c r="F4069" s="83" t="b">
        <v>1</v>
      </c>
      <c r="G4069" s="83"/>
      <c r="H4069" s="83"/>
    </row>
    <row r="4070" spans="1:8">
      <c r="A4070" s="83" t="s">
        <v>10102</v>
      </c>
      <c r="B4070" s="83" t="s">
        <v>10149</v>
      </c>
      <c r="C4070" s="83" t="s">
        <v>10102</v>
      </c>
      <c r="D4070" s="83" t="s">
        <v>10335</v>
      </c>
      <c r="E4070" s="84" t="b">
        <f>sch_teachespeacebuilding_health_g2</f>
        <v>0</v>
      </c>
      <c r="F4070" s="83" t="b">
        <v>1</v>
      </c>
      <c r="G4070" s="83"/>
      <c r="H4070" s="83"/>
    </row>
    <row r="4071" spans="1:8">
      <c r="A4071" s="83" t="s">
        <v>10103</v>
      </c>
      <c r="B4071" s="83" t="s">
        <v>10149</v>
      </c>
      <c r="C4071" s="83" t="s">
        <v>10103</v>
      </c>
      <c r="D4071" s="83" t="s">
        <v>10336</v>
      </c>
      <c r="E4071" s="84" t="b">
        <f>sch_teachespeacebuilding_health_g3</f>
        <v>0</v>
      </c>
      <c r="F4071" s="83" t="b">
        <v>1</v>
      </c>
      <c r="G4071" s="83"/>
      <c r="H4071" s="83"/>
    </row>
    <row r="4072" spans="1:8">
      <c r="A4072" s="83" t="s">
        <v>10104</v>
      </c>
      <c r="B4072" s="83" t="s">
        <v>10149</v>
      </c>
      <c r="C4072" s="83" t="s">
        <v>10104</v>
      </c>
      <c r="D4072" s="83" t="s">
        <v>10337</v>
      </c>
      <c r="E4072" s="84" t="b">
        <f>sch_teachespeacebuilding_health_g4</f>
        <v>0</v>
      </c>
      <c r="F4072" s="83" t="b">
        <v>1</v>
      </c>
      <c r="G4072" s="83"/>
      <c r="H4072" s="83"/>
    </row>
    <row r="4073" spans="1:8">
      <c r="A4073" s="83" t="s">
        <v>10105</v>
      </c>
      <c r="B4073" s="83" t="s">
        <v>10149</v>
      </c>
      <c r="C4073" s="83" t="s">
        <v>10105</v>
      </c>
      <c r="D4073" s="83" t="s">
        <v>10338</v>
      </c>
      <c r="E4073" s="84" t="b">
        <f>sch_teachespeacebuilding_health_g5</f>
        <v>0</v>
      </c>
      <c r="F4073" s="83" t="b">
        <v>1</v>
      </c>
      <c r="G4073" s="83"/>
      <c r="H4073" s="83"/>
    </row>
    <row r="4074" spans="1:8">
      <c r="A4074" s="83" t="s">
        <v>10106</v>
      </c>
      <c r="B4074" s="83" t="s">
        <v>10149</v>
      </c>
      <c r="C4074" s="83" t="s">
        <v>10106</v>
      </c>
      <c r="D4074" s="83" t="s">
        <v>10339</v>
      </c>
      <c r="E4074" s="84" t="b">
        <f>sch_teachespeacebuilding_health_g6</f>
        <v>0</v>
      </c>
      <c r="F4074" s="83" t="b">
        <v>1</v>
      </c>
      <c r="G4074" s="83"/>
      <c r="H4074" s="83"/>
    </row>
    <row r="4075" spans="1:8">
      <c r="A4075" s="83" t="s">
        <v>10121</v>
      </c>
      <c r="B4075" s="83" t="s">
        <v>10149</v>
      </c>
      <c r="C4075" s="83" t="s">
        <v>10121</v>
      </c>
      <c r="D4075" s="83" t="s">
        <v>10340</v>
      </c>
      <c r="E4075" s="84" t="b">
        <f>sch_teachespeacebuilding_epp_k</f>
        <v>0</v>
      </c>
      <c r="F4075" s="83" t="b">
        <v>1</v>
      </c>
      <c r="G4075" s="83"/>
      <c r="H4075" s="83"/>
    </row>
    <row r="4076" spans="1:8">
      <c r="A4076" s="83" t="s">
        <v>10122</v>
      </c>
      <c r="B4076" s="83" t="s">
        <v>10149</v>
      </c>
      <c r="C4076" s="83" t="s">
        <v>10122</v>
      </c>
      <c r="D4076" s="83" t="s">
        <v>10341</v>
      </c>
      <c r="E4076" s="84" t="b">
        <f>sch_teachespeacebuilding_epp_g1</f>
        <v>0</v>
      </c>
      <c r="F4076" s="83" t="b">
        <v>1</v>
      </c>
      <c r="G4076" s="83"/>
      <c r="H4076" s="83"/>
    </row>
    <row r="4077" spans="1:8">
      <c r="A4077" s="83" t="s">
        <v>10123</v>
      </c>
      <c r="B4077" s="83" t="s">
        <v>10149</v>
      </c>
      <c r="C4077" s="83" t="s">
        <v>10123</v>
      </c>
      <c r="D4077" s="83" t="s">
        <v>10342</v>
      </c>
      <c r="E4077" s="84" t="b">
        <f>sch_teachespeacebuilding_epp_g2</f>
        <v>0</v>
      </c>
      <c r="F4077" s="83" t="b">
        <v>1</v>
      </c>
      <c r="G4077" s="83"/>
      <c r="H4077" s="83"/>
    </row>
    <row r="4078" spans="1:8">
      <c r="A4078" s="83" t="s">
        <v>10124</v>
      </c>
      <c r="B4078" s="83" t="s">
        <v>10149</v>
      </c>
      <c r="C4078" s="83" t="s">
        <v>10124</v>
      </c>
      <c r="D4078" s="83" t="s">
        <v>10343</v>
      </c>
      <c r="E4078" s="84" t="b">
        <f>sch_teachespeacebuilding_epp_g3</f>
        <v>0</v>
      </c>
      <c r="F4078" s="83" t="b">
        <v>1</v>
      </c>
      <c r="G4078" s="83"/>
      <c r="H4078" s="83"/>
    </row>
    <row r="4079" spans="1:8">
      <c r="A4079" s="83" t="s">
        <v>10125</v>
      </c>
      <c r="B4079" s="83" t="s">
        <v>10149</v>
      </c>
      <c r="C4079" s="83" t="s">
        <v>10125</v>
      </c>
      <c r="D4079" s="83" t="s">
        <v>10344</v>
      </c>
      <c r="E4079" s="84" t="b">
        <f>sch_teachespeacebuilding_epp_g4</f>
        <v>0</v>
      </c>
      <c r="F4079" s="83" t="b">
        <v>1</v>
      </c>
      <c r="G4079" s="83"/>
      <c r="H4079" s="83"/>
    </row>
    <row r="4080" spans="1:8">
      <c r="A4080" s="83" t="s">
        <v>10126</v>
      </c>
      <c r="B4080" s="83" t="s">
        <v>10149</v>
      </c>
      <c r="C4080" s="83" t="s">
        <v>10126</v>
      </c>
      <c r="D4080" s="83" t="s">
        <v>10345</v>
      </c>
      <c r="E4080" s="84" t="b">
        <f>sch_teachespeacebuilding_epp_g5</f>
        <v>0</v>
      </c>
      <c r="F4080" s="83" t="b">
        <v>1</v>
      </c>
      <c r="G4080" s="83"/>
      <c r="H4080" s="83"/>
    </row>
    <row r="4081" spans="1:9">
      <c r="A4081" s="83" t="s">
        <v>10127</v>
      </c>
      <c r="B4081" s="83" t="s">
        <v>10149</v>
      </c>
      <c r="C4081" s="83" t="s">
        <v>10127</v>
      </c>
      <c r="D4081" s="83" t="s">
        <v>10346</v>
      </c>
      <c r="E4081" s="84" t="b">
        <f>sch_teachespeacebuilding_epp_g6</f>
        <v>0</v>
      </c>
      <c r="F4081" s="83" t="b">
        <v>1</v>
      </c>
      <c r="G4081" s="83"/>
      <c r="H4081" s="83"/>
    </row>
    <row r="4082" spans="1:9">
      <c r="A4082" s="83" t="s">
        <v>10142</v>
      </c>
      <c r="B4082" s="83" t="s">
        <v>10149</v>
      </c>
      <c r="C4082" s="83" t="s">
        <v>10142</v>
      </c>
      <c r="D4082" s="83" t="s">
        <v>10347</v>
      </c>
      <c r="E4082" s="84" t="b">
        <f>sch_teachespeacebuilding_others_k</f>
        <v>0</v>
      </c>
      <c r="F4082" s="83" t="b">
        <v>1</v>
      </c>
      <c r="G4082" s="83"/>
      <c r="H4082" s="83"/>
    </row>
    <row r="4083" spans="1:9">
      <c r="A4083" s="83" t="s">
        <v>10143</v>
      </c>
      <c r="B4083" s="83" t="s">
        <v>10149</v>
      </c>
      <c r="C4083" s="83" t="s">
        <v>10143</v>
      </c>
      <c r="D4083" s="83" t="s">
        <v>10348</v>
      </c>
      <c r="E4083" s="84" t="b">
        <f>sch_teachespeacebuilding_others_g1</f>
        <v>0</v>
      </c>
      <c r="F4083" s="83" t="b">
        <v>1</v>
      </c>
      <c r="G4083" s="83"/>
      <c r="H4083" s="83"/>
    </row>
    <row r="4084" spans="1:9">
      <c r="A4084" s="83" t="s">
        <v>10144</v>
      </c>
      <c r="B4084" s="83" t="s">
        <v>10149</v>
      </c>
      <c r="C4084" s="83" t="s">
        <v>10144</v>
      </c>
      <c r="D4084" s="83" t="s">
        <v>10349</v>
      </c>
      <c r="E4084" s="84" t="b">
        <f>sch_teachespeacebuilding_others_g2</f>
        <v>0</v>
      </c>
      <c r="F4084" s="83" t="b">
        <v>1</v>
      </c>
      <c r="G4084" s="83"/>
      <c r="H4084" s="83"/>
    </row>
    <row r="4085" spans="1:9">
      <c r="A4085" s="83" t="s">
        <v>10145</v>
      </c>
      <c r="B4085" s="83" t="s">
        <v>10149</v>
      </c>
      <c r="C4085" s="83" t="s">
        <v>10145</v>
      </c>
      <c r="D4085" s="83" t="s">
        <v>10350</v>
      </c>
      <c r="E4085" s="84" t="b">
        <f>sch_teachespeacebuilding_others_g3</f>
        <v>0</v>
      </c>
      <c r="F4085" s="83" t="b">
        <v>1</v>
      </c>
      <c r="G4085" s="83"/>
      <c r="H4085" s="83"/>
    </row>
    <row r="4086" spans="1:9">
      <c r="A4086" s="83" t="s">
        <v>10146</v>
      </c>
      <c r="B4086" s="83" t="s">
        <v>10149</v>
      </c>
      <c r="C4086" s="83" t="s">
        <v>10146</v>
      </c>
      <c r="D4086" s="83" t="s">
        <v>10351</v>
      </c>
      <c r="E4086" s="84" t="b">
        <f>sch_teachespeacebuilding_others_g4</f>
        <v>0</v>
      </c>
      <c r="F4086" s="83" t="b">
        <v>1</v>
      </c>
      <c r="G4086" s="83"/>
      <c r="H4086" s="83"/>
    </row>
    <row r="4087" spans="1:9">
      <c r="A4087" s="83" t="s">
        <v>10147</v>
      </c>
      <c r="B4087" s="83" t="s">
        <v>10149</v>
      </c>
      <c r="C4087" s="83" t="s">
        <v>10147</v>
      </c>
      <c r="D4087" s="83" t="s">
        <v>10352</v>
      </c>
      <c r="E4087" s="84" t="b">
        <f>sch_teachespeacebuilding_others_g5</f>
        <v>0</v>
      </c>
      <c r="F4087" s="83" t="b">
        <v>1</v>
      </c>
      <c r="G4087" s="83"/>
      <c r="H4087" s="83"/>
    </row>
    <row r="4088" spans="1:9">
      <c r="A4088" s="83" t="s">
        <v>10148</v>
      </c>
      <c r="B4088" s="83" t="s">
        <v>10149</v>
      </c>
      <c r="C4088" s="83" t="s">
        <v>10148</v>
      </c>
      <c r="D4088" s="83" t="s">
        <v>10353</v>
      </c>
      <c r="E4088" s="84" t="b">
        <f>sch_teachespeacebuilding_others_g6</f>
        <v>0</v>
      </c>
      <c r="F4088" s="83" t="b">
        <v>1</v>
      </c>
      <c r="G4088" s="83"/>
      <c r="H4088" s="83"/>
    </row>
    <row r="4089" spans="1:9">
      <c r="A4089" s="83" t="s">
        <v>10150</v>
      </c>
      <c r="B4089" s="83" t="s">
        <v>10149</v>
      </c>
      <c r="C4089" s="83" t="s">
        <v>10150</v>
      </c>
      <c r="D4089" s="83" t="s">
        <v>10354</v>
      </c>
      <c r="E4089" s="84">
        <f>curri_guide_drrm_sped</f>
        <v>1</v>
      </c>
      <c r="F4089" s="83" t="b">
        <v>1</v>
      </c>
      <c r="G4089" s="83"/>
      <c r="H4089" s="83"/>
      <c r="I4089" s="110" t="s">
        <v>11532</v>
      </c>
    </row>
    <row r="4090" spans="1:9">
      <c r="A4090" s="83" t="s">
        <v>10151</v>
      </c>
      <c r="B4090" s="83" t="s">
        <v>10149</v>
      </c>
      <c r="C4090" s="83" t="s">
        <v>10151</v>
      </c>
      <c r="D4090" s="83" t="s">
        <v>10355</v>
      </c>
      <c r="E4090" s="84">
        <f>curri_guide_drrm_iped</f>
        <v>0</v>
      </c>
      <c r="F4090" s="83" t="b">
        <v>1</v>
      </c>
      <c r="G4090" s="83"/>
      <c r="H4090" s="83"/>
      <c r="I4090" s="110" t="s">
        <v>11532</v>
      </c>
    </row>
    <row r="4091" spans="1:9">
      <c r="A4091" s="83" t="s">
        <v>10152</v>
      </c>
      <c r="B4091" s="83" t="s">
        <v>10149</v>
      </c>
      <c r="C4091" s="83" t="s">
        <v>10152</v>
      </c>
      <c r="D4091" s="83" t="s">
        <v>10356</v>
      </c>
      <c r="E4091" s="84">
        <f>curri_guide_drrm_als</f>
        <v>1</v>
      </c>
      <c r="F4091" s="83" t="b">
        <v>1</v>
      </c>
      <c r="G4091" s="83"/>
      <c r="H4091" s="83"/>
      <c r="I4091" s="110" t="s">
        <v>11532</v>
      </c>
    </row>
    <row r="4092" spans="1:9">
      <c r="A4092" s="83" t="s">
        <v>10153</v>
      </c>
      <c r="B4092" s="83" t="s">
        <v>10149</v>
      </c>
      <c r="C4092" s="83" t="s">
        <v>10153</v>
      </c>
      <c r="D4092" s="83" t="s">
        <v>10357</v>
      </c>
      <c r="E4092" s="84">
        <f>curri_guide_drrm_learningcomp</f>
        <v>5</v>
      </c>
      <c r="F4092" s="83" t="b">
        <v>1</v>
      </c>
      <c r="G4092" s="83"/>
      <c r="H4092" s="83"/>
      <c r="I4092" s="110" t="s">
        <v>11532</v>
      </c>
    </row>
    <row r="4093" spans="1:9">
      <c r="A4093" s="83" t="s">
        <v>10154</v>
      </c>
      <c r="B4093" s="83" t="s">
        <v>10149</v>
      </c>
      <c r="C4093" s="83" t="s">
        <v>10154</v>
      </c>
      <c r="D4093" s="83" t="s">
        <v>10358</v>
      </c>
      <c r="E4093" s="84">
        <f>curri_guide_drrm_contents</f>
        <v>5</v>
      </c>
      <c r="F4093" s="83" t="b">
        <v>1</v>
      </c>
      <c r="G4093" s="83"/>
      <c r="H4093" s="83"/>
      <c r="I4093" s="110" t="s">
        <v>11532</v>
      </c>
    </row>
    <row r="4094" spans="1:9">
      <c r="A4094" s="83" t="s">
        <v>10155</v>
      </c>
      <c r="B4094" s="83" t="s">
        <v>10149</v>
      </c>
      <c r="C4094" s="83" t="s">
        <v>10155</v>
      </c>
      <c r="D4094" s="83" t="s">
        <v>10359</v>
      </c>
      <c r="E4094" s="84">
        <f>curri_guide_drrm_context_lr</f>
        <v>5</v>
      </c>
      <c r="F4094" s="83" t="b">
        <v>1</v>
      </c>
      <c r="G4094" s="83"/>
      <c r="H4094" s="83"/>
      <c r="I4094" s="110" t="s">
        <v>11532</v>
      </c>
    </row>
    <row r="4095" spans="1:9">
      <c r="A4095" s="83" t="s">
        <v>10156</v>
      </c>
      <c r="B4095" s="83" t="s">
        <v>10149</v>
      </c>
      <c r="C4095" s="83" t="s">
        <v>10156</v>
      </c>
      <c r="D4095" s="83" t="s">
        <v>10360</v>
      </c>
      <c r="E4095" s="84">
        <f>curri_guide_ccam_sped</f>
        <v>0</v>
      </c>
      <c r="F4095" s="83" t="b">
        <v>1</v>
      </c>
      <c r="G4095" s="83"/>
      <c r="H4095" s="83"/>
      <c r="I4095" s="110" t="s">
        <v>11532</v>
      </c>
    </row>
    <row r="4096" spans="1:9">
      <c r="A4096" s="83" t="s">
        <v>10157</v>
      </c>
      <c r="B4096" s="83" t="s">
        <v>10149</v>
      </c>
      <c r="C4096" s="83" t="s">
        <v>10157</v>
      </c>
      <c r="D4096" s="83" t="s">
        <v>10361</v>
      </c>
      <c r="E4096" s="84">
        <f>curri_guide_ccam_iped</f>
        <v>0</v>
      </c>
      <c r="F4096" s="83" t="b">
        <v>1</v>
      </c>
      <c r="G4096" s="83"/>
      <c r="H4096" s="83"/>
      <c r="I4096" s="110" t="s">
        <v>11532</v>
      </c>
    </row>
    <row r="4097" spans="1:9">
      <c r="A4097" s="83" t="s">
        <v>10158</v>
      </c>
      <c r="B4097" s="83" t="s">
        <v>10149</v>
      </c>
      <c r="C4097" s="83" t="s">
        <v>10158</v>
      </c>
      <c r="D4097" s="83" t="s">
        <v>10362</v>
      </c>
      <c r="E4097" s="84">
        <f>curri_guide_ccam_als</f>
        <v>0</v>
      </c>
      <c r="F4097" s="83" t="b">
        <v>1</v>
      </c>
      <c r="G4097" s="83"/>
      <c r="H4097" s="83"/>
      <c r="I4097" s="110" t="s">
        <v>11532</v>
      </c>
    </row>
    <row r="4098" spans="1:9">
      <c r="A4098" s="83" t="s">
        <v>10159</v>
      </c>
      <c r="B4098" s="83" t="s">
        <v>10149</v>
      </c>
      <c r="C4098" s="83" t="s">
        <v>10159</v>
      </c>
      <c r="D4098" s="83" t="s">
        <v>10363</v>
      </c>
      <c r="E4098" s="84">
        <f>curri_guide_ccam_learningcomp</f>
        <v>0</v>
      </c>
      <c r="F4098" s="83" t="b">
        <v>1</v>
      </c>
      <c r="G4098" s="83"/>
      <c r="H4098" s="83"/>
      <c r="I4098" s="110" t="s">
        <v>11532</v>
      </c>
    </row>
    <row r="4099" spans="1:9">
      <c r="A4099" s="83" t="s">
        <v>10160</v>
      </c>
      <c r="B4099" s="83" t="s">
        <v>10149</v>
      </c>
      <c r="C4099" s="83" t="s">
        <v>10160</v>
      </c>
      <c r="D4099" s="83" t="s">
        <v>10364</v>
      </c>
      <c r="E4099" s="84">
        <f>curri_guide_ccam_contents</f>
        <v>0</v>
      </c>
      <c r="F4099" s="83" t="b">
        <v>1</v>
      </c>
      <c r="G4099" s="83"/>
      <c r="H4099" s="83"/>
      <c r="I4099" s="110" t="s">
        <v>11532</v>
      </c>
    </row>
    <row r="4100" spans="1:9">
      <c r="A4100" s="83" t="s">
        <v>10161</v>
      </c>
      <c r="B4100" s="83" t="s">
        <v>10149</v>
      </c>
      <c r="C4100" s="83" t="s">
        <v>10161</v>
      </c>
      <c r="D4100" s="83" t="s">
        <v>10365</v>
      </c>
      <c r="E4100" s="84">
        <f>curri_guide_ccam_context_lr</f>
        <v>0</v>
      </c>
      <c r="F4100" s="83" t="b">
        <v>1</v>
      </c>
      <c r="G4100" s="83"/>
      <c r="H4100" s="83"/>
      <c r="I4100" s="110" t="s">
        <v>11532</v>
      </c>
    </row>
    <row r="4101" spans="1:9">
      <c r="A4101" s="83" t="s">
        <v>10162</v>
      </c>
      <c r="B4101" s="83" t="s">
        <v>10149</v>
      </c>
      <c r="C4101" s="83" t="s">
        <v>10162</v>
      </c>
      <c r="D4101" s="83" t="s">
        <v>10366</v>
      </c>
      <c r="E4101" s="84">
        <f>curri_guide_pbuilding_sped</f>
        <v>0</v>
      </c>
      <c r="F4101" s="83" t="b">
        <v>1</v>
      </c>
      <c r="G4101" s="83"/>
      <c r="H4101" s="83"/>
      <c r="I4101" s="110" t="s">
        <v>11532</v>
      </c>
    </row>
    <row r="4102" spans="1:9">
      <c r="A4102" s="83" t="s">
        <v>10163</v>
      </c>
      <c r="B4102" s="83" t="s">
        <v>10149</v>
      </c>
      <c r="C4102" s="83" t="s">
        <v>10163</v>
      </c>
      <c r="D4102" s="83" t="s">
        <v>10367</v>
      </c>
      <c r="E4102" s="84">
        <f>curri_guide_pbuilding_iped</f>
        <v>0</v>
      </c>
      <c r="F4102" s="83" t="b">
        <v>1</v>
      </c>
      <c r="G4102" s="83"/>
      <c r="H4102" s="83"/>
      <c r="I4102" s="110" t="s">
        <v>11532</v>
      </c>
    </row>
    <row r="4103" spans="1:9">
      <c r="A4103" s="83" t="s">
        <v>10164</v>
      </c>
      <c r="B4103" s="83" t="s">
        <v>10149</v>
      </c>
      <c r="C4103" s="83" t="s">
        <v>10164</v>
      </c>
      <c r="D4103" s="83" t="s">
        <v>10368</v>
      </c>
      <c r="E4103" s="84">
        <f>curri_guide_pbuilding_als</f>
        <v>0</v>
      </c>
      <c r="F4103" s="83" t="b">
        <v>1</v>
      </c>
      <c r="G4103" s="83"/>
      <c r="H4103" s="83"/>
      <c r="I4103" s="110" t="s">
        <v>11532</v>
      </c>
    </row>
    <row r="4104" spans="1:9">
      <c r="A4104" s="83" t="s">
        <v>10165</v>
      </c>
      <c r="B4104" s="83" t="s">
        <v>10149</v>
      </c>
      <c r="C4104" s="83" t="s">
        <v>10165</v>
      </c>
      <c r="D4104" s="83" t="s">
        <v>10369</v>
      </c>
      <c r="E4104" s="84">
        <f>curri_guide_pbuilding_learningcomp</f>
        <v>0</v>
      </c>
      <c r="F4104" s="83" t="b">
        <v>1</v>
      </c>
      <c r="G4104" s="83"/>
      <c r="H4104" s="83"/>
      <c r="I4104" s="110" t="s">
        <v>11532</v>
      </c>
    </row>
    <row r="4105" spans="1:9">
      <c r="A4105" s="83" t="s">
        <v>10166</v>
      </c>
      <c r="B4105" s="83" t="s">
        <v>10149</v>
      </c>
      <c r="C4105" s="83" t="s">
        <v>10166</v>
      </c>
      <c r="D4105" s="83" t="s">
        <v>10370</v>
      </c>
      <c r="E4105" s="84">
        <f>curri_guide_pbuilding_contents</f>
        <v>0</v>
      </c>
      <c r="F4105" s="83" t="b">
        <v>1</v>
      </c>
      <c r="G4105" s="83"/>
      <c r="H4105" s="83"/>
      <c r="I4105" s="110" t="s">
        <v>11532</v>
      </c>
    </row>
    <row r="4106" spans="1:9">
      <c r="A4106" s="83" t="s">
        <v>10167</v>
      </c>
      <c r="B4106" s="83" t="s">
        <v>10149</v>
      </c>
      <c r="C4106" s="83" t="s">
        <v>10167</v>
      </c>
      <c r="D4106" s="83" t="s">
        <v>10371</v>
      </c>
      <c r="E4106" s="84">
        <f>curri_guide_pbuilding_context_lr</f>
        <v>0</v>
      </c>
      <c r="F4106" s="83" t="b">
        <v>1</v>
      </c>
      <c r="G4106" s="83"/>
      <c r="H4106" s="83"/>
      <c r="I4106" s="110" t="s">
        <v>11532</v>
      </c>
    </row>
    <row r="4107" spans="1:9">
      <c r="A4107" s="83" t="s">
        <v>10168</v>
      </c>
      <c r="B4107" s="83" t="s">
        <v>10149</v>
      </c>
      <c r="C4107" s="83" t="s">
        <v>10168</v>
      </c>
      <c r="D4107" s="83" t="s">
        <v>10372</v>
      </c>
      <c r="E4107" s="84" t="b">
        <f>sch_assess_drrmccampbp_competencies</f>
        <v>1</v>
      </c>
      <c r="F4107" s="83" t="b">
        <v>1</v>
      </c>
      <c r="G4107" s="83" t="s">
        <v>2287</v>
      </c>
      <c r="H4107" s="83"/>
      <c r="I4107" s="110" t="s">
        <v>11532</v>
      </c>
    </row>
    <row r="4108" spans="1:9">
      <c r="A4108" s="83" t="s">
        <v>10169</v>
      </c>
      <c r="B4108" s="83" t="s">
        <v>10149</v>
      </c>
      <c r="C4108" s="83" t="s">
        <v>10169</v>
      </c>
      <c r="D4108" s="83" t="s">
        <v>10373</v>
      </c>
      <c r="E4108" s="84" t="b">
        <f>sch_uses_drrm_dev_drrmccampbp_iec_materials</f>
        <v>1</v>
      </c>
      <c r="F4108" s="83" t="b">
        <v>1</v>
      </c>
      <c r="G4108" s="83" t="s">
        <v>2287</v>
      </c>
      <c r="H4108" s="83"/>
      <c r="I4108" s="110" t="s">
        <v>11532</v>
      </c>
    </row>
    <row r="4109" spans="1:9">
      <c r="A4109" s="83" t="s">
        <v>10170</v>
      </c>
      <c r="B4109" s="83" t="s">
        <v>10149</v>
      </c>
      <c r="C4109" s="83" t="s">
        <v>10170</v>
      </c>
      <c r="D4109" s="83" t="s">
        <v>10374</v>
      </c>
      <c r="E4109" s="84" t="b">
        <f>sch_has_drrmccampbp_iec_materials_posted</f>
        <v>0</v>
      </c>
      <c r="F4109" s="83" t="b">
        <v>1</v>
      </c>
      <c r="G4109" s="83" t="s">
        <v>2287</v>
      </c>
      <c r="H4109" s="83"/>
      <c r="I4109" s="110" t="s">
        <v>11532</v>
      </c>
    </row>
    <row r="4110" spans="1:9">
      <c r="A4110" s="83" t="s">
        <v>10171</v>
      </c>
      <c r="B4110" s="83" t="s">
        <v>10149</v>
      </c>
      <c r="C4110" s="83" t="s">
        <v>10171</v>
      </c>
      <c r="D4110" s="83" t="s">
        <v>10375</v>
      </c>
      <c r="E4110" s="84">
        <f>personnel_participated_survey_iec_teaching_m</f>
        <v>0</v>
      </c>
      <c r="F4110" s="83" t="b">
        <v>1</v>
      </c>
      <c r="G4110" s="83"/>
      <c r="H4110" s="83"/>
      <c r="I4110" s="110" t="s">
        <v>11532</v>
      </c>
    </row>
    <row r="4111" spans="1:9">
      <c r="A4111" s="83" t="s">
        <v>10172</v>
      </c>
      <c r="B4111" s="83" t="s">
        <v>10149</v>
      </c>
      <c r="C4111" s="83" t="s">
        <v>10172</v>
      </c>
      <c r="D4111" s="83" t="s">
        <v>10376</v>
      </c>
      <c r="E4111" s="84">
        <f>personnel_participated_survey_iec_teaching_f</f>
        <v>0</v>
      </c>
      <c r="F4111" s="83" t="b">
        <v>1</v>
      </c>
      <c r="G4111" s="83"/>
      <c r="H4111" s="83"/>
      <c r="I4111" s="110" t="s">
        <v>11532</v>
      </c>
    </row>
    <row r="4112" spans="1:9">
      <c r="A4112" s="83" t="s">
        <v>10173</v>
      </c>
      <c r="B4112" s="83" t="s">
        <v>10149</v>
      </c>
      <c r="C4112" s="83" t="s">
        <v>10173</v>
      </c>
      <c r="D4112" s="83" t="s">
        <v>10377</v>
      </c>
      <c r="E4112" s="84">
        <f>personnel_participated_survey_iec_nonteaching_m</f>
        <v>0</v>
      </c>
      <c r="F4112" s="83" t="b">
        <v>1</v>
      </c>
      <c r="G4112" s="83"/>
      <c r="H4112" s="83"/>
      <c r="I4112" s="110" t="s">
        <v>11532</v>
      </c>
    </row>
    <row r="4113" spans="1:9">
      <c r="A4113" s="83" t="s">
        <v>10174</v>
      </c>
      <c r="B4113" s="83" t="s">
        <v>10149</v>
      </c>
      <c r="C4113" s="83" t="s">
        <v>10174</v>
      </c>
      <c r="D4113" s="83" t="s">
        <v>10378</v>
      </c>
      <c r="E4113" s="84">
        <f>personnel_participated_survey_iec_nonteaching_f</f>
        <v>0</v>
      </c>
      <c r="F4113" s="83" t="b">
        <v>1</v>
      </c>
      <c r="G4113" s="83"/>
      <c r="H4113" s="83"/>
      <c r="I4113" s="110" t="s">
        <v>11532</v>
      </c>
    </row>
    <row r="4114" spans="1:9">
      <c r="A4114" s="83" t="s">
        <v>10175</v>
      </c>
      <c r="B4114" s="83" t="s">
        <v>10149</v>
      </c>
      <c r="C4114" s="83" t="s">
        <v>10175</v>
      </c>
      <c r="D4114" s="83" t="s">
        <v>10379</v>
      </c>
      <c r="E4114" s="84">
        <f>learners_participated_iec_effectiveness_exclude_m</f>
        <v>0</v>
      </c>
      <c r="F4114" s="83" t="b">
        <v>1</v>
      </c>
      <c r="G4114" s="83"/>
      <c r="H4114" s="83"/>
      <c r="I4114" s="110" t="s">
        <v>11532</v>
      </c>
    </row>
    <row r="4115" spans="1:9">
      <c r="A4115" s="83" t="s">
        <v>10176</v>
      </c>
      <c r="B4115" s="83" t="s">
        <v>10149</v>
      </c>
      <c r="C4115" s="83" t="s">
        <v>10176</v>
      </c>
      <c r="D4115" s="83" t="s">
        <v>10380</v>
      </c>
      <c r="E4115" s="84">
        <f>learners_participated_iec_effectiveness_exclude_f</f>
        <v>0</v>
      </c>
      <c r="F4115" s="83" t="b">
        <v>1</v>
      </c>
      <c r="G4115" s="83"/>
      <c r="H4115" s="83"/>
      <c r="I4115" s="110" t="s">
        <v>11532</v>
      </c>
    </row>
    <row r="4116" spans="1:9">
      <c r="A4116" s="83" t="s">
        <v>10177</v>
      </c>
      <c r="B4116" s="83" t="s">
        <v>10149</v>
      </c>
      <c r="C4116" s="83" t="s">
        <v>10177</v>
      </c>
      <c r="D4116" s="83" t="s">
        <v>10381</v>
      </c>
      <c r="E4116" s="84">
        <f>learners_participated_iec_effectiveness_ip_m</f>
        <v>0</v>
      </c>
      <c r="F4116" s="83" t="b">
        <v>1</v>
      </c>
      <c r="G4116" s="83"/>
      <c r="H4116" s="83"/>
      <c r="I4116" s="110" t="s">
        <v>11532</v>
      </c>
    </row>
    <row r="4117" spans="1:9">
      <c r="A4117" s="83" t="s">
        <v>10178</v>
      </c>
      <c r="B4117" s="83" t="s">
        <v>10149</v>
      </c>
      <c r="C4117" s="83" t="s">
        <v>10178</v>
      </c>
      <c r="D4117" s="83" t="s">
        <v>10382</v>
      </c>
      <c r="E4117" s="84">
        <f>learners_participated_iec_effectiveness_ip_f</f>
        <v>0</v>
      </c>
      <c r="F4117" s="83" t="b">
        <v>1</v>
      </c>
      <c r="G4117" s="83"/>
      <c r="H4117" s="83"/>
      <c r="I4117" s="110" t="s">
        <v>11532</v>
      </c>
    </row>
    <row r="4118" spans="1:9">
      <c r="A4118" s="83" t="s">
        <v>10179</v>
      </c>
      <c r="B4118" s="83" t="s">
        <v>10149</v>
      </c>
      <c r="C4118" s="83" t="s">
        <v>10179</v>
      </c>
      <c r="D4118" s="83" t="s">
        <v>10383</v>
      </c>
      <c r="E4118" s="84">
        <f>learners_participated_iec_effectiveness_muslim_m</f>
        <v>0</v>
      </c>
      <c r="F4118" s="83" t="b">
        <v>1</v>
      </c>
      <c r="G4118" s="83"/>
      <c r="H4118" s="83"/>
      <c r="I4118" s="110" t="s">
        <v>11532</v>
      </c>
    </row>
    <row r="4119" spans="1:9">
      <c r="A4119" s="83" t="s">
        <v>10180</v>
      </c>
      <c r="B4119" s="83" t="s">
        <v>10149</v>
      </c>
      <c r="C4119" s="83" t="s">
        <v>10180</v>
      </c>
      <c r="D4119" s="83" t="s">
        <v>10384</v>
      </c>
      <c r="E4119" s="84">
        <f>learners_participated_iec_effectiveness_muslim_f</f>
        <v>0</v>
      </c>
      <c r="F4119" s="83" t="b">
        <v>1</v>
      </c>
      <c r="G4119" s="83"/>
      <c r="H4119" s="83"/>
      <c r="I4119" s="110" t="s">
        <v>11532</v>
      </c>
    </row>
    <row r="4120" spans="1:9">
      <c r="A4120" s="83" t="s">
        <v>10181</v>
      </c>
      <c r="B4120" s="83" t="s">
        <v>10149</v>
      </c>
      <c r="C4120" s="83" t="s">
        <v>10181</v>
      </c>
      <c r="D4120" s="83" t="s">
        <v>10385</v>
      </c>
      <c r="E4120" s="84">
        <f>learners_participated_iec_effectiveness_lwd_m</f>
        <v>0</v>
      </c>
      <c r="F4120" s="83" t="b">
        <v>1</v>
      </c>
      <c r="G4120" s="83"/>
      <c r="H4120" s="83"/>
      <c r="I4120" s="110" t="s">
        <v>11532</v>
      </c>
    </row>
    <row r="4121" spans="1:9">
      <c r="A4121" s="83" t="s">
        <v>10182</v>
      </c>
      <c r="B4121" s="83" t="s">
        <v>10149</v>
      </c>
      <c r="C4121" s="83" t="s">
        <v>10182</v>
      </c>
      <c r="D4121" s="83" t="s">
        <v>10386</v>
      </c>
      <c r="E4121" s="84">
        <f>learners_participated_iec_effectiveness_lwd_f</f>
        <v>0</v>
      </c>
      <c r="F4121" s="83" t="b">
        <v>1</v>
      </c>
      <c r="G4121" s="83"/>
      <c r="H4121" s="83"/>
      <c r="I4121" s="110" t="s">
        <v>11532</v>
      </c>
    </row>
    <row r="4122" spans="1:9">
      <c r="A4122" s="83" t="s">
        <v>10183</v>
      </c>
      <c r="B4122" s="83" t="s">
        <v>10149</v>
      </c>
      <c r="C4122" s="83" t="s">
        <v>10183</v>
      </c>
      <c r="D4122" s="83" t="s">
        <v>10387</v>
      </c>
      <c r="E4122" s="84">
        <f>learners_participated_iec_consulted_exclude_m</f>
        <v>0</v>
      </c>
      <c r="F4122" s="83" t="b">
        <v>1</v>
      </c>
      <c r="G4122" s="83"/>
      <c r="H4122" s="83"/>
      <c r="I4122" s="110" t="s">
        <v>11532</v>
      </c>
    </row>
    <row r="4123" spans="1:9">
      <c r="A4123" s="83" t="s">
        <v>10184</v>
      </c>
      <c r="B4123" s="83" t="s">
        <v>10149</v>
      </c>
      <c r="C4123" s="83" t="s">
        <v>10184</v>
      </c>
      <c r="D4123" s="83" t="s">
        <v>10388</v>
      </c>
      <c r="E4123" s="84">
        <f>learners_participated_iec_consulted_exclude_f</f>
        <v>0</v>
      </c>
      <c r="F4123" s="83" t="b">
        <v>1</v>
      </c>
      <c r="G4123" s="83"/>
      <c r="H4123" s="83"/>
      <c r="I4123" s="110" t="s">
        <v>11532</v>
      </c>
    </row>
    <row r="4124" spans="1:9">
      <c r="A4124" s="83" t="s">
        <v>10185</v>
      </c>
      <c r="B4124" s="83" t="s">
        <v>10149</v>
      </c>
      <c r="C4124" s="83" t="s">
        <v>10185</v>
      </c>
      <c r="D4124" s="83" t="s">
        <v>10389</v>
      </c>
      <c r="E4124" s="84">
        <f>learners_participated_iec_consulted_ip_m</f>
        <v>0</v>
      </c>
      <c r="F4124" s="83" t="b">
        <v>1</v>
      </c>
      <c r="G4124" s="83"/>
      <c r="H4124" s="83"/>
      <c r="I4124" s="110" t="s">
        <v>11532</v>
      </c>
    </row>
    <row r="4125" spans="1:9">
      <c r="A4125" s="83" t="s">
        <v>10186</v>
      </c>
      <c r="B4125" s="83" t="s">
        <v>10149</v>
      </c>
      <c r="C4125" s="83" t="s">
        <v>10186</v>
      </c>
      <c r="D4125" s="83" t="s">
        <v>10390</v>
      </c>
      <c r="E4125" s="84">
        <f>learners_participated_iec_consulted_ip_f</f>
        <v>0</v>
      </c>
      <c r="F4125" s="83" t="b">
        <v>1</v>
      </c>
      <c r="G4125" s="83"/>
      <c r="H4125" s="83"/>
      <c r="I4125" s="110" t="s">
        <v>11532</v>
      </c>
    </row>
    <row r="4126" spans="1:9">
      <c r="A4126" s="83" t="s">
        <v>10187</v>
      </c>
      <c r="B4126" s="83" t="s">
        <v>10149</v>
      </c>
      <c r="C4126" s="83" t="s">
        <v>10187</v>
      </c>
      <c r="D4126" s="83" t="s">
        <v>10391</v>
      </c>
      <c r="E4126" s="84">
        <f>learners_participated_iec_consulted_muslim_m</f>
        <v>0</v>
      </c>
      <c r="F4126" s="83" t="b">
        <v>1</v>
      </c>
      <c r="G4126" s="83"/>
      <c r="H4126" s="83"/>
      <c r="I4126" s="110" t="s">
        <v>11532</v>
      </c>
    </row>
    <row r="4127" spans="1:9">
      <c r="A4127" s="83" t="s">
        <v>10188</v>
      </c>
      <c r="B4127" s="83" t="s">
        <v>10149</v>
      </c>
      <c r="C4127" s="83" t="s">
        <v>10188</v>
      </c>
      <c r="D4127" s="83" t="s">
        <v>10392</v>
      </c>
      <c r="E4127" s="84">
        <f>learners_participated_iec_consulted_muslim_f</f>
        <v>0</v>
      </c>
      <c r="F4127" s="83" t="b">
        <v>1</v>
      </c>
      <c r="G4127" s="83"/>
      <c r="H4127" s="83"/>
      <c r="I4127" s="110" t="s">
        <v>11532</v>
      </c>
    </row>
    <row r="4128" spans="1:9">
      <c r="A4128" s="83" t="s">
        <v>10189</v>
      </c>
      <c r="B4128" s="83" t="s">
        <v>10149</v>
      </c>
      <c r="C4128" s="83" t="s">
        <v>10189</v>
      </c>
      <c r="D4128" s="83" t="s">
        <v>10393</v>
      </c>
      <c r="E4128" s="84">
        <f>learners_participated_iec_consulted_lwd_m</f>
        <v>0</v>
      </c>
      <c r="F4128" s="83" t="b">
        <v>1</v>
      </c>
      <c r="G4128" s="83"/>
      <c r="H4128" s="83"/>
      <c r="I4128" s="110" t="s">
        <v>11532</v>
      </c>
    </row>
    <row r="4129" spans="1:9">
      <c r="A4129" s="83" t="s">
        <v>10190</v>
      </c>
      <c r="B4129" s="83" t="s">
        <v>10149</v>
      </c>
      <c r="C4129" s="83" t="s">
        <v>10190</v>
      </c>
      <c r="D4129" s="83" t="s">
        <v>10394</v>
      </c>
      <c r="E4129" s="84">
        <f>learners_participated_iec_consulted_lwd_f</f>
        <v>0</v>
      </c>
      <c r="F4129" s="83" t="b">
        <v>1</v>
      </c>
      <c r="G4129" s="83"/>
      <c r="H4129" s="83"/>
      <c r="I4129" s="110" t="s">
        <v>11532</v>
      </c>
    </row>
    <row r="4130" spans="1:9">
      <c r="A4130" s="83" t="s">
        <v>10191</v>
      </c>
      <c r="B4130" s="83" t="s">
        <v>10149</v>
      </c>
      <c r="C4130" s="83" t="s">
        <v>10191</v>
      </c>
      <c r="D4130" s="83" t="s">
        <v>10395</v>
      </c>
      <c r="E4130" s="84">
        <f>learners_participated_iec_codevelop_exclude_m</f>
        <v>0</v>
      </c>
      <c r="F4130" s="83" t="b">
        <v>1</v>
      </c>
      <c r="G4130" s="83"/>
      <c r="H4130" s="83"/>
      <c r="I4130" s="110" t="s">
        <v>11532</v>
      </c>
    </row>
    <row r="4131" spans="1:9">
      <c r="A4131" s="83" t="s">
        <v>10192</v>
      </c>
      <c r="B4131" s="83" t="s">
        <v>10149</v>
      </c>
      <c r="C4131" s="83" t="s">
        <v>10192</v>
      </c>
      <c r="D4131" s="83" t="s">
        <v>10396</v>
      </c>
      <c r="E4131" s="84">
        <f>learners_participated_iec_codevelop_exclude_f</f>
        <v>0</v>
      </c>
      <c r="F4131" s="83" t="b">
        <v>1</v>
      </c>
      <c r="G4131" s="83"/>
      <c r="H4131" s="83"/>
      <c r="I4131" s="110" t="s">
        <v>11532</v>
      </c>
    </row>
    <row r="4132" spans="1:9">
      <c r="A4132" s="83" t="s">
        <v>10193</v>
      </c>
      <c r="B4132" s="83" t="s">
        <v>10149</v>
      </c>
      <c r="C4132" s="83" t="s">
        <v>10193</v>
      </c>
      <c r="D4132" s="83" t="s">
        <v>10397</v>
      </c>
      <c r="E4132" s="84">
        <f>learners_participated_iec_codevelop_ip_m</f>
        <v>0</v>
      </c>
      <c r="F4132" s="83" t="b">
        <v>1</v>
      </c>
      <c r="G4132" s="83"/>
      <c r="H4132" s="83"/>
      <c r="I4132" s="110" t="s">
        <v>11532</v>
      </c>
    </row>
    <row r="4133" spans="1:9">
      <c r="A4133" s="83" t="s">
        <v>10194</v>
      </c>
      <c r="B4133" s="83" t="s">
        <v>10149</v>
      </c>
      <c r="C4133" s="83" t="s">
        <v>10194</v>
      </c>
      <c r="D4133" s="83" t="s">
        <v>10398</v>
      </c>
      <c r="E4133" s="84">
        <f>learners_participated_iec_codevelop_ip_f</f>
        <v>0</v>
      </c>
      <c r="F4133" s="83" t="b">
        <v>1</v>
      </c>
      <c r="G4133" s="83"/>
      <c r="H4133" s="83"/>
      <c r="I4133" s="110" t="s">
        <v>11532</v>
      </c>
    </row>
    <row r="4134" spans="1:9">
      <c r="A4134" s="83" t="s">
        <v>10195</v>
      </c>
      <c r="B4134" s="83" t="s">
        <v>10149</v>
      </c>
      <c r="C4134" s="83" t="s">
        <v>10195</v>
      </c>
      <c r="D4134" s="83" t="s">
        <v>10399</v>
      </c>
      <c r="E4134" s="84">
        <f>learners_participated_iec_codevelop_muslim_m</f>
        <v>0</v>
      </c>
      <c r="F4134" s="83" t="b">
        <v>1</v>
      </c>
      <c r="G4134" s="83"/>
      <c r="H4134" s="83"/>
      <c r="I4134" s="110" t="s">
        <v>11532</v>
      </c>
    </row>
    <row r="4135" spans="1:9">
      <c r="A4135" s="83" t="s">
        <v>10196</v>
      </c>
      <c r="B4135" s="83" t="s">
        <v>10149</v>
      </c>
      <c r="C4135" s="83" t="s">
        <v>10196</v>
      </c>
      <c r="D4135" s="83" t="s">
        <v>10400</v>
      </c>
      <c r="E4135" s="84">
        <f>learners_participated_iec_codevelop_muslim_f</f>
        <v>0</v>
      </c>
      <c r="F4135" s="83" t="b">
        <v>1</v>
      </c>
      <c r="G4135" s="83"/>
      <c r="H4135" s="83"/>
      <c r="I4135" s="110" t="s">
        <v>11532</v>
      </c>
    </row>
    <row r="4136" spans="1:9">
      <c r="A4136" s="83" t="s">
        <v>10197</v>
      </c>
      <c r="B4136" s="83" t="s">
        <v>10149</v>
      </c>
      <c r="C4136" s="83" t="s">
        <v>10197</v>
      </c>
      <c r="D4136" s="83" t="s">
        <v>10401</v>
      </c>
      <c r="E4136" s="84">
        <f>learners_participated_iec_codevelop_lwd_m</f>
        <v>0</v>
      </c>
      <c r="F4136" s="83" t="b">
        <v>1</v>
      </c>
      <c r="G4136" s="83"/>
      <c r="H4136" s="83"/>
      <c r="I4136" s="110" t="s">
        <v>11532</v>
      </c>
    </row>
    <row r="4137" spans="1:9">
      <c r="A4137" s="83" t="s">
        <v>10198</v>
      </c>
      <c r="B4137" s="83" t="s">
        <v>10149</v>
      </c>
      <c r="C4137" s="83" t="s">
        <v>10198</v>
      </c>
      <c r="D4137" s="83" t="s">
        <v>10402</v>
      </c>
      <c r="E4137" s="84">
        <f>learners_participated_iec_codevelop_lwd_f</f>
        <v>0</v>
      </c>
      <c r="F4137" s="83" t="b">
        <v>1</v>
      </c>
      <c r="G4137" s="83"/>
      <c r="H4137" s="83"/>
      <c r="I4137" s="110" t="s">
        <v>11532</v>
      </c>
    </row>
    <row r="4138" spans="1:9">
      <c r="A4138" s="83" t="s">
        <v>10199</v>
      </c>
      <c r="B4138" s="83" t="s">
        <v>10149</v>
      </c>
      <c r="C4138" s="83" t="s">
        <v>10199</v>
      </c>
      <c r="D4138" s="83" t="s">
        <v>10403</v>
      </c>
      <c r="E4138" s="84">
        <f>learners_participated_iec_initiated_exclude_m</f>
        <v>0</v>
      </c>
      <c r="F4138" s="83" t="b">
        <v>1</v>
      </c>
      <c r="G4138" s="83"/>
      <c r="H4138" s="83"/>
      <c r="I4138" s="110" t="s">
        <v>11532</v>
      </c>
    </row>
    <row r="4139" spans="1:9">
      <c r="A4139" s="83" t="s">
        <v>10200</v>
      </c>
      <c r="B4139" s="83" t="s">
        <v>10149</v>
      </c>
      <c r="C4139" s="83" t="s">
        <v>10200</v>
      </c>
      <c r="D4139" s="83" t="s">
        <v>10404</v>
      </c>
      <c r="E4139" s="84">
        <f>learners_participated_iec_initiated_exclude_f</f>
        <v>0</v>
      </c>
      <c r="F4139" s="83" t="b">
        <v>1</v>
      </c>
      <c r="G4139" s="83"/>
      <c r="H4139" s="83"/>
      <c r="I4139" s="110" t="s">
        <v>11532</v>
      </c>
    </row>
    <row r="4140" spans="1:9">
      <c r="A4140" s="83" t="s">
        <v>10201</v>
      </c>
      <c r="B4140" s="83" t="s">
        <v>10149</v>
      </c>
      <c r="C4140" s="83" t="s">
        <v>10201</v>
      </c>
      <c r="D4140" s="83" t="s">
        <v>10405</v>
      </c>
      <c r="E4140" s="84">
        <f>learners_participated_iec_initiated_ip_m</f>
        <v>0</v>
      </c>
      <c r="F4140" s="83" t="b">
        <v>1</v>
      </c>
      <c r="G4140" s="83"/>
      <c r="H4140" s="83"/>
      <c r="I4140" s="110" t="s">
        <v>11532</v>
      </c>
    </row>
    <row r="4141" spans="1:9">
      <c r="A4141" s="83" t="s">
        <v>10202</v>
      </c>
      <c r="B4141" s="83" t="s">
        <v>10149</v>
      </c>
      <c r="C4141" s="83" t="s">
        <v>10202</v>
      </c>
      <c r="D4141" s="83" t="s">
        <v>10406</v>
      </c>
      <c r="E4141" s="84">
        <f>learners_participated_iec_initiated_ip_f</f>
        <v>0</v>
      </c>
      <c r="F4141" s="83" t="b">
        <v>1</v>
      </c>
      <c r="G4141" s="83"/>
      <c r="H4141" s="83"/>
      <c r="I4141" s="110" t="s">
        <v>11532</v>
      </c>
    </row>
    <row r="4142" spans="1:9">
      <c r="A4142" s="83" t="s">
        <v>10203</v>
      </c>
      <c r="B4142" s="83" t="s">
        <v>10149</v>
      </c>
      <c r="C4142" s="83" t="s">
        <v>10203</v>
      </c>
      <c r="D4142" s="83" t="s">
        <v>10407</v>
      </c>
      <c r="E4142" s="84">
        <f>learners_participated_iec_initiated_muslim_m</f>
        <v>0</v>
      </c>
      <c r="F4142" s="83" t="b">
        <v>1</v>
      </c>
      <c r="G4142" s="83"/>
      <c r="H4142" s="83"/>
      <c r="I4142" s="110" t="s">
        <v>11532</v>
      </c>
    </row>
    <row r="4143" spans="1:9">
      <c r="A4143" s="83" t="s">
        <v>10204</v>
      </c>
      <c r="B4143" s="83" t="s">
        <v>10149</v>
      </c>
      <c r="C4143" s="83" t="s">
        <v>10204</v>
      </c>
      <c r="D4143" s="83" t="s">
        <v>10408</v>
      </c>
      <c r="E4143" s="84">
        <f>learners_participated_iec_initiated_muslim_f</f>
        <v>0</v>
      </c>
      <c r="F4143" s="83" t="b">
        <v>1</v>
      </c>
      <c r="G4143" s="83"/>
      <c r="H4143" s="83"/>
      <c r="I4143" s="110" t="s">
        <v>11532</v>
      </c>
    </row>
    <row r="4144" spans="1:9">
      <c r="A4144" s="83" t="s">
        <v>10205</v>
      </c>
      <c r="B4144" s="83" t="s">
        <v>10149</v>
      </c>
      <c r="C4144" s="83" t="s">
        <v>10205</v>
      </c>
      <c r="D4144" s="83" t="s">
        <v>10409</v>
      </c>
      <c r="E4144" s="84">
        <f>learners_participated_iec_initiated_lwd_m</f>
        <v>0</v>
      </c>
      <c r="F4144" s="83" t="b">
        <v>1</v>
      </c>
      <c r="G4144" s="83"/>
      <c r="H4144" s="83"/>
      <c r="I4144" s="110" t="s">
        <v>11532</v>
      </c>
    </row>
    <row r="4145" spans="1:9" ht="16" thickBot="1">
      <c r="A4145" s="85" t="s">
        <v>10206</v>
      </c>
      <c r="B4145" s="85" t="s">
        <v>10149</v>
      </c>
      <c r="C4145" s="85" t="s">
        <v>10206</v>
      </c>
      <c r="D4145" s="85" t="s">
        <v>10410</v>
      </c>
      <c r="E4145" s="86">
        <f>learners_participated_iec_initiated_lwd_f</f>
        <v>0</v>
      </c>
      <c r="F4145" s="85" t="b">
        <v>1</v>
      </c>
      <c r="G4145" s="85"/>
      <c r="H4145" s="85"/>
      <c r="I4145" s="110" t="s">
        <v>11532</v>
      </c>
    </row>
    <row r="4146" spans="1:9">
      <c r="A4146" s="83" t="s">
        <v>10414</v>
      </c>
      <c r="B4146" s="83" t="s">
        <v>10149</v>
      </c>
      <c r="C4146" s="83" t="s">
        <v>10414</v>
      </c>
      <c r="D4146" s="83" t="s">
        <v>10538</v>
      </c>
      <c r="E4146" s="84">
        <f>number_personnel_trained_drrmccampbp_bypartners_teaching_m</f>
        <v>0</v>
      </c>
      <c r="F4146" s="83" t="b">
        <v>1</v>
      </c>
      <c r="G4146" s="83"/>
      <c r="H4146" s="83"/>
      <c r="I4146" s="110" t="s">
        <v>11532</v>
      </c>
    </row>
    <row r="4147" spans="1:9">
      <c r="A4147" s="83" t="s">
        <v>10415</v>
      </c>
      <c r="B4147" s="83" t="s">
        <v>10149</v>
      </c>
      <c r="C4147" s="83" t="s">
        <v>10415</v>
      </c>
      <c r="D4147" s="83" t="s">
        <v>10539</v>
      </c>
      <c r="E4147" s="84">
        <f>number_personnel_trained_drrmccampbp_bypartners_teaching_f</f>
        <v>0</v>
      </c>
      <c r="F4147" s="83" t="b">
        <v>1</v>
      </c>
      <c r="G4147" s="83"/>
      <c r="H4147" s="83"/>
      <c r="I4147" s="110" t="s">
        <v>11532</v>
      </c>
    </row>
    <row r="4148" spans="1:9">
      <c r="A4148" s="83" t="s">
        <v>10416</v>
      </c>
      <c r="B4148" s="83" t="s">
        <v>10149</v>
      </c>
      <c r="C4148" s="83" t="s">
        <v>10416</v>
      </c>
      <c r="D4148" s="83" t="s">
        <v>10540</v>
      </c>
      <c r="E4148" s="84">
        <f>number_personnel_trained_drrmccampbp_bypartners_nonteaching_m</f>
        <v>0</v>
      </c>
      <c r="F4148" s="83" t="b">
        <v>1</v>
      </c>
      <c r="G4148" s="83"/>
      <c r="H4148" s="83"/>
      <c r="I4148" s="110" t="s">
        <v>11532</v>
      </c>
    </row>
    <row r="4149" spans="1:9">
      <c r="A4149" s="83" t="s">
        <v>10417</v>
      </c>
      <c r="B4149" s="83" t="s">
        <v>10149</v>
      </c>
      <c r="C4149" s="83" t="s">
        <v>10417</v>
      </c>
      <c r="D4149" s="83" t="s">
        <v>10541</v>
      </c>
      <c r="E4149" s="84">
        <f>number_personnel_trained_drrmccampbp_bypartners_nonteaching_f</f>
        <v>0</v>
      </c>
      <c r="F4149" s="83" t="b">
        <v>1</v>
      </c>
      <c r="G4149" s="83"/>
      <c r="H4149" s="83"/>
      <c r="I4149" s="110" t="s">
        <v>11532</v>
      </c>
    </row>
    <row r="4150" spans="1:9">
      <c r="A4150" s="83" t="s">
        <v>10418</v>
      </c>
      <c r="B4150" s="83" t="s">
        <v>10149</v>
      </c>
      <c r="C4150" s="83" t="s">
        <v>10418</v>
      </c>
      <c r="D4150" s="83" t="s">
        <v>10542</v>
      </c>
      <c r="E4150" s="84">
        <f>number_stakeholders_participated_drrmccampbp_learner</f>
        <v>976</v>
      </c>
      <c r="F4150" s="83" t="b">
        <v>1</v>
      </c>
      <c r="G4150" s="83"/>
      <c r="H4150" s="83"/>
      <c r="I4150" s="110" t="s">
        <v>11532</v>
      </c>
    </row>
    <row r="4151" spans="1:9">
      <c r="A4151" s="83" t="s">
        <v>10419</v>
      </c>
      <c r="B4151" s="83" t="s">
        <v>10149</v>
      </c>
      <c r="C4151" s="83" t="s">
        <v>10419</v>
      </c>
      <c r="D4151" s="83" t="s">
        <v>10543</v>
      </c>
      <c r="E4151" s="84">
        <f>number_stakeholders_participated_drrmccampbp_personnel</f>
        <v>346</v>
      </c>
      <c r="F4151" s="83" t="b">
        <v>1</v>
      </c>
      <c r="G4151" s="83"/>
      <c r="H4151" s="83"/>
      <c r="I4151" s="110" t="s">
        <v>11532</v>
      </c>
    </row>
    <row r="4152" spans="1:9">
      <c r="A4152" s="83" t="s">
        <v>10420</v>
      </c>
      <c r="B4152" s="83" t="s">
        <v>10149</v>
      </c>
      <c r="C4152" s="83" t="s">
        <v>10420</v>
      </c>
      <c r="D4152" s="83" t="s">
        <v>10544</v>
      </c>
      <c r="E4152" s="84">
        <f>number_stakeholders_participated_drrmccampbp_parent</f>
        <v>0</v>
      </c>
      <c r="F4152" s="83" t="b">
        <v>1</v>
      </c>
      <c r="G4152" s="83"/>
      <c r="H4152" s="83"/>
      <c r="I4152" s="110" t="s">
        <v>11532</v>
      </c>
    </row>
    <row r="4153" spans="1:9">
      <c r="A4153" s="83" t="s">
        <v>10421</v>
      </c>
      <c r="B4153" s="83" t="s">
        <v>10149</v>
      </c>
      <c r="C4153" s="83" t="s">
        <v>10421</v>
      </c>
      <c r="D4153" s="83" t="s">
        <v>10545</v>
      </c>
      <c r="E4153" s="84">
        <f>number_stakeholders_participated_drrmccampbp_lgu</f>
        <v>0</v>
      </c>
      <c r="F4153" s="83" t="b">
        <v>1</v>
      </c>
      <c r="G4153" s="83"/>
      <c r="H4153" s="83"/>
      <c r="I4153" s="110" t="s">
        <v>11532</v>
      </c>
    </row>
    <row r="4154" spans="1:9">
      <c r="A4154" s="83" t="s">
        <v>10422</v>
      </c>
      <c r="B4154" s="83" t="s">
        <v>10149</v>
      </c>
      <c r="C4154" s="83" t="s">
        <v>10422</v>
      </c>
      <c r="D4154" s="83" t="s">
        <v>10546</v>
      </c>
      <c r="E4154" s="84">
        <f>number_stakeholders_participated_drrmccampbp_ngo</f>
        <v>0</v>
      </c>
      <c r="F4154" s="83" t="b">
        <v>1</v>
      </c>
      <c r="G4154" s="83"/>
      <c r="H4154" s="83"/>
      <c r="I4154" s="110" t="s">
        <v>11532</v>
      </c>
    </row>
    <row r="4155" spans="1:9">
      <c r="A4155" s="83" t="s">
        <v>10423</v>
      </c>
      <c r="B4155" s="83" t="s">
        <v>10149</v>
      </c>
      <c r="C4155" s="83" t="s">
        <v>10423</v>
      </c>
      <c r="D4155" s="83" t="s">
        <v>10547</v>
      </c>
      <c r="E4155" s="84">
        <f>number_stakeholder_drrm_firstaid_teaching_m</f>
        <v>0</v>
      </c>
      <c r="F4155" s="83" t="b">
        <v>1</v>
      </c>
      <c r="G4155" s="83"/>
      <c r="H4155" s="83"/>
      <c r="I4155" s="110" t="s">
        <v>11532</v>
      </c>
    </row>
    <row r="4156" spans="1:9">
      <c r="A4156" s="83" t="s">
        <v>10424</v>
      </c>
      <c r="B4156" s="83" t="s">
        <v>10149</v>
      </c>
      <c r="C4156" s="83" t="s">
        <v>10424</v>
      </c>
      <c r="D4156" s="83" t="s">
        <v>10548</v>
      </c>
      <c r="E4156" s="84">
        <f>number_stakeholder_drrm_firstaid_teaching_f</f>
        <v>0</v>
      </c>
      <c r="F4156" s="83" t="b">
        <v>1</v>
      </c>
      <c r="G4156" s="83"/>
      <c r="H4156" s="83"/>
      <c r="I4156" s="110" t="s">
        <v>11532</v>
      </c>
    </row>
    <row r="4157" spans="1:9">
      <c r="A4157" s="83" t="s">
        <v>10425</v>
      </c>
      <c r="B4157" s="83" t="s">
        <v>10149</v>
      </c>
      <c r="C4157" s="83" t="s">
        <v>10425</v>
      </c>
      <c r="D4157" s="83" t="s">
        <v>10549</v>
      </c>
      <c r="E4157" s="84">
        <f>number_stakeholder_drrm_firstaid_nonteaching_m</f>
        <v>0</v>
      </c>
      <c r="F4157" s="83" t="b">
        <v>1</v>
      </c>
      <c r="G4157" s="83"/>
      <c r="H4157" s="83"/>
      <c r="I4157" s="110" t="s">
        <v>11532</v>
      </c>
    </row>
    <row r="4158" spans="1:9">
      <c r="A4158" s="83" t="s">
        <v>10426</v>
      </c>
      <c r="B4158" s="83" t="s">
        <v>10149</v>
      </c>
      <c r="C4158" s="83" t="s">
        <v>10426</v>
      </c>
      <c r="D4158" s="83" t="s">
        <v>10550</v>
      </c>
      <c r="E4158" s="84">
        <f>number_stakeholder_drrm_firstaid_nonteaching_f</f>
        <v>0</v>
      </c>
      <c r="F4158" s="83" t="b">
        <v>1</v>
      </c>
      <c r="G4158" s="83"/>
      <c r="H4158" s="83"/>
      <c r="I4158" s="110" t="s">
        <v>11532</v>
      </c>
    </row>
    <row r="4159" spans="1:9">
      <c r="A4159" s="83" t="s">
        <v>10427</v>
      </c>
      <c r="B4159" s="83" t="s">
        <v>10149</v>
      </c>
      <c r="C4159" s="83" t="s">
        <v>10427</v>
      </c>
      <c r="D4159" s="83" t="s">
        <v>10551</v>
      </c>
      <c r="E4159" s="84">
        <f>number_stakeholder_drrm_earthquake_prepare_teaching_m</f>
        <v>0</v>
      </c>
      <c r="F4159" s="83" t="b">
        <v>1</v>
      </c>
      <c r="G4159" s="83"/>
      <c r="H4159" s="83"/>
      <c r="I4159" s="110" t="s">
        <v>11532</v>
      </c>
    </row>
    <row r="4160" spans="1:9">
      <c r="A4160" s="83" t="s">
        <v>10428</v>
      </c>
      <c r="B4160" s="83" t="s">
        <v>10149</v>
      </c>
      <c r="C4160" s="83" t="s">
        <v>10428</v>
      </c>
      <c r="D4160" s="83" t="s">
        <v>10552</v>
      </c>
      <c r="E4160" s="84">
        <f>number_stakeholder_drrm_earthquake_prepare_teaching_f</f>
        <v>0</v>
      </c>
      <c r="F4160" s="83" t="b">
        <v>1</v>
      </c>
      <c r="G4160" s="83"/>
      <c r="H4160" s="83"/>
      <c r="I4160" s="110" t="s">
        <v>11532</v>
      </c>
    </row>
    <row r="4161" spans="1:9">
      <c r="A4161" s="83" t="s">
        <v>10429</v>
      </c>
      <c r="B4161" s="83" t="s">
        <v>10149</v>
      </c>
      <c r="C4161" s="83" t="s">
        <v>10429</v>
      </c>
      <c r="D4161" s="83" t="s">
        <v>10553</v>
      </c>
      <c r="E4161" s="84">
        <f>number_stakeholder_drrm_earthquake_prepare_nonteaching_m</f>
        <v>0</v>
      </c>
      <c r="F4161" s="83" t="b">
        <v>1</v>
      </c>
      <c r="G4161" s="83"/>
      <c r="H4161" s="83"/>
      <c r="I4161" s="110" t="s">
        <v>11532</v>
      </c>
    </row>
    <row r="4162" spans="1:9">
      <c r="A4162" s="83" t="s">
        <v>10430</v>
      </c>
      <c r="B4162" s="83" t="s">
        <v>10149</v>
      </c>
      <c r="C4162" s="83" t="s">
        <v>10430</v>
      </c>
      <c r="D4162" s="83" t="s">
        <v>10554</v>
      </c>
      <c r="E4162" s="84">
        <f>number_stakeholder_drrm_earthquake_prepare_nonteaching_f</f>
        <v>0</v>
      </c>
      <c r="F4162" s="83" t="b">
        <v>1</v>
      </c>
      <c r="G4162" s="83"/>
      <c r="H4162" s="83"/>
      <c r="I4162" s="110" t="s">
        <v>11532</v>
      </c>
    </row>
    <row r="4163" spans="1:9">
      <c r="A4163" s="83" t="s">
        <v>10431</v>
      </c>
      <c r="B4163" s="83" t="s">
        <v>10149</v>
      </c>
      <c r="C4163" s="83" t="s">
        <v>10431</v>
      </c>
      <c r="D4163" s="83" t="s">
        <v>10555</v>
      </c>
      <c r="E4163" s="84">
        <f>number_stakeholder_drrm_swhm_teaching_m</f>
        <v>0</v>
      </c>
      <c r="F4163" s="83" t="b">
        <v>1</v>
      </c>
      <c r="G4163" s="83"/>
      <c r="H4163" s="83"/>
      <c r="I4163" s="110" t="s">
        <v>11532</v>
      </c>
    </row>
    <row r="4164" spans="1:9">
      <c r="A4164" s="83" t="s">
        <v>10432</v>
      </c>
      <c r="B4164" s="83" t="s">
        <v>10149</v>
      </c>
      <c r="C4164" s="83" t="s">
        <v>10432</v>
      </c>
      <c r="D4164" s="83" t="s">
        <v>10556</v>
      </c>
      <c r="E4164" s="84">
        <f>number_stakeholder_drrm_swhm_teaching_f</f>
        <v>0</v>
      </c>
      <c r="F4164" s="83" t="b">
        <v>1</v>
      </c>
      <c r="G4164" s="83"/>
      <c r="H4164" s="83"/>
      <c r="I4164" s="110" t="s">
        <v>11532</v>
      </c>
    </row>
    <row r="4165" spans="1:9">
      <c r="A4165" s="83" t="s">
        <v>10433</v>
      </c>
      <c r="B4165" s="83" t="s">
        <v>10149</v>
      </c>
      <c r="C4165" s="83" t="s">
        <v>10433</v>
      </c>
      <c r="D4165" s="83" t="s">
        <v>10557</v>
      </c>
      <c r="E4165" s="84">
        <f>number_stakeholder_drrm_swhm_nonteaching_m</f>
        <v>0</v>
      </c>
      <c r="F4165" s="83" t="b">
        <v>1</v>
      </c>
      <c r="G4165" s="83"/>
      <c r="H4165" s="83"/>
      <c r="I4165" s="110" t="s">
        <v>11532</v>
      </c>
    </row>
    <row r="4166" spans="1:9">
      <c r="A4166" s="83" t="s">
        <v>10434</v>
      </c>
      <c r="B4166" s="83" t="s">
        <v>10149</v>
      </c>
      <c r="C4166" s="83" t="s">
        <v>10434</v>
      </c>
      <c r="D4166" s="83" t="s">
        <v>10558</v>
      </c>
      <c r="E4166" s="84">
        <f>number_stakeholder_drrm_swhm_nonteaching_f</f>
        <v>0</v>
      </c>
      <c r="F4166" s="83" t="b">
        <v>1</v>
      </c>
      <c r="G4166" s="83"/>
      <c r="H4166" s="83"/>
      <c r="I4166" s="110" t="s">
        <v>11532</v>
      </c>
    </row>
    <row r="4167" spans="1:9">
      <c r="A4167" s="83" t="s">
        <v>10435</v>
      </c>
      <c r="B4167" s="83" t="s">
        <v>10149</v>
      </c>
      <c r="C4167" s="83" t="s">
        <v>10435</v>
      </c>
      <c r="D4167" s="83" t="s">
        <v>10559</v>
      </c>
      <c r="E4167" s="84">
        <f>number_stakeholder_drrm_celebration_events_teaching_m</f>
        <v>0</v>
      </c>
      <c r="F4167" s="83" t="b">
        <v>1</v>
      </c>
      <c r="G4167" s="83"/>
      <c r="H4167" s="83"/>
      <c r="I4167" s="110" t="s">
        <v>11532</v>
      </c>
    </row>
    <row r="4168" spans="1:9">
      <c r="A4168" s="83" t="s">
        <v>10436</v>
      </c>
      <c r="B4168" s="83" t="s">
        <v>10149</v>
      </c>
      <c r="C4168" s="83" t="s">
        <v>10436</v>
      </c>
      <c r="D4168" s="83" t="s">
        <v>10560</v>
      </c>
      <c r="E4168" s="84">
        <f>number_stakeholder_drrm_celebration_events_teaching_f</f>
        <v>0</v>
      </c>
      <c r="F4168" s="83" t="b">
        <v>1</v>
      </c>
      <c r="G4168" s="83"/>
      <c r="H4168" s="83"/>
      <c r="I4168" s="110" t="s">
        <v>11532</v>
      </c>
    </row>
    <row r="4169" spans="1:9">
      <c r="A4169" s="83" t="s">
        <v>10437</v>
      </c>
      <c r="B4169" s="83" t="s">
        <v>10149</v>
      </c>
      <c r="C4169" s="83" t="s">
        <v>10437</v>
      </c>
      <c r="D4169" s="83" t="s">
        <v>10561</v>
      </c>
      <c r="E4169" s="84">
        <f>number_stakeholder_drrm_celebration_events_nonteaching_m</f>
        <v>0</v>
      </c>
      <c r="F4169" s="83" t="b">
        <v>1</v>
      </c>
      <c r="G4169" s="83"/>
      <c r="H4169" s="83"/>
      <c r="I4169" s="110" t="s">
        <v>11532</v>
      </c>
    </row>
    <row r="4170" spans="1:9">
      <c r="A4170" s="83" t="s">
        <v>10438</v>
      </c>
      <c r="B4170" s="83" t="s">
        <v>10149</v>
      </c>
      <c r="C4170" s="83" t="s">
        <v>10438</v>
      </c>
      <c r="D4170" s="83" t="s">
        <v>10562</v>
      </c>
      <c r="E4170" s="84">
        <f>number_stakeholder_drrm_celebration_events_nonteaching_f</f>
        <v>0</v>
      </c>
      <c r="F4170" s="83" t="b">
        <v>1</v>
      </c>
      <c r="G4170" s="83"/>
      <c r="H4170" s="83"/>
      <c r="I4170" s="110" t="s">
        <v>11532</v>
      </c>
    </row>
    <row r="4171" spans="1:9">
      <c r="A4171" s="83" t="s">
        <v>10439</v>
      </c>
      <c r="B4171" s="83" t="s">
        <v>10149</v>
      </c>
      <c r="C4171" s="83" t="s">
        <v>10439</v>
      </c>
      <c r="D4171" s="83" t="s">
        <v>10563</v>
      </c>
      <c r="E4171" s="84">
        <f>number_stakeholder_drrm_drrmcamp_teaching_m</f>
        <v>0</v>
      </c>
      <c r="F4171" s="83" t="b">
        <v>1</v>
      </c>
      <c r="G4171" s="83"/>
      <c r="H4171" s="83"/>
      <c r="I4171" s="110" t="s">
        <v>11532</v>
      </c>
    </row>
    <row r="4172" spans="1:9">
      <c r="A4172" s="83" t="s">
        <v>10440</v>
      </c>
      <c r="B4172" s="83" t="s">
        <v>10149</v>
      </c>
      <c r="C4172" s="83" t="s">
        <v>10440</v>
      </c>
      <c r="D4172" s="83" t="s">
        <v>10564</v>
      </c>
      <c r="E4172" s="84">
        <f>number_stakeholder_drrm_drrmcamp_teaching_f</f>
        <v>0</v>
      </c>
      <c r="F4172" s="83" t="b">
        <v>1</v>
      </c>
      <c r="G4172" s="83"/>
      <c r="H4172" s="83"/>
      <c r="I4172" s="110" t="s">
        <v>11532</v>
      </c>
    </row>
    <row r="4173" spans="1:9">
      <c r="A4173" s="83" t="s">
        <v>10441</v>
      </c>
      <c r="B4173" s="83" t="s">
        <v>10149</v>
      </c>
      <c r="C4173" s="83" t="s">
        <v>10441</v>
      </c>
      <c r="D4173" s="83" t="s">
        <v>10565</v>
      </c>
      <c r="E4173" s="84">
        <f>number_stakeholder_drrm_drrmcamp_nonteaching_m</f>
        <v>0</v>
      </c>
      <c r="F4173" s="83" t="b">
        <v>1</v>
      </c>
      <c r="G4173" s="83"/>
      <c r="H4173" s="83"/>
      <c r="I4173" s="110" t="s">
        <v>11532</v>
      </c>
    </row>
    <row r="4174" spans="1:9">
      <c r="A4174" s="83" t="s">
        <v>10442</v>
      </c>
      <c r="B4174" s="83" t="s">
        <v>10149</v>
      </c>
      <c r="C4174" s="83" t="s">
        <v>10442</v>
      </c>
      <c r="D4174" s="83" t="s">
        <v>10566</v>
      </c>
      <c r="E4174" s="84">
        <f>number_stakeholder_drrm_drrmcamp_nonteaching_f</f>
        <v>0</v>
      </c>
      <c r="F4174" s="83" t="b">
        <v>1</v>
      </c>
      <c r="G4174" s="83"/>
      <c r="H4174" s="83"/>
      <c r="I4174" s="110" t="s">
        <v>11532</v>
      </c>
    </row>
    <row r="4175" spans="1:9">
      <c r="A4175" s="83" t="s">
        <v>10447</v>
      </c>
      <c r="B4175" s="83" t="s">
        <v>10149</v>
      </c>
      <c r="C4175" s="83" t="s">
        <v>10447</v>
      </c>
      <c r="D4175" s="83" t="s">
        <v>10567</v>
      </c>
      <c r="E4175" s="84">
        <f>number_stakeholder_drrm_youth_council_teaching_m</f>
        <v>0</v>
      </c>
      <c r="F4175" s="83" t="b">
        <v>1</v>
      </c>
      <c r="G4175" s="83"/>
      <c r="H4175" s="83"/>
      <c r="I4175" s="110" t="s">
        <v>11532</v>
      </c>
    </row>
    <row r="4176" spans="1:9">
      <c r="A4176" s="83" t="s">
        <v>10448</v>
      </c>
      <c r="B4176" s="83" t="s">
        <v>10149</v>
      </c>
      <c r="C4176" s="83" t="s">
        <v>10448</v>
      </c>
      <c r="D4176" s="83" t="s">
        <v>10568</v>
      </c>
      <c r="E4176" s="84">
        <f>number_stakeholder_drrm_youth_council_teaching_f</f>
        <v>0</v>
      </c>
      <c r="F4176" s="83" t="b">
        <v>1</v>
      </c>
      <c r="G4176" s="83"/>
      <c r="H4176" s="83"/>
      <c r="I4176" s="110" t="s">
        <v>11532</v>
      </c>
    </row>
    <row r="4177" spans="1:9">
      <c r="A4177" s="83" t="s">
        <v>10449</v>
      </c>
      <c r="B4177" s="83" t="s">
        <v>10149</v>
      </c>
      <c r="C4177" s="83" t="s">
        <v>10449</v>
      </c>
      <c r="D4177" s="83" t="s">
        <v>10569</v>
      </c>
      <c r="E4177" s="84">
        <f>number_stakeholder_drrm_youth_council_nonteaching_m</f>
        <v>0</v>
      </c>
      <c r="F4177" s="83" t="b">
        <v>1</v>
      </c>
      <c r="G4177" s="83"/>
      <c r="H4177" s="83"/>
      <c r="I4177" s="110" t="s">
        <v>11532</v>
      </c>
    </row>
    <row r="4178" spans="1:9">
      <c r="A4178" s="83" t="s">
        <v>10450</v>
      </c>
      <c r="B4178" s="83" t="s">
        <v>10149</v>
      </c>
      <c r="C4178" s="83" t="s">
        <v>10450</v>
      </c>
      <c r="D4178" s="83" t="s">
        <v>10570</v>
      </c>
      <c r="E4178" s="84">
        <f>number_stakeholder_drrm_youth_council_nonteaching_f</f>
        <v>0</v>
      </c>
      <c r="F4178" s="83" t="b">
        <v>1</v>
      </c>
      <c r="G4178" s="83"/>
      <c r="H4178" s="83"/>
      <c r="I4178" s="110" t="s">
        <v>11532</v>
      </c>
    </row>
    <row r="4179" spans="1:9">
      <c r="A4179" s="83" t="s">
        <v>10443</v>
      </c>
      <c r="B4179" s="83" t="s">
        <v>10149</v>
      </c>
      <c r="C4179" s="83" t="s">
        <v>10443</v>
      </c>
      <c r="D4179" s="83" t="s">
        <v>10571</v>
      </c>
      <c r="E4179" s="84">
        <f>number_stakeholder_drrm_youth_action_teaching_m</f>
        <v>0</v>
      </c>
      <c r="F4179" s="83" t="b">
        <v>1</v>
      </c>
      <c r="G4179" s="83"/>
      <c r="H4179" s="83"/>
      <c r="I4179" s="110" t="s">
        <v>11532</v>
      </c>
    </row>
    <row r="4180" spans="1:9">
      <c r="A4180" s="83" t="s">
        <v>10444</v>
      </c>
      <c r="B4180" s="83" t="s">
        <v>10149</v>
      </c>
      <c r="C4180" s="83" t="s">
        <v>10444</v>
      </c>
      <c r="D4180" s="83" t="s">
        <v>10572</v>
      </c>
      <c r="E4180" s="84">
        <f>number_stakeholder_drrm_youth_action_teaching_f</f>
        <v>0</v>
      </c>
      <c r="F4180" s="83" t="b">
        <v>1</v>
      </c>
      <c r="G4180" s="83"/>
      <c r="H4180" s="83"/>
      <c r="I4180" s="110" t="s">
        <v>11532</v>
      </c>
    </row>
    <row r="4181" spans="1:9">
      <c r="A4181" s="83" t="s">
        <v>10445</v>
      </c>
      <c r="B4181" s="83" t="s">
        <v>10149</v>
      </c>
      <c r="C4181" s="83" t="s">
        <v>10445</v>
      </c>
      <c r="D4181" s="83" t="s">
        <v>10573</v>
      </c>
      <c r="E4181" s="84">
        <f>number_stakeholder_drrm_youth_action_nonteaching_m</f>
        <v>0</v>
      </c>
      <c r="F4181" s="83" t="b">
        <v>1</v>
      </c>
      <c r="G4181" s="83"/>
      <c r="H4181" s="83"/>
      <c r="I4181" s="110" t="s">
        <v>11532</v>
      </c>
    </row>
    <row r="4182" spans="1:9">
      <c r="A4182" s="83" t="s">
        <v>10446</v>
      </c>
      <c r="B4182" s="83" t="s">
        <v>10149</v>
      </c>
      <c r="C4182" s="83" t="s">
        <v>10446</v>
      </c>
      <c r="D4182" s="83" t="s">
        <v>10574</v>
      </c>
      <c r="E4182" s="84">
        <f>number_stakeholder_drrm_youth_action_nonteaching_f</f>
        <v>0</v>
      </c>
      <c r="F4182" s="83" t="b">
        <v>1</v>
      </c>
      <c r="G4182" s="83"/>
      <c r="H4182" s="83"/>
      <c r="I4182" s="110" t="s">
        <v>11532</v>
      </c>
    </row>
    <row r="4183" spans="1:9">
      <c r="A4183" s="83" t="s">
        <v>10451</v>
      </c>
      <c r="B4183" s="83" t="s">
        <v>10149</v>
      </c>
      <c r="C4183" s="83" t="s">
        <v>10451</v>
      </c>
      <c r="D4183" s="83" t="s">
        <v>10575</v>
      </c>
      <c r="E4183" s="84">
        <f>number_stakeholder_drrm_campusjourn_teaching_m</f>
        <v>0</v>
      </c>
      <c r="F4183" s="83" t="b">
        <v>1</v>
      </c>
      <c r="G4183" s="83"/>
      <c r="H4183" s="83"/>
      <c r="I4183" s="110" t="s">
        <v>11532</v>
      </c>
    </row>
    <row r="4184" spans="1:9">
      <c r="A4184" s="83" t="s">
        <v>10452</v>
      </c>
      <c r="B4184" s="83" t="s">
        <v>10149</v>
      </c>
      <c r="C4184" s="83" t="s">
        <v>10452</v>
      </c>
      <c r="D4184" s="83" t="s">
        <v>10576</v>
      </c>
      <c r="E4184" s="84">
        <f>number_stakeholder_drrm_campusjourn_teaching_f</f>
        <v>0</v>
      </c>
      <c r="F4184" s="83" t="b">
        <v>1</v>
      </c>
      <c r="G4184" s="83"/>
      <c r="H4184" s="83"/>
      <c r="I4184" s="110" t="s">
        <v>11532</v>
      </c>
    </row>
    <row r="4185" spans="1:9">
      <c r="A4185" s="83" t="s">
        <v>10453</v>
      </c>
      <c r="B4185" s="83" t="s">
        <v>10149</v>
      </c>
      <c r="C4185" s="83" t="s">
        <v>10453</v>
      </c>
      <c r="D4185" s="83" t="s">
        <v>10577</v>
      </c>
      <c r="E4185" s="84">
        <f>number_stakeholder_drrm_campusjourn_nonteaching_m</f>
        <v>0</v>
      </c>
      <c r="F4185" s="83" t="b">
        <v>1</v>
      </c>
      <c r="G4185" s="83"/>
      <c r="H4185" s="83"/>
      <c r="I4185" s="110" t="s">
        <v>11532</v>
      </c>
    </row>
    <row r="4186" spans="1:9">
      <c r="A4186" s="83" t="s">
        <v>10454</v>
      </c>
      <c r="B4186" s="83" t="s">
        <v>10149</v>
      </c>
      <c r="C4186" s="83" t="s">
        <v>10454</v>
      </c>
      <c r="D4186" s="83" t="s">
        <v>10578</v>
      </c>
      <c r="E4186" s="84">
        <f>number_stakeholder_drrm_campusjourn_nonteaching_f</f>
        <v>0</v>
      </c>
      <c r="F4186" s="83" t="b">
        <v>1</v>
      </c>
      <c r="G4186" s="83"/>
      <c r="H4186" s="83"/>
      <c r="I4186" s="110" t="s">
        <v>11532</v>
      </c>
    </row>
    <row r="4187" spans="1:9">
      <c r="A4187" s="83" t="s">
        <v>10459</v>
      </c>
      <c r="B4187" s="83" t="s">
        <v>10149</v>
      </c>
      <c r="C4187" s="83" t="s">
        <v>10459</v>
      </c>
      <c r="D4187" s="83" t="s">
        <v>10583</v>
      </c>
      <c r="E4187" s="84">
        <f>number_stakeholder_drrm_others_specify</f>
        <v>0</v>
      </c>
      <c r="F4187" s="83" t="b">
        <v>1</v>
      </c>
      <c r="G4187" s="83"/>
      <c r="H4187" s="83"/>
      <c r="I4187" s="110" t="s">
        <v>11532</v>
      </c>
    </row>
    <row r="4188" spans="1:9">
      <c r="A4188" s="83" t="s">
        <v>10455</v>
      </c>
      <c r="B4188" s="83" t="s">
        <v>10149</v>
      </c>
      <c r="C4188" s="83" t="s">
        <v>10455</v>
      </c>
      <c r="D4188" s="83" t="s">
        <v>10579</v>
      </c>
      <c r="E4188" s="84">
        <f>number_stakeholder_drrm_others_teaching_m</f>
        <v>0</v>
      </c>
      <c r="F4188" s="83" t="b">
        <v>1</v>
      </c>
      <c r="G4188" s="83"/>
      <c r="H4188" s="83"/>
      <c r="I4188" s="110" t="s">
        <v>11532</v>
      </c>
    </row>
    <row r="4189" spans="1:9">
      <c r="A4189" s="83" t="s">
        <v>10456</v>
      </c>
      <c r="B4189" s="83" t="s">
        <v>10149</v>
      </c>
      <c r="C4189" s="83" t="s">
        <v>10456</v>
      </c>
      <c r="D4189" s="83" t="s">
        <v>10580</v>
      </c>
      <c r="E4189" s="84">
        <f>number_stakeholder_drrm_others_teaching_f</f>
        <v>0</v>
      </c>
      <c r="F4189" s="83" t="b">
        <v>1</v>
      </c>
      <c r="G4189" s="83"/>
      <c r="H4189" s="83"/>
      <c r="I4189" s="110" t="s">
        <v>11532</v>
      </c>
    </row>
    <row r="4190" spans="1:9">
      <c r="A4190" s="83" t="s">
        <v>10457</v>
      </c>
      <c r="B4190" s="83" t="s">
        <v>10149</v>
      </c>
      <c r="C4190" s="83" t="s">
        <v>10457</v>
      </c>
      <c r="D4190" s="83" t="s">
        <v>10581</v>
      </c>
      <c r="E4190" s="84">
        <f>number_stakeholder_drrm_others_nonteaching_m</f>
        <v>0</v>
      </c>
      <c r="F4190" s="83" t="b">
        <v>1</v>
      </c>
      <c r="G4190" s="83"/>
      <c r="H4190" s="83"/>
      <c r="I4190" s="110" t="s">
        <v>11532</v>
      </c>
    </row>
    <row r="4191" spans="1:9">
      <c r="A4191" s="83" t="s">
        <v>10458</v>
      </c>
      <c r="B4191" s="83" t="s">
        <v>10149</v>
      </c>
      <c r="C4191" s="83" t="s">
        <v>10458</v>
      </c>
      <c r="D4191" s="83" t="s">
        <v>10582</v>
      </c>
      <c r="E4191" s="84">
        <f>number_stakeholder_drrm_others_nonteaching_f</f>
        <v>0</v>
      </c>
      <c r="F4191" s="83" t="b">
        <v>1</v>
      </c>
      <c r="G4191" s="83"/>
      <c r="H4191" s="83"/>
      <c r="I4191" s="110" t="s">
        <v>11532</v>
      </c>
    </row>
    <row r="4192" spans="1:9">
      <c r="A4192" s="83" t="s">
        <v>10460</v>
      </c>
      <c r="B4192" s="83" t="s">
        <v>10149</v>
      </c>
      <c r="C4192" s="83" t="s">
        <v>10460</v>
      </c>
      <c r="D4192" s="83" t="s">
        <v>10584</v>
      </c>
      <c r="E4192" s="84">
        <f>number_stakeholder_ccam_art_climatechange_teaching_m</f>
        <v>0</v>
      </c>
      <c r="F4192" s="83" t="b">
        <v>1</v>
      </c>
      <c r="G4192" s="83"/>
      <c r="H4192" s="83"/>
      <c r="I4192" s="110" t="s">
        <v>11532</v>
      </c>
    </row>
    <row r="4193" spans="1:9">
      <c r="A4193" s="83" t="s">
        <v>10461</v>
      </c>
      <c r="B4193" s="83" t="s">
        <v>10149</v>
      </c>
      <c r="C4193" s="83" t="s">
        <v>10461</v>
      </c>
      <c r="D4193" s="83" t="s">
        <v>10585</v>
      </c>
      <c r="E4193" s="84">
        <f>number_stakeholder_ccam_art_climatechange_teaching_f</f>
        <v>0</v>
      </c>
      <c r="F4193" s="83" t="b">
        <v>1</v>
      </c>
      <c r="G4193" s="83"/>
      <c r="H4193" s="83"/>
      <c r="I4193" s="110" t="s">
        <v>11532</v>
      </c>
    </row>
    <row r="4194" spans="1:9">
      <c r="A4194" s="83" t="s">
        <v>10462</v>
      </c>
      <c r="B4194" s="83" t="s">
        <v>10149</v>
      </c>
      <c r="C4194" s="83" t="s">
        <v>10462</v>
      </c>
      <c r="D4194" s="83" t="s">
        <v>10586</v>
      </c>
      <c r="E4194" s="84">
        <f>number_stakeholder_ccam_art_climatechange_nonteaching_m</f>
        <v>0</v>
      </c>
      <c r="F4194" s="83" t="b">
        <v>1</v>
      </c>
      <c r="G4194" s="83"/>
      <c r="H4194" s="83"/>
      <c r="I4194" s="110" t="s">
        <v>11532</v>
      </c>
    </row>
    <row r="4195" spans="1:9">
      <c r="A4195" s="83" t="s">
        <v>10463</v>
      </c>
      <c r="B4195" s="83" t="s">
        <v>10149</v>
      </c>
      <c r="C4195" s="83" t="s">
        <v>10463</v>
      </c>
      <c r="D4195" s="83" t="s">
        <v>10587</v>
      </c>
      <c r="E4195" s="84">
        <f>number_stakeholder_ccam_art_climatechange_nonteaching_f</f>
        <v>0</v>
      </c>
      <c r="F4195" s="83" t="b">
        <v>1</v>
      </c>
      <c r="G4195" s="83"/>
      <c r="H4195" s="83"/>
      <c r="I4195" s="110" t="s">
        <v>11532</v>
      </c>
    </row>
    <row r="4196" spans="1:9">
      <c r="A4196" s="83" t="s">
        <v>10464</v>
      </c>
      <c r="B4196" s="83" t="s">
        <v>10149</v>
      </c>
      <c r="C4196" s="83" t="s">
        <v>10464</v>
      </c>
      <c r="D4196" s="83" t="s">
        <v>10588</v>
      </c>
      <c r="E4196" s="84">
        <f>number_stakeholder_ccam_change_current_teaching_m</f>
        <v>0</v>
      </c>
      <c r="F4196" s="83" t="b">
        <v>1</v>
      </c>
      <c r="G4196" s="83"/>
      <c r="H4196" s="83"/>
      <c r="I4196" s="110" t="s">
        <v>11532</v>
      </c>
    </row>
    <row r="4197" spans="1:9">
      <c r="A4197" s="83" t="s">
        <v>10465</v>
      </c>
      <c r="B4197" s="83" t="s">
        <v>10149</v>
      </c>
      <c r="C4197" s="83" t="s">
        <v>10465</v>
      </c>
      <c r="D4197" s="83" t="s">
        <v>10589</v>
      </c>
      <c r="E4197" s="84">
        <f>number_stakeholder_ccam_change_current_teaching_f</f>
        <v>0</v>
      </c>
      <c r="F4197" s="83" t="b">
        <v>1</v>
      </c>
      <c r="G4197" s="83"/>
      <c r="H4197" s="83"/>
      <c r="I4197" s="110" t="s">
        <v>11532</v>
      </c>
    </row>
    <row r="4198" spans="1:9">
      <c r="A4198" s="83" t="s">
        <v>10466</v>
      </c>
      <c r="B4198" s="83" t="s">
        <v>10149</v>
      </c>
      <c r="C4198" s="83" t="s">
        <v>10466</v>
      </c>
      <c r="D4198" s="83" t="s">
        <v>10590</v>
      </c>
      <c r="E4198" s="84">
        <f>number_stakeholder_ccam_change_current_nonteaching_m</f>
        <v>0</v>
      </c>
      <c r="F4198" s="83" t="b">
        <v>1</v>
      </c>
      <c r="G4198" s="83"/>
      <c r="H4198" s="83"/>
      <c r="I4198" s="110" t="s">
        <v>11532</v>
      </c>
    </row>
    <row r="4199" spans="1:9">
      <c r="A4199" s="83" t="s">
        <v>10467</v>
      </c>
      <c r="B4199" s="83" t="s">
        <v>10149</v>
      </c>
      <c r="C4199" s="83" t="s">
        <v>10467</v>
      </c>
      <c r="D4199" s="83" t="s">
        <v>10591</v>
      </c>
      <c r="E4199" s="84">
        <f>number_stakeholder_ccam_change_current_nonteaching_f</f>
        <v>0</v>
      </c>
      <c r="F4199" s="83" t="b">
        <v>1</v>
      </c>
      <c r="G4199" s="83"/>
      <c r="H4199" s="83"/>
      <c r="I4199" s="110" t="s">
        <v>11532</v>
      </c>
    </row>
    <row r="4200" spans="1:9">
      <c r="A4200" s="83" t="s">
        <v>10468</v>
      </c>
      <c r="B4200" s="83" t="s">
        <v>10149</v>
      </c>
      <c r="C4200" s="83" t="s">
        <v>10468</v>
      </c>
      <c r="D4200" s="83" t="s">
        <v>10592</v>
      </c>
      <c r="E4200" s="84">
        <f>number_stakeholder_ccam_climate_adaptation_teaching_m</f>
        <v>0</v>
      </c>
      <c r="F4200" s="83" t="b">
        <v>1</v>
      </c>
      <c r="G4200" s="83"/>
      <c r="H4200" s="83"/>
      <c r="I4200" s="110" t="s">
        <v>11532</v>
      </c>
    </row>
    <row r="4201" spans="1:9">
      <c r="A4201" s="83" t="s">
        <v>10469</v>
      </c>
      <c r="B4201" s="83" t="s">
        <v>10149</v>
      </c>
      <c r="C4201" s="83" t="s">
        <v>10469</v>
      </c>
      <c r="D4201" s="83" t="s">
        <v>10593</v>
      </c>
      <c r="E4201" s="84">
        <f>number_stakeholder_ccam_climate_adaptation_teaching_f</f>
        <v>0</v>
      </c>
      <c r="F4201" s="83" t="b">
        <v>1</v>
      </c>
      <c r="G4201" s="83"/>
      <c r="H4201" s="83"/>
      <c r="I4201" s="110" t="s">
        <v>11532</v>
      </c>
    </row>
    <row r="4202" spans="1:9">
      <c r="A4202" s="83" t="s">
        <v>10470</v>
      </c>
      <c r="B4202" s="83" t="s">
        <v>10149</v>
      </c>
      <c r="C4202" s="83" t="s">
        <v>10470</v>
      </c>
      <c r="D4202" s="83" t="s">
        <v>10594</v>
      </c>
      <c r="E4202" s="84">
        <f>number_stakeholder_ccam_climate_adaptation_nonteaching_m</f>
        <v>0</v>
      </c>
      <c r="F4202" s="83" t="b">
        <v>1</v>
      </c>
      <c r="G4202" s="83"/>
      <c r="H4202" s="83"/>
      <c r="I4202" s="110" t="s">
        <v>11532</v>
      </c>
    </row>
    <row r="4203" spans="1:9">
      <c r="A4203" s="83" t="s">
        <v>10471</v>
      </c>
      <c r="B4203" s="83" t="s">
        <v>10149</v>
      </c>
      <c r="C4203" s="83" t="s">
        <v>10471</v>
      </c>
      <c r="D4203" s="83" t="s">
        <v>10595</v>
      </c>
      <c r="E4203" s="84">
        <f>number_stakeholder_ccam_climate_adaptation_nonteaching_f</f>
        <v>0</v>
      </c>
      <c r="F4203" s="83" t="b">
        <v>1</v>
      </c>
      <c r="G4203" s="83"/>
      <c r="H4203" s="83"/>
      <c r="I4203" s="110" t="s">
        <v>11532</v>
      </c>
    </row>
    <row r="4204" spans="1:9">
      <c r="A4204" s="83" t="s">
        <v>10472</v>
      </c>
      <c r="B4204" s="83" t="s">
        <v>10149</v>
      </c>
      <c r="C4204" s="83" t="s">
        <v>10472</v>
      </c>
      <c r="D4204" s="83" t="s">
        <v>10596</v>
      </c>
      <c r="E4204" s="84">
        <f>number_stakeholder_ccam_climate_changemaker_teaching_m</f>
        <v>0</v>
      </c>
      <c r="F4204" s="83" t="b">
        <v>1</v>
      </c>
      <c r="G4204" s="83"/>
      <c r="H4204" s="83"/>
      <c r="I4204" s="110" t="s">
        <v>11532</v>
      </c>
    </row>
    <row r="4205" spans="1:9">
      <c r="A4205" s="83" t="s">
        <v>10473</v>
      </c>
      <c r="B4205" s="83" t="s">
        <v>10149</v>
      </c>
      <c r="C4205" s="83" t="s">
        <v>10473</v>
      </c>
      <c r="D4205" s="83" t="s">
        <v>10597</v>
      </c>
      <c r="E4205" s="84">
        <f>number_stakeholder_ccam_climate_changemaker_teaching_f</f>
        <v>0</v>
      </c>
      <c r="F4205" s="83" t="b">
        <v>1</v>
      </c>
      <c r="G4205" s="83"/>
      <c r="H4205" s="83"/>
      <c r="I4205" s="110" t="s">
        <v>11532</v>
      </c>
    </row>
    <row r="4206" spans="1:9">
      <c r="A4206" s="83" t="s">
        <v>10474</v>
      </c>
      <c r="B4206" s="83" t="s">
        <v>10149</v>
      </c>
      <c r="C4206" s="83" t="s">
        <v>10474</v>
      </c>
      <c r="D4206" s="83" t="s">
        <v>10598</v>
      </c>
      <c r="E4206" s="84">
        <f>number_stakeholder_ccam_climate_changemaker_nonteaching_m</f>
        <v>0</v>
      </c>
      <c r="F4206" s="83" t="b">
        <v>1</v>
      </c>
      <c r="G4206" s="83"/>
      <c r="H4206" s="83"/>
      <c r="I4206" s="110" t="s">
        <v>11532</v>
      </c>
    </row>
    <row r="4207" spans="1:9">
      <c r="A4207" s="83" t="s">
        <v>10475</v>
      </c>
      <c r="B4207" s="83" t="s">
        <v>10149</v>
      </c>
      <c r="C4207" s="83" t="s">
        <v>10475</v>
      </c>
      <c r="D4207" s="83" t="s">
        <v>10599</v>
      </c>
      <c r="E4207" s="84">
        <f>number_stakeholder_ccam_climate_changemaker_nonteaching_f</f>
        <v>0</v>
      </c>
      <c r="F4207" s="83" t="b">
        <v>1</v>
      </c>
      <c r="G4207" s="83"/>
      <c r="H4207" s="83"/>
      <c r="I4207" s="110" t="s">
        <v>11532</v>
      </c>
    </row>
    <row r="4208" spans="1:9">
      <c r="A4208" s="83" t="s">
        <v>10476</v>
      </c>
      <c r="B4208" s="83" t="s">
        <v>10149</v>
      </c>
      <c r="C4208" s="83" t="s">
        <v>10476</v>
      </c>
      <c r="D4208" s="83" t="s">
        <v>10600</v>
      </c>
      <c r="E4208" s="84">
        <f>number_stakeholder_ccam_envi_journalism_teaching_m</f>
        <v>0</v>
      </c>
      <c r="F4208" s="83" t="b">
        <v>1</v>
      </c>
      <c r="G4208" s="83"/>
      <c r="H4208" s="83"/>
      <c r="I4208" s="110" t="s">
        <v>11532</v>
      </c>
    </row>
    <row r="4209" spans="1:9">
      <c r="A4209" s="83" t="s">
        <v>10477</v>
      </c>
      <c r="B4209" s="83" t="s">
        <v>10149</v>
      </c>
      <c r="C4209" s="83" t="s">
        <v>10477</v>
      </c>
      <c r="D4209" s="83" t="s">
        <v>10601</v>
      </c>
      <c r="E4209" s="84">
        <f>number_stakeholder_ccam_envi_journalism_teaching_f</f>
        <v>0</v>
      </c>
      <c r="F4209" s="83" t="b">
        <v>1</v>
      </c>
      <c r="G4209" s="83"/>
      <c r="H4209" s="83"/>
      <c r="I4209" s="110" t="s">
        <v>11532</v>
      </c>
    </row>
    <row r="4210" spans="1:9">
      <c r="A4210" s="83" t="s">
        <v>10478</v>
      </c>
      <c r="B4210" s="83" t="s">
        <v>10149</v>
      </c>
      <c r="C4210" s="83" t="s">
        <v>10478</v>
      </c>
      <c r="D4210" s="83" t="s">
        <v>10602</v>
      </c>
      <c r="E4210" s="84">
        <f>number_stakeholder_ccam_envi_journalism_nonteaching_m</f>
        <v>0</v>
      </c>
      <c r="F4210" s="83" t="b">
        <v>1</v>
      </c>
      <c r="G4210" s="83"/>
      <c r="H4210" s="83"/>
      <c r="I4210" s="110" t="s">
        <v>11532</v>
      </c>
    </row>
    <row r="4211" spans="1:9">
      <c r="A4211" s="83" t="s">
        <v>10479</v>
      </c>
      <c r="B4211" s="83" t="s">
        <v>10149</v>
      </c>
      <c r="C4211" s="83" t="s">
        <v>10479</v>
      </c>
      <c r="D4211" s="83" t="s">
        <v>10603</v>
      </c>
      <c r="E4211" s="84">
        <f>number_stakeholder_ccam_envi_journalism_nonteaching_f</f>
        <v>0</v>
      </c>
      <c r="F4211" s="83" t="b">
        <v>1</v>
      </c>
      <c r="G4211" s="83"/>
      <c r="H4211" s="83"/>
      <c r="I4211" s="110" t="s">
        <v>11532</v>
      </c>
    </row>
    <row r="4212" spans="1:9">
      <c r="A4212" s="83" t="s">
        <v>10480</v>
      </c>
      <c r="B4212" s="83" t="s">
        <v>10149</v>
      </c>
      <c r="C4212" s="83" t="s">
        <v>10480</v>
      </c>
      <c r="D4212" s="83" t="s">
        <v>10604</v>
      </c>
      <c r="E4212" s="84">
        <f>number_stakeholder_ccam_gulayan_paaralan_teaching_m</f>
        <v>0</v>
      </c>
      <c r="F4212" s="83" t="b">
        <v>1</v>
      </c>
      <c r="G4212" s="83"/>
      <c r="H4212" s="83"/>
      <c r="I4212" s="110" t="s">
        <v>11532</v>
      </c>
    </row>
    <row r="4213" spans="1:9">
      <c r="A4213" s="83" t="s">
        <v>10481</v>
      </c>
      <c r="B4213" s="83" t="s">
        <v>10149</v>
      </c>
      <c r="C4213" s="83" t="s">
        <v>10481</v>
      </c>
      <c r="D4213" s="83" t="s">
        <v>10605</v>
      </c>
      <c r="E4213" s="84">
        <f>number_stakeholder_ccam_gulayan_paaralan_teaching_f</f>
        <v>0</v>
      </c>
      <c r="F4213" s="83" t="b">
        <v>1</v>
      </c>
      <c r="G4213" s="83"/>
      <c r="H4213" s="83"/>
      <c r="I4213" s="110" t="s">
        <v>11532</v>
      </c>
    </row>
    <row r="4214" spans="1:9">
      <c r="A4214" s="83" t="s">
        <v>10482</v>
      </c>
      <c r="B4214" s="83" t="s">
        <v>10149</v>
      </c>
      <c r="C4214" s="83" t="s">
        <v>10482</v>
      </c>
      <c r="D4214" s="83" t="s">
        <v>10606</v>
      </c>
      <c r="E4214" s="84">
        <f>number_stakeholder_ccam_gulayan_paaralan_nonteaching_m</f>
        <v>0</v>
      </c>
      <c r="F4214" s="83" t="b">
        <v>1</v>
      </c>
      <c r="G4214" s="83"/>
      <c r="H4214" s="83"/>
      <c r="I4214" s="110" t="s">
        <v>11532</v>
      </c>
    </row>
    <row r="4215" spans="1:9">
      <c r="A4215" s="83" t="s">
        <v>10483</v>
      </c>
      <c r="B4215" s="83" t="s">
        <v>10149</v>
      </c>
      <c r="C4215" s="83" t="s">
        <v>10483</v>
      </c>
      <c r="D4215" s="83" t="s">
        <v>10607</v>
      </c>
      <c r="E4215" s="84">
        <f>number_stakeholder_ccam_gulayan_paaralan_nonteaching_f</f>
        <v>0</v>
      </c>
      <c r="F4215" s="83" t="b">
        <v>1</v>
      </c>
      <c r="G4215" s="83"/>
      <c r="H4215" s="83"/>
      <c r="I4215" s="110" t="s">
        <v>11532</v>
      </c>
    </row>
    <row r="4216" spans="1:9">
      <c r="A4216" s="83" t="s">
        <v>10484</v>
      </c>
      <c r="B4216" s="83" t="s">
        <v>10149</v>
      </c>
      <c r="C4216" s="83" t="s">
        <v>10484</v>
      </c>
      <c r="D4216" s="83" t="s">
        <v>10608</v>
      </c>
      <c r="E4216" s="84">
        <f>number_stakeholder_ccam_material_recovery_teaching_m</f>
        <v>0</v>
      </c>
      <c r="F4216" s="83" t="b">
        <v>1</v>
      </c>
      <c r="G4216" s="83"/>
      <c r="H4216" s="83"/>
      <c r="I4216" s="110" t="s">
        <v>11532</v>
      </c>
    </row>
    <row r="4217" spans="1:9">
      <c r="A4217" s="83" t="s">
        <v>10485</v>
      </c>
      <c r="B4217" s="83" t="s">
        <v>10149</v>
      </c>
      <c r="C4217" s="83" t="s">
        <v>10485</v>
      </c>
      <c r="D4217" s="83" t="s">
        <v>10609</v>
      </c>
      <c r="E4217" s="84">
        <f>number_stakeholder_ccam_material_recovery_teaching_f</f>
        <v>0</v>
      </c>
      <c r="F4217" s="83" t="b">
        <v>1</v>
      </c>
      <c r="G4217" s="83"/>
      <c r="H4217" s="83"/>
      <c r="I4217" s="110" t="s">
        <v>11532</v>
      </c>
    </row>
    <row r="4218" spans="1:9">
      <c r="A4218" s="83" t="s">
        <v>10486</v>
      </c>
      <c r="B4218" s="83" t="s">
        <v>10149</v>
      </c>
      <c r="C4218" s="83" t="s">
        <v>10486</v>
      </c>
      <c r="D4218" s="83" t="s">
        <v>10610</v>
      </c>
      <c r="E4218" s="84">
        <f>number_stakeholder_ccam_material_recovery_nonteaching_m</f>
        <v>0</v>
      </c>
      <c r="F4218" s="83" t="b">
        <v>1</v>
      </c>
      <c r="G4218" s="83"/>
      <c r="H4218" s="83"/>
      <c r="I4218" s="110" t="s">
        <v>11532</v>
      </c>
    </row>
    <row r="4219" spans="1:9">
      <c r="A4219" s="83" t="s">
        <v>10487</v>
      </c>
      <c r="B4219" s="83" t="s">
        <v>10149</v>
      </c>
      <c r="C4219" s="83" t="s">
        <v>10487</v>
      </c>
      <c r="D4219" s="83" t="s">
        <v>10611</v>
      </c>
      <c r="E4219" s="84">
        <f>number_stakeholder_ccam_material_recovery_nonteaching_f</f>
        <v>0</v>
      </c>
      <c r="F4219" s="83" t="b">
        <v>1</v>
      </c>
      <c r="G4219" s="83"/>
      <c r="H4219" s="83"/>
      <c r="I4219" s="110" t="s">
        <v>11532</v>
      </c>
    </row>
    <row r="4220" spans="1:9">
      <c r="A4220" s="83" t="s">
        <v>10488</v>
      </c>
      <c r="B4220" s="83" t="s">
        <v>10149</v>
      </c>
      <c r="C4220" s="83" t="s">
        <v>10488</v>
      </c>
      <c r="D4220" s="83" t="s">
        <v>10612</v>
      </c>
      <c r="E4220" s="84">
        <f>number_stakeholder_ccam_kalikhasan_teaching_m</f>
        <v>0</v>
      </c>
      <c r="F4220" s="83" t="b">
        <v>1</v>
      </c>
      <c r="G4220" s="83"/>
      <c r="H4220" s="83"/>
      <c r="I4220" s="110" t="s">
        <v>11532</v>
      </c>
    </row>
    <row r="4221" spans="1:9">
      <c r="A4221" s="83" t="s">
        <v>10489</v>
      </c>
      <c r="B4221" s="83" t="s">
        <v>10149</v>
      </c>
      <c r="C4221" s="83" t="s">
        <v>10489</v>
      </c>
      <c r="D4221" s="83" t="s">
        <v>10613</v>
      </c>
      <c r="E4221" s="84">
        <f>number_stakeholder_ccam_kalikhasan_teaching_f</f>
        <v>0</v>
      </c>
      <c r="F4221" s="83" t="b">
        <v>1</v>
      </c>
      <c r="G4221" s="83"/>
      <c r="H4221" s="83"/>
      <c r="I4221" s="110" t="s">
        <v>11532</v>
      </c>
    </row>
    <row r="4222" spans="1:9">
      <c r="A4222" s="83" t="s">
        <v>10490</v>
      </c>
      <c r="B4222" s="83" t="s">
        <v>10149</v>
      </c>
      <c r="C4222" s="83" t="s">
        <v>10490</v>
      </c>
      <c r="D4222" s="83" t="s">
        <v>10614</v>
      </c>
      <c r="E4222" s="84">
        <f>number_stakeholder_ccam_kalikhasan_nonteaching_m</f>
        <v>0</v>
      </c>
      <c r="F4222" s="83" t="b">
        <v>1</v>
      </c>
      <c r="G4222" s="83"/>
      <c r="H4222" s="83"/>
      <c r="I4222" s="110" t="s">
        <v>11532</v>
      </c>
    </row>
    <row r="4223" spans="1:9">
      <c r="A4223" s="83" t="s">
        <v>10491</v>
      </c>
      <c r="B4223" s="83" t="s">
        <v>10149</v>
      </c>
      <c r="C4223" s="83" t="s">
        <v>10491</v>
      </c>
      <c r="D4223" s="83" t="s">
        <v>10615</v>
      </c>
      <c r="E4223" s="84">
        <f>number_stakeholder_ccam_kalikhasan_nonteaching_f</f>
        <v>0</v>
      </c>
      <c r="F4223" s="83" t="b">
        <v>1</v>
      </c>
      <c r="G4223" s="83"/>
      <c r="H4223" s="83"/>
      <c r="I4223" s="110" t="s">
        <v>11532</v>
      </c>
    </row>
    <row r="4224" spans="1:9">
      <c r="A4224" s="83" t="s">
        <v>10492</v>
      </c>
      <c r="B4224" s="83" t="s">
        <v>10149</v>
      </c>
      <c r="C4224" s="83" t="s">
        <v>10492</v>
      </c>
      <c r="D4224" s="83" t="s">
        <v>10616</v>
      </c>
      <c r="E4224" s="84">
        <f>number_stakeholder_ccam_solidwaste_mgmt_teaching_m</f>
        <v>0</v>
      </c>
      <c r="F4224" s="83" t="b">
        <v>1</v>
      </c>
      <c r="G4224" s="83"/>
      <c r="H4224" s="83"/>
      <c r="I4224" s="110" t="s">
        <v>11532</v>
      </c>
    </row>
    <row r="4225" spans="1:9">
      <c r="A4225" s="83" t="s">
        <v>10493</v>
      </c>
      <c r="B4225" s="83" t="s">
        <v>10149</v>
      </c>
      <c r="C4225" s="83" t="s">
        <v>10493</v>
      </c>
      <c r="D4225" s="83" t="s">
        <v>10617</v>
      </c>
      <c r="E4225" s="84">
        <f>number_stakeholder_ccam_solidwaste_mgmt_teaching_f</f>
        <v>0</v>
      </c>
      <c r="F4225" s="83" t="b">
        <v>1</v>
      </c>
      <c r="G4225" s="83"/>
      <c r="H4225" s="83"/>
      <c r="I4225" s="110" t="s">
        <v>11532</v>
      </c>
    </row>
    <row r="4226" spans="1:9">
      <c r="A4226" s="83" t="s">
        <v>10494</v>
      </c>
      <c r="B4226" s="83" t="s">
        <v>10149</v>
      </c>
      <c r="C4226" s="83" t="s">
        <v>10494</v>
      </c>
      <c r="D4226" s="83" t="s">
        <v>10618</v>
      </c>
      <c r="E4226" s="84">
        <f>number_stakeholder_ccam_solidwaste_mgmt_nonteaching_m</f>
        <v>0</v>
      </c>
      <c r="F4226" s="83" t="b">
        <v>1</v>
      </c>
      <c r="G4226" s="83"/>
      <c r="H4226" s="83"/>
      <c r="I4226" s="110" t="s">
        <v>11532</v>
      </c>
    </row>
    <row r="4227" spans="1:9">
      <c r="A4227" s="83" t="s">
        <v>10495</v>
      </c>
      <c r="B4227" s="83" t="s">
        <v>10149</v>
      </c>
      <c r="C4227" s="83" t="s">
        <v>10495</v>
      </c>
      <c r="D4227" s="83" t="s">
        <v>10619</v>
      </c>
      <c r="E4227" s="84">
        <f>number_stakeholder_ccam_solidwaste_mgmt_nonteaching_f</f>
        <v>0</v>
      </c>
      <c r="F4227" s="83" t="b">
        <v>1</v>
      </c>
      <c r="G4227" s="83"/>
      <c r="H4227" s="83"/>
      <c r="I4227" s="110" t="s">
        <v>11532</v>
      </c>
    </row>
    <row r="4228" spans="1:9">
      <c r="A4228" s="83" t="s">
        <v>10496</v>
      </c>
      <c r="B4228" s="83" t="s">
        <v>10149</v>
      </c>
      <c r="C4228" s="83" t="s">
        <v>10496</v>
      </c>
      <c r="D4228" s="83" t="s">
        <v>10620</v>
      </c>
      <c r="E4228" s="84">
        <f>number_stakeholder_ccam_recycling_teaching_m</f>
        <v>0</v>
      </c>
      <c r="F4228" s="83" t="b">
        <v>1</v>
      </c>
      <c r="G4228" s="83"/>
      <c r="H4228" s="83"/>
      <c r="I4228" s="110" t="s">
        <v>11532</v>
      </c>
    </row>
    <row r="4229" spans="1:9">
      <c r="A4229" s="83" t="s">
        <v>10497</v>
      </c>
      <c r="B4229" s="83" t="s">
        <v>10149</v>
      </c>
      <c r="C4229" s="83" t="s">
        <v>10497</v>
      </c>
      <c r="D4229" s="83" t="s">
        <v>10621</v>
      </c>
      <c r="E4229" s="84">
        <f>number_stakeholder_ccam_recycling_teaching_f</f>
        <v>0</v>
      </c>
      <c r="F4229" s="83" t="b">
        <v>1</v>
      </c>
      <c r="G4229" s="83"/>
      <c r="H4229" s="83"/>
      <c r="I4229" s="110" t="s">
        <v>11532</v>
      </c>
    </row>
    <row r="4230" spans="1:9">
      <c r="A4230" s="83" t="s">
        <v>10498</v>
      </c>
      <c r="B4230" s="83" t="s">
        <v>10149</v>
      </c>
      <c r="C4230" s="83" t="s">
        <v>10498</v>
      </c>
      <c r="D4230" s="83" t="s">
        <v>10622</v>
      </c>
      <c r="E4230" s="84">
        <f>number_stakeholder_ccam_recycling_nonteaching_m</f>
        <v>0</v>
      </c>
      <c r="F4230" s="83" t="b">
        <v>1</v>
      </c>
      <c r="G4230" s="83"/>
      <c r="H4230" s="83"/>
      <c r="I4230" s="110" t="s">
        <v>11532</v>
      </c>
    </row>
    <row r="4231" spans="1:9">
      <c r="A4231" s="83" t="s">
        <v>10499</v>
      </c>
      <c r="B4231" s="83" t="s">
        <v>10149</v>
      </c>
      <c r="C4231" s="83" t="s">
        <v>10499</v>
      </c>
      <c r="D4231" s="83" t="s">
        <v>10623</v>
      </c>
      <c r="E4231" s="84">
        <f>number_stakeholder_ccam_recycling_nonteaching_f</f>
        <v>0</v>
      </c>
      <c r="F4231" s="83" t="b">
        <v>1</v>
      </c>
      <c r="G4231" s="83"/>
      <c r="H4231" s="83"/>
      <c r="I4231" s="110" t="s">
        <v>11532</v>
      </c>
    </row>
    <row r="4232" spans="1:9">
      <c r="A4232" s="83" t="s">
        <v>10500</v>
      </c>
      <c r="B4232" s="83" t="s">
        <v>10149</v>
      </c>
      <c r="C4232" s="83" t="s">
        <v>10500</v>
      </c>
      <c r="D4232" s="83" t="s">
        <v>10624</v>
      </c>
      <c r="E4232" s="84">
        <f>number_stakeholder_ccam_tree_planting_teaching_m</f>
        <v>0</v>
      </c>
      <c r="F4232" s="83" t="b">
        <v>1</v>
      </c>
      <c r="G4232" s="83"/>
      <c r="H4232" s="83"/>
      <c r="I4232" s="110" t="s">
        <v>11532</v>
      </c>
    </row>
    <row r="4233" spans="1:9">
      <c r="A4233" s="83" t="s">
        <v>10501</v>
      </c>
      <c r="B4233" s="83" t="s">
        <v>10149</v>
      </c>
      <c r="C4233" s="83" t="s">
        <v>10501</v>
      </c>
      <c r="D4233" s="83" t="s">
        <v>10625</v>
      </c>
      <c r="E4233" s="84">
        <f>number_stakeholder_ccam_tree_planting_teaching_f</f>
        <v>0</v>
      </c>
      <c r="F4233" s="83" t="b">
        <v>1</v>
      </c>
      <c r="G4233" s="83"/>
      <c r="H4233" s="83"/>
      <c r="I4233" s="110" t="s">
        <v>11532</v>
      </c>
    </row>
    <row r="4234" spans="1:9">
      <c r="A4234" s="83" t="s">
        <v>10502</v>
      </c>
      <c r="B4234" s="83" t="s">
        <v>10149</v>
      </c>
      <c r="C4234" s="83" t="s">
        <v>10502</v>
      </c>
      <c r="D4234" s="83" t="s">
        <v>10626</v>
      </c>
      <c r="E4234" s="84">
        <f>number_stakeholder_ccam_tree_planting_nonteaching_m</f>
        <v>0</v>
      </c>
      <c r="F4234" s="83" t="b">
        <v>1</v>
      </c>
      <c r="G4234" s="83"/>
      <c r="H4234" s="83"/>
      <c r="I4234" s="110" t="s">
        <v>11532</v>
      </c>
    </row>
    <row r="4235" spans="1:9">
      <c r="A4235" s="83" t="s">
        <v>10503</v>
      </c>
      <c r="B4235" s="83" t="s">
        <v>10149</v>
      </c>
      <c r="C4235" s="83" t="s">
        <v>10503</v>
      </c>
      <c r="D4235" s="83" t="s">
        <v>10627</v>
      </c>
      <c r="E4235" s="84">
        <f>number_stakeholder_ccam_tree_planting_nonteaching_f</f>
        <v>0</v>
      </c>
      <c r="F4235" s="83" t="b">
        <v>1</v>
      </c>
      <c r="G4235" s="83"/>
      <c r="H4235" s="83"/>
      <c r="I4235" s="110" t="s">
        <v>11532</v>
      </c>
    </row>
    <row r="4236" spans="1:9">
      <c r="A4236" s="83" t="s">
        <v>10504</v>
      </c>
      <c r="B4236" s="83" t="s">
        <v>10149</v>
      </c>
      <c r="C4236" s="83" t="s">
        <v>10504</v>
      </c>
      <c r="D4236" s="83" t="s">
        <v>10628</v>
      </c>
      <c r="E4236" s="84">
        <f>number_stakeholder_ccam_youth_strike_teaching_m</f>
        <v>0</v>
      </c>
      <c r="F4236" s="83" t="b">
        <v>1</v>
      </c>
      <c r="G4236" s="83"/>
      <c r="H4236" s="83"/>
      <c r="I4236" s="110" t="s">
        <v>11532</v>
      </c>
    </row>
    <row r="4237" spans="1:9">
      <c r="A4237" s="83" t="s">
        <v>10505</v>
      </c>
      <c r="B4237" s="83" t="s">
        <v>10149</v>
      </c>
      <c r="C4237" s="83" t="s">
        <v>10505</v>
      </c>
      <c r="D4237" s="83" t="s">
        <v>10629</v>
      </c>
      <c r="E4237" s="84">
        <f>number_stakeholder_ccam_youth_strike_teaching_f</f>
        <v>0</v>
      </c>
      <c r="F4237" s="83" t="b">
        <v>1</v>
      </c>
      <c r="G4237" s="83"/>
      <c r="H4237" s="83"/>
      <c r="I4237" s="110" t="s">
        <v>11532</v>
      </c>
    </row>
    <row r="4238" spans="1:9">
      <c r="A4238" s="83" t="s">
        <v>10506</v>
      </c>
      <c r="B4238" s="83" t="s">
        <v>10149</v>
      </c>
      <c r="C4238" s="83" t="s">
        <v>10506</v>
      </c>
      <c r="D4238" s="83" t="s">
        <v>10630</v>
      </c>
      <c r="E4238" s="84">
        <f>number_stakeholder_ccam_youth_strike_nonteaching_m</f>
        <v>0</v>
      </c>
      <c r="F4238" s="83" t="b">
        <v>1</v>
      </c>
      <c r="G4238" s="83"/>
      <c r="H4238" s="83"/>
      <c r="I4238" s="110" t="s">
        <v>11532</v>
      </c>
    </row>
    <row r="4239" spans="1:9">
      <c r="A4239" s="83" t="s">
        <v>10507</v>
      </c>
      <c r="B4239" s="83" t="s">
        <v>10149</v>
      </c>
      <c r="C4239" s="83" t="s">
        <v>10507</v>
      </c>
      <c r="D4239" s="83" t="s">
        <v>10631</v>
      </c>
      <c r="E4239" s="84">
        <f>number_stakeholder_ccam_youth_strike_nonteaching_f</f>
        <v>0</v>
      </c>
      <c r="F4239" s="83" t="b">
        <v>1</v>
      </c>
      <c r="G4239" s="83"/>
      <c r="H4239" s="83"/>
      <c r="I4239" s="110" t="s">
        <v>11532</v>
      </c>
    </row>
    <row r="4240" spans="1:9">
      <c r="A4240" s="83" t="s">
        <v>10508</v>
      </c>
      <c r="B4240" s="83" t="s">
        <v>10149</v>
      </c>
      <c r="C4240" s="83" t="s">
        <v>10508</v>
      </c>
      <c r="D4240" s="83" t="s">
        <v>10632</v>
      </c>
      <c r="E4240" s="84">
        <f>number_stakeholder_ccam_celebration_events_teaching_m</f>
        <v>0</v>
      </c>
      <c r="F4240" s="83" t="b">
        <v>1</v>
      </c>
      <c r="G4240" s="83"/>
      <c r="H4240" s="83"/>
      <c r="I4240" s="110" t="s">
        <v>11532</v>
      </c>
    </row>
    <row r="4241" spans="1:9">
      <c r="A4241" s="83" t="s">
        <v>10509</v>
      </c>
      <c r="B4241" s="83" t="s">
        <v>10149</v>
      </c>
      <c r="C4241" s="83" t="s">
        <v>10509</v>
      </c>
      <c r="D4241" s="83" t="s">
        <v>10633</v>
      </c>
      <c r="E4241" s="84">
        <f>number_stakeholder_ccam_celebration_events_teaching_f</f>
        <v>0</v>
      </c>
      <c r="F4241" s="83" t="b">
        <v>1</v>
      </c>
      <c r="G4241" s="83"/>
      <c r="H4241" s="83"/>
      <c r="I4241" s="110" t="s">
        <v>11532</v>
      </c>
    </row>
    <row r="4242" spans="1:9">
      <c r="A4242" s="83" t="s">
        <v>10510</v>
      </c>
      <c r="B4242" s="83" t="s">
        <v>10149</v>
      </c>
      <c r="C4242" s="83" t="s">
        <v>10510</v>
      </c>
      <c r="D4242" s="83" t="s">
        <v>10634</v>
      </c>
      <c r="E4242" s="84">
        <f>number_stakeholder_ccam_celebration_events_nonteaching_m</f>
        <v>0</v>
      </c>
      <c r="F4242" s="83" t="b">
        <v>1</v>
      </c>
      <c r="G4242" s="83"/>
      <c r="H4242" s="83"/>
      <c r="I4242" s="110" t="s">
        <v>11532</v>
      </c>
    </row>
    <row r="4243" spans="1:9">
      <c r="A4243" s="83" t="s">
        <v>10511</v>
      </c>
      <c r="B4243" s="83" t="s">
        <v>10149</v>
      </c>
      <c r="C4243" s="83" t="s">
        <v>10511</v>
      </c>
      <c r="D4243" s="83" t="s">
        <v>10635</v>
      </c>
      <c r="E4243" s="84">
        <f>number_stakeholder_ccam_celebration_events_nonteaching_f</f>
        <v>0</v>
      </c>
      <c r="F4243" s="83" t="b">
        <v>1</v>
      </c>
      <c r="G4243" s="83"/>
      <c r="H4243" s="83"/>
      <c r="I4243" s="110" t="s">
        <v>11532</v>
      </c>
    </row>
    <row r="4244" spans="1:9">
      <c r="A4244" s="83" t="s">
        <v>10516</v>
      </c>
      <c r="B4244" s="83" t="s">
        <v>10149</v>
      </c>
      <c r="C4244" s="83" t="s">
        <v>10516</v>
      </c>
      <c r="D4244" s="83" t="s">
        <v>10640</v>
      </c>
      <c r="E4244" s="84">
        <f>number_stakeholder_ccam_others_specify</f>
        <v>0</v>
      </c>
      <c r="F4244" s="83" t="b">
        <v>1</v>
      </c>
      <c r="G4244" s="83"/>
      <c r="H4244" s="83"/>
      <c r="I4244" s="110" t="s">
        <v>11532</v>
      </c>
    </row>
    <row r="4245" spans="1:9">
      <c r="A4245" s="83" t="s">
        <v>10512</v>
      </c>
      <c r="B4245" s="83" t="s">
        <v>10149</v>
      </c>
      <c r="C4245" s="83" t="s">
        <v>10512</v>
      </c>
      <c r="D4245" s="83" t="s">
        <v>10636</v>
      </c>
      <c r="E4245" s="84">
        <f>number_stakeholder_ccam_others_teaching_m</f>
        <v>0</v>
      </c>
      <c r="F4245" s="83" t="b">
        <v>1</v>
      </c>
      <c r="G4245" s="83"/>
      <c r="H4245" s="83"/>
      <c r="I4245" s="110" t="s">
        <v>11532</v>
      </c>
    </row>
    <row r="4246" spans="1:9">
      <c r="A4246" s="83" t="s">
        <v>10513</v>
      </c>
      <c r="B4246" s="83" t="s">
        <v>10149</v>
      </c>
      <c r="C4246" s="83" t="s">
        <v>10513</v>
      </c>
      <c r="D4246" s="83" t="s">
        <v>10637</v>
      </c>
      <c r="E4246" s="84">
        <f>number_stakeholder_ccam_others_teaching_f</f>
        <v>0</v>
      </c>
      <c r="F4246" s="83" t="b">
        <v>1</v>
      </c>
      <c r="G4246" s="83"/>
      <c r="H4246" s="83"/>
      <c r="I4246" s="110" t="s">
        <v>11532</v>
      </c>
    </row>
    <row r="4247" spans="1:9">
      <c r="A4247" s="83" t="s">
        <v>10514</v>
      </c>
      <c r="B4247" s="83" t="s">
        <v>10149</v>
      </c>
      <c r="C4247" s="83" t="s">
        <v>10514</v>
      </c>
      <c r="D4247" s="83" t="s">
        <v>10638</v>
      </c>
      <c r="E4247" s="84">
        <f>number_stakeholder_ccam_others_nonteaching_m</f>
        <v>0</v>
      </c>
      <c r="F4247" s="83" t="b">
        <v>1</v>
      </c>
      <c r="G4247" s="83"/>
      <c r="H4247" s="83"/>
      <c r="I4247" s="110" t="s">
        <v>11532</v>
      </c>
    </row>
    <row r="4248" spans="1:9">
      <c r="A4248" s="83" t="s">
        <v>10515</v>
      </c>
      <c r="B4248" s="83" t="s">
        <v>10149</v>
      </c>
      <c r="C4248" s="83" t="s">
        <v>10515</v>
      </c>
      <c r="D4248" s="83" t="s">
        <v>10639</v>
      </c>
      <c r="E4248" s="84">
        <f>number_stakeholder_ccam_others_nonteaching_f</f>
        <v>0</v>
      </c>
      <c r="F4248" s="83" t="b">
        <v>1</v>
      </c>
      <c r="G4248" s="83"/>
      <c r="H4248" s="83"/>
      <c r="I4248" s="110" t="s">
        <v>11532</v>
      </c>
    </row>
    <row r="4249" spans="1:9">
      <c r="A4249" s="83" t="s">
        <v>10517</v>
      </c>
      <c r="B4249" s="83" t="s">
        <v>10149</v>
      </c>
      <c r="C4249" s="83" t="s">
        <v>10517</v>
      </c>
      <c r="D4249" s="83" t="s">
        <v>10641</v>
      </c>
      <c r="E4249" s="84">
        <f>number_stakeholder_pbp_peaceconfe_teaching_m</f>
        <v>0</v>
      </c>
      <c r="F4249" s="83" t="b">
        <v>1</v>
      </c>
      <c r="G4249" s="83"/>
      <c r="H4249" s="83"/>
      <c r="I4249" s="110" t="s">
        <v>11532</v>
      </c>
    </row>
    <row r="4250" spans="1:9">
      <c r="A4250" s="83" t="s">
        <v>10518</v>
      </c>
      <c r="B4250" s="83" t="s">
        <v>10149</v>
      </c>
      <c r="C4250" s="83" t="s">
        <v>10518</v>
      </c>
      <c r="D4250" s="83" t="s">
        <v>10642</v>
      </c>
      <c r="E4250" s="84">
        <f>number_stakeholder_pbp_peaceconfe_teaching_f</f>
        <v>0</v>
      </c>
      <c r="F4250" s="83" t="b">
        <v>1</v>
      </c>
      <c r="G4250" s="83"/>
      <c r="H4250" s="83"/>
      <c r="I4250" s="110" t="s">
        <v>11532</v>
      </c>
    </row>
    <row r="4251" spans="1:9">
      <c r="A4251" s="83" t="s">
        <v>10519</v>
      </c>
      <c r="B4251" s="83" t="s">
        <v>10149</v>
      </c>
      <c r="C4251" s="83" t="s">
        <v>10519</v>
      </c>
      <c r="D4251" s="83" t="s">
        <v>10643</v>
      </c>
      <c r="E4251" s="84">
        <f>number_stakeholder_pbp_peaceconfe_nonteaching_m</f>
        <v>0</v>
      </c>
      <c r="F4251" s="83" t="b">
        <v>1</v>
      </c>
      <c r="G4251" s="83"/>
      <c r="H4251" s="83"/>
      <c r="I4251" s="110" t="s">
        <v>11532</v>
      </c>
    </row>
    <row r="4252" spans="1:9">
      <c r="A4252" s="83" t="s">
        <v>10520</v>
      </c>
      <c r="B4252" s="83" t="s">
        <v>10149</v>
      </c>
      <c r="C4252" s="83" t="s">
        <v>10520</v>
      </c>
      <c r="D4252" s="83" t="s">
        <v>10644</v>
      </c>
      <c r="E4252" s="84">
        <f>number_stakeholder_pbp_peaceconfe_nonteaching_f</f>
        <v>0</v>
      </c>
      <c r="F4252" s="83" t="b">
        <v>1</v>
      </c>
      <c r="G4252" s="83"/>
      <c r="H4252" s="83"/>
      <c r="I4252" s="110" t="s">
        <v>11532</v>
      </c>
    </row>
    <row r="4253" spans="1:9">
      <c r="A4253" s="83" t="s">
        <v>10521</v>
      </c>
      <c r="B4253" s="83" t="s">
        <v>10149</v>
      </c>
      <c r="C4253" s="83" t="s">
        <v>10521</v>
      </c>
      <c r="D4253" s="83" t="s">
        <v>10645</v>
      </c>
      <c r="E4253" s="84">
        <f>number_stakeholder_pbp_youth_networks_teaching_m</f>
        <v>0</v>
      </c>
      <c r="F4253" s="83" t="b">
        <v>1</v>
      </c>
      <c r="G4253" s="83"/>
      <c r="H4253" s="83"/>
      <c r="I4253" s="110" t="s">
        <v>11532</v>
      </c>
    </row>
    <row r="4254" spans="1:9">
      <c r="A4254" s="83" t="s">
        <v>10522</v>
      </c>
      <c r="B4254" s="83" t="s">
        <v>10149</v>
      </c>
      <c r="C4254" s="83" t="s">
        <v>10522</v>
      </c>
      <c r="D4254" s="83" t="s">
        <v>10646</v>
      </c>
      <c r="E4254" s="84">
        <f>number_stakeholder_pbp_youth_networks_teaching_f</f>
        <v>0</v>
      </c>
      <c r="F4254" s="83" t="b">
        <v>1</v>
      </c>
      <c r="G4254" s="83"/>
      <c r="H4254" s="83"/>
      <c r="I4254" s="110" t="s">
        <v>11532</v>
      </c>
    </row>
    <row r="4255" spans="1:9">
      <c r="A4255" s="83" t="s">
        <v>10523</v>
      </c>
      <c r="B4255" s="83" t="s">
        <v>10149</v>
      </c>
      <c r="C4255" s="83" t="s">
        <v>10523</v>
      </c>
      <c r="D4255" s="83" t="s">
        <v>10647</v>
      </c>
      <c r="E4255" s="84">
        <f>number_stakeholder_pbp_youth_networks_nonteaching_m</f>
        <v>0</v>
      </c>
      <c r="F4255" s="83" t="b">
        <v>1</v>
      </c>
      <c r="G4255" s="83"/>
      <c r="H4255" s="83"/>
      <c r="I4255" s="110" t="s">
        <v>11532</v>
      </c>
    </row>
    <row r="4256" spans="1:9">
      <c r="A4256" s="83" t="s">
        <v>10524</v>
      </c>
      <c r="B4256" s="83" t="s">
        <v>10149</v>
      </c>
      <c r="C4256" s="83" t="s">
        <v>10524</v>
      </c>
      <c r="D4256" s="83" t="s">
        <v>10648</v>
      </c>
      <c r="E4256" s="84">
        <f>number_stakeholder_pbp_youth_networks_nonteaching_f</f>
        <v>0</v>
      </c>
      <c r="F4256" s="83" t="b">
        <v>1</v>
      </c>
      <c r="G4256" s="83"/>
      <c r="H4256" s="83"/>
      <c r="I4256" s="110" t="s">
        <v>11532</v>
      </c>
    </row>
    <row r="4257" spans="1:9">
      <c r="A4257" s="83" t="s">
        <v>10525</v>
      </c>
      <c r="B4257" s="83" t="s">
        <v>10149</v>
      </c>
      <c r="C4257" s="83" t="s">
        <v>10525</v>
      </c>
      <c r="D4257" s="83" t="s">
        <v>10649</v>
      </c>
      <c r="E4257" s="84">
        <f>number_stakeholder_pbp_art_contests_teaching_m</f>
        <v>0</v>
      </c>
      <c r="F4257" s="83" t="b">
        <v>1</v>
      </c>
      <c r="G4257" s="83"/>
      <c r="H4257" s="83"/>
      <c r="I4257" s="110" t="s">
        <v>11532</v>
      </c>
    </row>
    <row r="4258" spans="1:9">
      <c r="A4258" s="83" t="s">
        <v>10526</v>
      </c>
      <c r="B4258" s="83" t="s">
        <v>10149</v>
      </c>
      <c r="C4258" s="83" t="s">
        <v>10526</v>
      </c>
      <c r="D4258" s="83" t="s">
        <v>10650</v>
      </c>
      <c r="E4258" s="84">
        <f>number_stakeholder_pbp_art_contests_teaching_f</f>
        <v>0</v>
      </c>
      <c r="F4258" s="83" t="b">
        <v>1</v>
      </c>
      <c r="G4258" s="83"/>
      <c r="H4258" s="83"/>
      <c r="I4258" s="110" t="s">
        <v>11532</v>
      </c>
    </row>
    <row r="4259" spans="1:9">
      <c r="A4259" s="83" t="s">
        <v>10527</v>
      </c>
      <c r="B4259" s="83" t="s">
        <v>10149</v>
      </c>
      <c r="C4259" s="83" t="s">
        <v>10527</v>
      </c>
      <c r="D4259" s="83" t="s">
        <v>10651</v>
      </c>
      <c r="E4259" s="84">
        <f>number_stakeholder_pbp_art_contests_nonteaching_m</f>
        <v>0</v>
      </c>
      <c r="F4259" s="83" t="b">
        <v>1</v>
      </c>
      <c r="G4259" s="83"/>
      <c r="H4259" s="83"/>
      <c r="I4259" s="110" t="s">
        <v>11532</v>
      </c>
    </row>
    <row r="4260" spans="1:9">
      <c r="A4260" s="83" t="s">
        <v>10528</v>
      </c>
      <c r="B4260" s="83" t="s">
        <v>10149</v>
      </c>
      <c r="C4260" s="83" t="s">
        <v>10528</v>
      </c>
      <c r="D4260" s="83" t="s">
        <v>10652</v>
      </c>
      <c r="E4260" s="84">
        <f>number_stakeholder_pbp_art_contests_nonteaching_f</f>
        <v>0</v>
      </c>
      <c r="F4260" s="83" t="b">
        <v>1</v>
      </c>
      <c r="G4260" s="83"/>
      <c r="H4260" s="83"/>
      <c r="I4260" s="110" t="s">
        <v>11532</v>
      </c>
    </row>
    <row r="4261" spans="1:9">
      <c r="A4261" s="83" t="s">
        <v>10529</v>
      </c>
      <c r="B4261" s="83" t="s">
        <v>10149</v>
      </c>
      <c r="C4261" s="83" t="s">
        <v>10529</v>
      </c>
      <c r="D4261" s="83" t="s">
        <v>10653</v>
      </c>
      <c r="E4261" s="84">
        <f>number_stakeholder_pbp_celebration_events_teaching_m</f>
        <v>0</v>
      </c>
      <c r="F4261" s="83" t="b">
        <v>1</v>
      </c>
      <c r="G4261" s="83"/>
      <c r="H4261" s="83"/>
      <c r="I4261" s="110" t="s">
        <v>11532</v>
      </c>
    </row>
    <row r="4262" spans="1:9">
      <c r="A4262" s="83" t="s">
        <v>10530</v>
      </c>
      <c r="B4262" s="83" t="s">
        <v>10149</v>
      </c>
      <c r="C4262" s="83" t="s">
        <v>10530</v>
      </c>
      <c r="D4262" s="83" t="s">
        <v>10654</v>
      </c>
      <c r="E4262" s="84">
        <f>number_stakeholder_pbp_celebration_events_teaching_f</f>
        <v>0</v>
      </c>
      <c r="F4262" s="83" t="b">
        <v>1</v>
      </c>
      <c r="G4262" s="83"/>
      <c r="H4262" s="83"/>
      <c r="I4262" s="110" t="s">
        <v>11532</v>
      </c>
    </row>
    <row r="4263" spans="1:9">
      <c r="A4263" s="83" t="s">
        <v>10531</v>
      </c>
      <c r="B4263" s="83" t="s">
        <v>10149</v>
      </c>
      <c r="C4263" s="83" t="s">
        <v>10531</v>
      </c>
      <c r="D4263" s="83" t="s">
        <v>10655</v>
      </c>
      <c r="E4263" s="84">
        <f>number_stakeholder_pbp_celebration_events_nonteaching_m</f>
        <v>0</v>
      </c>
      <c r="F4263" s="83" t="b">
        <v>1</v>
      </c>
      <c r="G4263" s="83"/>
      <c r="H4263" s="83"/>
      <c r="I4263" s="110" t="s">
        <v>11532</v>
      </c>
    </row>
    <row r="4264" spans="1:9">
      <c r="A4264" s="83" t="s">
        <v>10532</v>
      </c>
      <c r="B4264" s="83" t="s">
        <v>10149</v>
      </c>
      <c r="C4264" s="83" t="s">
        <v>10532</v>
      </c>
      <c r="D4264" s="83" t="s">
        <v>10656</v>
      </c>
      <c r="E4264" s="84">
        <f>number_stakeholder_pbp_celebration_events_nonteaching_f</f>
        <v>0</v>
      </c>
      <c r="F4264" s="83" t="b">
        <v>1</v>
      </c>
      <c r="G4264" s="83"/>
      <c r="H4264" s="83"/>
      <c r="I4264" s="110" t="s">
        <v>11532</v>
      </c>
    </row>
    <row r="4265" spans="1:9">
      <c r="A4265" s="83" t="s">
        <v>10537</v>
      </c>
      <c r="B4265" s="83" t="s">
        <v>10149</v>
      </c>
      <c r="C4265" s="83" t="s">
        <v>10537</v>
      </c>
      <c r="D4265" s="83" t="s">
        <v>10661</v>
      </c>
      <c r="E4265" s="84">
        <f>number_stakeholder_pbp_others_specify</f>
        <v>0</v>
      </c>
      <c r="F4265" s="83" t="b">
        <v>1</v>
      </c>
      <c r="G4265" s="83"/>
      <c r="H4265" s="83"/>
      <c r="I4265" s="110" t="s">
        <v>11532</v>
      </c>
    </row>
    <row r="4266" spans="1:9">
      <c r="A4266" s="83" t="s">
        <v>10533</v>
      </c>
      <c r="B4266" s="83" t="s">
        <v>10149</v>
      </c>
      <c r="C4266" s="83" t="s">
        <v>10533</v>
      </c>
      <c r="D4266" s="83" t="s">
        <v>10657</v>
      </c>
      <c r="E4266" s="84">
        <f>number_stakeholder_pbp_others_teaching_m</f>
        <v>0</v>
      </c>
      <c r="F4266" s="83" t="b">
        <v>1</v>
      </c>
      <c r="G4266" s="83"/>
      <c r="H4266" s="83"/>
      <c r="I4266" s="110" t="s">
        <v>11532</v>
      </c>
    </row>
    <row r="4267" spans="1:9">
      <c r="A4267" s="83" t="s">
        <v>10534</v>
      </c>
      <c r="B4267" s="83" t="s">
        <v>10149</v>
      </c>
      <c r="C4267" s="83" t="s">
        <v>10534</v>
      </c>
      <c r="D4267" s="83" t="s">
        <v>10658</v>
      </c>
      <c r="E4267" s="84">
        <f>number_stakeholder_pbp_others_teaching_f</f>
        <v>0</v>
      </c>
      <c r="F4267" s="83" t="b">
        <v>1</v>
      </c>
      <c r="G4267" s="83"/>
      <c r="H4267" s="83"/>
      <c r="I4267" s="110" t="s">
        <v>11532</v>
      </c>
    </row>
    <row r="4268" spans="1:9">
      <c r="A4268" s="83" t="s">
        <v>10535</v>
      </c>
      <c r="B4268" s="83" t="s">
        <v>10149</v>
      </c>
      <c r="C4268" s="83" t="s">
        <v>10535</v>
      </c>
      <c r="D4268" s="83" t="s">
        <v>10659</v>
      </c>
      <c r="E4268" s="84">
        <f>number_stakeholder_pbp_others_nonteaching_m</f>
        <v>0</v>
      </c>
      <c r="F4268" s="83" t="b">
        <v>1</v>
      </c>
      <c r="G4268" s="83"/>
      <c r="H4268" s="83"/>
      <c r="I4268" s="110" t="s">
        <v>11532</v>
      </c>
    </row>
    <row r="4269" spans="1:9" ht="16" thickBot="1">
      <c r="A4269" s="85" t="s">
        <v>10536</v>
      </c>
      <c r="B4269" s="85" t="s">
        <v>10149</v>
      </c>
      <c r="C4269" s="85" t="s">
        <v>10536</v>
      </c>
      <c r="D4269" s="85" t="s">
        <v>10660</v>
      </c>
      <c r="E4269" s="86">
        <f>number_stakeholder_pbp_others_nonteaching_f</f>
        <v>0</v>
      </c>
      <c r="F4269" s="85" t="b">
        <v>1</v>
      </c>
      <c r="G4269" s="85"/>
      <c r="H4269" s="85"/>
      <c r="I4269" s="110" t="s">
        <v>11532</v>
      </c>
    </row>
    <row r="4270" spans="1:9">
      <c r="A4270" s="83" t="s">
        <v>10668</v>
      </c>
      <c r="B4270" s="83" t="s">
        <v>10149</v>
      </c>
      <c r="C4270" s="83" t="s">
        <v>10668</v>
      </c>
      <c r="D4270" s="83" t="s">
        <v>10885</v>
      </c>
      <c r="E4270" s="84">
        <f>number_stakeholder_drrm_firstaid_exclude_m</f>
        <v>0</v>
      </c>
      <c r="F4270" s="83" t="b">
        <v>1</v>
      </c>
      <c r="G4270" s="83"/>
      <c r="H4270" s="83"/>
      <c r="I4270" s="110" t="s">
        <v>11532</v>
      </c>
    </row>
    <row r="4271" spans="1:9">
      <c r="A4271" s="83" t="s">
        <v>10669</v>
      </c>
      <c r="B4271" s="83" t="s">
        <v>10149</v>
      </c>
      <c r="C4271" s="83" t="s">
        <v>10669</v>
      </c>
      <c r="D4271" s="83" t="s">
        <v>10886</v>
      </c>
      <c r="E4271" s="84">
        <f>number_stakeholder_drrm_firstaid_exclude_f</f>
        <v>0</v>
      </c>
      <c r="F4271" s="83" t="b">
        <v>1</v>
      </c>
      <c r="G4271" s="83"/>
      <c r="H4271" s="83"/>
      <c r="I4271" s="110" t="s">
        <v>11532</v>
      </c>
    </row>
    <row r="4272" spans="1:9">
      <c r="A4272" s="83" t="s">
        <v>10662</v>
      </c>
      <c r="B4272" s="83" t="s">
        <v>10149</v>
      </c>
      <c r="C4272" s="83" t="s">
        <v>10662</v>
      </c>
      <c r="D4272" s="83" t="s">
        <v>10887</v>
      </c>
      <c r="E4272" s="84">
        <f>number_stakeholder_drrm_firstaid_ip_m</f>
        <v>0</v>
      </c>
      <c r="F4272" s="83" t="b">
        <v>1</v>
      </c>
      <c r="G4272" s="83"/>
      <c r="H4272" s="83"/>
      <c r="I4272" s="110" t="s">
        <v>11532</v>
      </c>
    </row>
    <row r="4273" spans="1:9">
      <c r="A4273" s="83" t="s">
        <v>10663</v>
      </c>
      <c r="B4273" s="83" t="s">
        <v>10149</v>
      </c>
      <c r="C4273" s="83" t="s">
        <v>10663</v>
      </c>
      <c r="D4273" s="83" t="s">
        <v>10888</v>
      </c>
      <c r="E4273" s="84">
        <f>number_stakeholder_drrm_firstaid_ip_f</f>
        <v>0</v>
      </c>
      <c r="F4273" s="83" t="b">
        <v>1</v>
      </c>
      <c r="G4273" s="83"/>
      <c r="H4273" s="83"/>
      <c r="I4273" s="110" t="s">
        <v>11532</v>
      </c>
    </row>
    <row r="4274" spans="1:9">
      <c r="A4274" s="83" t="s">
        <v>10664</v>
      </c>
      <c r="B4274" s="83" t="s">
        <v>10149</v>
      </c>
      <c r="C4274" s="83" t="s">
        <v>10664</v>
      </c>
      <c r="D4274" s="83" t="s">
        <v>10889</v>
      </c>
      <c r="E4274" s="84">
        <f>number_stakeholder_drrm_firstaid_muslim_m</f>
        <v>0</v>
      </c>
      <c r="F4274" s="83" t="b">
        <v>1</v>
      </c>
      <c r="G4274" s="83"/>
      <c r="H4274" s="83"/>
      <c r="I4274" s="110" t="s">
        <v>11532</v>
      </c>
    </row>
    <row r="4275" spans="1:9">
      <c r="A4275" s="83" t="s">
        <v>10665</v>
      </c>
      <c r="B4275" s="83" t="s">
        <v>10149</v>
      </c>
      <c r="C4275" s="83" t="s">
        <v>10665</v>
      </c>
      <c r="D4275" s="83" t="s">
        <v>10890</v>
      </c>
      <c r="E4275" s="84">
        <f>number_stakeholder_drrm_firstaid_muslim_f</f>
        <v>0</v>
      </c>
      <c r="F4275" s="83" t="b">
        <v>1</v>
      </c>
      <c r="G4275" s="83"/>
      <c r="H4275" s="83"/>
      <c r="I4275" s="110" t="s">
        <v>11532</v>
      </c>
    </row>
    <row r="4276" spans="1:9">
      <c r="A4276" s="83" t="s">
        <v>10666</v>
      </c>
      <c r="B4276" s="83" t="s">
        <v>10149</v>
      </c>
      <c r="C4276" s="83" t="s">
        <v>10666</v>
      </c>
      <c r="D4276" s="83" t="s">
        <v>10891</v>
      </c>
      <c r="E4276" s="84">
        <f>number_stakeholder_drrm_firstaid_lwd_m</f>
        <v>0</v>
      </c>
      <c r="F4276" s="83" t="b">
        <v>1</v>
      </c>
      <c r="G4276" s="83"/>
      <c r="H4276" s="83"/>
      <c r="I4276" s="110" t="s">
        <v>11532</v>
      </c>
    </row>
    <row r="4277" spans="1:9">
      <c r="A4277" s="83" t="s">
        <v>10667</v>
      </c>
      <c r="B4277" s="83" t="s">
        <v>10149</v>
      </c>
      <c r="C4277" s="83" t="s">
        <v>10667</v>
      </c>
      <c r="D4277" s="83" t="s">
        <v>10892</v>
      </c>
      <c r="E4277" s="84">
        <f>number_stakeholder_drrm_firstaid_lwd_f</f>
        <v>0</v>
      </c>
      <c r="F4277" s="83" t="b">
        <v>1</v>
      </c>
      <c r="G4277" s="83"/>
      <c r="H4277" s="83"/>
      <c r="I4277" s="110" t="s">
        <v>11532</v>
      </c>
    </row>
    <row r="4278" spans="1:9">
      <c r="A4278" s="83" t="s">
        <v>10670</v>
      </c>
      <c r="B4278" s="83" t="s">
        <v>10149</v>
      </c>
      <c r="C4278" s="83" t="s">
        <v>10670</v>
      </c>
      <c r="D4278" s="83" t="s">
        <v>10893</v>
      </c>
      <c r="E4278" s="84">
        <f>number_stakeholder_drrm_earthquake_prepare_exclude_m</f>
        <v>0</v>
      </c>
      <c r="F4278" s="83" t="b">
        <v>1</v>
      </c>
      <c r="G4278" s="83"/>
      <c r="H4278" s="83"/>
      <c r="I4278" s="110" t="s">
        <v>11532</v>
      </c>
    </row>
    <row r="4279" spans="1:9">
      <c r="A4279" s="83" t="s">
        <v>10671</v>
      </c>
      <c r="B4279" s="83" t="s">
        <v>10149</v>
      </c>
      <c r="C4279" s="83" t="s">
        <v>10671</v>
      </c>
      <c r="D4279" s="83" t="s">
        <v>10894</v>
      </c>
      <c r="E4279" s="84">
        <f>number_stakeholder_drrm_earthquake_prepare_exclude_f</f>
        <v>0</v>
      </c>
      <c r="F4279" s="83" t="b">
        <v>1</v>
      </c>
      <c r="G4279" s="83"/>
      <c r="H4279" s="83"/>
      <c r="I4279" s="110" t="s">
        <v>11532</v>
      </c>
    </row>
    <row r="4280" spans="1:9">
      <c r="A4280" s="83" t="s">
        <v>10672</v>
      </c>
      <c r="B4280" s="83" t="s">
        <v>10149</v>
      </c>
      <c r="C4280" s="83" t="s">
        <v>10672</v>
      </c>
      <c r="D4280" s="83" t="s">
        <v>10895</v>
      </c>
      <c r="E4280" s="84">
        <f>number_stakeholder_drrm_earthquake_prepare_ip_m</f>
        <v>0</v>
      </c>
      <c r="F4280" s="83" t="b">
        <v>1</v>
      </c>
      <c r="G4280" s="83"/>
      <c r="H4280" s="83"/>
      <c r="I4280" s="110" t="s">
        <v>11532</v>
      </c>
    </row>
    <row r="4281" spans="1:9">
      <c r="A4281" s="83" t="s">
        <v>10673</v>
      </c>
      <c r="B4281" s="83" t="s">
        <v>10149</v>
      </c>
      <c r="C4281" s="83" t="s">
        <v>10673</v>
      </c>
      <c r="D4281" s="83" t="s">
        <v>10896</v>
      </c>
      <c r="E4281" s="84">
        <f>number_stakeholder_drrm_earthquake_prepare_ip_f</f>
        <v>0</v>
      </c>
      <c r="F4281" s="83" t="b">
        <v>1</v>
      </c>
      <c r="G4281" s="83"/>
      <c r="H4281" s="83"/>
      <c r="I4281" s="110" t="s">
        <v>11532</v>
      </c>
    </row>
    <row r="4282" spans="1:9">
      <c r="A4282" s="83" t="s">
        <v>10674</v>
      </c>
      <c r="B4282" s="83" t="s">
        <v>10149</v>
      </c>
      <c r="C4282" s="83" t="s">
        <v>10674</v>
      </c>
      <c r="D4282" s="83" t="s">
        <v>10897</v>
      </c>
      <c r="E4282" s="84">
        <f>number_stakeholder_drrm_earthquake_prepare_muslim_m</f>
        <v>0</v>
      </c>
      <c r="F4282" s="83" t="b">
        <v>1</v>
      </c>
      <c r="G4282" s="83"/>
      <c r="H4282" s="83"/>
      <c r="I4282" s="110" t="s">
        <v>11532</v>
      </c>
    </row>
    <row r="4283" spans="1:9">
      <c r="A4283" s="83" t="s">
        <v>10675</v>
      </c>
      <c r="B4283" s="83" t="s">
        <v>10149</v>
      </c>
      <c r="C4283" s="83" t="s">
        <v>10675</v>
      </c>
      <c r="D4283" s="83" t="s">
        <v>10898</v>
      </c>
      <c r="E4283" s="84">
        <f>number_stakeholder_drrm_earthquake_prepare_muslim_f</f>
        <v>0</v>
      </c>
      <c r="F4283" s="83" t="b">
        <v>1</v>
      </c>
      <c r="G4283" s="83"/>
      <c r="H4283" s="83"/>
      <c r="I4283" s="110" t="s">
        <v>11532</v>
      </c>
    </row>
    <row r="4284" spans="1:9">
      <c r="A4284" s="83" t="s">
        <v>10676</v>
      </c>
      <c r="B4284" s="83" t="s">
        <v>10149</v>
      </c>
      <c r="C4284" s="83" t="s">
        <v>10676</v>
      </c>
      <c r="D4284" s="83" t="s">
        <v>10899</v>
      </c>
      <c r="E4284" s="84">
        <f>number_stakeholder_drrm_earthquake_prepare_lwd_m</f>
        <v>0</v>
      </c>
      <c r="F4284" s="83" t="b">
        <v>1</v>
      </c>
      <c r="G4284" s="83"/>
      <c r="H4284" s="83"/>
      <c r="I4284" s="110" t="s">
        <v>11532</v>
      </c>
    </row>
    <row r="4285" spans="1:9">
      <c r="A4285" s="83" t="s">
        <v>10677</v>
      </c>
      <c r="B4285" s="83" t="s">
        <v>10149</v>
      </c>
      <c r="C4285" s="83" t="s">
        <v>10677</v>
      </c>
      <c r="D4285" s="83" t="s">
        <v>10900</v>
      </c>
      <c r="E4285" s="84">
        <f>number_stakeholder_drrm_earthquake_prepare_lwd_f</f>
        <v>0</v>
      </c>
      <c r="F4285" s="83" t="b">
        <v>1</v>
      </c>
      <c r="G4285" s="83"/>
      <c r="H4285" s="83"/>
      <c r="I4285" s="110" t="s">
        <v>11532</v>
      </c>
    </row>
    <row r="4286" spans="1:9">
      <c r="A4286" s="83" t="s">
        <v>10678</v>
      </c>
      <c r="B4286" s="83" t="s">
        <v>10149</v>
      </c>
      <c r="C4286" s="83" t="s">
        <v>10678</v>
      </c>
      <c r="D4286" s="83" t="s">
        <v>10901</v>
      </c>
      <c r="E4286" s="84">
        <f>number_stakeholder_drrm_swhm_exclude_m</f>
        <v>0</v>
      </c>
      <c r="F4286" s="83" t="b">
        <v>1</v>
      </c>
      <c r="G4286" s="83"/>
      <c r="H4286" s="83"/>
      <c r="I4286" s="110" t="s">
        <v>11532</v>
      </c>
    </row>
    <row r="4287" spans="1:9">
      <c r="A4287" s="83" t="s">
        <v>10679</v>
      </c>
      <c r="B4287" s="83" t="s">
        <v>10149</v>
      </c>
      <c r="C4287" s="83" t="s">
        <v>10679</v>
      </c>
      <c r="D4287" s="83" t="s">
        <v>10902</v>
      </c>
      <c r="E4287" s="84">
        <f>number_stakeholder_drrm_swhm_exclude_f</f>
        <v>0</v>
      </c>
      <c r="F4287" s="83" t="b">
        <v>1</v>
      </c>
      <c r="G4287" s="83"/>
      <c r="H4287" s="83"/>
      <c r="I4287" s="110" t="s">
        <v>11532</v>
      </c>
    </row>
    <row r="4288" spans="1:9">
      <c r="A4288" s="83" t="s">
        <v>10680</v>
      </c>
      <c r="B4288" s="83" t="s">
        <v>10149</v>
      </c>
      <c r="C4288" s="83" t="s">
        <v>10680</v>
      </c>
      <c r="D4288" s="83" t="s">
        <v>10903</v>
      </c>
      <c r="E4288" s="84">
        <f>number_stakeholder_drrm_swhm_ip_m</f>
        <v>0</v>
      </c>
      <c r="F4288" s="83" t="b">
        <v>1</v>
      </c>
      <c r="G4288" s="83"/>
      <c r="H4288" s="83"/>
      <c r="I4288" s="110" t="s">
        <v>11532</v>
      </c>
    </row>
    <row r="4289" spans="1:9">
      <c r="A4289" s="83" t="s">
        <v>10681</v>
      </c>
      <c r="B4289" s="83" t="s">
        <v>10149</v>
      </c>
      <c r="C4289" s="83" t="s">
        <v>10681</v>
      </c>
      <c r="D4289" s="83" t="s">
        <v>10904</v>
      </c>
      <c r="E4289" s="84">
        <f>number_stakeholder_drrm_swhm_ip_f</f>
        <v>0</v>
      </c>
      <c r="F4289" s="83" t="b">
        <v>1</v>
      </c>
      <c r="G4289" s="83"/>
      <c r="H4289" s="83"/>
      <c r="I4289" s="110" t="s">
        <v>11532</v>
      </c>
    </row>
    <row r="4290" spans="1:9">
      <c r="A4290" s="83" t="s">
        <v>10682</v>
      </c>
      <c r="B4290" s="83" t="s">
        <v>10149</v>
      </c>
      <c r="C4290" s="83" t="s">
        <v>10682</v>
      </c>
      <c r="D4290" s="83" t="s">
        <v>10905</v>
      </c>
      <c r="E4290" s="84">
        <f>number_stakeholder_drrm_swhm_muslim_m</f>
        <v>0</v>
      </c>
      <c r="F4290" s="83" t="b">
        <v>1</v>
      </c>
      <c r="G4290" s="83"/>
      <c r="H4290" s="83"/>
      <c r="I4290" s="110" t="s">
        <v>11532</v>
      </c>
    </row>
    <row r="4291" spans="1:9">
      <c r="A4291" s="83" t="s">
        <v>10683</v>
      </c>
      <c r="B4291" s="83" t="s">
        <v>10149</v>
      </c>
      <c r="C4291" s="83" t="s">
        <v>10683</v>
      </c>
      <c r="D4291" s="83" t="s">
        <v>10906</v>
      </c>
      <c r="E4291" s="84">
        <f>number_stakeholder_drrm_swhm_muslim_f</f>
        <v>0</v>
      </c>
      <c r="F4291" s="83" t="b">
        <v>1</v>
      </c>
      <c r="G4291" s="83"/>
      <c r="H4291" s="83"/>
      <c r="I4291" s="110" t="s">
        <v>11532</v>
      </c>
    </row>
    <row r="4292" spans="1:9">
      <c r="A4292" s="83" t="s">
        <v>10684</v>
      </c>
      <c r="B4292" s="83" t="s">
        <v>10149</v>
      </c>
      <c r="C4292" s="83" t="s">
        <v>10684</v>
      </c>
      <c r="D4292" s="83" t="s">
        <v>10907</v>
      </c>
      <c r="E4292" s="84">
        <f>number_stakeholder_drrm_swhm_lwd_m</f>
        <v>0</v>
      </c>
      <c r="F4292" s="83" t="b">
        <v>1</v>
      </c>
      <c r="G4292" s="83"/>
      <c r="H4292" s="83"/>
      <c r="I4292" s="110" t="s">
        <v>11532</v>
      </c>
    </row>
    <row r="4293" spans="1:9">
      <c r="A4293" s="83" t="s">
        <v>10685</v>
      </c>
      <c r="B4293" s="83" t="s">
        <v>10149</v>
      </c>
      <c r="C4293" s="83" t="s">
        <v>10685</v>
      </c>
      <c r="D4293" s="83" t="s">
        <v>10908</v>
      </c>
      <c r="E4293" s="84">
        <f>number_stakeholder_drrm_swhm_lwd_f</f>
        <v>0</v>
      </c>
      <c r="F4293" s="83" t="b">
        <v>1</v>
      </c>
      <c r="G4293" s="83"/>
      <c r="H4293" s="83"/>
      <c r="I4293" s="110" t="s">
        <v>11532</v>
      </c>
    </row>
    <row r="4294" spans="1:9">
      <c r="A4294" s="83" t="s">
        <v>10686</v>
      </c>
      <c r="B4294" s="83" t="s">
        <v>10149</v>
      </c>
      <c r="C4294" s="83" t="s">
        <v>10686</v>
      </c>
      <c r="D4294" s="83" t="s">
        <v>10909</v>
      </c>
      <c r="E4294" s="84">
        <f>number_stakeholder_drrm_online_mhpss_exclude_m</f>
        <v>0</v>
      </c>
      <c r="F4294" s="83" t="b">
        <v>1</v>
      </c>
      <c r="G4294" s="83"/>
      <c r="H4294" s="83"/>
      <c r="I4294" s="110" t="s">
        <v>11532</v>
      </c>
    </row>
    <row r="4295" spans="1:9">
      <c r="A4295" s="83" t="s">
        <v>10687</v>
      </c>
      <c r="B4295" s="83" t="s">
        <v>10149</v>
      </c>
      <c r="C4295" s="83" t="s">
        <v>10687</v>
      </c>
      <c r="D4295" s="83" t="s">
        <v>10910</v>
      </c>
      <c r="E4295" s="84">
        <f>number_stakeholder_drrm_online_mhpss_exclude_f</f>
        <v>0</v>
      </c>
      <c r="F4295" s="83" t="b">
        <v>1</v>
      </c>
      <c r="G4295" s="83"/>
      <c r="H4295" s="83"/>
      <c r="I4295" s="110" t="s">
        <v>11532</v>
      </c>
    </row>
    <row r="4296" spans="1:9">
      <c r="A4296" s="83" t="s">
        <v>10688</v>
      </c>
      <c r="B4296" s="83" t="s">
        <v>10149</v>
      </c>
      <c r="C4296" s="83" t="s">
        <v>10688</v>
      </c>
      <c r="D4296" s="83" t="s">
        <v>10911</v>
      </c>
      <c r="E4296" s="84">
        <f>number_stakeholder_drrm_online_mhpss_ip_m</f>
        <v>0</v>
      </c>
      <c r="F4296" s="83" t="b">
        <v>1</v>
      </c>
      <c r="G4296" s="83"/>
      <c r="H4296" s="83"/>
      <c r="I4296" s="110" t="s">
        <v>11532</v>
      </c>
    </row>
    <row r="4297" spans="1:9">
      <c r="A4297" s="83" t="s">
        <v>10689</v>
      </c>
      <c r="B4297" s="83" t="s">
        <v>10149</v>
      </c>
      <c r="C4297" s="83" t="s">
        <v>10689</v>
      </c>
      <c r="D4297" s="83" t="s">
        <v>10912</v>
      </c>
      <c r="E4297" s="84">
        <f>number_stakeholder_drrm_online_mhpss_ip_f</f>
        <v>0</v>
      </c>
      <c r="F4297" s="83" t="b">
        <v>1</v>
      </c>
      <c r="G4297" s="83"/>
      <c r="H4297" s="83"/>
      <c r="I4297" s="110" t="s">
        <v>11532</v>
      </c>
    </row>
    <row r="4298" spans="1:9">
      <c r="A4298" s="83" t="s">
        <v>10690</v>
      </c>
      <c r="B4298" s="83" t="s">
        <v>10149</v>
      </c>
      <c r="C4298" s="83" t="s">
        <v>10690</v>
      </c>
      <c r="D4298" s="83" t="s">
        <v>10913</v>
      </c>
      <c r="E4298" s="84">
        <f>number_stakeholder_drrm_online_mhpss_muslim_m</f>
        <v>0</v>
      </c>
      <c r="F4298" s="83" t="b">
        <v>1</v>
      </c>
      <c r="G4298" s="83"/>
      <c r="H4298" s="83"/>
      <c r="I4298" s="110" t="s">
        <v>11532</v>
      </c>
    </row>
    <row r="4299" spans="1:9">
      <c r="A4299" s="83" t="s">
        <v>10691</v>
      </c>
      <c r="B4299" s="83" t="s">
        <v>10149</v>
      </c>
      <c r="C4299" s="83" t="s">
        <v>10691</v>
      </c>
      <c r="D4299" s="83" t="s">
        <v>10914</v>
      </c>
      <c r="E4299" s="84">
        <f>number_stakeholder_drrm_online_mhpss_muslim_f</f>
        <v>0</v>
      </c>
      <c r="F4299" s="83" t="b">
        <v>1</v>
      </c>
      <c r="G4299" s="83"/>
      <c r="H4299" s="83"/>
      <c r="I4299" s="110" t="s">
        <v>11532</v>
      </c>
    </row>
    <row r="4300" spans="1:9">
      <c r="A4300" s="83" t="s">
        <v>10692</v>
      </c>
      <c r="B4300" s="83" t="s">
        <v>10149</v>
      </c>
      <c r="C4300" s="83" t="s">
        <v>10692</v>
      </c>
      <c r="D4300" s="83" t="s">
        <v>10915</v>
      </c>
      <c r="E4300" s="84">
        <f>number_stakeholder_drrm_online_mhpss_lwd_m</f>
        <v>0</v>
      </c>
      <c r="F4300" s="83" t="b">
        <v>1</v>
      </c>
      <c r="G4300" s="83"/>
      <c r="H4300" s="83"/>
      <c r="I4300" s="110" t="s">
        <v>11532</v>
      </c>
    </row>
    <row r="4301" spans="1:9">
      <c r="A4301" s="83" t="s">
        <v>10693</v>
      </c>
      <c r="B4301" s="83" t="s">
        <v>10149</v>
      </c>
      <c r="C4301" s="83" t="s">
        <v>10693</v>
      </c>
      <c r="D4301" s="83" t="s">
        <v>10916</v>
      </c>
      <c r="E4301" s="84">
        <f>number_stakeholder_drrm_online_mhpss_lwd_f</f>
        <v>0</v>
      </c>
      <c r="F4301" s="83" t="b">
        <v>1</v>
      </c>
      <c r="G4301" s="83"/>
      <c r="H4301" s="83"/>
      <c r="I4301" s="110" t="s">
        <v>11532</v>
      </c>
    </row>
    <row r="4302" spans="1:9">
      <c r="A4302" s="83" t="s">
        <v>10694</v>
      </c>
      <c r="B4302" s="83" t="s">
        <v>10149</v>
      </c>
      <c r="C4302" s="83" t="s">
        <v>10694</v>
      </c>
      <c r="D4302" s="83" t="s">
        <v>10917</v>
      </c>
      <c r="E4302" s="84">
        <f>number_stakeholder_drrm_celebration_events_exclude_m</f>
        <v>0</v>
      </c>
      <c r="F4302" s="83" t="b">
        <v>1</v>
      </c>
      <c r="G4302" s="83"/>
      <c r="H4302" s="83"/>
      <c r="I4302" s="110" t="s">
        <v>11532</v>
      </c>
    </row>
    <row r="4303" spans="1:9">
      <c r="A4303" s="83" t="s">
        <v>10695</v>
      </c>
      <c r="B4303" s="83" t="s">
        <v>10149</v>
      </c>
      <c r="C4303" s="83" t="s">
        <v>10695</v>
      </c>
      <c r="D4303" s="83" t="s">
        <v>10918</v>
      </c>
      <c r="E4303" s="84">
        <f>number_stakeholder_drrm_celebration_events_exclude_f</f>
        <v>0</v>
      </c>
      <c r="F4303" s="83" t="b">
        <v>1</v>
      </c>
      <c r="G4303" s="83"/>
      <c r="H4303" s="83"/>
      <c r="I4303" s="110" t="s">
        <v>11532</v>
      </c>
    </row>
    <row r="4304" spans="1:9">
      <c r="A4304" s="83" t="s">
        <v>10696</v>
      </c>
      <c r="B4304" s="83" t="s">
        <v>10149</v>
      </c>
      <c r="C4304" s="83" t="s">
        <v>10696</v>
      </c>
      <c r="D4304" s="83" t="s">
        <v>10919</v>
      </c>
      <c r="E4304" s="84">
        <f>number_stakeholder_drrm_celebration_events_ip_m</f>
        <v>0</v>
      </c>
      <c r="F4304" s="83" t="b">
        <v>1</v>
      </c>
      <c r="G4304" s="83"/>
      <c r="H4304" s="83"/>
      <c r="I4304" s="110" t="s">
        <v>11532</v>
      </c>
    </row>
    <row r="4305" spans="1:9">
      <c r="A4305" s="83" t="s">
        <v>10697</v>
      </c>
      <c r="B4305" s="83" t="s">
        <v>10149</v>
      </c>
      <c r="C4305" s="83" t="s">
        <v>10697</v>
      </c>
      <c r="D4305" s="83" t="s">
        <v>10920</v>
      </c>
      <c r="E4305" s="84">
        <f>number_stakeholder_drrm_celebration_events_ip_f</f>
        <v>0</v>
      </c>
      <c r="F4305" s="83" t="b">
        <v>1</v>
      </c>
      <c r="G4305" s="83"/>
      <c r="H4305" s="83"/>
      <c r="I4305" s="110" t="s">
        <v>11532</v>
      </c>
    </row>
    <row r="4306" spans="1:9">
      <c r="A4306" s="83" t="s">
        <v>10698</v>
      </c>
      <c r="B4306" s="83" t="s">
        <v>10149</v>
      </c>
      <c r="C4306" s="83" t="s">
        <v>10698</v>
      </c>
      <c r="D4306" s="83" t="s">
        <v>10921</v>
      </c>
      <c r="E4306" s="84">
        <f>number_stakeholder_drrm_celebration_events_muslim_m</f>
        <v>0</v>
      </c>
      <c r="F4306" s="83" t="b">
        <v>1</v>
      </c>
      <c r="G4306" s="83"/>
      <c r="H4306" s="83"/>
      <c r="I4306" s="110" t="s">
        <v>11532</v>
      </c>
    </row>
    <row r="4307" spans="1:9">
      <c r="A4307" s="83" t="s">
        <v>10699</v>
      </c>
      <c r="B4307" s="83" t="s">
        <v>10149</v>
      </c>
      <c r="C4307" s="83" t="s">
        <v>10699</v>
      </c>
      <c r="D4307" s="83" t="s">
        <v>10922</v>
      </c>
      <c r="E4307" s="84">
        <f>number_stakeholder_drrm_celebration_events_muslim_f</f>
        <v>0</v>
      </c>
      <c r="F4307" s="83" t="b">
        <v>1</v>
      </c>
      <c r="G4307" s="83"/>
      <c r="H4307" s="83"/>
      <c r="I4307" s="110" t="s">
        <v>11532</v>
      </c>
    </row>
    <row r="4308" spans="1:9">
      <c r="A4308" s="83" t="s">
        <v>10700</v>
      </c>
      <c r="B4308" s="83" t="s">
        <v>10149</v>
      </c>
      <c r="C4308" s="83" t="s">
        <v>10700</v>
      </c>
      <c r="D4308" s="83" t="s">
        <v>10923</v>
      </c>
      <c r="E4308" s="84">
        <f>number_stakeholder_drrm_celebration_events_lwd_m</f>
        <v>0</v>
      </c>
      <c r="F4308" s="83" t="b">
        <v>1</v>
      </c>
      <c r="G4308" s="83"/>
      <c r="H4308" s="83"/>
      <c r="I4308" s="110" t="s">
        <v>11532</v>
      </c>
    </row>
    <row r="4309" spans="1:9">
      <c r="A4309" s="83" t="s">
        <v>10701</v>
      </c>
      <c r="B4309" s="83" t="s">
        <v>10149</v>
      </c>
      <c r="C4309" s="83" t="s">
        <v>10701</v>
      </c>
      <c r="D4309" s="83" t="s">
        <v>10924</v>
      </c>
      <c r="E4309" s="84">
        <f>number_stakeholder_drrm_celebration_events_lwd_f</f>
        <v>0</v>
      </c>
      <c r="F4309" s="83" t="b">
        <v>1</v>
      </c>
      <c r="G4309" s="83"/>
      <c r="H4309" s="83"/>
      <c r="I4309" s="110" t="s">
        <v>11532</v>
      </c>
    </row>
    <row r="4310" spans="1:9">
      <c r="A4310" s="83" t="s">
        <v>10702</v>
      </c>
      <c r="B4310" s="83" t="s">
        <v>10149</v>
      </c>
      <c r="C4310" s="83" t="s">
        <v>10702</v>
      </c>
      <c r="D4310" s="83" t="s">
        <v>10925</v>
      </c>
      <c r="E4310" s="84">
        <f>number_stakeholder_drrm_drrmcamp_exclude_m</f>
        <v>0</v>
      </c>
      <c r="F4310" s="83" t="b">
        <v>1</v>
      </c>
      <c r="G4310" s="83"/>
      <c r="H4310" s="83"/>
      <c r="I4310" s="110" t="s">
        <v>11532</v>
      </c>
    </row>
    <row r="4311" spans="1:9">
      <c r="A4311" s="83" t="s">
        <v>10703</v>
      </c>
      <c r="B4311" s="83" t="s">
        <v>10149</v>
      </c>
      <c r="C4311" s="83" t="s">
        <v>10703</v>
      </c>
      <c r="D4311" s="83" t="s">
        <v>10926</v>
      </c>
      <c r="E4311" s="84">
        <f>number_stakeholder_drrm_drrmcamp_exclude_f</f>
        <v>0</v>
      </c>
      <c r="F4311" s="83" t="b">
        <v>1</v>
      </c>
      <c r="G4311" s="83"/>
      <c r="H4311" s="83"/>
      <c r="I4311" s="110" t="s">
        <v>11532</v>
      </c>
    </row>
    <row r="4312" spans="1:9">
      <c r="A4312" s="83" t="s">
        <v>10704</v>
      </c>
      <c r="B4312" s="83" t="s">
        <v>10149</v>
      </c>
      <c r="C4312" s="83" t="s">
        <v>10704</v>
      </c>
      <c r="D4312" s="83" t="s">
        <v>10927</v>
      </c>
      <c r="E4312" s="84">
        <f>number_stakeholder_drrm_drrmcamp_ip_m</f>
        <v>0</v>
      </c>
      <c r="F4312" s="83" t="b">
        <v>1</v>
      </c>
      <c r="G4312" s="83"/>
      <c r="H4312" s="83"/>
      <c r="I4312" s="110" t="s">
        <v>11532</v>
      </c>
    </row>
    <row r="4313" spans="1:9">
      <c r="A4313" s="83" t="s">
        <v>10705</v>
      </c>
      <c r="B4313" s="83" t="s">
        <v>10149</v>
      </c>
      <c r="C4313" s="83" t="s">
        <v>10705</v>
      </c>
      <c r="D4313" s="83" t="s">
        <v>10928</v>
      </c>
      <c r="E4313" s="84">
        <f>number_stakeholder_drrm_drrmcamp_ip_f</f>
        <v>0</v>
      </c>
      <c r="F4313" s="83" t="b">
        <v>1</v>
      </c>
      <c r="G4313" s="83"/>
      <c r="H4313" s="83"/>
      <c r="I4313" s="110" t="s">
        <v>11532</v>
      </c>
    </row>
    <row r="4314" spans="1:9">
      <c r="A4314" s="83" t="s">
        <v>10706</v>
      </c>
      <c r="B4314" s="83" t="s">
        <v>10149</v>
      </c>
      <c r="C4314" s="83" t="s">
        <v>10706</v>
      </c>
      <c r="D4314" s="83" t="s">
        <v>10929</v>
      </c>
      <c r="E4314" s="84">
        <f>number_stakeholder_drrm_drrmcamp_muslim_m</f>
        <v>0</v>
      </c>
      <c r="F4314" s="83" t="b">
        <v>1</v>
      </c>
      <c r="G4314" s="83"/>
      <c r="H4314" s="83"/>
      <c r="I4314" s="110" t="s">
        <v>11532</v>
      </c>
    </row>
    <row r="4315" spans="1:9">
      <c r="A4315" s="83" t="s">
        <v>10707</v>
      </c>
      <c r="B4315" s="83" t="s">
        <v>10149</v>
      </c>
      <c r="C4315" s="83" t="s">
        <v>10707</v>
      </c>
      <c r="D4315" s="83" t="s">
        <v>10930</v>
      </c>
      <c r="E4315" s="84">
        <f>number_stakeholder_drrm_drrmcamp_muslim_f</f>
        <v>0</v>
      </c>
      <c r="F4315" s="83" t="b">
        <v>1</v>
      </c>
      <c r="G4315" s="83"/>
      <c r="H4315" s="83"/>
      <c r="I4315" s="110" t="s">
        <v>11532</v>
      </c>
    </row>
    <row r="4316" spans="1:9">
      <c r="A4316" s="83" t="s">
        <v>10708</v>
      </c>
      <c r="B4316" s="83" t="s">
        <v>10149</v>
      </c>
      <c r="C4316" s="83" t="s">
        <v>10708</v>
      </c>
      <c r="D4316" s="83" t="s">
        <v>10931</v>
      </c>
      <c r="E4316" s="84">
        <f>number_stakeholder_drrm_drrmcamp_lwd_m</f>
        <v>0</v>
      </c>
      <c r="F4316" s="83" t="b">
        <v>1</v>
      </c>
      <c r="G4316" s="83"/>
      <c r="H4316" s="83"/>
      <c r="I4316" s="110" t="s">
        <v>11532</v>
      </c>
    </row>
    <row r="4317" spans="1:9">
      <c r="A4317" s="83" t="s">
        <v>10709</v>
      </c>
      <c r="B4317" s="83" t="s">
        <v>10149</v>
      </c>
      <c r="C4317" s="83" t="s">
        <v>10709</v>
      </c>
      <c r="D4317" s="83" t="s">
        <v>10932</v>
      </c>
      <c r="E4317" s="84">
        <f>number_stakeholder_drrm_drrmcamp_lwd_f</f>
        <v>0</v>
      </c>
      <c r="F4317" s="83" t="b">
        <v>1</v>
      </c>
      <c r="G4317" s="83"/>
      <c r="H4317" s="83"/>
      <c r="I4317" s="110" t="s">
        <v>11532</v>
      </c>
    </row>
    <row r="4318" spans="1:9">
      <c r="A4318" s="83" t="s">
        <v>10710</v>
      </c>
      <c r="B4318" s="83" t="s">
        <v>10149</v>
      </c>
      <c r="C4318" s="83" t="s">
        <v>10710</v>
      </c>
      <c r="D4318" s="83" t="s">
        <v>10933</v>
      </c>
      <c r="E4318" s="84">
        <f>number_stakeholder_drrm_youth_council_exclude_m</f>
        <v>0</v>
      </c>
      <c r="F4318" s="83" t="b">
        <v>1</v>
      </c>
      <c r="G4318" s="83"/>
      <c r="H4318" s="83"/>
      <c r="I4318" s="110" t="s">
        <v>11532</v>
      </c>
    </row>
    <row r="4319" spans="1:9">
      <c r="A4319" s="83" t="s">
        <v>10711</v>
      </c>
      <c r="B4319" s="83" t="s">
        <v>10149</v>
      </c>
      <c r="C4319" s="83" t="s">
        <v>10711</v>
      </c>
      <c r="D4319" s="83" t="s">
        <v>10934</v>
      </c>
      <c r="E4319" s="84">
        <f>number_stakeholder_drrm_youth_council_exclude_f</f>
        <v>0</v>
      </c>
      <c r="F4319" s="83" t="b">
        <v>1</v>
      </c>
      <c r="G4319" s="83"/>
      <c r="H4319" s="83"/>
      <c r="I4319" s="110" t="s">
        <v>11532</v>
      </c>
    </row>
    <row r="4320" spans="1:9">
      <c r="A4320" s="83" t="s">
        <v>10712</v>
      </c>
      <c r="B4320" s="83" t="s">
        <v>10149</v>
      </c>
      <c r="C4320" s="83" t="s">
        <v>10712</v>
      </c>
      <c r="D4320" s="83" t="s">
        <v>10935</v>
      </c>
      <c r="E4320" s="84">
        <f>number_stakeholder_drrm_youth_council_ip_m</f>
        <v>0</v>
      </c>
      <c r="F4320" s="83" t="b">
        <v>1</v>
      </c>
      <c r="G4320" s="83"/>
      <c r="H4320" s="83"/>
      <c r="I4320" s="110" t="s">
        <v>11532</v>
      </c>
    </row>
    <row r="4321" spans="1:9">
      <c r="A4321" s="83" t="s">
        <v>10713</v>
      </c>
      <c r="B4321" s="83" t="s">
        <v>10149</v>
      </c>
      <c r="C4321" s="83" t="s">
        <v>10713</v>
      </c>
      <c r="D4321" s="83" t="s">
        <v>10936</v>
      </c>
      <c r="E4321" s="84">
        <f>number_stakeholder_drrm_youth_council_ip_f</f>
        <v>0</v>
      </c>
      <c r="F4321" s="83" t="b">
        <v>1</v>
      </c>
      <c r="G4321" s="83"/>
      <c r="H4321" s="83"/>
      <c r="I4321" s="110" t="s">
        <v>11532</v>
      </c>
    </row>
    <row r="4322" spans="1:9">
      <c r="A4322" s="83" t="s">
        <v>10714</v>
      </c>
      <c r="B4322" s="83" t="s">
        <v>10149</v>
      </c>
      <c r="C4322" s="83" t="s">
        <v>10714</v>
      </c>
      <c r="D4322" s="83" t="s">
        <v>10937</v>
      </c>
      <c r="E4322" s="84">
        <f>number_stakeholder_drrm_youth_council_muslim_m</f>
        <v>0</v>
      </c>
      <c r="F4322" s="83" t="b">
        <v>1</v>
      </c>
      <c r="G4322" s="83"/>
      <c r="H4322" s="83"/>
      <c r="I4322" s="110" t="s">
        <v>11532</v>
      </c>
    </row>
    <row r="4323" spans="1:9">
      <c r="A4323" s="83" t="s">
        <v>10715</v>
      </c>
      <c r="B4323" s="83" t="s">
        <v>10149</v>
      </c>
      <c r="C4323" s="83" t="s">
        <v>10715</v>
      </c>
      <c r="D4323" s="83" t="s">
        <v>10938</v>
      </c>
      <c r="E4323" s="84">
        <f>number_stakeholder_drrm_youth_council_muslim_f</f>
        <v>0</v>
      </c>
      <c r="F4323" s="83" t="b">
        <v>1</v>
      </c>
      <c r="G4323" s="83"/>
      <c r="H4323" s="83"/>
      <c r="I4323" s="110" t="s">
        <v>11532</v>
      </c>
    </row>
    <row r="4324" spans="1:9">
      <c r="A4324" s="83" t="s">
        <v>10716</v>
      </c>
      <c r="B4324" s="83" t="s">
        <v>10149</v>
      </c>
      <c r="C4324" s="83" t="s">
        <v>10716</v>
      </c>
      <c r="D4324" s="83" t="s">
        <v>10939</v>
      </c>
      <c r="E4324" s="84">
        <f>number_stakeholder_drrm_youth_council_lwd_m</f>
        <v>0</v>
      </c>
      <c r="F4324" s="83" t="b">
        <v>1</v>
      </c>
      <c r="G4324" s="83"/>
      <c r="H4324" s="83"/>
      <c r="I4324" s="110" t="s">
        <v>11532</v>
      </c>
    </row>
    <row r="4325" spans="1:9">
      <c r="A4325" s="83" t="s">
        <v>10717</v>
      </c>
      <c r="B4325" s="83" t="s">
        <v>10149</v>
      </c>
      <c r="C4325" s="83" t="s">
        <v>10717</v>
      </c>
      <c r="D4325" s="83" t="s">
        <v>10940</v>
      </c>
      <c r="E4325" s="84">
        <f>number_stakeholder_drrm_youth_council_lwd_f</f>
        <v>0</v>
      </c>
      <c r="F4325" s="83" t="b">
        <v>1</v>
      </c>
      <c r="G4325" s="83"/>
      <c r="H4325" s="83"/>
      <c r="I4325" s="110" t="s">
        <v>11532</v>
      </c>
    </row>
    <row r="4326" spans="1:9">
      <c r="A4326" s="83" t="s">
        <v>10718</v>
      </c>
      <c r="B4326" s="83" t="s">
        <v>10149</v>
      </c>
      <c r="C4326" s="83" t="s">
        <v>10718</v>
      </c>
      <c r="D4326" s="83" t="s">
        <v>10941</v>
      </c>
      <c r="E4326" s="84">
        <f>number_stakeholder_drrm_youth_action_exclude_m</f>
        <v>0</v>
      </c>
      <c r="F4326" s="83" t="b">
        <v>1</v>
      </c>
      <c r="G4326" s="83"/>
      <c r="H4326" s="83"/>
      <c r="I4326" s="110" t="s">
        <v>11532</v>
      </c>
    </row>
    <row r="4327" spans="1:9">
      <c r="A4327" s="83" t="s">
        <v>10719</v>
      </c>
      <c r="B4327" s="83" t="s">
        <v>10149</v>
      </c>
      <c r="C4327" s="83" t="s">
        <v>10719</v>
      </c>
      <c r="D4327" s="83" t="s">
        <v>10942</v>
      </c>
      <c r="E4327" s="84">
        <f>number_stakeholder_drrm_youth_action_exclude_f</f>
        <v>0</v>
      </c>
      <c r="F4327" s="83" t="b">
        <v>1</v>
      </c>
      <c r="G4327" s="83"/>
      <c r="H4327" s="83"/>
      <c r="I4327" s="110" t="s">
        <v>11532</v>
      </c>
    </row>
    <row r="4328" spans="1:9">
      <c r="A4328" s="83" t="s">
        <v>10720</v>
      </c>
      <c r="B4328" s="83" t="s">
        <v>10149</v>
      </c>
      <c r="C4328" s="83" t="s">
        <v>10720</v>
      </c>
      <c r="D4328" s="83" t="s">
        <v>10943</v>
      </c>
      <c r="E4328" s="84">
        <f>number_stakeholder_drrm_youth_action_ip_m</f>
        <v>0</v>
      </c>
      <c r="F4328" s="83" t="b">
        <v>1</v>
      </c>
      <c r="G4328" s="83"/>
      <c r="H4328" s="83"/>
      <c r="I4328" s="110" t="s">
        <v>11532</v>
      </c>
    </row>
    <row r="4329" spans="1:9">
      <c r="A4329" s="83" t="s">
        <v>10721</v>
      </c>
      <c r="B4329" s="83" t="s">
        <v>10149</v>
      </c>
      <c r="C4329" s="83" t="s">
        <v>10721</v>
      </c>
      <c r="D4329" s="83" t="s">
        <v>10944</v>
      </c>
      <c r="E4329" s="84">
        <f>number_stakeholder_drrm_youth_action_ip_f</f>
        <v>0</v>
      </c>
      <c r="F4329" s="83" t="b">
        <v>1</v>
      </c>
      <c r="G4329" s="83"/>
      <c r="H4329" s="83"/>
      <c r="I4329" s="110" t="s">
        <v>11532</v>
      </c>
    </row>
    <row r="4330" spans="1:9">
      <c r="A4330" s="83" t="s">
        <v>10722</v>
      </c>
      <c r="B4330" s="83" t="s">
        <v>10149</v>
      </c>
      <c r="C4330" s="83" t="s">
        <v>10722</v>
      </c>
      <c r="D4330" s="83" t="s">
        <v>10945</v>
      </c>
      <c r="E4330" s="84">
        <f>number_stakeholder_drrm_youth_action_muslim_m</f>
        <v>0</v>
      </c>
      <c r="F4330" s="83" t="b">
        <v>1</v>
      </c>
      <c r="G4330" s="83"/>
      <c r="H4330" s="83"/>
      <c r="I4330" s="110" t="s">
        <v>11532</v>
      </c>
    </row>
    <row r="4331" spans="1:9">
      <c r="A4331" s="83" t="s">
        <v>10723</v>
      </c>
      <c r="B4331" s="83" t="s">
        <v>10149</v>
      </c>
      <c r="C4331" s="83" t="s">
        <v>10723</v>
      </c>
      <c r="D4331" s="83" t="s">
        <v>10946</v>
      </c>
      <c r="E4331" s="84">
        <f>number_stakeholder_drrm_youth_action_muslim_f</f>
        <v>0</v>
      </c>
      <c r="F4331" s="83" t="b">
        <v>1</v>
      </c>
      <c r="G4331" s="83"/>
      <c r="H4331" s="83"/>
      <c r="I4331" s="110" t="s">
        <v>11532</v>
      </c>
    </row>
    <row r="4332" spans="1:9">
      <c r="A4332" s="83" t="s">
        <v>10724</v>
      </c>
      <c r="B4332" s="83" t="s">
        <v>10149</v>
      </c>
      <c r="C4332" s="83" t="s">
        <v>10724</v>
      </c>
      <c r="D4332" s="83" t="s">
        <v>10947</v>
      </c>
      <c r="E4332" s="84">
        <f>number_stakeholder_drrm_youth_action_lwd_m</f>
        <v>0</v>
      </c>
      <c r="F4332" s="83" t="b">
        <v>1</v>
      </c>
      <c r="G4332" s="83"/>
      <c r="H4332" s="83"/>
      <c r="I4332" s="110" t="s">
        <v>11532</v>
      </c>
    </row>
    <row r="4333" spans="1:9">
      <c r="A4333" s="83" t="s">
        <v>10725</v>
      </c>
      <c r="B4333" s="83" t="s">
        <v>10149</v>
      </c>
      <c r="C4333" s="83" t="s">
        <v>10725</v>
      </c>
      <c r="D4333" s="83" t="s">
        <v>10948</v>
      </c>
      <c r="E4333" s="84">
        <f>number_stakeholder_drrm_youth_action_lwd_f</f>
        <v>0</v>
      </c>
      <c r="F4333" s="83" t="b">
        <v>1</v>
      </c>
      <c r="G4333" s="83"/>
      <c r="H4333" s="83"/>
      <c r="I4333" s="110" t="s">
        <v>11532</v>
      </c>
    </row>
    <row r="4334" spans="1:9">
      <c r="A4334" s="83" t="s">
        <v>10726</v>
      </c>
      <c r="B4334" s="83" t="s">
        <v>10149</v>
      </c>
      <c r="C4334" s="83" t="s">
        <v>10726</v>
      </c>
      <c r="D4334" s="83" t="s">
        <v>10949</v>
      </c>
      <c r="E4334" s="84">
        <f>number_stakeholder_drrm_campusjourn_exclude_m</f>
        <v>0</v>
      </c>
      <c r="F4334" s="83" t="b">
        <v>1</v>
      </c>
      <c r="G4334" s="83"/>
      <c r="H4334" s="83"/>
      <c r="I4334" s="110" t="s">
        <v>11532</v>
      </c>
    </row>
    <row r="4335" spans="1:9">
      <c r="A4335" s="83" t="s">
        <v>10727</v>
      </c>
      <c r="B4335" s="83" t="s">
        <v>10149</v>
      </c>
      <c r="C4335" s="83" t="s">
        <v>10727</v>
      </c>
      <c r="D4335" s="83" t="s">
        <v>10950</v>
      </c>
      <c r="E4335" s="84">
        <f>number_stakeholder_drrm_campusjourn_exclude_f</f>
        <v>0</v>
      </c>
      <c r="F4335" s="83" t="b">
        <v>1</v>
      </c>
      <c r="G4335" s="83"/>
      <c r="H4335" s="83"/>
      <c r="I4335" s="110" t="s">
        <v>11532</v>
      </c>
    </row>
    <row r="4336" spans="1:9">
      <c r="A4336" s="83" t="s">
        <v>10728</v>
      </c>
      <c r="B4336" s="83" t="s">
        <v>10149</v>
      </c>
      <c r="C4336" s="83" t="s">
        <v>10728</v>
      </c>
      <c r="D4336" s="83" t="s">
        <v>10951</v>
      </c>
      <c r="E4336" s="84">
        <f>number_stakeholder_drrm_campusjourn_ip_m</f>
        <v>0</v>
      </c>
      <c r="F4336" s="83" t="b">
        <v>1</v>
      </c>
      <c r="G4336" s="83"/>
      <c r="H4336" s="83"/>
      <c r="I4336" s="110" t="s">
        <v>11532</v>
      </c>
    </row>
    <row r="4337" spans="1:9">
      <c r="A4337" s="83" t="s">
        <v>10729</v>
      </c>
      <c r="B4337" s="83" t="s">
        <v>10149</v>
      </c>
      <c r="C4337" s="83" t="s">
        <v>10729</v>
      </c>
      <c r="D4337" s="83" t="s">
        <v>10952</v>
      </c>
      <c r="E4337" s="84">
        <f>number_stakeholder_drrm_campusjourn_ip_f</f>
        <v>0</v>
      </c>
      <c r="F4337" s="83" t="b">
        <v>1</v>
      </c>
      <c r="G4337" s="83"/>
      <c r="H4337" s="83"/>
      <c r="I4337" s="110" t="s">
        <v>11532</v>
      </c>
    </row>
    <row r="4338" spans="1:9">
      <c r="A4338" s="83" t="s">
        <v>10730</v>
      </c>
      <c r="B4338" s="83" t="s">
        <v>10149</v>
      </c>
      <c r="C4338" s="83" t="s">
        <v>10730</v>
      </c>
      <c r="D4338" s="83" t="s">
        <v>10953</v>
      </c>
      <c r="E4338" s="84">
        <f>number_stakeholder_drrm_campusjourn_muslim_m</f>
        <v>0</v>
      </c>
      <c r="F4338" s="83" t="b">
        <v>1</v>
      </c>
      <c r="G4338" s="83"/>
      <c r="H4338" s="83"/>
      <c r="I4338" s="110" t="s">
        <v>11532</v>
      </c>
    </row>
    <row r="4339" spans="1:9">
      <c r="A4339" s="83" t="s">
        <v>10731</v>
      </c>
      <c r="B4339" s="83" t="s">
        <v>10149</v>
      </c>
      <c r="C4339" s="83" t="s">
        <v>10731</v>
      </c>
      <c r="D4339" s="83" t="s">
        <v>10954</v>
      </c>
      <c r="E4339" s="84">
        <f>number_stakeholder_drrm_campusjourn_muslim_f</f>
        <v>0</v>
      </c>
      <c r="F4339" s="83" t="b">
        <v>1</v>
      </c>
      <c r="G4339" s="83"/>
      <c r="H4339" s="83"/>
      <c r="I4339" s="110" t="s">
        <v>11532</v>
      </c>
    </row>
    <row r="4340" spans="1:9">
      <c r="A4340" s="83" t="s">
        <v>10732</v>
      </c>
      <c r="B4340" s="83" t="s">
        <v>10149</v>
      </c>
      <c r="C4340" s="83" t="s">
        <v>10732</v>
      </c>
      <c r="D4340" s="83" t="s">
        <v>10955</v>
      </c>
      <c r="E4340" s="84">
        <f>number_stakeholder_drrm_campusjourn_lwd_m</f>
        <v>0</v>
      </c>
      <c r="F4340" s="83" t="b">
        <v>1</v>
      </c>
      <c r="G4340" s="83"/>
      <c r="H4340" s="83"/>
      <c r="I4340" s="110" t="s">
        <v>11532</v>
      </c>
    </row>
    <row r="4341" spans="1:9">
      <c r="A4341" s="83" t="s">
        <v>10733</v>
      </c>
      <c r="B4341" s="83" t="s">
        <v>10149</v>
      </c>
      <c r="C4341" s="83" t="s">
        <v>10733</v>
      </c>
      <c r="D4341" s="83" t="s">
        <v>10956</v>
      </c>
      <c r="E4341" s="84">
        <f>number_stakeholder_drrm_campusjourn_lwd_f</f>
        <v>0</v>
      </c>
      <c r="F4341" s="83" t="b">
        <v>1</v>
      </c>
      <c r="G4341" s="83"/>
      <c r="H4341" s="83"/>
      <c r="I4341" s="110" t="s">
        <v>11532</v>
      </c>
    </row>
    <row r="4342" spans="1:9">
      <c r="A4342" s="83" t="s">
        <v>10742</v>
      </c>
      <c r="B4342" s="83" t="s">
        <v>10149</v>
      </c>
      <c r="C4342" s="83" t="s">
        <v>10742</v>
      </c>
      <c r="D4342" s="83" t="s">
        <v>10965</v>
      </c>
      <c r="E4342" s="84">
        <f>number_stakeholder_drrm_learner_others_specify</f>
        <v>0</v>
      </c>
      <c r="F4342" s="83" t="b">
        <v>1</v>
      </c>
      <c r="G4342" s="83"/>
      <c r="H4342" s="83"/>
      <c r="I4342" s="110" t="s">
        <v>11532</v>
      </c>
    </row>
    <row r="4343" spans="1:9">
      <c r="A4343" s="83" t="s">
        <v>10734</v>
      </c>
      <c r="B4343" s="83" t="s">
        <v>10149</v>
      </c>
      <c r="C4343" s="83" t="s">
        <v>10734</v>
      </c>
      <c r="D4343" s="83" t="s">
        <v>10957</v>
      </c>
      <c r="E4343" s="84">
        <f>number_stakeholder_drrm_others_exclude_m</f>
        <v>0</v>
      </c>
      <c r="F4343" s="83" t="b">
        <v>1</v>
      </c>
      <c r="G4343" s="83"/>
      <c r="H4343" s="83"/>
      <c r="I4343" s="110" t="s">
        <v>11532</v>
      </c>
    </row>
    <row r="4344" spans="1:9">
      <c r="A4344" s="83" t="s">
        <v>10735</v>
      </c>
      <c r="B4344" s="83" t="s">
        <v>10149</v>
      </c>
      <c r="C4344" s="83" t="s">
        <v>10735</v>
      </c>
      <c r="D4344" s="83" t="s">
        <v>10958</v>
      </c>
      <c r="E4344" s="84">
        <f>number_stakeholder_drrm_others_exclude_f</f>
        <v>0</v>
      </c>
      <c r="F4344" s="83" t="b">
        <v>1</v>
      </c>
      <c r="G4344" s="83"/>
      <c r="H4344" s="83"/>
      <c r="I4344" s="110" t="s">
        <v>11532</v>
      </c>
    </row>
    <row r="4345" spans="1:9">
      <c r="A4345" s="83" t="s">
        <v>10736</v>
      </c>
      <c r="B4345" s="83" t="s">
        <v>10149</v>
      </c>
      <c r="C4345" s="83" t="s">
        <v>10736</v>
      </c>
      <c r="D4345" s="83" t="s">
        <v>10959</v>
      </c>
      <c r="E4345" s="84">
        <f>number_stakeholder_drrm_others_ip_m</f>
        <v>0</v>
      </c>
      <c r="F4345" s="83" t="b">
        <v>1</v>
      </c>
      <c r="G4345" s="83"/>
      <c r="H4345" s="83"/>
      <c r="I4345" s="110" t="s">
        <v>11532</v>
      </c>
    </row>
    <row r="4346" spans="1:9">
      <c r="A4346" s="83" t="s">
        <v>10737</v>
      </c>
      <c r="B4346" s="83" t="s">
        <v>10149</v>
      </c>
      <c r="C4346" s="83" t="s">
        <v>10737</v>
      </c>
      <c r="D4346" s="83" t="s">
        <v>10960</v>
      </c>
      <c r="E4346" s="84">
        <f>number_stakeholder_drrm_others_ip_f</f>
        <v>0</v>
      </c>
      <c r="F4346" s="83" t="b">
        <v>1</v>
      </c>
      <c r="G4346" s="83"/>
      <c r="H4346" s="83"/>
      <c r="I4346" s="110" t="s">
        <v>11532</v>
      </c>
    </row>
    <row r="4347" spans="1:9">
      <c r="A4347" s="83" t="s">
        <v>10738</v>
      </c>
      <c r="B4347" s="83" t="s">
        <v>10149</v>
      </c>
      <c r="C4347" s="83" t="s">
        <v>10738</v>
      </c>
      <c r="D4347" s="83" t="s">
        <v>10961</v>
      </c>
      <c r="E4347" s="84">
        <f>number_stakeholder_drrm_others_muslim_m</f>
        <v>0</v>
      </c>
      <c r="F4347" s="83" t="b">
        <v>1</v>
      </c>
      <c r="G4347" s="83"/>
      <c r="H4347" s="83"/>
      <c r="I4347" s="110" t="s">
        <v>11532</v>
      </c>
    </row>
    <row r="4348" spans="1:9">
      <c r="A4348" s="83" t="s">
        <v>10739</v>
      </c>
      <c r="B4348" s="83" t="s">
        <v>10149</v>
      </c>
      <c r="C4348" s="83" t="s">
        <v>10739</v>
      </c>
      <c r="D4348" s="83" t="s">
        <v>10962</v>
      </c>
      <c r="E4348" s="84">
        <f>number_stakeholder_drrm_others_muslim_f</f>
        <v>0</v>
      </c>
      <c r="F4348" s="83" t="b">
        <v>1</v>
      </c>
      <c r="G4348" s="83"/>
      <c r="H4348" s="83"/>
      <c r="I4348" s="110" t="s">
        <v>11532</v>
      </c>
    </row>
    <row r="4349" spans="1:9">
      <c r="A4349" s="83" t="s">
        <v>10740</v>
      </c>
      <c r="B4349" s="83" t="s">
        <v>10149</v>
      </c>
      <c r="C4349" s="83" t="s">
        <v>10740</v>
      </c>
      <c r="D4349" s="83" t="s">
        <v>10963</v>
      </c>
      <c r="E4349" s="84">
        <f>number_stakeholder_drrm_others_lwd_m</f>
        <v>0</v>
      </c>
      <c r="F4349" s="83" t="b">
        <v>1</v>
      </c>
      <c r="G4349" s="83"/>
      <c r="H4349" s="83"/>
      <c r="I4349" s="110" t="s">
        <v>11532</v>
      </c>
    </row>
    <row r="4350" spans="1:9">
      <c r="A4350" s="83" t="s">
        <v>10741</v>
      </c>
      <c r="B4350" s="83" t="s">
        <v>10149</v>
      </c>
      <c r="C4350" s="83" t="s">
        <v>10741</v>
      </c>
      <c r="D4350" s="83" t="s">
        <v>10964</v>
      </c>
      <c r="E4350" s="84">
        <f>number_stakeholder_drrm_others_lwd_f</f>
        <v>0</v>
      </c>
      <c r="F4350" s="83" t="b">
        <v>1</v>
      </c>
      <c r="G4350" s="83"/>
      <c r="H4350" s="83"/>
      <c r="I4350" s="110" t="s">
        <v>11532</v>
      </c>
    </row>
    <row r="4351" spans="1:9">
      <c r="A4351" s="83" t="s">
        <v>10743</v>
      </c>
      <c r="B4351" s="83" t="s">
        <v>10149</v>
      </c>
      <c r="C4351" s="83" t="s">
        <v>10743</v>
      </c>
      <c r="D4351" s="83" t="s">
        <v>10966</v>
      </c>
      <c r="E4351" s="84">
        <f>number_stakeholder_ccam_art_contests_exclude_m</f>
        <v>0</v>
      </c>
      <c r="F4351" s="83" t="b">
        <v>1</v>
      </c>
      <c r="G4351" s="83"/>
      <c r="H4351" s="83"/>
      <c r="I4351" s="110" t="s">
        <v>11532</v>
      </c>
    </row>
    <row r="4352" spans="1:9">
      <c r="A4352" s="83" t="s">
        <v>10744</v>
      </c>
      <c r="B4352" s="83" t="s">
        <v>10149</v>
      </c>
      <c r="C4352" s="83" t="s">
        <v>10744</v>
      </c>
      <c r="D4352" s="83" t="s">
        <v>10967</v>
      </c>
      <c r="E4352" s="84">
        <f>number_stakeholder_ccam_art_contests_exclude_f</f>
        <v>0</v>
      </c>
      <c r="F4352" s="83" t="b">
        <v>1</v>
      </c>
      <c r="G4352" s="83"/>
      <c r="H4352" s="83"/>
      <c r="I4352" s="110" t="s">
        <v>11532</v>
      </c>
    </row>
    <row r="4353" spans="1:9">
      <c r="A4353" s="83" t="s">
        <v>10745</v>
      </c>
      <c r="B4353" s="83" t="s">
        <v>10149</v>
      </c>
      <c r="C4353" s="83" t="s">
        <v>10745</v>
      </c>
      <c r="D4353" s="83" t="s">
        <v>10968</v>
      </c>
      <c r="E4353" s="84">
        <f>number_stakeholder_ccam_art_contests_ip_m</f>
        <v>0</v>
      </c>
      <c r="F4353" s="83" t="b">
        <v>1</v>
      </c>
      <c r="G4353" s="83"/>
      <c r="H4353" s="83"/>
      <c r="I4353" s="110" t="s">
        <v>11532</v>
      </c>
    </row>
    <row r="4354" spans="1:9">
      <c r="A4354" s="83" t="s">
        <v>10746</v>
      </c>
      <c r="B4354" s="83" t="s">
        <v>10149</v>
      </c>
      <c r="C4354" s="83" t="s">
        <v>10746</v>
      </c>
      <c r="D4354" s="83" t="s">
        <v>10969</v>
      </c>
      <c r="E4354" s="84">
        <f>number_stakeholder_ccam_art_contests_ip_f</f>
        <v>0</v>
      </c>
      <c r="F4354" s="83" t="b">
        <v>1</v>
      </c>
      <c r="G4354" s="83"/>
      <c r="H4354" s="83"/>
      <c r="I4354" s="110" t="s">
        <v>11532</v>
      </c>
    </row>
    <row r="4355" spans="1:9">
      <c r="A4355" s="83" t="s">
        <v>10747</v>
      </c>
      <c r="B4355" s="83" t="s">
        <v>10149</v>
      </c>
      <c r="C4355" s="83" t="s">
        <v>10747</v>
      </c>
      <c r="D4355" s="83" t="s">
        <v>10970</v>
      </c>
      <c r="E4355" s="84">
        <f>number_stakeholder_ccam_art_contests_muslim_m</f>
        <v>0</v>
      </c>
      <c r="F4355" s="83" t="b">
        <v>1</v>
      </c>
      <c r="G4355" s="83"/>
      <c r="H4355" s="83"/>
      <c r="I4355" s="110" t="s">
        <v>11532</v>
      </c>
    </row>
    <row r="4356" spans="1:9">
      <c r="A4356" s="83" t="s">
        <v>10748</v>
      </c>
      <c r="B4356" s="83" t="s">
        <v>10149</v>
      </c>
      <c r="C4356" s="83" t="s">
        <v>10748</v>
      </c>
      <c r="D4356" s="83" t="s">
        <v>10971</v>
      </c>
      <c r="E4356" s="84">
        <f>number_stakeholder_ccam_art_contests_muslim_f</f>
        <v>0</v>
      </c>
      <c r="F4356" s="83" t="b">
        <v>1</v>
      </c>
      <c r="G4356" s="83"/>
      <c r="H4356" s="83"/>
      <c r="I4356" s="110" t="s">
        <v>11532</v>
      </c>
    </row>
    <row r="4357" spans="1:9">
      <c r="A4357" s="83" t="s">
        <v>10749</v>
      </c>
      <c r="B4357" s="83" t="s">
        <v>10149</v>
      </c>
      <c r="C4357" s="83" t="s">
        <v>10749</v>
      </c>
      <c r="D4357" s="83" t="s">
        <v>10972</v>
      </c>
      <c r="E4357" s="84">
        <f>number_stakeholder_ccam_art_contests_lwd_m</f>
        <v>0</v>
      </c>
      <c r="F4357" s="83" t="b">
        <v>1</v>
      </c>
      <c r="G4357" s="83"/>
      <c r="H4357" s="83"/>
      <c r="I4357" s="110" t="s">
        <v>11532</v>
      </c>
    </row>
    <row r="4358" spans="1:9">
      <c r="A4358" s="83" t="s">
        <v>10750</v>
      </c>
      <c r="B4358" s="83" t="s">
        <v>10149</v>
      </c>
      <c r="C4358" s="83" t="s">
        <v>10750</v>
      </c>
      <c r="D4358" s="83" t="s">
        <v>10973</v>
      </c>
      <c r="E4358" s="84">
        <f>number_stakeholder_ccam_art_contests_lwd_f</f>
        <v>0</v>
      </c>
      <c r="F4358" s="83" t="b">
        <v>1</v>
      </c>
      <c r="G4358" s="83"/>
      <c r="H4358" s="83"/>
      <c r="I4358" s="110" t="s">
        <v>11532</v>
      </c>
    </row>
    <row r="4359" spans="1:9">
      <c r="A4359" s="83" t="s">
        <v>10751</v>
      </c>
      <c r="B4359" s="83" t="s">
        <v>10149</v>
      </c>
      <c r="C4359" s="83" t="s">
        <v>10751</v>
      </c>
      <c r="D4359" s="83" t="s">
        <v>10974</v>
      </c>
      <c r="E4359" s="84">
        <f>number_stakeholder_ccam_change_current_exclude_m</f>
        <v>0</v>
      </c>
      <c r="F4359" s="83" t="b">
        <v>1</v>
      </c>
      <c r="G4359" s="83"/>
      <c r="H4359" s="83"/>
      <c r="I4359" s="110" t="s">
        <v>11532</v>
      </c>
    </row>
    <row r="4360" spans="1:9">
      <c r="A4360" s="83" t="s">
        <v>10752</v>
      </c>
      <c r="B4360" s="83" t="s">
        <v>10149</v>
      </c>
      <c r="C4360" s="83" t="s">
        <v>10752</v>
      </c>
      <c r="D4360" s="83" t="s">
        <v>10975</v>
      </c>
      <c r="E4360" s="84">
        <f>number_stakeholder_ccam_change_current_exclude_f</f>
        <v>0</v>
      </c>
      <c r="F4360" s="83" t="b">
        <v>1</v>
      </c>
      <c r="G4360" s="83"/>
      <c r="H4360" s="83"/>
      <c r="I4360" s="110" t="s">
        <v>11532</v>
      </c>
    </row>
    <row r="4361" spans="1:9">
      <c r="A4361" s="83" t="s">
        <v>10753</v>
      </c>
      <c r="B4361" s="83" t="s">
        <v>10149</v>
      </c>
      <c r="C4361" s="83" t="s">
        <v>10753</v>
      </c>
      <c r="D4361" s="83" t="s">
        <v>10976</v>
      </c>
      <c r="E4361" s="84">
        <f>number_stakeholder_ccam_change_current_ip_m</f>
        <v>0</v>
      </c>
      <c r="F4361" s="83" t="b">
        <v>1</v>
      </c>
      <c r="G4361" s="83"/>
      <c r="H4361" s="83"/>
      <c r="I4361" s="110" t="s">
        <v>11532</v>
      </c>
    </row>
    <row r="4362" spans="1:9">
      <c r="A4362" s="83" t="s">
        <v>10754</v>
      </c>
      <c r="B4362" s="83" t="s">
        <v>10149</v>
      </c>
      <c r="C4362" s="83" t="s">
        <v>10754</v>
      </c>
      <c r="D4362" s="83" t="s">
        <v>10977</v>
      </c>
      <c r="E4362" s="84">
        <f>number_stakeholder_ccam_change_current_ip_f</f>
        <v>0</v>
      </c>
      <c r="F4362" s="83" t="b">
        <v>1</v>
      </c>
      <c r="G4362" s="83"/>
      <c r="H4362" s="83"/>
      <c r="I4362" s="110" t="s">
        <v>11532</v>
      </c>
    </row>
    <row r="4363" spans="1:9">
      <c r="A4363" s="83" t="s">
        <v>10755</v>
      </c>
      <c r="B4363" s="83" t="s">
        <v>10149</v>
      </c>
      <c r="C4363" s="83" t="s">
        <v>10755</v>
      </c>
      <c r="D4363" s="83" t="s">
        <v>10978</v>
      </c>
      <c r="E4363" s="84">
        <f>number_stakeholder_ccam_change_current_muslim_m</f>
        <v>0</v>
      </c>
      <c r="F4363" s="83" t="b">
        <v>1</v>
      </c>
      <c r="G4363" s="83"/>
      <c r="H4363" s="83"/>
      <c r="I4363" s="110" t="s">
        <v>11532</v>
      </c>
    </row>
    <row r="4364" spans="1:9">
      <c r="A4364" s="83" t="s">
        <v>10756</v>
      </c>
      <c r="B4364" s="83" t="s">
        <v>10149</v>
      </c>
      <c r="C4364" s="83" t="s">
        <v>10756</v>
      </c>
      <c r="D4364" s="83" t="s">
        <v>10979</v>
      </c>
      <c r="E4364" s="84">
        <f>number_stakeholder_ccam_change_current_muslim_f</f>
        <v>0</v>
      </c>
      <c r="F4364" s="83" t="b">
        <v>1</v>
      </c>
      <c r="G4364" s="83"/>
      <c r="H4364" s="83"/>
      <c r="I4364" s="110" t="s">
        <v>11532</v>
      </c>
    </row>
    <row r="4365" spans="1:9">
      <c r="A4365" s="83" t="s">
        <v>10757</v>
      </c>
      <c r="B4365" s="83" t="s">
        <v>10149</v>
      </c>
      <c r="C4365" s="83" t="s">
        <v>10757</v>
      </c>
      <c r="D4365" s="83" t="s">
        <v>10980</v>
      </c>
      <c r="E4365" s="84">
        <f>number_stakeholder_ccam_change_current_lwd_m</f>
        <v>0</v>
      </c>
      <c r="F4365" s="83" t="b">
        <v>1</v>
      </c>
      <c r="G4365" s="83"/>
      <c r="H4365" s="83"/>
      <c r="I4365" s="110" t="s">
        <v>11532</v>
      </c>
    </row>
    <row r="4366" spans="1:9">
      <c r="A4366" s="83" t="s">
        <v>10758</v>
      </c>
      <c r="B4366" s="83" t="s">
        <v>10149</v>
      </c>
      <c r="C4366" s="83" t="s">
        <v>10758</v>
      </c>
      <c r="D4366" s="83" t="s">
        <v>10981</v>
      </c>
      <c r="E4366" s="84">
        <f>number_stakeholder_ccam_change_current_lwd_f</f>
        <v>0</v>
      </c>
      <c r="F4366" s="83" t="b">
        <v>1</v>
      </c>
      <c r="G4366" s="83"/>
      <c r="H4366" s="83"/>
      <c r="I4366" s="110" t="s">
        <v>11532</v>
      </c>
    </row>
    <row r="4367" spans="1:9">
      <c r="A4367" s="83" t="s">
        <v>10759</v>
      </c>
      <c r="B4367" s="83" t="s">
        <v>10149</v>
      </c>
      <c r="C4367" s="83" t="s">
        <v>10759</v>
      </c>
      <c r="D4367" s="83" t="s">
        <v>10982</v>
      </c>
      <c r="E4367" s="84">
        <f>number_stakeholder_ccam_climate_adapt_exclude_m</f>
        <v>0</v>
      </c>
      <c r="F4367" s="83" t="b">
        <v>1</v>
      </c>
      <c r="G4367" s="83"/>
      <c r="H4367" s="83"/>
      <c r="I4367" s="110" t="s">
        <v>11532</v>
      </c>
    </row>
    <row r="4368" spans="1:9">
      <c r="A4368" s="83" t="s">
        <v>10760</v>
      </c>
      <c r="B4368" s="83" t="s">
        <v>10149</v>
      </c>
      <c r="C4368" s="83" t="s">
        <v>10760</v>
      </c>
      <c r="D4368" s="83" t="s">
        <v>10983</v>
      </c>
      <c r="E4368" s="84">
        <f>number_stakeholder_ccam_climate_adapt_exclude_f</f>
        <v>0</v>
      </c>
      <c r="F4368" s="83" t="b">
        <v>1</v>
      </c>
      <c r="G4368" s="83"/>
      <c r="H4368" s="83"/>
      <c r="I4368" s="110" t="s">
        <v>11532</v>
      </c>
    </row>
    <row r="4369" spans="1:9">
      <c r="A4369" s="83" t="s">
        <v>10761</v>
      </c>
      <c r="B4369" s="83" t="s">
        <v>10149</v>
      </c>
      <c r="C4369" s="83" t="s">
        <v>10761</v>
      </c>
      <c r="D4369" s="83" t="s">
        <v>10984</v>
      </c>
      <c r="E4369" s="84">
        <f>number_stakeholder_ccam_climate_adapt_ip_m</f>
        <v>0</v>
      </c>
      <c r="F4369" s="83" t="b">
        <v>1</v>
      </c>
      <c r="G4369" s="83"/>
      <c r="H4369" s="83"/>
      <c r="I4369" s="110" t="s">
        <v>11532</v>
      </c>
    </row>
    <row r="4370" spans="1:9">
      <c r="A4370" s="83" t="s">
        <v>10762</v>
      </c>
      <c r="B4370" s="83" t="s">
        <v>10149</v>
      </c>
      <c r="C4370" s="83" t="s">
        <v>10762</v>
      </c>
      <c r="D4370" s="83" t="s">
        <v>10985</v>
      </c>
      <c r="E4370" s="84">
        <f>number_stakeholder_ccam_climate_adapt_ip_f</f>
        <v>0</v>
      </c>
      <c r="F4370" s="83" t="b">
        <v>1</v>
      </c>
      <c r="G4370" s="83"/>
      <c r="H4370" s="83"/>
      <c r="I4370" s="110" t="s">
        <v>11532</v>
      </c>
    </row>
    <row r="4371" spans="1:9">
      <c r="A4371" s="83" t="s">
        <v>10763</v>
      </c>
      <c r="B4371" s="83" t="s">
        <v>10149</v>
      </c>
      <c r="C4371" s="83" t="s">
        <v>10763</v>
      </c>
      <c r="D4371" s="83" t="s">
        <v>10986</v>
      </c>
      <c r="E4371" s="84">
        <f>number_stakeholder_ccam_climate_adapt_muslim_m</f>
        <v>0</v>
      </c>
      <c r="F4371" s="83" t="b">
        <v>1</v>
      </c>
      <c r="G4371" s="83"/>
      <c r="H4371" s="83"/>
      <c r="I4371" s="110" t="s">
        <v>11532</v>
      </c>
    </row>
    <row r="4372" spans="1:9">
      <c r="A4372" s="83" t="s">
        <v>10764</v>
      </c>
      <c r="B4372" s="83" t="s">
        <v>10149</v>
      </c>
      <c r="C4372" s="83" t="s">
        <v>10764</v>
      </c>
      <c r="D4372" s="83" t="s">
        <v>10987</v>
      </c>
      <c r="E4372" s="84">
        <f>number_stakeholder_ccam_climate_adapt_muslim_f</f>
        <v>0</v>
      </c>
      <c r="F4372" s="83" t="b">
        <v>1</v>
      </c>
      <c r="G4372" s="83"/>
      <c r="H4372" s="83"/>
      <c r="I4372" s="110" t="s">
        <v>11532</v>
      </c>
    </row>
    <row r="4373" spans="1:9">
      <c r="A4373" s="83" t="s">
        <v>10765</v>
      </c>
      <c r="B4373" s="83" t="s">
        <v>10149</v>
      </c>
      <c r="C4373" s="83" t="s">
        <v>10765</v>
      </c>
      <c r="D4373" s="83" t="s">
        <v>10988</v>
      </c>
      <c r="E4373" s="84">
        <f>number_stakeholder_ccam_climate_adapt_lwd_m</f>
        <v>0</v>
      </c>
      <c r="F4373" s="83" t="b">
        <v>1</v>
      </c>
      <c r="G4373" s="83"/>
      <c r="H4373" s="83"/>
      <c r="I4373" s="110" t="s">
        <v>11532</v>
      </c>
    </row>
    <row r="4374" spans="1:9">
      <c r="A4374" s="83" t="s">
        <v>10766</v>
      </c>
      <c r="B4374" s="83" t="s">
        <v>10149</v>
      </c>
      <c r="C4374" s="83" t="s">
        <v>10766</v>
      </c>
      <c r="D4374" s="83" t="s">
        <v>10989</v>
      </c>
      <c r="E4374" s="84">
        <f>number_stakeholder_ccam_climate_adapt_lwd_f</f>
        <v>0</v>
      </c>
      <c r="F4374" s="83" t="b">
        <v>1</v>
      </c>
      <c r="G4374" s="83"/>
      <c r="H4374" s="83"/>
      <c r="I4374" s="110" t="s">
        <v>11532</v>
      </c>
    </row>
    <row r="4375" spans="1:9">
      <c r="A4375" s="83" t="s">
        <v>10767</v>
      </c>
      <c r="B4375" s="83" t="s">
        <v>10149</v>
      </c>
      <c r="C4375" s="83" t="s">
        <v>10767</v>
      </c>
      <c r="D4375" s="83" t="s">
        <v>10990</v>
      </c>
      <c r="E4375" s="84">
        <f>number_stakeholder_ccam_envi_journalism_exclude_m</f>
        <v>0</v>
      </c>
      <c r="F4375" s="83" t="b">
        <v>1</v>
      </c>
      <c r="G4375" s="83"/>
      <c r="H4375" s="83"/>
      <c r="I4375" s="110" t="s">
        <v>11532</v>
      </c>
    </row>
    <row r="4376" spans="1:9">
      <c r="A4376" s="83" t="s">
        <v>10768</v>
      </c>
      <c r="B4376" s="83" t="s">
        <v>10149</v>
      </c>
      <c r="C4376" s="83" t="s">
        <v>10768</v>
      </c>
      <c r="D4376" s="83" t="s">
        <v>10991</v>
      </c>
      <c r="E4376" s="84">
        <f>number_stakeholder_ccam_envi_journalism_exclude_f</f>
        <v>0</v>
      </c>
      <c r="F4376" s="83" t="b">
        <v>1</v>
      </c>
      <c r="G4376" s="83"/>
      <c r="H4376" s="83"/>
      <c r="I4376" s="110" t="s">
        <v>11532</v>
      </c>
    </row>
    <row r="4377" spans="1:9">
      <c r="A4377" s="83" t="s">
        <v>10769</v>
      </c>
      <c r="B4377" s="83" t="s">
        <v>10149</v>
      </c>
      <c r="C4377" s="83" t="s">
        <v>10769</v>
      </c>
      <c r="D4377" s="83" t="s">
        <v>10992</v>
      </c>
      <c r="E4377" s="84">
        <f>number_stakeholder_ccam_envi_journalism_ip_m</f>
        <v>0</v>
      </c>
      <c r="F4377" s="83" t="b">
        <v>1</v>
      </c>
      <c r="G4377" s="83"/>
      <c r="H4377" s="83"/>
      <c r="I4377" s="110" t="s">
        <v>11532</v>
      </c>
    </row>
    <row r="4378" spans="1:9">
      <c r="A4378" s="83" t="s">
        <v>10770</v>
      </c>
      <c r="B4378" s="83" t="s">
        <v>10149</v>
      </c>
      <c r="C4378" s="83" t="s">
        <v>10770</v>
      </c>
      <c r="D4378" s="83" t="s">
        <v>10993</v>
      </c>
      <c r="E4378" s="84">
        <f>number_stakeholder_ccam_envi_journalism_ip_f</f>
        <v>0</v>
      </c>
      <c r="F4378" s="83" t="b">
        <v>1</v>
      </c>
      <c r="G4378" s="83"/>
      <c r="H4378" s="83"/>
      <c r="I4378" s="110" t="s">
        <v>11532</v>
      </c>
    </row>
    <row r="4379" spans="1:9">
      <c r="A4379" s="83" t="s">
        <v>10771</v>
      </c>
      <c r="B4379" s="83" t="s">
        <v>10149</v>
      </c>
      <c r="C4379" s="83" t="s">
        <v>10771</v>
      </c>
      <c r="D4379" s="83" t="s">
        <v>10994</v>
      </c>
      <c r="E4379" s="84">
        <f>number_stakeholder_ccam_envi_journalism_muslim_m</f>
        <v>0</v>
      </c>
      <c r="F4379" s="83" t="b">
        <v>1</v>
      </c>
      <c r="G4379" s="83"/>
      <c r="H4379" s="83"/>
      <c r="I4379" s="110" t="s">
        <v>11532</v>
      </c>
    </row>
    <row r="4380" spans="1:9">
      <c r="A4380" s="83" t="s">
        <v>10772</v>
      </c>
      <c r="B4380" s="83" t="s">
        <v>10149</v>
      </c>
      <c r="C4380" s="83" t="s">
        <v>10772</v>
      </c>
      <c r="D4380" s="83" t="s">
        <v>10995</v>
      </c>
      <c r="E4380" s="84">
        <f>number_stakeholder_ccam_envi_journalism_muslim_f</f>
        <v>0</v>
      </c>
      <c r="F4380" s="83" t="b">
        <v>1</v>
      </c>
      <c r="G4380" s="83"/>
      <c r="H4380" s="83"/>
      <c r="I4380" s="110" t="s">
        <v>11532</v>
      </c>
    </row>
    <row r="4381" spans="1:9">
      <c r="A4381" s="83" t="s">
        <v>10773</v>
      </c>
      <c r="B4381" s="83" t="s">
        <v>10149</v>
      </c>
      <c r="C4381" s="83" t="s">
        <v>10773</v>
      </c>
      <c r="D4381" s="83" t="s">
        <v>10996</v>
      </c>
      <c r="E4381" s="84">
        <f>number_stakeholder_ccam_envi_journalism_lwd_m</f>
        <v>0</v>
      </c>
      <c r="F4381" s="83" t="b">
        <v>1</v>
      </c>
      <c r="G4381" s="83"/>
      <c r="H4381" s="83"/>
      <c r="I4381" s="110" t="s">
        <v>11532</v>
      </c>
    </row>
    <row r="4382" spans="1:9">
      <c r="A4382" s="83" t="s">
        <v>10774</v>
      </c>
      <c r="B4382" s="83" t="s">
        <v>10149</v>
      </c>
      <c r="C4382" s="83" t="s">
        <v>10774</v>
      </c>
      <c r="D4382" s="83" t="s">
        <v>10997</v>
      </c>
      <c r="E4382" s="84">
        <f>number_stakeholder_ccam_envi_journalism_lwd_f</f>
        <v>0</v>
      </c>
      <c r="F4382" s="83" t="b">
        <v>1</v>
      </c>
      <c r="G4382" s="83"/>
      <c r="H4382" s="83"/>
      <c r="I4382" s="110" t="s">
        <v>11532</v>
      </c>
    </row>
    <row r="4383" spans="1:9">
      <c r="A4383" s="83" t="s">
        <v>10775</v>
      </c>
      <c r="B4383" s="83" t="s">
        <v>10149</v>
      </c>
      <c r="C4383" s="83" t="s">
        <v>10775</v>
      </c>
      <c r="D4383" s="83" t="s">
        <v>10998</v>
      </c>
      <c r="E4383" s="84">
        <f>number_stakeholder_ccam_gulayan_paaralan_exclude_m</f>
        <v>0</v>
      </c>
      <c r="F4383" s="83" t="b">
        <v>1</v>
      </c>
      <c r="G4383" s="83"/>
      <c r="H4383" s="83"/>
      <c r="I4383" s="110" t="s">
        <v>11532</v>
      </c>
    </row>
    <row r="4384" spans="1:9">
      <c r="A4384" s="83" t="s">
        <v>10776</v>
      </c>
      <c r="B4384" s="83" t="s">
        <v>10149</v>
      </c>
      <c r="C4384" s="83" t="s">
        <v>10776</v>
      </c>
      <c r="D4384" s="83" t="s">
        <v>10999</v>
      </c>
      <c r="E4384" s="84">
        <f>number_stakeholder_ccam_gulayan_paaralan_exclude_f</f>
        <v>0</v>
      </c>
      <c r="F4384" s="83" t="b">
        <v>1</v>
      </c>
      <c r="G4384" s="83"/>
      <c r="H4384" s="83"/>
      <c r="I4384" s="110" t="s">
        <v>11532</v>
      </c>
    </row>
    <row r="4385" spans="1:9">
      <c r="A4385" s="83" t="s">
        <v>10777</v>
      </c>
      <c r="B4385" s="83" t="s">
        <v>10149</v>
      </c>
      <c r="C4385" s="83" t="s">
        <v>10777</v>
      </c>
      <c r="D4385" s="83" t="s">
        <v>11000</v>
      </c>
      <c r="E4385" s="84">
        <f>number_stakeholder_ccam_gulayan_paaralan_ip_m</f>
        <v>0</v>
      </c>
      <c r="F4385" s="83" t="b">
        <v>1</v>
      </c>
      <c r="G4385" s="83"/>
      <c r="H4385" s="83"/>
      <c r="I4385" s="110" t="s">
        <v>11532</v>
      </c>
    </row>
    <row r="4386" spans="1:9">
      <c r="A4386" s="83" t="s">
        <v>10778</v>
      </c>
      <c r="B4386" s="83" t="s">
        <v>10149</v>
      </c>
      <c r="C4386" s="83" t="s">
        <v>10778</v>
      </c>
      <c r="D4386" s="83" t="s">
        <v>11001</v>
      </c>
      <c r="E4386" s="84">
        <f>number_stakeholder_ccam_gulayan_paaralan_ip_f</f>
        <v>0</v>
      </c>
      <c r="F4386" s="83" t="b">
        <v>1</v>
      </c>
      <c r="G4386" s="83"/>
      <c r="H4386" s="83"/>
      <c r="I4386" s="110" t="s">
        <v>11532</v>
      </c>
    </row>
    <row r="4387" spans="1:9">
      <c r="A4387" s="83" t="s">
        <v>10779</v>
      </c>
      <c r="B4387" s="83" t="s">
        <v>10149</v>
      </c>
      <c r="C4387" s="83" t="s">
        <v>10779</v>
      </c>
      <c r="D4387" s="83" t="s">
        <v>11002</v>
      </c>
      <c r="E4387" s="84">
        <f>number_stakeholder_ccam_gulayan_paaralan_muslim_m</f>
        <v>0</v>
      </c>
      <c r="F4387" s="83" t="b">
        <v>1</v>
      </c>
      <c r="G4387" s="83"/>
      <c r="H4387" s="83"/>
      <c r="I4387" s="110" t="s">
        <v>11532</v>
      </c>
    </row>
    <row r="4388" spans="1:9">
      <c r="A4388" s="83" t="s">
        <v>10780</v>
      </c>
      <c r="B4388" s="83" t="s">
        <v>10149</v>
      </c>
      <c r="C4388" s="83" t="s">
        <v>10780</v>
      </c>
      <c r="D4388" s="83" t="s">
        <v>11003</v>
      </c>
      <c r="E4388" s="84">
        <f>number_stakeholder_ccam_gulayan_paaralan_muslim_f</f>
        <v>0</v>
      </c>
      <c r="F4388" s="83" t="b">
        <v>1</v>
      </c>
      <c r="G4388" s="83"/>
      <c r="H4388" s="83"/>
      <c r="I4388" s="110" t="s">
        <v>11532</v>
      </c>
    </row>
    <row r="4389" spans="1:9">
      <c r="A4389" s="83" t="s">
        <v>10781</v>
      </c>
      <c r="B4389" s="83" t="s">
        <v>10149</v>
      </c>
      <c r="C4389" s="83" t="s">
        <v>10781</v>
      </c>
      <c r="D4389" s="83" t="s">
        <v>11004</v>
      </c>
      <c r="E4389" s="84">
        <f>number_stakeholder_ccam_gulayan_paaralan_lwd_m</f>
        <v>0</v>
      </c>
      <c r="F4389" s="83" t="b">
        <v>1</v>
      </c>
      <c r="G4389" s="83"/>
      <c r="H4389" s="83"/>
      <c r="I4389" s="110" t="s">
        <v>11532</v>
      </c>
    </row>
    <row r="4390" spans="1:9">
      <c r="A4390" s="83" t="s">
        <v>10782</v>
      </c>
      <c r="B4390" s="83" t="s">
        <v>10149</v>
      </c>
      <c r="C4390" s="83" t="s">
        <v>10782</v>
      </c>
      <c r="D4390" s="83" t="s">
        <v>11005</v>
      </c>
      <c r="E4390" s="84">
        <f>number_stakeholder_ccam_gulayan_paaralan_lwd_f</f>
        <v>0</v>
      </c>
      <c r="F4390" s="83" t="b">
        <v>1</v>
      </c>
      <c r="G4390" s="83"/>
      <c r="H4390" s="83"/>
      <c r="I4390" s="110" t="s">
        <v>11532</v>
      </c>
    </row>
    <row r="4391" spans="1:9">
      <c r="A4391" s="83" t="s">
        <v>10783</v>
      </c>
      <c r="B4391" s="83" t="s">
        <v>10149</v>
      </c>
      <c r="C4391" s="83" t="s">
        <v>10783</v>
      </c>
      <c r="D4391" s="83" t="s">
        <v>11006</v>
      </c>
      <c r="E4391" s="84">
        <f>number_stakeholder_ccam_kalikhasan_exclude_m</f>
        <v>0</v>
      </c>
      <c r="F4391" s="83" t="b">
        <v>1</v>
      </c>
      <c r="G4391" s="83"/>
      <c r="H4391" s="83"/>
      <c r="I4391" s="110" t="s">
        <v>11532</v>
      </c>
    </row>
    <row r="4392" spans="1:9">
      <c r="A4392" s="83" t="s">
        <v>10784</v>
      </c>
      <c r="B4392" s="83" t="s">
        <v>10149</v>
      </c>
      <c r="C4392" s="83" t="s">
        <v>10784</v>
      </c>
      <c r="D4392" s="83" t="s">
        <v>11007</v>
      </c>
      <c r="E4392" s="84">
        <f>number_stakeholder_ccam_kalikhasan_exclude_f</f>
        <v>0</v>
      </c>
      <c r="F4392" s="83" t="b">
        <v>1</v>
      </c>
      <c r="G4392" s="83"/>
      <c r="H4392" s="83"/>
      <c r="I4392" s="110" t="s">
        <v>11532</v>
      </c>
    </row>
    <row r="4393" spans="1:9">
      <c r="A4393" s="83" t="s">
        <v>10785</v>
      </c>
      <c r="B4393" s="83" t="s">
        <v>10149</v>
      </c>
      <c r="C4393" s="83" t="s">
        <v>10785</v>
      </c>
      <c r="D4393" s="83" t="s">
        <v>11008</v>
      </c>
      <c r="E4393" s="84">
        <f>number_stakeholder_ccam_kalikhasan_ip_m</f>
        <v>0</v>
      </c>
      <c r="F4393" s="83" t="b">
        <v>1</v>
      </c>
      <c r="G4393" s="83"/>
      <c r="H4393" s="83"/>
      <c r="I4393" s="110" t="s">
        <v>11532</v>
      </c>
    </row>
    <row r="4394" spans="1:9">
      <c r="A4394" s="83" t="s">
        <v>10786</v>
      </c>
      <c r="B4394" s="83" t="s">
        <v>10149</v>
      </c>
      <c r="C4394" s="83" t="s">
        <v>10786</v>
      </c>
      <c r="D4394" s="83" t="s">
        <v>11009</v>
      </c>
      <c r="E4394" s="84">
        <f>number_stakeholder_ccam_kalikhasan_ip_f</f>
        <v>0</v>
      </c>
      <c r="F4394" s="83" t="b">
        <v>1</v>
      </c>
      <c r="G4394" s="83"/>
      <c r="H4394" s="83"/>
      <c r="I4394" s="110" t="s">
        <v>11532</v>
      </c>
    </row>
    <row r="4395" spans="1:9">
      <c r="A4395" s="83" t="s">
        <v>10787</v>
      </c>
      <c r="B4395" s="83" t="s">
        <v>10149</v>
      </c>
      <c r="C4395" s="83" t="s">
        <v>10787</v>
      </c>
      <c r="D4395" s="83" t="s">
        <v>11010</v>
      </c>
      <c r="E4395" s="84">
        <f>number_stakeholder_ccam_kalikhasan_muslim_m</f>
        <v>0</v>
      </c>
      <c r="F4395" s="83" t="b">
        <v>1</v>
      </c>
      <c r="G4395" s="83"/>
      <c r="H4395" s="83"/>
      <c r="I4395" s="110" t="s">
        <v>11532</v>
      </c>
    </row>
    <row r="4396" spans="1:9">
      <c r="A4396" s="83" t="s">
        <v>10788</v>
      </c>
      <c r="B4396" s="83" t="s">
        <v>10149</v>
      </c>
      <c r="C4396" s="83" t="s">
        <v>10788</v>
      </c>
      <c r="D4396" s="83" t="s">
        <v>11011</v>
      </c>
      <c r="E4396" s="84">
        <f>number_stakeholder_ccam_kalikhasan_muslim_f</f>
        <v>0</v>
      </c>
      <c r="F4396" s="83" t="b">
        <v>1</v>
      </c>
      <c r="G4396" s="83"/>
      <c r="H4396" s="83"/>
      <c r="I4396" s="110" t="s">
        <v>11532</v>
      </c>
    </row>
    <row r="4397" spans="1:9">
      <c r="A4397" s="83" t="s">
        <v>10789</v>
      </c>
      <c r="B4397" s="83" t="s">
        <v>10149</v>
      </c>
      <c r="C4397" s="83" t="s">
        <v>10789</v>
      </c>
      <c r="D4397" s="83" t="s">
        <v>11012</v>
      </c>
      <c r="E4397" s="84">
        <f>number_stakeholder_ccam_kalikhasan_lwd_m</f>
        <v>0</v>
      </c>
      <c r="F4397" s="83" t="b">
        <v>1</v>
      </c>
      <c r="G4397" s="83"/>
      <c r="H4397" s="83"/>
      <c r="I4397" s="110" t="s">
        <v>11532</v>
      </c>
    </row>
    <row r="4398" spans="1:9">
      <c r="A4398" s="83" t="s">
        <v>10790</v>
      </c>
      <c r="B4398" s="83" t="s">
        <v>10149</v>
      </c>
      <c r="C4398" s="83" t="s">
        <v>10790</v>
      </c>
      <c r="D4398" s="83" t="s">
        <v>11013</v>
      </c>
      <c r="E4398" s="84">
        <f>number_stakeholder_ccam_kalikhasan_lwd_f</f>
        <v>0</v>
      </c>
      <c r="F4398" s="83" t="b">
        <v>1</v>
      </c>
      <c r="G4398" s="83"/>
      <c r="H4398" s="83"/>
      <c r="I4398" s="110" t="s">
        <v>11532</v>
      </c>
    </row>
    <row r="4399" spans="1:9">
      <c r="A4399" s="83" t="s">
        <v>10791</v>
      </c>
      <c r="B4399" s="83" t="s">
        <v>10149</v>
      </c>
      <c r="C4399" s="83" t="s">
        <v>10791</v>
      </c>
      <c r="D4399" s="83" t="s">
        <v>11014</v>
      </c>
      <c r="E4399" s="84">
        <f>number_stakeholder_ccam_solidwaste_mgmt_exclude_m</f>
        <v>0</v>
      </c>
      <c r="F4399" s="83" t="b">
        <v>1</v>
      </c>
      <c r="G4399" s="83"/>
      <c r="H4399" s="83"/>
      <c r="I4399" s="110" t="s">
        <v>11532</v>
      </c>
    </row>
    <row r="4400" spans="1:9">
      <c r="A4400" s="83" t="s">
        <v>10792</v>
      </c>
      <c r="B4400" s="83" t="s">
        <v>10149</v>
      </c>
      <c r="C4400" s="83" t="s">
        <v>10792</v>
      </c>
      <c r="D4400" s="83" t="s">
        <v>11015</v>
      </c>
      <c r="E4400" s="84">
        <f>number_stakeholder_ccam_solidwaste_mgmt_exclude_f</f>
        <v>0</v>
      </c>
      <c r="F4400" s="83" t="b">
        <v>1</v>
      </c>
      <c r="G4400" s="83"/>
      <c r="H4400" s="83"/>
      <c r="I4400" s="110" t="s">
        <v>11532</v>
      </c>
    </row>
    <row r="4401" spans="1:9">
      <c r="A4401" s="83" t="s">
        <v>10793</v>
      </c>
      <c r="B4401" s="83" t="s">
        <v>10149</v>
      </c>
      <c r="C4401" s="83" t="s">
        <v>10793</v>
      </c>
      <c r="D4401" s="83" t="s">
        <v>11016</v>
      </c>
      <c r="E4401" s="84">
        <f>number_stakeholder_ccam_solidwaste_mgmt_ip_m</f>
        <v>0</v>
      </c>
      <c r="F4401" s="83" t="b">
        <v>1</v>
      </c>
      <c r="G4401" s="83"/>
      <c r="H4401" s="83"/>
      <c r="I4401" s="110" t="s">
        <v>11532</v>
      </c>
    </row>
    <row r="4402" spans="1:9">
      <c r="A4402" s="83" t="s">
        <v>10794</v>
      </c>
      <c r="B4402" s="83" t="s">
        <v>10149</v>
      </c>
      <c r="C4402" s="83" t="s">
        <v>10794</v>
      </c>
      <c r="D4402" s="83" t="s">
        <v>11017</v>
      </c>
      <c r="E4402" s="84">
        <f>number_stakeholder_ccam_solidwaste_mgmt_ip_f</f>
        <v>0</v>
      </c>
      <c r="F4402" s="83" t="b">
        <v>1</v>
      </c>
      <c r="G4402" s="83"/>
      <c r="H4402" s="83"/>
      <c r="I4402" s="110" t="s">
        <v>11532</v>
      </c>
    </row>
    <row r="4403" spans="1:9">
      <c r="A4403" s="83" t="s">
        <v>10795</v>
      </c>
      <c r="B4403" s="83" t="s">
        <v>10149</v>
      </c>
      <c r="C4403" s="83" t="s">
        <v>10795</v>
      </c>
      <c r="D4403" s="83" t="s">
        <v>11018</v>
      </c>
      <c r="E4403" s="84">
        <f>number_stakeholder_ccam_solidwaste_mgmt_muslim_m</f>
        <v>0</v>
      </c>
      <c r="F4403" s="83" t="b">
        <v>1</v>
      </c>
      <c r="G4403" s="83"/>
      <c r="H4403" s="83"/>
      <c r="I4403" s="110" t="s">
        <v>11532</v>
      </c>
    </row>
    <row r="4404" spans="1:9">
      <c r="A4404" s="83" t="s">
        <v>10796</v>
      </c>
      <c r="B4404" s="83" t="s">
        <v>10149</v>
      </c>
      <c r="C4404" s="83" t="s">
        <v>10796</v>
      </c>
      <c r="D4404" s="83" t="s">
        <v>11019</v>
      </c>
      <c r="E4404" s="84">
        <f>number_stakeholder_ccam_solidwaste_mgmt_muslim_f</f>
        <v>0</v>
      </c>
      <c r="F4404" s="83" t="b">
        <v>1</v>
      </c>
      <c r="G4404" s="83"/>
      <c r="H4404" s="83"/>
      <c r="I4404" s="110" t="s">
        <v>11532</v>
      </c>
    </row>
    <row r="4405" spans="1:9">
      <c r="A4405" s="83" t="s">
        <v>10797</v>
      </c>
      <c r="B4405" s="83" t="s">
        <v>10149</v>
      </c>
      <c r="C4405" s="83" t="s">
        <v>10797</v>
      </c>
      <c r="D4405" s="83" t="s">
        <v>11020</v>
      </c>
      <c r="E4405" s="84">
        <f>number_stakeholder_ccam_solidwaste_mgmt_lwd_m</f>
        <v>0</v>
      </c>
      <c r="F4405" s="83" t="b">
        <v>1</v>
      </c>
      <c r="G4405" s="83"/>
      <c r="H4405" s="83"/>
      <c r="I4405" s="110" t="s">
        <v>11532</v>
      </c>
    </row>
    <row r="4406" spans="1:9">
      <c r="A4406" s="83" t="s">
        <v>10798</v>
      </c>
      <c r="B4406" s="83" t="s">
        <v>10149</v>
      </c>
      <c r="C4406" s="83" t="s">
        <v>10798</v>
      </c>
      <c r="D4406" s="83" t="s">
        <v>11021</v>
      </c>
      <c r="E4406" s="84">
        <f>number_stakeholder_ccam_solidwaste_mgmt_lwd_f</f>
        <v>0</v>
      </c>
      <c r="F4406" s="83" t="b">
        <v>1</v>
      </c>
      <c r="G4406" s="83"/>
      <c r="H4406" s="83"/>
      <c r="I4406" s="110" t="s">
        <v>11532</v>
      </c>
    </row>
    <row r="4407" spans="1:9">
      <c r="A4407" s="83" t="s">
        <v>10799</v>
      </c>
      <c r="B4407" s="83" t="s">
        <v>10149</v>
      </c>
      <c r="C4407" s="83" t="s">
        <v>10799</v>
      </c>
      <c r="D4407" s="83" t="s">
        <v>11022</v>
      </c>
      <c r="E4407" s="84">
        <f>number_stakeholder_ccam_recycling_exclude_m</f>
        <v>0</v>
      </c>
      <c r="F4407" s="83" t="b">
        <v>1</v>
      </c>
      <c r="G4407" s="83"/>
      <c r="H4407" s="83"/>
      <c r="I4407" s="110" t="s">
        <v>11532</v>
      </c>
    </row>
    <row r="4408" spans="1:9">
      <c r="A4408" s="83" t="s">
        <v>10800</v>
      </c>
      <c r="B4408" s="83" t="s">
        <v>10149</v>
      </c>
      <c r="C4408" s="83" t="s">
        <v>10800</v>
      </c>
      <c r="D4408" s="83" t="s">
        <v>11023</v>
      </c>
      <c r="E4408" s="84">
        <f>number_stakeholder_ccam_recycling_exclude_f</f>
        <v>0</v>
      </c>
      <c r="F4408" s="83" t="b">
        <v>1</v>
      </c>
      <c r="G4408" s="83"/>
      <c r="H4408" s="83"/>
      <c r="I4408" s="110" t="s">
        <v>11532</v>
      </c>
    </row>
    <row r="4409" spans="1:9">
      <c r="A4409" s="83" t="s">
        <v>10801</v>
      </c>
      <c r="B4409" s="83" t="s">
        <v>10149</v>
      </c>
      <c r="C4409" s="83" t="s">
        <v>10801</v>
      </c>
      <c r="D4409" s="83" t="s">
        <v>11024</v>
      </c>
      <c r="E4409" s="84">
        <f>number_stakeholder_ccam_recycling_ip_m</f>
        <v>0</v>
      </c>
      <c r="F4409" s="83" t="b">
        <v>1</v>
      </c>
      <c r="G4409" s="83"/>
      <c r="H4409" s="83"/>
      <c r="I4409" s="110" t="s">
        <v>11532</v>
      </c>
    </row>
    <row r="4410" spans="1:9">
      <c r="A4410" s="83" t="s">
        <v>10802</v>
      </c>
      <c r="B4410" s="83" t="s">
        <v>10149</v>
      </c>
      <c r="C4410" s="83" t="s">
        <v>10802</v>
      </c>
      <c r="D4410" s="83" t="s">
        <v>11025</v>
      </c>
      <c r="E4410" s="84">
        <f>number_stakeholder_ccam_recycling_ip_f</f>
        <v>0</v>
      </c>
      <c r="F4410" s="83" t="b">
        <v>1</v>
      </c>
      <c r="G4410" s="83"/>
      <c r="H4410" s="83"/>
      <c r="I4410" s="110" t="s">
        <v>11532</v>
      </c>
    </row>
    <row r="4411" spans="1:9">
      <c r="A4411" s="83" t="s">
        <v>10803</v>
      </c>
      <c r="B4411" s="83" t="s">
        <v>10149</v>
      </c>
      <c r="C4411" s="83" t="s">
        <v>10803</v>
      </c>
      <c r="D4411" s="83" t="s">
        <v>11026</v>
      </c>
      <c r="E4411" s="84">
        <f>number_stakeholder_ccam_recycling_muslim_m</f>
        <v>0</v>
      </c>
      <c r="F4411" s="83" t="b">
        <v>1</v>
      </c>
      <c r="G4411" s="83"/>
      <c r="H4411" s="83"/>
      <c r="I4411" s="110" t="s">
        <v>11532</v>
      </c>
    </row>
    <row r="4412" spans="1:9">
      <c r="A4412" s="83" t="s">
        <v>10804</v>
      </c>
      <c r="B4412" s="83" t="s">
        <v>10149</v>
      </c>
      <c r="C4412" s="83" t="s">
        <v>10804</v>
      </c>
      <c r="D4412" s="83" t="s">
        <v>11027</v>
      </c>
      <c r="E4412" s="84">
        <f>number_stakeholder_ccam_recycling_muslim_f</f>
        <v>0</v>
      </c>
      <c r="F4412" s="83" t="b">
        <v>1</v>
      </c>
      <c r="G4412" s="83"/>
      <c r="H4412" s="83"/>
      <c r="I4412" s="110" t="s">
        <v>11532</v>
      </c>
    </row>
    <row r="4413" spans="1:9">
      <c r="A4413" s="83" t="s">
        <v>10805</v>
      </c>
      <c r="B4413" s="83" t="s">
        <v>10149</v>
      </c>
      <c r="C4413" s="83" t="s">
        <v>10805</v>
      </c>
      <c r="D4413" s="83" t="s">
        <v>11028</v>
      </c>
      <c r="E4413" s="84">
        <f>number_stakeholder_ccam_recycling_lwd_m</f>
        <v>0</v>
      </c>
      <c r="F4413" s="83" t="b">
        <v>1</v>
      </c>
      <c r="G4413" s="83"/>
      <c r="H4413" s="83"/>
      <c r="I4413" s="110" t="s">
        <v>11532</v>
      </c>
    </row>
    <row r="4414" spans="1:9">
      <c r="A4414" s="83" t="s">
        <v>10806</v>
      </c>
      <c r="B4414" s="83" t="s">
        <v>10149</v>
      </c>
      <c r="C4414" s="83" t="s">
        <v>10806</v>
      </c>
      <c r="D4414" s="83" t="s">
        <v>11029</v>
      </c>
      <c r="E4414" s="84">
        <f>number_stakeholder_ccam_recycling_lwd_f</f>
        <v>0</v>
      </c>
      <c r="F4414" s="83" t="b">
        <v>1</v>
      </c>
      <c r="G4414" s="83"/>
      <c r="H4414" s="83"/>
      <c r="I4414" s="110" t="s">
        <v>11532</v>
      </c>
    </row>
    <row r="4415" spans="1:9">
      <c r="A4415" s="83" t="s">
        <v>10807</v>
      </c>
      <c r="B4415" s="83" t="s">
        <v>10149</v>
      </c>
      <c r="C4415" s="83" t="s">
        <v>10807</v>
      </c>
      <c r="D4415" s="83" t="s">
        <v>11030</v>
      </c>
      <c r="E4415" s="84">
        <f>number_stakeholder_ccam_tree_planting_exclude_m</f>
        <v>0</v>
      </c>
      <c r="F4415" s="83" t="b">
        <v>1</v>
      </c>
      <c r="G4415" s="83"/>
      <c r="H4415" s="83"/>
      <c r="I4415" s="110" t="s">
        <v>11532</v>
      </c>
    </row>
    <row r="4416" spans="1:9">
      <c r="A4416" s="83" t="s">
        <v>10808</v>
      </c>
      <c r="B4416" s="83" t="s">
        <v>10149</v>
      </c>
      <c r="C4416" s="83" t="s">
        <v>10808</v>
      </c>
      <c r="D4416" s="83" t="s">
        <v>11031</v>
      </c>
      <c r="E4416" s="84">
        <f>number_stakeholder_ccam_tree_planting_exclude_f</f>
        <v>0</v>
      </c>
      <c r="F4416" s="83" t="b">
        <v>1</v>
      </c>
      <c r="G4416" s="83"/>
      <c r="H4416" s="83"/>
      <c r="I4416" s="110" t="s">
        <v>11532</v>
      </c>
    </row>
    <row r="4417" spans="1:9">
      <c r="A4417" s="83" t="s">
        <v>10809</v>
      </c>
      <c r="B4417" s="83" t="s">
        <v>10149</v>
      </c>
      <c r="C4417" s="83" t="s">
        <v>10809</v>
      </c>
      <c r="D4417" s="83" t="s">
        <v>11032</v>
      </c>
      <c r="E4417" s="84">
        <f>number_stakeholder_ccam_tree_planting_ip_m</f>
        <v>0</v>
      </c>
      <c r="F4417" s="83" t="b">
        <v>1</v>
      </c>
      <c r="G4417" s="83"/>
      <c r="H4417" s="83"/>
      <c r="I4417" s="110" t="s">
        <v>11532</v>
      </c>
    </row>
    <row r="4418" spans="1:9">
      <c r="A4418" s="83" t="s">
        <v>10810</v>
      </c>
      <c r="B4418" s="83" t="s">
        <v>10149</v>
      </c>
      <c r="C4418" s="83" t="s">
        <v>10810</v>
      </c>
      <c r="D4418" s="83" t="s">
        <v>11033</v>
      </c>
      <c r="E4418" s="84">
        <f>number_stakeholder_ccam_tree_planting_ip_f</f>
        <v>0</v>
      </c>
      <c r="F4418" s="83" t="b">
        <v>1</v>
      </c>
      <c r="G4418" s="83"/>
      <c r="H4418" s="83"/>
      <c r="I4418" s="110" t="s">
        <v>11532</v>
      </c>
    </row>
    <row r="4419" spans="1:9">
      <c r="A4419" s="83" t="s">
        <v>10811</v>
      </c>
      <c r="B4419" s="83" t="s">
        <v>10149</v>
      </c>
      <c r="C4419" s="83" t="s">
        <v>10811</v>
      </c>
      <c r="D4419" s="83" t="s">
        <v>11034</v>
      </c>
      <c r="E4419" s="84">
        <f>number_stakeholder_ccam_tree_planting_muslim_m</f>
        <v>0</v>
      </c>
      <c r="F4419" s="83" t="b">
        <v>1</v>
      </c>
      <c r="G4419" s="83"/>
      <c r="H4419" s="83"/>
      <c r="I4419" s="110" t="s">
        <v>11532</v>
      </c>
    </row>
    <row r="4420" spans="1:9">
      <c r="A4420" s="83" t="s">
        <v>10812</v>
      </c>
      <c r="B4420" s="83" t="s">
        <v>10149</v>
      </c>
      <c r="C4420" s="83" t="s">
        <v>10812</v>
      </c>
      <c r="D4420" s="83" t="s">
        <v>11035</v>
      </c>
      <c r="E4420" s="84">
        <f>number_stakeholder_ccam_tree_planting_muslim_f</f>
        <v>0</v>
      </c>
      <c r="F4420" s="83" t="b">
        <v>1</v>
      </c>
      <c r="G4420" s="83"/>
      <c r="H4420" s="83"/>
      <c r="I4420" s="110" t="s">
        <v>11532</v>
      </c>
    </row>
    <row r="4421" spans="1:9">
      <c r="A4421" s="83" t="s">
        <v>10813</v>
      </c>
      <c r="B4421" s="83" t="s">
        <v>10149</v>
      </c>
      <c r="C4421" s="83" t="s">
        <v>10813</v>
      </c>
      <c r="D4421" s="83" t="s">
        <v>11036</v>
      </c>
      <c r="E4421" s="84">
        <f>number_stakeholder_ccam_tree_planting_lwd_m</f>
        <v>0</v>
      </c>
      <c r="F4421" s="83" t="b">
        <v>1</v>
      </c>
      <c r="G4421" s="83"/>
      <c r="H4421" s="83"/>
      <c r="I4421" s="110" t="s">
        <v>11532</v>
      </c>
    </row>
    <row r="4422" spans="1:9">
      <c r="A4422" s="83" t="s">
        <v>10814</v>
      </c>
      <c r="B4422" s="83" t="s">
        <v>10149</v>
      </c>
      <c r="C4422" s="83" t="s">
        <v>10814</v>
      </c>
      <c r="D4422" s="83" t="s">
        <v>11037</v>
      </c>
      <c r="E4422" s="84">
        <f>number_stakeholder_ccam_tree_planting_lwd_f</f>
        <v>0</v>
      </c>
      <c r="F4422" s="83" t="b">
        <v>1</v>
      </c>
      <c r="G4422" s="83"/>
      <c r="H4422" s="83"/>
      <c r="I4422" s="110" t="s">
        <v>11532</v>
      </c>
    </row>
    <row r="4423" spans="1:9">
      <c r="A4423" s="83" t="s">
        <v>10815</v>
      </c>
      <c r="B4423" s="83" t="s">
        <v>10149</v>
      </c>
      <c r="C4423" s="83" t="s">
        <v>10815</v>
      </c>
      <c r="D4423" s="83" t="s">
        <v>11038</v>
      </c>
      <c r="E4423" s="84">
        <f>number_stakeholder_ccam_youth_strike_exclude_m</f>
        <v>0</v>
      </c>
      <c r="F4423" s="83" t="b">
        <v>1</v>
      </c>
      <c r="G4423" s="83"/>
      <c r="H4423" s="83"/>
      <c r="I4423" s="110" t="s">
        <v>11532</v>
      </c>
    </row>
    <row r="4424" spans="1:9">
      <c r="A4424" s="83" t="s">
        <v>10816</v>
      </c>
      <c r="B4424" s="83" t="s">
        <v>10149</v>
      </c>
      <c r="C4424" s="83" t="s">
        <v>10816</v>
      </c>
      <c r="D4424" s="83" t="s">
        <v>11039</v>
      </c>
      <c r="E4424" s="84">
        <f>number_stakeholder_ccam_youth_strike_exclude_f</f>
        <v>0</v>
      </c>
      <c r="F4424" s="83" t="b">
        <v>1</v>
      </c>
      <c r="G4424" s="83"/>
      <c r="H4424" s="83"/>
      <c r="I4424" s="110" t="s">
        <v>11532</v>
      </c>
    </row>
    <row r="4425" spans="1:9">
      <c r="A4425" s="83" t="s">
        <v>10817</v>
      </c>
      <c r="B4425" s="83" t="s">
        <v>10149</v>
      </c>
      <c r="C4425" s="83" t="s">
        <v>10817</v>
      </c>
      <c r="D4425" s="83" t="s">
        <v>11040</v>
      </c>
      <c r="E4425" s="84">
        <f>number_stakeholder_ccam_youth_strike_ip_m</f>
        <v>0</v>
      </c>
      <c r="F4425" s="83" t="b">
        <v>1</v>
      </c>
      <c r="G4425" s="83"/>
      <c r="H4425" s="83"/>
      <c r="I4425" s="110" t="s">
        <v>11532</v>
      </c>
    </row>
    <row r="4426" spans="1:9">
      <c r="A4426" s="83" t="s">
        <v>10818</v>
      </c>
      <c r="B4426" s="83" t="s">
        <v>10149</v>
      </c>
      <c r="C4426" s="83" t="s">
        <v>10818</v>
      </c>
      <c r="D4426" s="83" t="s">
        <v>11041</v>
      </c>
      <c r="E4426" s="84">
        <f>number_stakeholder_ccam_youth_strike_ip_f</f>
        <v>0</v>
      </c>
      <c r="F4426" s="83" t="b">
        <v>1</v>
      </c>
      <c r="G4426" s="83"/>
      <c r="H4426" s="83"/>
      <c r="I4426" s="110" t="s">
        <v>11532</v>
      </c>
    </row>
    <row r="4427" spans="1:9">
      <c r="A4427" s="83" t="s">
        <v>10819</v>
      </c>
      <c r="B4427" s="83" t="s">
        <v>10149</v>
      </c>
      <c r="C4427" s="83" t="s">
        <v>10819</v>
      </c>
      <c r="D4427" s="83" t="s">
        <v>11042</v>
      </c>
      <c r="E4427" s="84">
        <f>number_stakeholder_ccam_youth_strike_muslim_m</f>
        <v>0</v>
      </c>
      <c r="F4427" s="83" t="b">
        <v>1</v>
      </c>
      <c r="G4427" s="83"/>
      <c r="H4427" s="83"/>
      <c r="I4427" s="110" t="s">
        <v>11532</v>
      </c>
    </row>
    <row r="4428" spans="1:9">
      <c r="A4428" s="83" t="s">
        <v>10820</v>
      </c>
      <c r="B4428" s="83" t="s">
        <v>10149</v>
      </c>
      <c r="C4428" s="83" t="s">
        <v>10820</v>
      </c>
      <c r="D4428" s="83" t="s">
        <v>11043</v>
      </c>
      <c r="E4428" s="84">
        <f>number_stakeholder_ccam_youth_strike_muslim_f</f>
        <v>0</v>
      </c>
      <c r="F4428" s="83" t="b">
        <v>1</v>
      </c>
      <c r="G4428" s="83"/>
      <c r="H4428" s="83"/>
      <c r="I4428" s="110" t="s">
        <v>11532</v>
      </c>
    </row>
    <row r="4429" spans="1:9">
      <c r="A4429" s="83" t="s">
        <v>10821</v>
      </c>
      <c r="B4429" s="83" t="s">
        <v>10149</v>
      </c>
      <c r="C4429" s="83" t="s">
        <v>10821</v>
      </c>
      <c r="D4429" s="83" t="s">
        <v>11044</v>
      </c>
      <c r="E4429" s="84">
        <f>number_stakeholder_ccam_youth_strike_lwd_m</f>
        <v>0</v>
      </c>
      <c r="F4429" s="83" t="b">
        <v>1</v>
      </c>
      <c r="G4429" s="83"/>
      <c r="H4429" s="83"/>
      <c r="I4429" s="110" t="s">
        <v>11532</v>
      </c>
    </row>
    <row r="4430" spans="1:9">
      <c r="A4430" s="83" t="s">
        <v>10822</v>
      </c>
      <c r="B4430" s="83" t="s">
        <v>10149</v>
      </c>
      <c r="C4430" s="83" t="s">
        <v>10822</v>
      </c>
      <c r="D4430" s="83" t="s">
        <v>11045</v>
      </c>
      <c r="E4430" s="84">
        <f>number_stakeholder_ccam_youth_strike_lwd_f</f>
        <v>0</v>
      </c>
      <c r="F4430" s="83" t="b">
        <v>1</v>
      </c>
      <c r="G4430" s="83"/>
      <c r="H4430" s="83"/>
      <c r="I4430" s="110" t="s">
        <v>11532</v>
      </c>
    </row>
    <row r="4431" spans="1:9">
      <c r="A4431" s="83" t="s">
        <v>10823</v>
      </c>
      <c r="B4431" s="83" t="s">
        <v>10149</v>
      </c>
      <c r="C4431" s="83" t="s">
        <v>10823</v>
      </c>
      <c r="D4431" s="83" t="s">
        <v>11046</v>
      </c>
      <c r="E4431" s="84">
        <f>number_stakeholder_ccam_celebration_events_exclude_m</f>
        <v>0</v>
      </c>
      <c r="F4431" s="83" t="b">
        <v>1</v>
      </c>
      <c r="G4431" s="83"/>
      <c r="H4431" s="83"/>
      <c r="I4431" s="110" t="s">
        <v>11532</v>
      </c>
    </row>
    <row r="4432" spans="1:9">
      <c r="A4432" s="83" t="s">
        <v>10824</v>
      </c>
      <c r="B4432" s="83" t="s">
        <v>10149</v>
      </c>
      <c r="C4432" s="83" t="s">
        <v>10824</v>
      </c>
      <c r="D4432" s="83" t="s">
        <v>11047</v>
      </c>
      <c r="E4432" s="84">
        <f>number_stakeholder_ccam_celebration_events_exclude_f</f>
        <v>0</v>
      </c>
      <c r="F4432" s="83" t="b">
        <v>1</v>
      </c>
      <c r="G4432" s="83"/>
      <c r="H4432" s="83"/>
      <c r="I4432" s="110" t="s">
        <v>11532</v>
      </c>
    </row>
    <row r="4433" spans="1:9">
      <c r="A4433" s="83" t="s">
        <v>10825</v>
      </c>
      <c r="B4433" s="83" t="s">
        <v>10149</v>
      </c>
      <c r="C4433" s="83" t="s">
        <v>10825</v>
      </c>
      <c r="D4433" s="83" t="s">
        <v>11048</v>
      </c>
      <c r="E4433" s="84">
        <f>number_stakeholder_ccam_celebration_events_ip_m</f>
        <v>0</v>
      </c>
      <c r="F4433" s="83" t="b">
        <v>1</v>
      </c>
      <c r="G4433" s="83"/>
      <c r="H4433" s="83"/>
      <c r="I4433" s="110" t="s">
        <v>11532</v>
      </c>
    </row>
    <row r="4434" spans="1:9">
      <c r="A4434" s="83" t="s">
        <v>10826</v>
      </c>
      <c r="B4434" s="83" t="s">
        <v>10149</v>
      </c>
      <c r="C4434" s="83" t="s">
        <v>10826</v>
      </c>
      <c r="D4434" s="83" t="s">
        <v>11049</v>
      </c>
      <c r="E4434" s="84">
        <f>number_stakeholder_ccam_celebration_events_ip_f</f>
        <v>0</v>
      </c>
      <c r="F4434" s="83" t="b">
        <v>1</v>
      </c>
      <c r="G4434" s="83"/>
      <c r="H4434" s="83"/>
      <c r="I4434" s="110" t="s">
        <v>11532</v>
      </c>
    </row>
    <row r="4435" spans="1:9">
      <c r="A4435" s="83" t="s">
        <v>10827</v>
      </c>
      <c r="B4435" s="83" t="s">
        <v>10149</v>
      </c>
      <c r="C4435" s="83" t="s">
        <v>10827</v>
      </c>
      <c r="D4435" s="83" t="s">
        <v>11050</v>
      </c>
      <c r="E4435" s="84">
        <f>number_stakeholder_ccam_celebration_events_muslim_m</f>
        <v>0</v>
      </c>
      <c r="F4435" s="83" t="b">
        <v>1</v>
      </c>
      <c r="G4435" s="83"/>
      <c r="H4435" s="83"/>
      <c r="I4435" s="110" t="s">
        <v>11532</v>
      </c>
    </row>
    <row r="4436" spans="1:9">
      <c r="A4436" s="83" t="s">
        <v>10828</v>
      </c>
      <c r="B4436" s="83" t="s">
        <v>10149</v>
      </c>
      <c r="C4436" s="83" t="s">
        <v>10828</v>
      </c>
      <c r="D4436" s="83" t="s">
        <v>11051</v>
      </c>
      <c r="E4436" s="84">
        <f>number_stakeholder_ccam_celebration_events_muslim_f</f>
        <v>0</v>
      </c>
      <c r="F4436" s="83" t="b">
        <v>1</v>
      </c>
      <c r="G4436" s="83"/>
      <c r="H4436" s="83"/>
      <c r="I4436" s="110" t="s">
        <v>11532</v>
      </c>
    </row>
    <row r="4437" spans="1:9">
      <c r="A4437" s="83" t="s">
        <v>10829</v>
      </c>
      <c r="B4437" s="83" t="s">
        <v>10149</v>
      </c>
      <c r="C4437" s="83" t="s">
        <v>10829</v>
      </c>
      <c r="D4437" s="83" t="s">
        <v>11052</v>
      </c>
      <c r="E4437" s="84">
        <f>number_stakeholder_ccam_celebration_events_lwd_m</f>
        <v>0</v>
      </c>
      <c r="F4437" s="83" t="b">
        <v>1</v>
      </c>
      <c r="G4437" s="83"/>
      <c r="H4437" s="83"/>
      <c r="I4437" s="110" t="s">
        <v>11532</v>
      </c>
    </row>
    <row r="4438" spans="1:9">
      <c r="A4438" s="83" t="s">
        <v>10830</v>
      </c>
      <c r="B4438" s="83" t="s">
        <v>10149</v>
      </c>
      <c r="C4438" s="83" t="s">
        <v>10830</v>
      </c>
      <c r="D4438" s="83" t="s">
        <v>11053</v>
      </c>
      <c r="E4438" s="84">
        <f>number_stakeholder_ccam_celebration_events_lwd_f</f>
        <v>0</v>
      </c>
      <c r="F4438" s="83" t="b">
        <v>1</v>
      </c>
      <c r="G4438" s="83"/>
      <c r="H4438" s="83"/>
      <c r="I4438" s="110" t="s">
        <v>11532</v>
      </c>
    </row>
    <row r="4439" spans="1:9">
      <c r="A4439" s="83" t="s">
        <v>10839</v>
      </c>
      <c r="B4439" s="83" t="s">
        <v>10149</v>
      </c>
      <c r="C4439" s="83" t="s">
        <v>10839</v>
      </c>
      <c r="D4439" s="83" t="s">
        <v>11062</v>
      </c>
      <c r="E4439" s="84">
        <f>number_stakeholder_ccam_learner_others_specify</f>
        <v>0</v>
      </c>
      <c r="F4439" s="83" t="b">
        <v>1</v>
      </c>
      <c r="G4439" s="83"/>
      <c r="H4439" s="83"/>
      <c r="I4439" s="110" t="s">
        <v>11532</v>
      </c>
    </row>
    <row r="4440" spans="1:9">
      <c r="A4440" s="83" t="s">
        <v>10831</v>
      </c>
      <c r="B4440" s="83" t="s">
        <v>10149</v>
      </c>
      <c r="C4440" s="83" t="s">
        <v>10831</v>
      </c>
      <c r="D4440" s="83" t="s">
        <v>11054</v>
      </c>
      <c r="E4440" s="84">
        <f>number_stakeholder_ccam_others_exclude_m</f>
        <v>0</v>
      </c>
      <c r="F4440" s="83" t="b">
        <v>1</v>
      </c>
      <c r="G4440" s="83"/>
      <c r="H4440" s="83"/>
      <c r="I4440" s="110" t="s">
        <v>11532</v>
      </c>
    </row>
    <row r="4441" spans="1:9">
      <c r="A4441" s="83" t="s">
        <v>10832</v>
      </c>
      <c r="B4441" s="83" t="s">
        <v>10149</v>
      </c>
      <c r="C4441" s="83" t="s">
        <v>10832</v>
      </c>
      <c r="D4441" s="83" t="s">
        <v>11055</v>
      </c>
      <c r="E4441" s="84">
        <f>number_stakeholder_ccam_others_exclude_f</f>
        <v>0</v>
      </c>
      <c r="F4441" s="83" t="b">
        <v>1</v>
      </c>
      <c r="G4441" s="83"/>
      <c r="H4441" s="83"/>
      <c r="I4441" s="110" t="s">
        <v>11532</v>
      </c>
    </row>
    <row r="4442" spans="1:9">
      <c r="A4442" s="83" t="s">
        <v>10833</v>
      </c>
      <c r="B4442" s="83" t="s">
        <v>10149</v>
      </c>
      <c r="C4442" s="83" t="s">
        <v>10833</v>
      </c>
      <c r="D4442" s="83" t="s">
        <v>11056</v>
      </c>
      <c r="E4442" s="84">
        <f>number_stakeholder_ccam_others_ip_m</f>
        <v>0</v>
      </c>
      <c r="F4442" s="83" t="b">
        <v>1</v>
      </c>
      <c r="G4442" s="83"/>
      <c r="H4442" s="83"/>
      <c r="I4442" s="110" t="s">
        <v>11532</v>
      </c>
    </row>
    <row r="4443" spans="1:9">
      <c r="A4443" s="83" t="s">
        <v>10834</v>
      </c>
      <c r="B4443" s="83" t="s">
        <v>10149</v>
      </c>
      <c r="C4443" s="83" t="s">
        <v>10834</v>
      </c>
      <c r="D4443" s="83" t="s">
        <v>11057</v>
      </c>
      <c r="E4443" s="84">
        <f>number_stakeholder_ccam_others_ip_f</f>
        <v>0</v>
      </c>
      <c r="F4443" s="83" t="b">
        <v>1</v>
      </c>
      <c r="G4443" s="83"/>
      <c r="H4443" s="83"/>
      <c r="I4443" s="110" t="s">
        <v>11532</v>
      </c>
    </row>
    <row r="4444" spans="1:9">
      <c r="A4444" s="83" t="s">
        <v>10835</v>
      </c>
      <c r="B4444" s="83" t="s">
        <v>10149</v>
      </c>
      <c r="C4444" s="83" t="s">
        <v>10835</v>
      </c>
      <c r="D4444" s="83" t="s">
        <v>11058</v>
      </c>
      <c r="E4444" s="84">
        <f>number_stakeholder_ccam_others_muslim_m</f>
        <v>0</v>
      </c>
      <c r="F4444" s="83" t="b">
        <v>1</v>
      </c>
      <c r="G4444" s="83"/>
      <c r="H4444" s="83"/>
      <c r="I4444" s="110" t="s">
        <v>11532</v>
      </c>
    </row>
    <row r="4445" spans="1:9">
      <c r="A4445" s="83" t="s">
        <v>10836</v>
      </c>
      <c r="B4445" s="83" t="s">
        <v>10149</v>
      </c>
      <c r="C4445" s="83" t="s">
        <v>10836</v>
      </c>
      <c r="D4445" s="83" t="s">
        <v>11059</v>
      </c>
      <c r="E4445" s="84">
        <f>number_stakeholder_ccam_others_muslim_f</f>
        <v>0</v>
      </c>
      <c r="F4445" s="83" t="b">
        <v>1</v>
      </c>
      <c r="G4445" s="83"/>
      <c r="H4445" s="83"/>
      <c r="I4445" s="110" t="s">
        <v>11532</v>
      </c>
    </row>
    <row r="4446" spans="1:9">
      <c r="A4446" s="83" t="s">
        <v>10837</v>
      </c>
      <c r="B4446" s="83" t="s">
        <v>10149</v>
      </c>
      <c r="C4446" s="83" t="s">
        <v>10837</v>
      </c>
      <c r="D4446" s="83" t="s">
        <v>11060</v>
      </c>
      <c r="E4446" s="84">
        <f>number_stakeholder_ccam_others_lwd_m</f>
        <v>0</v>
      </c>
      <c r="F4446" s="83" t="b">
        <v>1</v>
      </c>
      <c r="G4446" s="83"/>
      <c r="H4446" s="83"/>
      <c r="I4446" s="110" t="s">
        <v>11532</v>
      </c>
    </row>
    <row r="4447" spans="1:9">
      <c r="A4447" s="83" t="s">
        <v>10838</v>
      </c>
      <c r="B4447" s="83" t="s">
        <v>10149</v>
      </c>
      <c r="C4447" s="83" t="s">
        <v>10838</v>
      </c>
      <c r="D4447" s="83" t="s">
        <v>11061</v>
      </c>
      <c r="E4447" s="84">
        <f>number_stakeholder_ccam_others_lwd_f</f>
        <v>0</v>
      </c>
      <c r="F4447" s="83" t="b">
        <v>1</v>
      </c>
      <c r="G4447" s="83"/>
      <c r="H4447" s="83"/>
      <c r="I4447" s="110" t="s">
        <v>11532</v>
      </c>
    </row>
    <row r="4448" spans="1:9">
      <c r="A4448" s="83" t="s">
        <v>10848</v>
      </c>
      <c r="B4448" s="83" t="s">
        <v>10149</v>
      </c>
      <c r="C4448" s="83" t="s">
        <v>10848</v>
      </c>
      <c r="D4448" s="83" t="s">
        <v>11063</v>
      </c>
      <c r="E4448" s="84">
        <f>number_stakeholder_pbp_peaceconfe_exclude_m</f>
        <v>0</v>
      </c>
      <c r="F4448" s="83" t="b">
        <v>1</v>
      </c>
      <c r="G4448" s="83"/>
      <c r="H4448" s="83"/>
      <c r="I4448" s="110" t="s">
        <v>11532</v>
      </c>
    </row>
    <row r="4449" spans="1:9">
      <c r="A4449" s="83" t="s">
        <v>10849</v>
      </c>
      <c r="B4449" s="83" t="s">
        <v>10149</v>
      </c>
      <c r="C4449" s="83" t="s">
        <v>10849</v>
      </c>
      <c r="D4449" s="83" t="s">
        <v>11064</v>
      </c>
      <c r="E4449" s="84">
        <f>number_stakeholder_pbp_peaceconfe_exclude_f</f>
        <v>0</v>
      </c>
      <c r="F4449" s="83" t="b">
        <v>1</v>
      </c>
      <c r="G4449" s="83"/>
      <c r="H4449" s="83"/>
      <c r="I4449" s="110" t="s">
        <v>11532</v>
      </c>
    </row>
    <row r="4450" spans="1:9">
      <c r="A4450" s="83" t="s">
        <v>10850</v>
      </c>
      <c r="B4450" s="83" t="s">
        <v>10149</v>
      </c>
      <c r="C4450" s="83" t="s">
        <v>10850</v>
      </c>
      <c r="D4450" s="83" t="s">
        <v>11065</v>
      </c>
      <c r="E4450" s="84">
        <f>number_stakeholder_pbp_peaceconfe_ip_m</f>
        <v>0</v>
      </c>
      <c r="F4450" s="83" t="b">
        <v>1</v>
      </c>
      <c r="G4450" s="83"/>
      <c r="H4450" s="83"/>
      <c r="I4450" s="110" t="s">
        <v>11532</v>
      </c>
    </row>
    <row r="4451" spans="1:9">
      <c r="A4451" s="83" t="s">
        <v>10851</v>
      </c>
      <c r="B4451" s="83" t="s">
        <v>10149</v>
      </c>
      <c r="C4451" s="83" t="s">
        <v>10851</v>
      </c>
      <c r="D4451" s="83" t="s">
        <v>11066</v>
      </c>
      <c r="E4451" s="84">
        <f>number_stakeholder_pbp_peaceconfe_ip_f</f>
        <v>0</v>
      </c>
      <c r="F4451" s="83" t="b">
        <v>1</v>
      </c>
      <c r="G4451" s="83"/>
      <c r="H4451" s="83"/>
      <c r="I4451" s="110" t="s">
        <v>11532</v>
      </c>
    </row>
    <row r="4452" spans="1:9">
      <c r="A4452" s="83" t="s">
        <v>10852</v>
      </c>
      <c r="B4452" s="83" t="s">
        <v>10149</v>
      </c>
      <c r="C4452" s="83" t="s">
        <v>10852</v>
      </c>
      <c r="D4452" s="83" t="s">
        <v>11067</v>
      </c>
      <c r="E4452" s="84">
        <f>number_stakeholder_pbp_peaceconfe_muslim_m</f>
        <v>0</v>
      </c>
      <c r="F4452" s="83" t="b">
        <v>1</v>
      </c>
      <c r="G4452" s="83"/>
      <c r="H4452" s="83"/>
      <c r="I4452" s="110" t="s">
        <v>11532</v>
      </c>
    </row>
    <row r="4453" spans="1:9">
      <c r="A4453" s="83" t="s">
        <v>10853</v>
      </c>
      <c r="B4453" s="83" t="s">
        <v>10149</v>
      </c>
      <c r="C4453" s="83" t="s">
        <v>10853</v>
      </c>
      <c r="D4453" s="83" t="s">
        <v>11068</v>
      </c>
      <c r="E4453" s="84">
        <f>number_stakeholder_pbp_peaceconfe_muslim_f</f>
        <v>0</v>
      </c>
      <c r="F4453" s="83" t="b">
        <v>1</v>
      </c>
      <c r="G4453" s="83"/>
      <c r="H4453" s="83"/>
      <c r="I4453" s="110" t="s">
        <v>11532</v>
      </c>
    </row>
    <row r="4454" spans="1:9">
      <c r="A4454" s="83" t="s">
        <v>10854</v>
      </c>
      <c r="B4454" s="83" t="s">
        <v>10149</v>
      </c>
      <c r="C4454" s="83" t="s">
        <v>10854</v>
      </c>
      <c r="D4454" s="83" t="s">
        <v>11069</v>
      </c>
      <c r="E4454" s="84">
        <f>number_stakeholder_pbp_peaceconfe_lwd_m</f>
        <v>0</v>
      </c>
      <c r="F4454" s="83" t="b">
        <v>1</v>
      </c>
      <c r="G4454" s="83"/>
      <c r="H4454" s="83"/>
      <c r="I4454" s="110" t="s">
        <v>11532</v>
      </c>
    </row>
    <row r="4455" spans="1:9">
      <c r="A4455" s="83" t="s">
        <v>10855</v>
      </c>
      <c r="B4455" s="83" t="s">
        <v>10149</v>
      </c>
      <c r="C4455" s="83" t="s">
        <v>10855</v>
      </c>
      <c r="D4455" s="83" t="s">
        <v>11070</v>
      </c>
      <c r="E4455" s="84">
        <f>number_stakeholder_pbp_peaceconfe_lwd_f</f>
        <v>0</v>
      </c>
      <c r="F4455" s="83" t="b">
        <v>1</v>
      </c>
      <c r="G4455" s="83"/>
      <c r="H4455" s="83"/>
      <c r="I4455" s="110" t="s">
        <v>11532</v>
      </c>
    </row>
    <row r="4456" spans="1:9">
      <c r="A4456" s="83" t="s">
        <v>10856</v>
      </c>
      <c r="B4456" s="83" t="s">
        <v>10149</v>
      </c>
      <c r="C4456" s="83" t="s">
        <v>10856</v>
      </c>
      <c r="D4456" s="83" t="s">
        <v>11071</v>
      </c>
      <c r="E4456" s="84">
        <f>number_stakeholder_pbp_youth_networks_exclude_m</f>
        <v>0</v>
      </c>
      <c r="F4456" s="83" t="b">
        <v>1</v>
      </c>
      <c r="G4456" s="83"/>
      <c r="H4456" s="83"/>
      <c r="I4456" s="110" t="s">
        <v>11532</v>
      </c>
    </row>
    <row r="4457" spans="1:9">
      <c r="A4457" s="83" t="s">
        <v>10857</v>
      </c>
      <c r="B4457" s="83" t="s">
        <v>10149</v>
      </c>
      <c r="C4457" s="83" t="s">
        <v>10857</v>
      </c>
      <c r="D4457" s="83" t="s">
        <v>11072</v>
      </c>
      <c r="E4457" s="84">
        <f>number_stakeholder_pbp_youth_networks_exclude_f</f>
        <v>0</v>
      </c>
      <c r="F4457" s="83" t="b">
        <v>1</v>
      </c>
      <c r="G4457" s="83"/>
      <c r="H4457" s="83"/>
      <c r="I4457" s="110" t="s">
        <v>11532</v>
      </c>
    </row>
    <row r="4458" spans="1:9">
      <c r="A4458" s="83" t="s">
        <v>10858</v>
      </c>
      <c r="B4458" s="83" t="s">
        <v>10149</v>
      </c>
      <c r="C4458" s="83" t="s">
        <v>10858</v>
      </c>
      <c r="D4458" s="83" t="s">
        <v>11073</v>
      </c>
      <c r="E4458" s="84">
        <f>number_stakeholder_pbp_youth_networks_ip_m</f>
        <v>0</v>
      </c>
      <c r="F4458" s="83" t="b">
        <v>1</v>
      </c>
      <c r="G4458" s="83"/>
      <c r="H4458" s="83"/>
      <c r="I4458" s="110" t="s">
        <v>11532</v>
      </c>
    </row>
    <row r="4459" spans="1:9">
      <c r="A4459" s="83" t="s">
        <v>10859</v>
      </c>
      <c r="B4459" s="83" t="s">
        <v>10149</v>
      </c>
      <c r="C4459" s="83" t="s">
        <v>10859</v>
      </c>
      <c r="D4459" s="83" t="s">
        <v>11074</v>
      </c>
      <c r="E4459" s="84">
        <f>number_stakeholder_pbp_youth_networks_ip_f</f>
        <v>0</v>
      </c>
      <c r="F4459" s="83" t="b">
        <v>1</v>
      </c>
      <c r="G4459" s="83"/>
      <c r="H4459" s="83"/>
      <c r="I4459" s="110" t="s">
        <v>11532</v>
      </c>
    </row>
    <row r="4460" spans="1:9">
      <c r="A4460" s="83" t="s">
        <v>10860</v>
      </c>
      <c r="B4460" s="83" t="s">
        <v>10149</v>
      </c>
      <c r="C4460" s="83" t="s">
        <v>10860</v>
      </c>
      <c r="D4460" s="83" t="s">
        <v>11075</v>
      </c>
      <c r="E4460" s="84">
        <f>number_stakeholder_pbp_youth_networks_muslim_m</f>
        <v>0</v>
      </c>
      <c r="F4460" s="83" t="b">
        <v>1</v>
      </c>
      <c r="G4460" s="83"/>
      <c r="H4460" s="83"/>
      <c r="I4460" s="110" t="s">
        <v>11532</v>
      </c>
    </row>
    <row r="4461" spans="1:9">
      <c r="A4461" s="83" t="s">
        <v>10861</v>
      </c>
      <c r="B4461" s="83" t="s">
        <v>10149</v>
      </c>
      <c r="C4461" s="83" t="s">
        <v>10861</v>
      </c>
      <c r="D4461" s="83" t="s">
        <v>11076</v>
      </c>
      <c r="E4461" s="84">
        <f>number_stakeholder_pbp_youth_networks_muslim_f</f>
        <v>0</v>
      </c>
      <c r="F4461" s="83" t="b">
        <v>1</v>
      </c>
      <c r="G4461" s="83"/>
      <c r="H4461" s="83"/>
      <c r="I4461" s="110" t="s">
        <v>11532</v>
      </c>
    </row>
    <row r="4462" spans="1:9">
      <c r="A4462" s="83" t="s">
        <v>10862</v>
      </c>
      <c r="B4462" s="83" t="s">
        <v>10149</v>
      </c>
      <c r="C4462" s="83" t="s">
        <v>10862</v>
      </c>
      <c r="D4462" s="83" t="s">
        <v>11077</v>
      </c>
      <c r="E4462" s="84">
        <f>number_stakeholder_pbp_youth_networks_lwd_m</f>
        <v>0</v>
      </c>
      <c r="F4462" s="83" t="b">
        <v>1</v>
      </c>
      <c r="G4462" s="83"/>
      <c r="H4462" s="83"/>
      <c r="I4462" s="110" t="s">
        <v>11532</v>
      </c>
    </row>
    <row r="4463" spans="1:9">
      <c r="A4463" s="83" t="s">
        <v>10863</v>
      </c>
      <c r="B4463" s="83" t="s">
        <v>10149</v>
      </c>
      <c r="C4463" s="83" t="s">
        <v>10863</v>
      </c>
      <c r="D4463" s="83" t="s">
        <v>11078</v>
      </c>
      <c r="E4463" s="84">
        <f>number_stakeholder_pbp_youth_networks_lwd_f</f>
        <v>0</v>
      </c>
      <c r="F4463" s="83" t="b">
        <v>1</v>
      </c>
      <c r="G4463" s="83"/>
      <c r="H4463" s="83"/>
      <c r="I4463" s="110" t="s">
        <v>11532</v>
      </c>
    </row>
    <row r="4464" spans="1:9">
      <c r="A4464" s="83" t="s">
        <v>10864</v>
      </c>
      <c r="B4464" s="83" t="s">
        <v>10149</v>
      </c>
      <c r="C4464" s="83" t="s">
        <v>10864</v>
      </c>
      <c r="D4464" s="83" t="s">
        <v>11079</v>
      </c>
      <c r="E4464" s="84">
        <f>number_stakeholder_pbp_art_contests_exclude_m</f>
        <v>0</v>
      </c>
      <c r="F4464" s="83" t="b">
        <v>1</v>
      </c>
      <c r="G4464" s="83"/>
      <c r="H4464" s="83"/>
      <c r="I4464" s="110" t="s">
        <v>11532</v>
      </c>
    </row>
    <row r="4465" spans="1:9">
      <c r="A4465" s="83" t="s">
        <v>10865</v>
      </c>
      <c r="B4465" s="83" t="s">
        <v>10149</v>
      </c>
      <c r="C4465" s="83" t="s">
        <v>10865</v>
      </c>
      <c r="D4465" s="83" t="s">
        <v>11080</v>
      </c>
      <c r="E4465" s="84">
        <f>number_stakeholder_pbp_art_contests_exclude_f</f>
        <v>0</v>
      </c>
      <c r="F4465" s="83" t="b">
        <v>1</v>
      </c>
      <c r="G4465" s="83"/>
      <c r="H4465" s="83"/>
      <c r="I4465" s="110" t="s">
        <v>11532</v>
      </c>
    </row>
    <row r="4466" spans="1:9">
      <c r="A4466" s="83" t="s">
        <v>10866</v>
      </c>
      <c r="B4466" s="83" t="s">
        <v>10149</v>
      </c>
      <c r="C4466" s="83" t="s">
        <v>10866</v>
      </c>
      <c r="D4466" s="83" t="s">
        <v>11081</v>
      </c>
      <c r="E4466" s="84">
        <f>number_stakeholder_pbp_art_contests_ip_m</f>
        <v>0</v>
      </c>
      <c r="F4466" s="83" t="b">
        <v>1</v>
      </c>
      <c r="G4466" s="83"/>
      <c r="H4466" s="83"/>
      <c r="I4466" s="110" t="s">
        <v>11532</v>
      </c>
    </row>
    <row r="4467" spans="1:9">
      <c r="A4467" s="83" t="s">
        <v>10867</v>
      </c>
      <c r="B4467" s="83" t="s">
        <v>10149</v>
      </c>
      <c r="C4467" s="83" t="s">
        <v>10867</v>
      </c>
      <c r="D4467" s="83" t="s">
        <v>11082</v>
      </c>
      <c r="E4467" s="84">
        <f>number_stakeholder_pbp_art_contests_ip_f</f>
        <v>0</v>
      </c>
      <c r="F4467" s="83" t="b">
        <v>1</v>
      </c>
      <c r="G4467" s="83"/>
      <c r="H4467" s="83"/>
      <c r="I4467" s="110" t="s">
        <v>11532</v>
      </c>
    </row>
    <row r="4468" spans="1:9">
      <c r="A4468" s="83" t="s">
        <v>10868</v>
      </c>
      <c r="B4468" s="83" t="s">
        <v>10149</v>
      </c>
      <c r="C4468" s="83" t="s">
        <v>10868</v>
      </c>
      <c r="D4468" s="83" t="s">
        <v>11083</v>
      </c>
      <c r="E4468" s="84">
        <f>number_stakeholder_pbp_art_contests_muslim_m</f>
        <v>0</v>
      </c>
      <c r="F4468" s="83" t="b">
        <v>1</v>
      </c>
      <c r="G4468" s="83"/>
      <c r="H4468" s="83"/>
      <c r="I4468" s="110" t="s">
        <v>11532</v>
      </c>
    </row>
    <row r="4469" spans="1:9">
      <c r="A4469" s="83" t="s">
        <v>10869</v>
      </c>
      <c r="B4469" s="83" t="s">
        <v>10149</v>
      </c>
      <c r="C4469" s="83" t="s">
        <v>10869</v>
      </c>
      <c r="D4469" s="83" t="s">
        <v>11084</v>
      </c>
      <c r="E4469" s="84">
        <f>number_stakeholder_pbp_art_contests_muslim_f</f>
        <v>0</v>
      </c>
      <c r="F4469" s="83" t="b">
        <v>1</v>
      </c>
      <c r="G4469" s="83"/>
      <c r="H4469" s="83"/>
      <c r="I4469" s="110" t="s">
        <v>11532</v>
      </c>
    </row>
    <row r="4470" spans="1:9">
      <c r="A4470" s="83" t="s">
        <v>10870</v>
      </c>
      <c r="B4470" s="83" t="s">
        <v>10149</v>
      </c>
      <c r="C4470" s="83" t="s">
        <v>10870</v>
      </c>
      <c r="D4470" s="83" t="s">
        <v>11085</v>
      </c>
      <c r="E4470" s="84">
        <f>number_stakeholder_pbp_art_contests_lwd_m</f>
        <v>0</v>
      </c>
      <c r="F4470" s="83" t="b">
        <v>1</v>
      </c>
      <c r="G4470" s="83"/>
      <c r="H4470" s="83"/>
      <c r="I4470" s="110" t="s">
        <v>11532</v>
      </c>
    </row>
    <row r="4471" spans="1:9">
      <c r="A4471" s="83" t="s">
        <v>10871</v>
      </c>
      <c r="B4471" s="83" t="s">
        <v>10149</v>
      </c>
      <c r="C4471" s="83" t="s">
        <v>10871</v>
      </c>
      <c r="D4471" s="83" t="s">
        <v>11086</v>
      </c>
      <c r="E4471" s="84">
        <f>number_stakeholder_pbp_art_contests_lwd_f</f>
        <v>0</v>
      </c>
      <c r="F4471" s="83" t="b">
        <v>1</v>
      </c>
      <c r="G4471" s="83"/>
      <c r="H4471" s="83"/>
      <c r="I4471" s="110" t="s">
        <v>11532</v>
      </c>
    </row>
    <row r="4472" spans="1:9">
      <c r="A4472" s="83" t="s">
        <v>10872</v>
      </c>
      <c r="B4472" s="83" t="s">
        <v>10149</v>
      </c>
      <c r="C4472" s="83" t="s">
        <v>10872</v>
      </c>
      <c r="D4472" s="83" t="s">
        <v>11087</v>
      </c>
      <c r="E4472" s="84">
        <f>number_stakeholder_pbp_celebration_events_exclude_m</f>
        <v>0</v>
      </c>
      <c r="F4472" s="83" t="b">
        <v>1</v>
      </c>
      <c r="G4472" s="83"/>
      <c r="H4472" s="83"/>
      <c r="I4472" s="110" t="s">
        <v>11532</v>
      </c>
    </row>
    <row r="4473" spans="1:9">
      <c r="A4473" s="83" t="s">
        <v>10873</v>
      </c>
      <c r="B4473" s="83" t="s">
        <v>10149</v>
      </c>
      <c r="C4473" s="83" t="s">
        <v>10873</v>
      </c>
      <c r="D4473" s="83" t="s">
        <v>11088</v>
      </c>
      <c r="E4473" s="84">
        <f>number_stakeholder_pbp_celebration_events_exclude_f</f>
        <v>0</v>
      </c>
      <c r="F4473" s="83" t="b">
        <v>1</v>
      </c>
      <c r="G4473" s="83"/>
      <c r="H4473" s="83"/>
      <c r="I4473" s="110" t="s">
        <v>11532</v>
      </c>
    </row>
    <row r="4474" spans="1:9">
      <c r="A4474" s="83" t="s">
        <v>10874</v>
      </c>
      <c r="B4474" s="83" t="s">
        <v>10149</v>
      </c>
      <c r="C4474" s="83" t="s">
        <v>10874</v>
      </c>
      <c r="D4474" s="83" t="s">
        <v>11089</v>
      </c>
      <c r="E4474" s="84">
        <f>number_stakeholder_pbp_celebration_events_ip_m</f>
        <v>0</v>
      </c>
      <c r="F4474" s="83" t="b">
        <v>1</v>
      </c>
      <c r="G4474" s="83"/>
      <c r="H4474" s="83"/>
      <c r="I4474" s="110" t="s">
        <v>11532</v>
      </c>
    </row>
    <row r="4475" spans="1:9">
      <c r="A4475" s="83" t="s">
        <v>10875</v>
      </c>
      <c r="B4475" s="83" t="s">
        <v>10149</v>
      </c>
      <c r="C4475" s="83" t="s">
        <v>10875</v>
      </c>
      <c r="D4475" s="83" t="s">
        <v>11090</v>
      </c>
      <c r="E4475" s="84">
        <f>number_stakeholder_pbp_celebration_events_ip_f</f>
        <v>0</v>
      </c>
      <c r="F4475" s="83" t="b">
        <v>1</v>
      </c>
      <c r="G4475" s="83"/>
      <c r="H4475" s="83"/>
      <c r="I4475" s="110" t="s">
        <v>11532</v>
      </c>
    </row>
    <row r="4476" spans="1:9">
      <c r="A4476" s="83" t="s">
        <v>10876</v>
      </c>
      <c r="B4476" s="83" t="s">
        <v>10149</v>
      </c>
      <c r="C4476" s="83" t="s">
        <v>10876</v>
      </c>
      <c r="D4476" s="83" t="s">
        <v>11091</v>
      </c>
      <c r="E4476" s="84">
        <f>number_stakeholder_pbp_celebration_events_muslim_m</f>
        <v>0</v>
      </c>
      <c r="F4476" s="83" t="b">
        <v>1</v>
      </c>
      <c r="G4476" s="83"/>
      <c r="H4476" s="83"/>
      <c r="I4476" s="110" t="s">
        <v>11532</v>
      </c>
    </row>
    <row r="4477" spans="1:9">
      <c r="A4477" s="83" t="s">
        <v>10877</v>
      </c>
      <c r="B4477" s="83" t="s">
        <v>10149</v>
      </c>
      <c r="C4477" s="83" t="s">
        <v>10877</v>
      </c>
      <c r="D4477" s="83" t="s">
        <v>11092</v>
      </c>
      <c r="E4477" s="84">
        <f>number_stakeholder_pbp_celebration_events_muslim_f</f>
        <v>0</v>
      </c>
      <c r="F4477" s="83" t="b">
        <v>1</v>
      </c>
      <c r="G4477" s="83"/>
      <c r="H4477" s="83"/>
      <c r="I4477" s="110" t="s">
        <v>11532</v>
      </c>
    </row>
    <row r="4478" spans="1:9">
      <c r="A4478" s="83" t="s">
        <v>10878</v>
      </c>
      <c r="B4478" s="83" t="s">
        <v>10149</v>
      </c>
      <c r="C4478" s="83" t="s">
        <v>10878</v>
      </c>
      <c r="D4478" s="83" t="s">
        <v>11093</v>
      </c>
      <c r="E4478" s="84">
        <f>number_stakeholder_pbp_celebration_events_lwd_m</f>
        <v>0</v>
      </c>
      <c r="F4478" s="83" t="b">
        <v>1</v>
      </c>
      <c r="G4478" s="83"/>
      <c r="H4478" s="83"/>
      <c r="I4478" s="110" t="s">
        <v>11532</v>
      </c>
    </row>
    <row r="4479" spans="1:9">
      <c r="A4479" s="83" t="s">
        <v>10879</v>
      </c>
      <c r="B4479" s="83" t="s">
        <v>10149</v>
      </c>
      <c r="C4479" s="83" t="s">
        <v>10879</v>
      </c>
      <c r="D4479" s="83" t="s">
        <v>11094</v>
      </c>
      <c r="E4479" s="84">
        <f>number_stakeholder_pbp_celebration_events_lwd_f</f>
        <v>0</v>
      </c>
      <c r="F4479" s="83" t="b">
        <v>1</v>
      </c>
      <c r="G4479" s="83"/>
      <c r="H4479" s="83"/>
      <c r="I4479" s="110" t="s">
        <v>11532</v>
      </c>
    </row>
    <row r="4480" spans="1:9">
      <c r="A4480" s="83" t="s">
        <v>10880</v>
      </c>
      <c r="B4480" s="83" t="s">
        <v>10149</v>
      </c>
      <c r="C4480" s="83" t="s">
        <v>10880</v>
      </c>
      <c r="D4480" s="83" t="s">
        <v>11103</v>
      </c>
      <c r="E4480" s="84">
        <f>number_stakeholder_pbp_learner_others_specify</f>
        <v>0</v>
      </c>
      <c r="F4480" s="83" t="b">
        <v>1</v>
      </c>
      <c r="G4480" s="83"/>
      <c r="H4480" s="83"/>
      <c r="I4480" s="110" t="s">
        <v>11532</v>
      </c>
    </row>
    <row r="4481" spans="1:9">
      <c r="A4481" s="83" t="s">
        <v>10840</v>
      </c>
      <c r="B4481" s="83" t="s">
        <v>10149</v>
      </c>
      <c r="C4481" s="83" t="s">
        <v>10840</v>
      </c>
      <c r="D4481" s="83" t="s">
        <v>11095</v>
      </c>
      <c r="E4481" s="84">
        <f>number_stakeholder_pbp_others_exclude_m</f>
        <v>0</v>
      </c>
      <c r="F4481" s="83" t="b">
        <v>1</v>
      </c>
      <c r="G4481" s="83"/>
      <c r="H4481" s="83"/>
      <c r="I4481" s="110" t="s">
        <v>11532</v>
      </c>
    </row>
    <row r="4482" spans="1:9">
      <c r="A4482" s="83" t="s">
        <v>10841</v>
      </c>
      <c r="B4482" s="83" t="s">
        <v>10149</v>
      </c>
      <c r="C4482" s="83" t="s">
        <v>10841</v>
      </c>
      <c r="D4482" s="83" t="s">
        <v>11096</v>
      </c>
      <c r="E4482" s="84">
        <f>number_stakeholder_pbp_others_exclude_f</f>
        <v>0</v>
      </c>
      <c r="F4482" s="83" t="b">
        <v>1</v>
      </c>
      <c r="G4482" s="83"/>
      <c r="H4482" s="83"/>
      <c r="I4482" s="110" t="s">
        <v>11532</v>
      </c>
    </row>
    <row r="4483" spans="1:9">
      <c r="A4483" s="83" t="s">
        <v>10842</v>
      </c>
      <c r="B4483" s="83" t="s">
        <v>10149</v>
      </c>
      <c r="C4483" s="83" t="s">
        <v>10842</v>
      </c>
      <c r="D4483" s="83" t="s">
        <v>11097</v>
      </c>
      <c r="E4483" s="84">
        <f>number_stakeholder_pbp_others_ip_m</f>
        <v>0</v>
      </c>
      <c r="F4483" s="83" t="b">
        <v>1</v>
      </c>
      <c r="G4483" s="83"/>
      <c r="H4483" s="83"/>
      <c r="I4483" s="110" t="s">
        <v>11532</v>
      </c>
    </row>
    <row r="4484" spans="1:9">
      <c r="A4484" s="83" t="s">
        <v>10843</v>
      </c>
      <c r="B4484" s="83" t="s">
        <v>10149</v>
      </c>
      <c r="C4484" s="83" t="s">
        <v>10843</v>
      </c>
      <c r="D4484" s="83" t="s">
        <v>11098</v>
      </c>
      <c r="E4484" s="84">
        <f>number_stakeholder_pbp_others_ip_f</f>
        <v>0</v>
      </c>
      <c r="F4484" s="83" t="b">
        <v>1</v>
      </c>
      <c r="G4484" s="83"/>
      <c r="H4484" s="83"/>
      <c r="I4484" s="110" t="s">
        <v>11532</v>
      </c>
    </row>
    <row r="4485" spans="1:9">
      <c r="A4485" s="83" t="s">
        <v>10844</v>
      </c>
      <c r="B4485" s="83" t="s">
        <v>10149</v>
      </c>
      <c r="C4485" s="83" t="s">
        <v>10844</v>
      </c>
      <c r="D4485" s="83" t="s">
        <v>11099</v>
      </c>
      <c r="E4485" s="84">
        <f>number_stakeholder_pbp_others_muslim_m</f>
        <v>0</v>
      </c>
      <c r="F4485" s="83" t="b">
        <v>1</v>
      </c>
      <c r="G4485" s="83"/>
      <c r="H4485" s="83"/>
      <c r="I4485" s="110" t="s">
        <v>11532</v>
      </c>
    </row>
    <row r="4486" spans="1:9">
      <c r="A4486" s="83" t="s">
        <v>10845</v>
      </c>
      <c r="B4486" s="83" t="s">
        <v>10149</v>
      </c>
      <c r="C4486" s="83" t="s">
        <v>10845</v>
      </c>
      <c r="D4486" s="83" t="s">
        <v>11100</v>
      </c>
      <c r="E4486" s="84">
        <f>number_stakeholder_pbp_others_muslim_f</f>
        <v>0</v>
      </c>
      <c r="F4486" s="83" t="b">
        <v>1</v>
      </c>
      <c r="G4486" s="83"/>
      <c r="H4486" s="83"/>
      <c r="I4486" s="110" t="s">
        <v>11532</v>
      </c>
    </row>
    <row r="4487" spans="1:9">
      <c r="A4487" s="83" t="s">
        <v>10846</v>
      </c>
      <c r="B4487" s="83" t="s">
        <v>10149</v>
      </c>
      <c r="C4487" s="83" t="s">
        <v>10846</v>
      </c>
      <c r="D4487" s="83" t="s">
        <v>11101</v>
      </c>
      <c r="E4487" s="84">
        <f>number_stakeholder_pbp_others_lwd_m</f>
        <v>0</v>
      </c>
      <c r="F4487" s="83" t="b">
        <v>1</v>
      </c>
      <c r="G4487" s="83"/>
      <c r="H4487" s="83"/>
      <c r="I4487" s="110" t="s">
        <v>11532</v>
      </c>
    </row>
    <row r="4488" spans="1:9">
      <c r="A4488" s="83" t="s">
        <v>10847</v>
      </c>
      <c r="B4488" s="83" t="s">
        <v>10149</v>
      </c>
      <c r="C4488" s="83" t="s">
        <v>10847</v>
      </c>
      <c r="D4488" s="83" t="s">
        <v>11102</v>
      </c>
      <c r="E4488" s="84">
        <f>number_stakeholder_pbp_others_lwd_f</f>
        <v>0</v>
      </c>
      <c r="F4488" s="83" t="b">
        <v>1</v>
      </c>
      <c r="G4488" s="83"/>
      <c r="H4488" s="83"/>
      <c r="I4488" s="110" t="s">
        <v>11532</v>
      </c>
    </row>
    <row r="4489" spans="1:9">
      <c r="A4489" s="83" t="s">
        <v>10881</v>
      </c>
      <c r="B4489" s="83" t="s">
        <v>10149</v>
      </c>
      <c r="C4489" s="83" t="s">
        <v>10881</v>
      </c>
      <c r="D4489" s="83" t="s">
        <v>11104</v>
      </c>
      <c r="E4489" s="84" t="b">
        <f>sch_use_deped_dev_lr_drrmccampbp</f>
        <v>0</v>
      </c>
      <c r="F4489" s="83" t="b">
        <v>1</v>
      </c>
      <c r="G4489" s="83" t="s">
        <v>2287</v>
      </c>
      <c r="H4489" s="83"/>
      <c r="I4489" s="110" t="s">
        <v>11532</v>
      </c>
    </row>
    <row r="4490" spans="1:9">
      <c r="A4490" s="83" t="s">
        <v>10882</v>
      </c>
      <c r="B4490" s="83" t="s">
        <v>10149</v>
      </c>
      <c r="C4490" s="83" t="s">
        <v>10882</v>
      </c>
      <c r="D4490" s="83" t="s">
        <v>11105</v>
      </c>
      <c r="E4490" s="84">
        <f>number_training_conducted_learner_drrm</f>
        <v>0</v>
      </c>
      <c r="F4490" s="83" t="b">
        <v>1</v>
      </c>
      <c r="G4490" s="83"/>
      <c r="H4490" s="83"/>
      <c r="I4490" s="110" t="s">
        <v>11532</v>
      </c>
    </row>
    <row r="4491" spans="1:9">
      <c r="A4491" s="83" t="s">
        <v>10883</v>
      </c>
      <c r="B4491" s="83" t="s">
        <v>10149</v>
      </c>
      <c r="C4491" s="83" t="s">
        <v>10883</v>
      </c>
      <c r="D4491" s="83" t="s">
        <v>11106</v>
      </c>
      <c r="E4491" s="84">
        <f>number_training_conducted_learner_ccam</f>
        <v>0</v>
      </c>
      <c r="F4491" s="83" t="b">
        <v>1</v>
      </c>
      <c r="G4491" s="83"/>
      <c r="H4491" s="83"/>
      <c r="I4491" s="110" t="s">
        <v>11532</v>
      </c>
    </row>
    <row r="4492" spans="1:9" s="112" customFormat="1" ht="16" thickBot="1">
      <c r="A4492" s="85" t="s">
        <v>10884</v>
      </c>
      <c r="B4492" s="85" t="s">
        <v>10149</v>
      </c>
      <c r="C4492" s="85" t="s">
        <v>10884</v>
      </c>
      <c r="D4492" s="85" t="s">
        <v>11107</v>
      </c>
      <c r="E4492" s="86">
        <f>number_training_conducted_learner_pbuilding</f>
        <v>0</v>
      </c>
      <c r="F4492" s="85" t="b">
        <v>1</v>
      </c>
      <c r="G4492" s="85"/>
      <c r="H4492" s="85"/>
      <c r="I4492" s="121" t="s">
        <v>11532</v>
      </c>
    </row>
    <row r="4493" spans="1:9">
      <c r="A4493" s="83" t="s">
        <v>11108</v>
      </c>
      <c r="B4493" s="83" t="s">
        <v>10149</v>
      </c>
      <c r="C4493" s="83" t="s">
        <v>11108</v>
      </c>
      <c r="D4493" s="83" t="s">
        <v>11237</v>
      </c>
      <c r="E4493" s="84">
        <f>number_learner_drrmccampbp_completed_exclude_m</f>
        <v>0</v>
      </c>
      <c r="F4493" s="83" t="b">
        <v>1</v>
      </c>
      <c r="G4493" s="83"/>
      <c r="H4493" s="83"/>
      <c r="I4493" s="110" t="s">
        <v>11532</v>
      </c>
    </row>
    <row r="4494" spans="1:9">
      <c r="A4494" s="83" t="s">
        <v>11109</v>
      </c>
      <c r="B4494" s="83" t="s">
        <v>10149</v>
      </c>
      <c r="C4494" s="83" t="s">
        <v>11109</v>
      </c>
      <c r="D4494" s="83" t="s">
        <v>11238</v>
      </c>
      <c r="E4494" s="84">
        <f>number_learner_drrmccampbp_completed_exclude_f</f>
        <v>0</v>
      </c>
      <c r="F4494" s="83" t="b">
        <v>1</v>
      </c>
      <c r="G4494" s="83"/>
      <c r="H4494" s="83"/>
      <c r="I4494" s="110" t="s">
        <v>11532</v>
      </c>
    </row>
    <row r="4495" spans="1:9">
      <c r="A4495" s="83" t="s">
        <v>11110</v>
      </c>
      <c r="B4495" s="83" t="s">
        <v>10149</v>
      </c>
      <c r="C4495" s="83" t="s">
        <v>11110</v>
      </c>
      <c r="D4495" s="83" t="s">
        <v>11239</v>
      </c>
      <c r="E4495" s="84">
        <f>number_learner_drrmccampbp_completed_ip_m</f>
        <v>0</v>
      </c>
      <c r="F4495" s="83" t="b">
        <v>1</v>
      </c>
      <c r="G4495" s="83"/>
      <c r="H4495" s="83"/>
      <c r="I4495" s="110" t="s">
        <v>11532</v>
      </c>
    </row>
    <row r="4496" spans="1:9">
      <c r="A4496" s="83" t="s">
        <v>11111</v>
      </c>
      <c r="B4496" s="83" t="s">
        <v>10149</v>
      </c>
      <c r="C4496" s="83" t="s">
        <v>11111</v>
      </c>
      <c r="D4496" s="83" t="s">
        <v>11240</v>
      </c>
      <c r="E4496" s="84">
        <f>number_learner_drrmccampbp_completed_ip_f</f>
        <v>0</v>
      </c>
      <c r="F4496" s="83" t="b">
        <v>1</v>
      </c>
      <c r="G4496" s="83"/>
      <c r="H4496" s="83"/>
      <c r="I4496" s="110" t="s">
        <v>11532</v>
      </c>
    </row>
    <row r="4497" spans="1:9">
      <c r="A4497" s="83" t="s">
        <v>11112</v>
      </c>
      <c r="B4497" s="83" t="s">
        <v>10149</v>
      </c>
      <c r="C4497" s="83" t="s">
        <v>11112</v>
      </c>
      <c r="D4497" s="83" t="s">
        <v>11241</v>
      </c>
      <c r="E4497" s="84">
        <f>number_learner_drrmccampbp_completed_muslim_m</f>
        <v>0</v>
      </c>
      <c r="F4497" s="83" t="b">
        <v>1</v>
      </c>
      <c r="G4497" s="83"/>
      <c r="H4497" s="83"/>
      <c r="I4497" s="110" t="s">
        <v>11532</v>
      </c>
    </row>
    <row r="4498" spans="1:9">
      <c r="A4498" s="83" t="s">
        <v>11113</v>
      </c>
      <c r="B4498" s="83" t="s">
        <v>10149</v>
      </c>
      <c r="C4498" s="83" t="s">
        <v>11113</v>
      </c>
      <c r="D4498" s="83" t="s">
        <v>11242</v>
      </c>
      <c r="E4498" s="84">
        <f>number_learner_drrmccampbp_completed_muslim_f</f>
        <v>0</v>
      </c>
      <c r="F4498" s="83" t="b">
        <v>1</v>
      </c>
      <c r="G4498" s="83"/>
      <c r="H4498" s="83"/>
      <c r="I4498" s="110" t="s">
        <v>11532</v>
      </c>
    </row>
    <row r="4499" spans="1:9">
      <c r="A4499" s="83" t="s">
        <v>11114</v>
      </c>
      <c r="B4499" s="83" t="s">
        <v>10149</v>
      </c>
      <c r="C4499" s="83" t="s">
        <v>11114</v>
      </c>
      <c r="D4499" s="83" t="s">
        <v>11243</v>
      </c>
      <c r="E4499" s="84">
        <f>number_learner_drrmccampbp_completed_lwd_m</f>
        <v>0</v>
      </c>
      <c r="F4499" s="83" t="b">
        <v>1</v>
      </c>
      <c r="G4499" s="83"/>
      <c r="H4499" s="83"/>
      <c r="I4499" s="110" t="s">
        <v>11532</v>
      </c>
    </row>
    <row r="4500" spans="1:9">
      <c r="A4500" s="83" t="s">
        <v>11115</v>
      </c>
      <c r="B4500" s="83" t="s">
        <v>10149</v>
      </c>
      <c r="C4500" s="83" t="s">
        <v>11115</v>
      </c>
      <c r="D4500" s="83" t="s">
        <v>11244</v>
      </c>
      <c r="E4500" s="84">
        <f>number_learner_drrmccampbp_completed_lwd_f</f>
        <v>0</v>
      </c>
      <c r="F4500" s="83" t="b">
        <v>1</v>
      </c>
      <c r="G4500" s="83"/>
      <c r="H4500" s="83"/>
      <c r="I4500" s="110" t="s">
        <v>11532</v>
      </c>
    </row>
    <row r="4501" spans="1:9">
      <c r="A4501" s="83" t="s">
        <v>11116</v>
      </c>
      <c r="B4501" s="83" t="s">
        <v>10149</v>
      </c>
      <c r="C4501" s="83" t="s">
        <v>11116</v>
      </c>
      <c r="D4501" s="83" t="s">
        <v>11245</v>
      </c>
      <c r="E4501" s="84">
        <f>number_learner_drrmccampbp_trained_exclude_m</f>
        <v>0</v>
      </c>
      <c r="F4501" s="83" t="b">
        <v>1</v>
      </c>
      <c r="G4501" s="83"/>
      <c r="H4501" s="83"/>
      <c r="I4501" s="110" t="s">
        <v>11532</v>
      </c>
    </row>
    <row r="4502" spans="1:9">
      <c r="A4502" s="83" t="s">
        <v>11117</v>
      </c>
      <c r="B4502" s="83" t="s">
        <v>10149</v>
      </c>
      <c r="C4502" s="83" t="s">
        <v>11117</v>
      </c>
      <c r="D4502" s="83" t="s">
        <v>11246</v>
      </c>
      <c r="E4502" s="84">
        <f>number_learner_drrmccampbp_trained_exclude_f</f>
        <v>0</v>
      </c>
      <c r="F4502" s="83" t="b">
        <v>1</v>
      </c>
      <c r="G4502" s="83"/>
      <c r="H4502" s="83"/>
      <c r="I4502" s="110" t="s">
        <v>11532</v>
      </c>
    </row>
    <row r="4503" spans="1:9">
      <c r="A4503" s="83" t="s">
        <v>11118</v>
      </c>
      <c r="B4503" s="83" t="s">
        <v>10149</v>
      </c>
      <c r="C4503" s="83" t="s">
        <v>11118</v>
      </c>
      <c r="D4503" s="83" t="s">
        <v>11247</v>
      </c>
      <c r="E4503" s="84">
        <f>number_learner_drrmccampbp_trained_ip_m</f>
        <v>0</v>
      </c>
      <c r="F4503" s="83" t="b">
        <v>1</v>
      </c>
      <c r="G4503" s="83"/>
      <c r="H4503" s="83"/>
      <c r="I4503" s="110" t="s">
        <v>11532</v>
      </c>
    </row>
    <row r="4504" spans="1:9">
      <c r="A4504" s="83" t="s">
        <v>11119</v>
      </c>
      <c r="B4504" s="83" t="s">
        <v>10149</v>
      </c>
      <c r="C4504" s="83" t="s">
        <v>11119</v>
      </c>
      <c r="D4504" s="83" t="s">
        <v>11248</v>
      </c>
      <c r="E4504" s="84">
        <f>number_learner_drrmccampbp_trained_ip_f</f>
        <v>0</v>
      </c>
      <c r="F4504" s="83" t="b">
        <v>1</v>
      </c>
      <c r="G4504" s="83"/>
      <c r="H4504" s="83"/>
      <c r="I4504" s="110" t="s">
        <v>11532</v>
      </c>
    </row>
    <row r="4505" spans="1:9">
      <c r="A4505" s="83" t="s">
        <v>11120</v>
      </c>
      <c r="B4505" s="83" t="s">
        <v>10149</v>
      </c>
      <c r="C4505" s="83" t="s">
        <v>11120</v>
      </c>
      <c r="D4505" s="83" t="s">
        <v>11249</v>
      </c>
      <c r="E4505" s="84">
        <f>number_learner_drrmccampbp_trained_muslim_m</f>
        <v>0</v>
      </c>
      <c r="F4505" s="83" t="b">
        <v>1</v>
      </c>
      <c r="G4505" s="83"/>
      <c r="H4505" s="83"/>
      <c r="I4505" s="110" t="s">
        <v>11532</v>
      </c>
    </row>
    <row r="4506" spans="1:9">
      <c r="A4506" s="83" t="s">
        <v>11121</v>
      </c>
      <c r="B4506" s="83" t="s">
        <v>10149</v>
      </c>
      <c r="C4506" s="83" t="s">
        <v>11121</v>
      </c>
      <c r="D4506" s="83" t="s">
        <v>11250</v>
      </c>
      <c r="E4506" s="84">
        <f>number_learner_drrmccampbp_trained_muslim_f</f>
        <v>0</v>
      </c>
      <c r="F4506" s="83" t="b">
        <v>1</v>
      </c>
      <c r="G4506" s="83"/>
      <c r="H4506" s="83"/>
      <c r="I4506" s="110" t="s">
        <v>11532</v>
      </c>
    </row>
    <row r="4507" spans="1:9">
      <c r="A4507" s="83" t="s">
        <v>11122</v>
      </c>
      <c r="B4507" s="83" t="s">
        <v>10149</v>
      </c>
      <c r="C4507" s="83" t="s">
        <v>11122</v>
      </c>
      <c r="D4507" s="83" t="s">
        <v>11251</v>
      </c>
      <c r="E4507" s="84">
        <f>number_learner_drrmccampbp_trained_lwd_m</f>
        <v>0</v>
      </c>
      <c r="F4507" s="83" t="b">
        <v>1</v>
      </c>
      <c r="G4507" s="83"/>
      <c r="H4507" s="83"/>
      <c r="I4507" s="110" t="s">
        <v>11532</v>
      </c>
    </row>
    <row r="4508" spans="1:9">
      <c r="A4508" s="83" t="s">
        <v>11123</v>
      </c>
      <c r="B4508" s="83" t="s">
        <v>10149</v>
      </c>
      <c r="C4508" s="83" t="s">
        <v>11123</v>
      </c>
      <c r="D4508" s="83" t="s">
        <v>11252</v>
      </c>
      <c r="E4508" s="84">
        <f>number_learner_drrmccampbp_trained_lwd_f</f>
        <v>0</v>
      </c>
      <c r="F4508" s="83" t="b">
        <v>1</v>
      </c>
      <c r="G4508" s="83"/>
      <c r="H4508" s="83"/>
      <c r="I4508" s="110" t="s">
        <v>11532</v>
      </c>
    </row>
    <row r="4509" spans="1:9">
      <c r="A4509" s="83" t="s">
        <v>11124</v>
      </c>
      <c r="B4509" s="83" t="s">
        <v>10149</v>
      </c>
      <c r="C4509" s="83" t="s">
        <v>11124</v>
      </c>
      <c r="D4509" s="83" t="s">
        <v>11253</v>
      </c>
      <c r="E4509" s="84">
        <f>number_learner_drrmccampbp_coled_ppa_exclude_m</f>
        <v>0</v>
      </c>
      <c r="F4509" s="83" t="b">
        <v>1</v>
      </c>
      <c r="G4509" s="83"/>
      <c r="H4509" s="83"/>
      <c r="I4509" s="110" t="s">
        <v>11532</v>
      </c>
    </row>
    <row r="4510" spans="1:9">
      <c r="A4510" s="83" t="s">
        <v>11125</v>
      </c>
      <c r="B4510" s="83" t="s">
        <v>10149</v>
      </c>
      <c r="C4510" s="83" t="s">
        <v>11125</v>
      </c>
      <c r="D4510" s="83" t="s">
        <v>11254</v>
      </c>
      <c r="E4510" s="84">
        <f>number_learner_drrmccampbp_coled_ppa_exclude_f</f>
        <v>0</v>
      </c>
      <c r="F4510" s="83" t="b">
        <v>1</v>
      </c>
      <c r="G4510" s="83"/>
      <c r="H4510" s="83"/>
      <c r="I4510" s="110" t="s">
        <v>11532</v>
      </c>
    </row>
    <row r="4511" spans="1:9">
      <c r="A4511" s="83" t="s">
        <v>11126</v>
      </c>
      <c r="B4511" s="83" t="s">
        <v>10149</v>
      </c>
      <c r="C4511" s="83" t="s">
        <v>11126</v>
      </c>
      <c r="D4511" s="83" t="s">
        <v>11255</v>
      </c>
      <c r="E4511" s="84">
        <f>number_learner_drrmccampbp_coled_ppa_ip_m</f>
        <v>0</v>
      </c>
      <c r="F4511" s="83" t="b">
        <v>1</v>
      </c>
      <c r="G4511" s="83"/>
      <c r="H4511" s="83"/>
      <c r="I4511" s="110" t="s">
        <v>11532</v>
      </c>
    </row>
    <row r="4512" spans="1:9">
      <c r="A4512" s="83" t="s">
        <v>11127</v>
      </c>
      <c r="B4512" s="83" t="s">
        <v>10149</v>
      </c>
      <c r="C4512" s="83" t="s">
        <v>11127</v>
      </c>
      <c r="D4512" s="83" t="s">
        <v>11256</v>
      </c>
      <c r="E4512" s="84">
        <f>number_learner_drrmccampbp_coled_ppa_ip_f</f>
        <v>0</v>
      </c>
      <c r="F4512" s="83" t="b">
        <v>1</v>
      </c>
      <c r="G4512" s="83"/>
      <c r="H4512" s="83"/>
      <c r="I4512" s="110" t="s">
        <v>11532</v>
      </c>
    </row>
    <row r="4513" spans="1:9">
      <c r="A4513" s="83" t="s">
        <v>11128</v>
      </c>
      <c r="B4513" s="83" t="s">
        <v>10149</v>
      </c>
      <c r="C4513" s="83" t="s">
        <v>11128</v>
      </c>
      <c r="D4513" s="83" t="s">
        <v>11257</v>
      </c>
      <c r="E4513" s="84">
        <f>number_learner_drrmccampbp_coled_ppa_muslim_m</f>
        <v>0</v>
      </c>
      <c r="F4513" s="83" t="b">
        <v>1</v>
      </c>
      <c r="G4513" s="83"/>
      <c r="H4513" s="83"/>
      <c r="I4513" s="110" t="s">
        <v>11532</v>
      </c>
    </row>
    <row r="4514" spans="1:9">
      <c r="A4514" s="83" t="s">
        <v>11129</v>
      </c>
      <c r="B4514" s="83" t="s">
        <v>10149</v>
      </c>
      <c r="C4514" s="83" t="s">
        <v>11129</v>
      </c>
      <c r="D4514" s="83" t="s">
        <v>11258</v>
      </c>
      <c r="E4514" s="84">
        <f>number_learner_drrmccampbp_coled_ppa_muslim_f</f>
        <v>0</v>
      </c>
      <c r="F4514" s="83" t="b">
        <v>1</v>
      </c>
      <c r="G4514" s="83"/>
      <c r="H4514" s="83"/>
      <c r="I4514" s="110" t="s">
        <v>11532</v>
      </c>
    </row>
    <row r="4515" spans="1:9">
      <c r="A4515" s="83" t="s">
        <v>11130</v>
      </c>
      <c r="B4515" s="83" t="s">
        <v>10149</v>
      </c>
      <c r="C4515" s="83" t="s">
        <v>11130</v>
      </c>
      <c r="D4515" s="83" t="s">
        <v>11259</v>
      </c>
      <c r="E4515" s="84">
        <f>number_learner_drrmccampbp_coled_ppa_lwd_m</f>
        <v>0</v>
      </c>
      <c r="F4515" s="83" t="b">
        <v>1</v>
      </c>
      <c r="G4515" s="83"/>
      <c r="H4515" s="83"/>
      <c r="I4515" s="110" t="s">
        <v>11532</v>
      </c>
    </row>
    <row r="4516" spans="1:9">
      <c r="A4516" s="83" t="s">
        <v>11131</v>
      </c>
      <c r="B4516" s="83" t="s">
        <v>10149</v>
      </c>
      <c r="C4516" s="83" t="s">
        <v>11131</v>
      </c>
      <c r="D4516" s="83" t="s">
        <v>11260</v>
      </c>
      <c r="E4516" s="84">
        <f>number_learner_drrmccampbp_coled_ppa_lwd_f</f>
        <v>0</v>
      </c>
      <c r="F4516" s="83" t="b">
        <v>1</v>
      </c>
      <c r="G4516" s="83"/>
      <c r="H4516" s="83"/>
      <c r="I4516" s="110" t="s">
        <v>11532</v>
      </c>
    </row>
    <row r="4517" spans="1:9">
      <c r="A4517" s="83" t="s">
        <v>11132</v>
      </c>
      <c r="B4517" s="83" t="s">
        <v>10149</v>
      </c>
      <c r="C4517" s="83" t="s">
        <v>11132</v>
      </c>
      <c r="D4517" s="83" t="s">
        <v>11261</v>
      </c>
      <c r="E4517" s="84">
        <f>number_learner_drrmccampbp_led_ppa_exclude_m</f>
        <v>0</v>
      </c>
      <c r="F4517" s="83" t="b">
        <v>1</v>
      </c>
      <c r="G4517" s="83"/>
      <c r="H4517" s="83"/>
      <c r="I4517" s="110" t="s">
        <v>11532</v>
      </c>
    </row>
    <row r="4518" spans="1:9">
      <c r="A4518" s="83" t="s">
        <v>11133</v>
      </c>
      <c r="B4518" s="83" t="s">
        <v>10149</v>
      </c>
      <c r="C4518" s="83" t="s">
        <v>11133</v>
      </c>
      <c r="D4518" s="83" t="s">
        <v>11262</v>
      </c>
      <c r="E4518" s="84">
        <f>number_learner_drrmccampbp_led_ppa_exclude_f</f>
        <v>0</v>
      </c>
      <c r="F4518" s="83" t="b">
        <v>1</v>
      </c>
      <c r="G4518" s="83"/>
      <c r="H4518" s="83"/>
      <c r="I4518" s="110" t="s">
        <v>11532</v>
      </c>
    </row>
    <row r="4519" spans="1:9">
      <c r="A4519" s="83" t="s">
        <v>11134</v>
      </c>
      <c r="B4519" s="83" t="s">
        <v>10149</v>
      </c>
      <c r="C4519" s="83" t="s">
        <v>11134</v>
      </c>
      <c r="D4519" s="83" t="s">
        <v>11263</v>
      </c>
      <c r="E4519" s="84">
        <f>number_learner_drrmccampbp_led_ppa_ip_m</f>
        <v>0</v>
      </c>
      <c r="F4519" s="83" t="b">
        <v>1</v>
      </c>
      <c r="G4519" s="83"/>
      <c r="H4519" s="83"/>
      <c r="I4519" s="110" t="s">
        <v>11532</v>
      </c>
    </row>
    <row r="4520" spans="1:9">
      <c r="A4520" s="83" t="s">
        <v>11135</v>
      </c>
      <c r="B4520" s="83" t="s">
        <v>10149</v>
      </c>
      <c r="C4520" s="83" t="s">
        <v>11135</v>
      </c>
      <c r="D4520" s="83" t="s">
        <v>11264</v>
      </c>
      <c r="E4520" s="84">
        <f>number_learner_drrmccampbp_led_ppa_ip_f</f>
        <v>0</v>
      </c>
      <c r="F4520" s="83" t="b">
        <v>1</v>
      </c>
      <c r="G4520" s="83"/>
      <c r="H4520" s="83"/>
      <c r="I4520" s="110" t="s">
        <v>11532</v>
      </c>
    </row>
    <row r="4521" spans="1:9">
      <c r="A4521" s="83" t="s">
        <v>11136</v>
      </c>
      <c r="B4521" s="83" t="s">
        <v>10149</v>
      </c>
      <c r="C4521" s="83" t="s">
        <v>11136</v>
      </c>
      <c r="D4521" s="83" t="s">
        <v>11265</v>
      </c>
      <c r="E4521" s="84">
        <f>number_learner_drrmccampbp_led_ppa_muslim_m</f>
        <v>0</v>
      </c>
      <c r="F4521" s="83" t="b">
        <v>1</v>
      </c>
      <c r="G4521" s="83"/>
      <c r="H4521" s="83"/>
      <c r="I4521" s="110" t="s">
        <v>11532</v>
      </c>
    </row>
    <row r="4522" spans="1:9">
      <c r="A4522" s="83" t="s">
        <v>11137</v>
      </c>
      <c r="B4522" s="83" t="s">
        <v>10149</v>
      </c>
      <c r="C4522" s="83" t="s">
        <v>11137</v>
      </c>
      <c r="D4522" s="83" t="s">
        <v>11266</v>
      </c>
      <c r="E4522" s="84">
        <f>number_learner_drrmccampbp_led_ppa_muslim_f</f>
        <v>0</v>
      </c>
      <c r="F4522" s="83" t="b">
        <v>1</v>
      </c>
      <c r="G4522" s="83"/>
      <c r="H4522" s="83"/>
      <c r="I4522" s="110" t="s">
        <v>11532</v>
      </c>
    </row>
    <row r="4523" spans="1:9">
      <c r="A4523" s="83" t="s">
        <v>11138</v>
      </c>
      <c r="B4523" s="83" t="s">
        <v>10149</v>
      </c>
      <c r="C4523" s="83" t="s">
        <v>11138</v>
      </c>
      <c r="D4523" s="83" t="s">
        <v>11267</v>
      </c>
      <c r="E4523" s="84">
        <f>number_learner_drrmccampbp_led_ppa_lwd_m</f>
        <v>0</v>
      </c>
      <c r="F4523" s="83" t="b">
        <v>1</v>
      </c>
      <c r="G4523" s="83"/>
      <c r="H4523" s="83"/>
      <c r="I4523" s="110" t="s">
        <v>11532</v>
      </c>
    </row>
    <row r="4524" spans="1:9">
      <c r="A4524" s="83" t="s">
        <v>11139</v>
      </c>
      <c r="B4524" s="83" t="s">
        <v>10149</v>
      </c>
      <c r="C4524" s="83" t="s">
        <v>11139</v>
      </c>
      <c r="D4524" s="83" t="s">
        <v>11268</v>
      </c>
      <c r="E4524" s="84">
        <f>number_learner_drrmccampbp_led_ppa_lwd_f</f>
        <v>0</v>
      </c>
      <c r="F4524" s="83" t="b">
        <v>1</v>
      </c>
      <c r="G4524" s="83"/>
      <c r="H4524" s="83"/>
      <c r="I4524" s="110" t="s">
        <v>11532</v>
      </c>
    </row>
    <row r="4525" spans="1:9">
      <c r="A4525" s="83" t="s">
        <v>11140</v>
      </c>
      <c r="B4525" s="83" t="s">
        <v>10149</v>
      </c>
      <c r="C4525" s="83" t="s">
        <v>11140</v>
      </c>
      <c r="D4525" s="83" t="s">
        <v>11269</v>
      </c>
      <c r="E4525" s="84">
        <f>number_led_bylearner_drrm</f>
        <v>0</v>
      </c>
      <c r="F4525" s="83" t="b">
        <v>1</v>
      </c>
      <c r="G4525" s="83"/>
      <c r="H4525" s="83"/>
      <c r="I4525" s="110" t="s">
        <v>11532</v>
      </c>
    </row>
    <row r="4526" spans="1:9">
      <c r="A4526" s="83" t="s">
        <v>11141</v>
      </c>
      <c r="B4526" s="83" t="s">
        <v>10149</v>
      </c>
      <c r="C4526" s="83" t="s">
        <v>11141</v>
      </c>
      <c r="D4526" s="83" t="s">
        <v>11270</v>
      </c>
      <c r="E4526" s="84">
        <f>number_led_bylearner_ccam</f>
        <v>0</v>
      </c>
      <c r="F4526" s="83" t="b">
        <v>1</v>
      </c>
      <c r="G4526" s="83"/>
      <c r="H4526" s="83"/>
      <c r="I4526" s="110" t="s">
        <v>11532</v>
      </c>
    </row>
    <row r="4527" spans="1:9">
      <c r="A4527" s="83" t="s">
        <v>11142</v>
      </c>
      <c r="B4527" s="83" t="s">
        <v>10149</v>
      </c>
      <c r="C4527" s="83" t="s">
        <v>11142</v>
      </c>
      <c r="D4527" s="83" t="s">
        <v>11271</v>
      </c>
      <c r="E4527" s="84">
        <f>number_led_bylearner_pbuilding</f>
        <v>0</v>
      </c>
      <c r="F4527" s="83" t="b">
        <v>1</v>
      </c>
      <c r="G4527" s="83"/>
      <c r="H4527" s="83"/>
      <c r="I4527" s="110" t="s">
        <v>11532</v>
      </c>
    </row>
    <row r="4528" spans="1:9">
      <c r="A4528" s="83" t="s">
        <v>11143</v>
      </c>
      <c r="B4528" s="83" t="s">
        <v>10149</v>
      </c>
      <c r="C4528" s="83" t="s">
        <v>11143</v>
      </c>
      <c r="D4528" s="83" t="s">
        <v>11272</v>
      </c>
      <c r="E4528" s="84" t="b">
        <f>sch_used_deped_standard_training_manual_drrmccampbp</f>
        <v>1</v>
      </c>
      <c r="F4528" s="83" t="b">
        <v>1</v>
      </c>
      <c r="G4528" s="83"/>
      <c r="H4528" s="83"/>
      <c r="I4528" s="110" t="s">
        <v>11532</v>
      </c>
    </row>
    <row r="4529" spans="1:9">
      <c r="A4529" s="83" t="s">
        <v>11144</v>
      </c>
      <c r="B4529" s="83" t="s">
        <v>10149</v>
      </c>
      <c r="C4529" s="83" t="s">
        <v>11144</v>
      </c>
      <c r="D4529" s="83" t="s">
        <v>11273</v>
      </c>
      <c r="E4529" s="84">
        <f>number_trained_module_terminologies_teaching_m</f>
        <v>0</v>
      </c>
      <c r="F4529" s="83" t="b">
        <v>1</v>
      </c>
      <c r="G4529" s="83"/>
      <c r="H4529" s="83"/>
      <c r="I4529" s="110" t="s">
        <v>11532</v>
      </c>
    </row>
    <row r="4530" spans="1:9">
      <c r="A4530" s="83" t="s">
        <v>11145</v>
      </c>
      <c r="B4530" s="83" t="s">
        <v>10149</v>
      </c>
      <c r="C4530" s="83" t="s">
        <v>11145</v>
      </c>
      <c r="D4530" s="83" t="s">
        <v>11274</v>
      </c>
      <c r="E4530" s="84">
        <f>number_trained_module_terminologies_teaching_f</f>
        <v>1</v>
      </c>
      <c r="F4530" s="83" t="b">
        <v>1</v>
      </c>
      <c r="G4530" s="83"/>
      <c r="H4530" s="83"/>
      <c r="I4530" s="110" t="s">
        <v>11532</v>
      </c>
    </row>
    <row r="4531" spans="1:9">
      <c r="A4531" s="83" t="s">
        <v>11146</v>
      </c>
      <c r="B4531" s="83" t="s">
        <v>10149</v>
      </c>
      <c r="C4531" s="83" t="s">
        <v>11146</v>
      </c>
      <c r="D4531" s="83" t="s">
        <v>11275</v>
      </c>
      <c r="E4531" s="84">
        <f>number_trained_module_terminologies_nonteaching_m</f>
        <v>0</v>
      </c>
      <c r="F4531" s="83" t="b">
        <v>1</v>
      </c>
      <c r="G4531" s="83"/>
      <c r="H4531" s="83"/>
      <c r="I4531" s="110" t="s">
        <v>11532</v>
      </c>
    </row>
    <row r="4532" spans="1:9">
      <c r="A4532" s="83" t="s">
        <v>11147</v>
      </c>
      <c r="B4532" s="83" t="s">
        <v>10149</v>
      </c>
      <c r="C4532" s="83" t="s">
        <v>11147</v>
      </c>
      <c r="D4532" s="83" t="s">
        <v>11276</v>
      </c>
      <c r="E4532" s="84">
        <f>number_trained_module_terminologies_nonteaching_f</f>
        <v>0</v>
      </c>
      <c r="F4532" s="83" t="b">
        <v>1</v>
      </c>
      <c r="G4532" s="83"/>
      <c r="H4532" s="83"/>
      <c r="I4532" s="110" t="s">
        <v>11532</v>
      </c>
    </row>
    <row r="4533" spans="1:9">
      <c r="A4533" s="83" t="s">
        <v>11148</v>
      </c>
      <c r="B4533" s="83" t="s">
        <v>10149</v>
      </c>
      <c r="C4533" s="83" t="s">
        <v>11148</v>
      </c>
      <c r="D4533" s="83" t="s">
        <v>11277</v>
      </c>
      <c r="E4533" s="84">
        <f>number_trained_module_intl_ntl_foundations_teaching_m</f>
        <v>0</v>
      </c>
      <c r="F4533" s="83" t="b">
        <v>1</v>
      </c>
      <c r="G4533" s="83"/>
      <c r="H4533" s="83"/>
      <c r="I4533" s="110" t="s">
        <v>11532</v>
      </c>
    </row>
    <row r="4534" spans="1:9">
      <c r="A4534" s="83" t="s">
        <v>11149</v>
      </c>
      <c r="B4534" s="83" t="s">
        <v>10149</v>
      </c>
      <c r="C4534" s="83" t="s">
        <v>11149</v>
      </c>
      <c r="D4534" s="83" t="s">
        <v>11278</v>
      </c>
      <c r="E4534" s="84">
        <f>number_trained_module_intl_ntl_foundations_teaching_f</f>
        <v>1</v>
      </c>
      <c r="F4534" s="83" t="b">
        <v>1</v>
      </c>
      <c r="G4534" s="83"/>
      <c r="H4534" s="83"/>
      <c r="I4534" s="110" t="s">
        <v>11532</v>
      </c>
    </row>
    <row r="4535" spans="1:9">
      <c r="A4535" s="83" t="s">
        <v>11150</v>
      </c>
      <c r="B4535" s="83" t="s">
        <v>10149</v>
      </c>
      <c r="C4535" s="83" t="s">
        <v>11150</v>
      </c>
      <c r="D4535" s="83" t="s">
        <v>11279</v>
      </c>
      <c r="E4535" s="84">
        <f>number_trained_module_intl_ntl_foundations_nonteaching_m</f>
        <v>0</v>
      </c>
      <c r="F4535" s="83" t="b">
        <v>1</v>
      </c>
      <c r="G4535" s="83"/>
      <c r="H4535" s="83"/>
      <c r="I4535" s="110" t="s">
        <v>11532</v>
      </c>
    </row>
    <row r="4536" spans="1:9">
      <c r="A4536" s="83" t="s">
        <v>11151</v>
      </c>
      <c r="B4536" s="83" t="s">
        <v>10149</v>
      </c>
      <c r="C4536" s="83" t="s">
        <v>11151</v>
      </c>
      <c r="D4536" s="83" t="s">
        <v>11280</v>
      </c>
      <c r="E4536" s="84">
        <f>number_trained_module_intl_ntl_foundations_nonteaching_f</f>
        <v>0</v>
      </c>
      <c r="F4536" s="83" t="b">
        <v>1</v>
      </c>
      <c r="G4536" s="83"/>
      <c r="H4536" s="83"/>
      <c r="I4536" s="110" t="s">
        <v>11532</v>
      </c>
    </row>
    <row r="4537" spans="1:9">
      <c r="A4537" s="83" t="s">
        <v>11152</v>
      </c>
      <c r="B4537" s="83" t="s">
        <v>10149</v>
      </c>
      <c r="C4537" s="83" t="s">
        <v>11152</v>
      </c>
      <c r="D4537" s="83" t="s">
        <v>11281</v>
      </c>
      <c r="E4537" s="84">
        <f>number_trained_module_cdrrmef_teaching_m</f>
        <v>0</v>
      </c>
      <c r="F4537" s="83" t="b">
        <v>1</v>
      </c>
      <c r="G4537" s="83"/>
      <c r="H4537" s="83"/>
      <c r="I4537" s="110" t="s">
        <v>11532</v>
      </c>
    </row>
    <row r="4538" spans="1:9">
      <c r="A4538" s="83" t="s">
        <v>11153</v>
      </c>
      <c r="B4538" s="83" t="s">
        <v>10149</v>
      </c>
      <c r="C4538" s="83" t="s">
        <v>11153</v>
      </c>
      <c r="D4538" s="83" t="s">
        <v>11282</v>
      </c>
      <c r="E4538" s="84">
        <f>number_trained_module_cdrrmef_teaching_f</f>
        <v>1</v>
      </c>
      <c r="F4538" s="83" t="b">
        <v>1</v>
      </c>
      <c r="G4538" s="83"/>
      <c r="H4538" s="83"/>
      <c r="I4538" s="110" t="s">
        <v>11532</v>
      </c>
    </row>
    <row r="4539" spans="1:9">
      <c r="A4539" s="83" t="s">
        <v>11154</v>
      </c>
      <c r="B4539" s="83" t="s">
        <v>10149</v>
      </c>
      <c r="C4539" s="83" t="s">
        <v>11154</v>
      </c>
      <c r="D4539" s="83" t="s">
        <v>11283</v>
      </c>
      <c r="E4539" s="84">
        <f>number_trained_module_cdrrmef_nonteaching_m</f>
        <v>0</v>
      </c>
      <c r="F4539" s="83" t="b">
        <v>1</v>
      </c>
      <c r="G4539" s="83"/>
      <c r="H4539" s="83"/>
      <c r="I4539" s="110" t="s">
        <v>11532</v>
      </c>
    </row>
    <row r="4540" spans="1:9">
      <c r="A4540" s="83" t="s">
        <v>11155</v>
      </c>
      <c r="B4540" s="83" t="s">
        <v>10149</v>
      </c>
      <c r="C4540" s="83" t="s">
        <v>11155</v>
      </c>
      <c r="D4540" s="83" t="s">
        <v>11284</v>
      </c>
      <c r="E4540" s="84">
        <f>number_trained_module_cdrrmef_nonteaching_f</f>
        <v>0</v>
      </c>
      <c r="F4540" s="83" t="b">
        <v>1</v>
      </c>
      <c r="G4540" s="83"/>
      <c r="H4540" s="83"/>
      <c r="I4540" s="110" t="s">
        <v>11532</v>
      </c>
    </row>
    <row r="4541" spans="1:9">
      <c r="A4541" s="83" t="s">
        <v>11156</v>
      </c>
      <c r="B4541" s="83" t="s">
        <v>10149</v>
      </c>
      <c r="C4541" s="83" t="s">
        <v>11156</v>
      </c>
      <c r="D4541" s="83" t="s">
        <v>11285</v>
      </c>
      <c r="E4541" s="84">
        <f>number_trained_module_inclusive_childcenter_teaching_m</f>
        <v>0</v>
      </c>
      <c r="F4541" s="83" t="b">
        <v>1</v>
      </c>
      <c r="G4541" s="83"/>
      <c r="H4541" s="83"/>
      <c r="I4541" s="110" t="s">
        <v>11532</v>
      </c>
    </row>
    <row r="4542" spans="1:9">
      <c r="A4542" s="83" t="s">
        <v>11157</v>
      </c>
      <c r="B4542" s="83" t="s">
        <v>10149</v>
      </c>
      <c r="C4542" s="83" t="s">
        <v>11157</v>
      </c>
      <c r="D4542" s="83" t="s">
        <v>11286</v>
      </c>
      <c r="E4542" s="84">
        <f>number_trained_module_inclusive_childcenter_teaching_f</f>
        <v>1</v>
      </c>
      <c r="F4542" s="83" t="b">
        <v>1</v>
      </c>
      <c r="G4542" s="83"/>
      <c r="H4542" s="83"/>
      <c r="I4542" s="110" t="s">
        <v>11532</v>
      </c>
    </row>
    <row r="4543" spans="1:9">
      <c r="A4543" s="83" t="s">
        <v>11158</v>
      </c>
      <c r="B4543" s="83" t="s">
        <v>10149</v>
      </c>
      <c r="C4543" s="83" t="s">
        <v>11158</v>
      </c>
      <c r="D4543" s="83" t="s">
        <v>11287</v>
      </c>
      <c r="E4543" s="84">
        <f>number_trained_module_inclusive_childcenter_nonteaching_m</f>
        <v>0</v>
      </c>
      <c r="F4543" s="83" t="b">
        <v>1</v>
      </c>
      <c r="G4543" s="83"/>
      <c r="H4543" s="83"/>
      <c r="I4543" s="110" t="s">
        <v>11532</v>
      </c>
    </row>
    <row r="4544" spans="1:9">
      <c r="A4544" s="83" t="s">
        <v>11159</v>
      </c>
      <c r="B4544" s="83" t="s">
        <v>10149</v>
      </c>
      <c r="C4544" s="83" t="s">
        <v>11159</v>
      </c>
      <c r="D4544" s="83" t="s">
        <v>11288</v>
      </c>
      <c r="E4544" s="84">
        <f>number_trained_module_inclusive_childcenter_nonteaching_f</f>
        <v>0</v>
      </c>
      <c r="F4544" s="83" t="b">
        <v>1</v>
      </c>
      <c r="G4544" s="83"/>
      <c r="H4544" s="83"/>
      <c r="I4544" s="110" t="s">
        <v>11532</v>
      </c>
    </row>
    <row r="4545" spans="1:9">
      <c r="A4545" s="83" t="s">
        <v>11160</v>
      </c>
      <c r="B4545" s="83" t="s">
        <v>10149</v>
      </c>
      <c r="C4545" s="83" t="s">
        <v>11160</v>
      </c>
      <c r="D4545" s="83" t="s">
        <v>11289</v>
      </c>
      <c r="E4545" s="84">
        <f>number_trained_module_eie_teaching_m</f>
        <v>0</v>
      </c>
      <c r="F4545" s="83" t="b">
        <v>1</v>
      </c>
      <c r="G4545" s="83"/>
      <c r="H4545" s="83"/>
      <c r="I4545" s="110" t="s">
        <v>11532</v>
      </c>
    </row>
    <row r="4546" spans="1:9">
      <c r="A4546" s="83" t="s">
        <v>11161</v>
      </c>
      <c r="B4546" s="83" t="s">
        <v>10149</v>
      </c>
      <c r="C4546" s="83" t="s">
        <v>11161</v>
      </c>
      <c r="D4546" s="83" t="s">
        <v>11290</v>
      </c>
      <c r="E4546" s="84">
        <f>number_trained_module_eie_teaching_f</f>
        <v>1</v>
      </c>
      <c r="F4546" s="83" t="b">
        <v>1</v>
      </c>
      <c r="G4546" s="83"/>
      <c r="H4546" s="83"/>
      <c r="I4546" s="110" t="s">
        <v>11532</v>
      </c>
    </row>
    <row r="4547" spans="1:9">
      <c r="A4547" s="83" t="s">
        <v>11162</v>
      </c>
      <c r="B4547" s="83" t="s">
        <v>10149</v>
      </c>
      <c r="C4547" s="83" t="s">
        <v>11162</v>
      </c>
      <c r="D4547" s="83" t="s">
        <v>11291</v>
      </c>
      <c r="E4547" s="84">
        <f>number_trained_module_eie_nonteaching_m</f>
        <v>0</v>
      </c>
      <c r="F4547" s="83" t="b">
        <v>1</v>
      </c>
      <c r="G4547" s="83"/>
      <c r="H4547" s="83"/>
      <c r="I4547" s="110" t="s">
        <v>11532</v>
      </c>
    </row>
    <row r="4548" spans="1:9">
      <c r="A4548" s="83" t="s">
        <v>11163</v>
      </c>
      <c r="B4548" s="83" t="s">
        <v>10149</v>
      </c>
      <c r="C4548" s="83" t="s">
        <v>11163</v>
      </c>
      <c r="D4548" s="83" t="s">
        <v>11292</v>
      </c>
      <c r="E4548" s="84">
        <f>number_trained_module_eie_nonteaching_f</f>
        <v>0</v>
      </c>
      <c r="F4548" s="83" t="b">
        <v>1</v>
      </c>
      <c r="G4548" s="83"/>
      <c r="H4548" s="83"/>
      <c r="I4548" s="110" t="s">
        <v>11532</v>
      </c>
    </row>
    <row r="4549" spans="1:9">
      <c r="A4549" s="83" t="s">
        <v>11164</v>
      </c>
      <c r="B4549" s="83" t="s">
        <v>10149</v>
      </c>
      <c r="C4549" s="83" t="s">
        <v>11164</v>
      </c>
      <c r="D4549" s="83" t="s">
        <v>11293</v>
      </c>
      <c r="E4549" s="84">
        <f>number_trained_module_adm_teaching_m</f>
        <v>0</v>
      </c>
      <c r="F4549" s="83" t="b">
        <v>1</v>
      </c>
      <c r="G4549" s="83"/>
      <c r="H4549" s="83"/>
      <c r="I4549" s="110" t="s">
        <v>11532</v>
      </c>
    </row>
    <row r="4550" spans="1:9">
      <c r="A4550" s="83" t="s">
        <v>11165</v>
      </c>
      <c r="B4550" s="83" t="s">
        <v>10149</v>
      </c>
      <c r="C4550" s="83" t="s">
        <v>11165</v>
      </c>
      <c r="D4550" s="83" t="s">
        <v>11294</v>
      </c>
      <c r="E4550" s="84">
        <f>number_trained_module_adm_teaching_f</f>
        <v>1</v>
      </c>
      <c r="F4550" s="83" t="b">
        <v>1</v>
      </c>
      <c r="G4550" s="83"/>
      <c r="H4550" s="83"/>
      <c r="I4550" s="110" t="s">
        <v>11532</v>
      </c>
    </row>
    <row r="4551" spans="1:9">
      <c r="A4551" s="83" t="s">
        <v>11166</v>
      </c>
      <c r="B4551" s="83" t="s">
        <v>10149</v>
      </c>
      <c r="C4551" s="83" t="s">
        <v>11166</v>
      </c>
      <c r="D4551" s="83" t="s">
        <v>11295</v>
      </c>
      <c r="E4551" s="84">
        <f>number_trained_module_adm_nonteaching_m</f>
        <v>0</v>
      </c>
      <c r="F4551" s="83" t="b">
        <v>1</v>
      </c>
      <c r="G4551" s="83"/>
      <c r="H4551" s="83"/>
      <c r="I4551" s="110" t="s">
        <v>11532</v>
      </c>
    </row>
    <row r="4552" spans="1:9">
      <c r="A4552" s="83" t="s">
        <v>11167</v>
      </c>
      <c r="B4552" s="83" t="s">
        <v>10149</v>
      </c>
      <c r="C4552" s="83" t="s">
        <v>11167</v>
      </c>
      <c r="D4552" s="83" t="s">
        <v>11296</v>
      </c>
      <c r="E4552" s="84">
        <f>number_trained_module_adm_nonteaching_f</f>
        <v>0</v>
      </c>
      <c r="F4552" s="83" t="b">
        <v>1</v>
      </c>
      <c r="G4552" s="83"/>
      <c r="H4552" s="83"/>
      <c r="I4552" s="110" t="s">
        <v>11532</v>
      </c>
    </row>
    <row r="4553" spans="1:9">
      <c r="A4553" s="83" t="s">
        <v>11168</v>
      </c>
      <c r="B4553" s="83" t="s">
        <v>10149</v>
      </c>
      <c r="C4553" s="83" t="s">
        <v>11168</v>
      </c>
      <c r="D4553" s="83" t="s">
        <v>11297</v>
      </c>
      <c r="E4553" s="84">
        <f>number_trained_module_im_teaching_m</f>
        <v>0</v>
      </c>
      <c r="F4553" s="83" t="b">
        <v>1</v>
      </c>
      <c r="G4553" s="83"/>
      <c r="H4553" s="83"/>
      <c r="I4553" s="110" t="s">
        <v>11532</v>
      </c>
    </row>
    <row r="4554" spans="1:9">
      <c r="A4554" s="83" t="s">
        <v>11169</v>
      </c>
      <c r="B4554" s="83" t="s">
        <v>10149</v>
      </c>
      <c r="C4554" s="83" t="s">
        <v>11169</v>
      </c>
      <c r="D4554" s="83" t="s">
        <v>11298</v>
      </c>
      <c r="E4554" s="84">
        <f>number_trained_module_im_teaching_f</f>
        <v>1</v>
      </c>
      <c r="F4554" s="83" t="b">
        <v>1</v>
      </c>
      <c r="G4554" s="83"/>
      <c r="H4554" s="83"/>
      <c r="I4554" s="110" t="s">
        <v>11532</v>
      </c>
    </row>
    <row r="4555" spans="1:9">
      <c r="A4555" s="83" t="s">
        <v>11170</v>
      </c>
      <c r="B4555" s="83" t="s">
        <v>10149</v>
      </c>
      <c r="C4555" s="83" t="s">
        <v>11170</v>
      </c>
      <c r="D4555" s="83" t="s">
        <v>11299</v>
      </c>
      <c r="E4555" s="84">
        <f>number_trained_module_im_nonteaching_m</f>
        <v>0</v>
      </c>
      <c r="F4555" s="83" t="b">
        <v>1</v>
      </c>
      <c r="G4555" s="83"/>
      <c r="H4555" s="83"/>
      <c r="I4555" s="110" t="s">
        <v>11532</v>
      </c>
    </row>
    <row r="4556" spans="1:9">
      <c r="A4556" s="83" t="s">
        <v>11171</v>
      </c>
      <c r="B4556" s="83" t="s">
        <v>10149</v>
      </c>
      <c r="C4556" s="83" t="s">
        <v>11171</v>
      </c>
      <c r="D4556" s="83" t="s">
        <v>11300</v>
      </c>
      <c r="E4556" s="84">
        <f>number_trained_module_im_nonteaching_f</f>
        <v>0</v>
      </c>
      <c r="F4556" s="83" t="b">
        <v>1</v>
      </c>
      <c r="G4556" s="83"/>
      <c r="H4556" s="83"/>
      <c r="I4556" s="110" t="s">
        <v>11532</v>
      </c>
    </row>
    <row r="4557" spans="1:9">
      <c r="A4557" s="83" t="s">
        <v>11172</v>
      </c>
      <c r="B4557" s="83" t="s">
        <v>10149</v>
      </c>
      <c r="C4557" s="83" t="s">
        <v>11172</v>
      </c>
      <c r="D4557" s="83" t="s">
        <v>11301</v>
      </c>
      <c r="E4557" s="84">
        <f>number_trained_module_schoolbased_teaching_m</f>
        <v>0</v>
      </c>
      <c r="F4557" s="83" t="b">
        <v>1</v>
      </c>
      <c r="G4557" s="83"/>
      <c r="H4557" s="83"/>
      <c r="I4557" s="110" t="s">
        <v>11532</v>
      </c>
    </row>
    <row r="4558" spans="1:9">
      <c r="A4558" s="83" t="s">
        <v>11173</v>
      </c>
      <c r="B4558" s="83" t="s">
        <v>10149</v>
      </c>
      <c r="C4558" s="83" t="s">
        <v>11173</v>
      </c>
      <c r="D4558" s="83" t="s">
        <v>11302</v>
      </c>
      <c r="E4558" s="84">
        <f>number_trained_module_schoolbased_teaching_f</f>
        <v>1</v>
      </c>
      <c r="F4558" s="83" t="b">
        <v>1</v>
      </c>
      <c r="G4558" s="83"/>
      <c r="H4558" s="83"/>
      <c r="I4558" s="110" t="s">
        <v>11532</v>
      </c>
    </row>
    <row r="4559" spans="1:9">
      <c r="A4559" s="83" t="s">
        <v>11174</v>
      </c>
      <c r="B4559" s="83" t="s">
        <v>10149</v>
      </c>
      <c r="C4559" s="83" t="s">
        <v>11174</v>
      </c>
      <c r="D4559" s="83" t="s">
        <v>11303</v>
      </c>
      <c r="E4559" s="84">
        <f>number_trained_module_schoolbased_nonteaching_m</f>
        <v>0</v>
      </c>
      <c r="F4559" s="83" t="b">
        <v>1</v>
      </c>
      <c r="G4559" s="83"/>
      <c r="H4559" s="83"/>
      <c r="I4559" s="110" t="s">
        <v>11532</v>
      </c>
    </row>
    <row r="4560" spans="1:9">
      <c r="A4560" s="83" t="s">
        <v>11175</v>
      </c>
      <c r="B4560" s="83" t="s">
        <v>10149</v>
      </c>
      <c r="C4560" s="83" t="s">
        <v>11175</v>
      </c>
      <c r="D4560" s="83" t="s">
        <v>11304</v>
      </c>
      <c r="E4560" s="84">
        <f>number_trained_module_schoolbased_nonteaching_f</f>
        <v>0</v>
      </c>
      <c r="F4560" s="83" t="b">
        <v>1</v>
      </c>
      <c r="G4560" s="83"/>
      <c r="H4560" s="83"/>
      <c r="I4560" s="110" t="s">
        <v>11532</v>
      </c>
    </row>
    <row r="4561" spans="1:9">
      <c r="A4561" s="83" t="s">
        <v>11176</v>
      </c>
      <c r="B4561" s="83" t="s">
        <v>10149</v>
      </c>
      <c r="C4561" s="83" t="s">
        <v>11176</v>
      </c>
      <c r="D4561" s="83" t="s">
        <v>11305</v>
      </c>
      <c r="E4561" s="84">
        <f>number_trained_module_camp_mgmt_teaching_m</f>
        <v>0</v>
      </c>
      <c r="F4561" s="83" t="b">
        <v>1</v>
      </c>
      <c r="G4561" s="83"/>
      <c r="H4561" s="83"/>
      <c r="I4561" s="110" t="s">
        <v>11532</v>
      </c>
    </row>
    <row r="4562" spans="1:9">
      <c r="A4562" s="83" t="s">
        <v>11177</v>
      </c>
      <c r="B4562" s="83" t="s">
        <v>10149</v>
      </c>
      <c r="C4562" s="83" t="s">
        <v>11177</v>
      </c>
      <c r="D4562" s="83" t="s">
        <v>11306</v>
      </c>
      <c r="E4562" s="84">
        <f>number_trained_module_camp_mgmt_teaching_f</f>
        <v>1</v>
      </c>
      <c r="F4562" s="83" t="b">
        <v>1</v>
      </c>
      <c r="G4562" s="83"/>
      <c r="H4562" s="83"/>
      <c r="I4562" s="110" t="s">
        <v>11532</v>
      </c>
    </row>
    <row r="4563" spans="1:9">
      <c r="A4563" s="83" t="s">
        <v>11178</v>
      </c>
      <c r="B4563" s="83" t="s">
        <v>10149</v>
      </c>
      <c r="C4563" s="83" t="s">
        <v>11178</v>
      </c>
      <c r="D4563" s="83" t="s">
        <v>11307</v>
      </c>
      <c r="E4563" s="84">
        <f>number_trained_module_camp_mgmt_nonteaching_m</f>
        <v>0</v>
      </c>
      <c r="F4563" s="83" t="b">
        <v>1</v>
      </c>
      <c r="G4563" s="83"/>
      <c r="H4563" s="83"/>
      <c r="I4563" s="110" t="s">
        <v>11532</v>
      </c>
    </row>
    <row r="4564" spans="1:9">
      <c r="A4564" s="83" t="s">
        <v>11179</v>
      </c>
      <c r="B4564" s="83" t="s">
        <v>10149</v>
      </c>
      <c r="C4564" s="83" t="s">
        <v>11179</v>
      </c>
      <c r="D4564" s="83" t="s">
        <v>11308</v>
      </c>
      <c r="E4564" s="84">
        <f>number_trained_module_camp_mgmt_nonteaching_f</f>
        <v>0</v>
      </c>
      <c r="F4564" s="83" t="b">
        <v>1</v>
      </c>
      <c r="G4564" s="83"/>
      <c r="H4564" s="83"/>
      <c r="I4564" s="110" t="s">
        <v>11532</v>
      </c>
    </row>
    <row r="4565" spans="1:9">
      <c r="A4565" s="83" t="s">
        <v>11180</v>
      </c>
      <c r="B4565" s="83" t="s">
        <v>10149</v>
      </c>
      <c r="C4565" s="83" t="s">
        <v>11180</v>
      </c>
      <c r="D4565" s="83" t="s">
        <v>11309</v>
      </c>
      <c r="E4565" s="84">
        <f>number_trained_module_tls_teaching_m</f>
        <v>0</v>
      </c>
      <c r="F4565" s="83" t="b">
        <v>1</v>
      </c>
      <c r="G4565" s="83"/>
      <c r="H4565" s="83"/>
      <c r="I4565" s="110" t="s">
        <v>11532</v>
      </c>
    </row>
    <row r="4566" spans="1:9">
      <c r="A4566" s="83" t="s">
        <v>11181</v>
      </c>
      <c r="B4566" s="83" t="s">
        <v>10149</v>
      </c>
      <c r="C4566" s="83" t="s">
        <v>11181</v>
      </c>
      <c r="D4566" s="83" t="s">
        <v>11310</v>
      </c>
      <c r="E4566" s="84">
        <f>number_trained_module_tls_teaching_f</f>
        <v>1</v>
      </c>
      <c r="F4566" s="83" t="b">
        <v>1</v>
      </c>
      <c r="G4566" s="83"/>
      <c r="H4566" s="83"/>
      <c r="I4566" s="110" t="s">
        <v>11532</v>
      </c>
    </row>
    <row r="4567" spans="1:9">
      <c r="A4567" s="83" t="s">
        <v>11182</v>
      </c>
      <c r="B4567" s="83" t="s">
        <v>10149</v>
      </c>
      <c r="C4567" s="83" t="s">
        <v>11182</v>
      </c>
      <c r="D4567" s="83" t="s">
        <v>11311</v>
      </c>
      <c r="E4567" s="84">
        <f>number_trained_module_tls_nonteaching_m</f>
        <v>0</v>
      </c>
      <c r="F4567" s="83" t="b">
        <v>1</v>
      </c>
      <c r="G4567" s="83"/>
      <c r="H4567" s="83"/>
      <c r="I4567" s="110" t="s">
        <v>11532</v>
      </c>
    </row>
    <row r="4568" spans="1:9">
      <c r="A4568" s="83" t="s">
        <v>11183</v>
      </c>
      <c r="B4568" s="83" t="s">
        <v>10149</v>
      </c>
      <c r="C4568" s="83" t="s">
        <v>11183</v>
      </c>
      <c r="D4568" s="83" t="s">
        <v>11312</v>
      </c>
      <c r="E4568" s="84">
        <f>number_trained_module_tls_nonteaching_f</f>
        <v>0</v>
      </c>
      <c r="F4568" s="83" t="b">
        <v>1</v>
      </c>
      <c r="G4568" s="83"/>
      <c r="H4568" s="83"/>
      <c r="I4568" s="110" t="s">
        <v>11532</v>
      </c>
    </row>
    <row r="4569" spans="1:9">
      <c r="A4569" s="83" t="s">
        <v>11184</v>
      </c>
      <c r="B4569" s="83" t="s">
        <v>10149</v>
      </c>
      <c r="C4569" s="83" t="s">
        <v>11184</v>
      </c>
      <c r="D4569" s="83" t="s">
        <v>11313</v>
      </c>
      <c r="E4569" s="84">
        <f>number_trained_module_beie_teaching_m</f>
        <v>0</v>
      </c>
      <c r="F4569" s="83" t="b">
        <v>1</v>
      </c>
      <c r="G4569" s="83"/>
      <c r="H4569" s="83"/>
      <c r="I4569" s="110" t="s">
        <v>11532</v>
      </c>
    </row>
    <row r="4570" spans="1:9">
      <c r="A4570" s="83" t="s">
        <v>11185</v>
      </c>
      <c r="B4570" s="83" t="s">
        <v>10149</v>
      </c>
      <c r="C4570" s="83" t="s">
        <v>11185</v>
      </c>
      <c r="D4570" s="83" t="s">
        <v>11314</v>
      </c>
      <c r="E4570" s="84">
        <f>number_trained_module_beie_teaching_f</f>
        <v>1</v>
      </c>
      <c r="F4570" s="83" t="b">
        <v>1</v>
      </c>
      <c r="G4570" s="83"/>
      <c r="H4570" s="83"/>
      <c r="I4570" s="110" t="s">
        <v>11532</v>
      </c>
    </row>
    <row r="4571" spans="1:9">
      <c r="A4571" s="83" t="s">
        <v>11186</v>
      </c>
      <c r="B4571" s="83" t="s">
        <v>10149</v>
      </c>
      <c r="C4571" s="83" t="s">
        <v>11186</v>
      </c>
      <c r="D4571" s="83" t="s">
        <v>11315</v>
      </c>
      <c r="E4571" s="84">
        <f>number_trained_module_beie_nonteaching_m</f>
        <v>0</v>
      </c>
      <c r="F4571" s="83" t="b">
        <v>1</v>
      </c>
      <c r="G4571" s="83"/>
      <c r="H4571" s="83"/>
      <c r="I4571" s="110" t="s">
        <v>11532</v>
      </c>
    </row>
    <row r="4572" spans="1:9">
      <c r="A4572" s="83" t="s">
        <v>11187</v>
      </c>
      <c r="B4572" s="83" t="s">
        <v>10149</v>
      </c>
      <c r="C4572" s="83" t="s">
        <v>11187</v>
      </c>
      <c r="D4572" s="83" t="s">
        <v>11316</v>
      </c>
      <c r="E4572" s="84">
        <f>number_trained_module_beie_nonteaching_f</f>
        <v>0</v>
      </c>
      <c r="F4572" s="83" t="b">
        <v>1</v>
      </c>
      <c r="G4572" s="83"/>
      <c r="H4572" s="83"/>
      <c r="I4572" s="110" t="s">
        <v>11532</v>
      </c>
    </row>
    <row r="4573" spans="1:9">
      <c r="A4573" s="83" t="s">
        <v>11188</v>
      </c>
      <c r="B4573" s="83" t="s">
        <v>10149</v>
      </c>
      <c r="C4573" s="83" t="s">
        <v>11188</v>
      </c>
      <c r="D4573" s="83" t="s">
        <v>11317</v>
      </c>
      <c r="E4573" s="84">
        <f>number_trained_module_resource_mobil_teaching_m</f>
        <v>0</v>
      </c>
      <c r="F4573" s="83" t="b">
        <v>1</v>
      </c>
      <c r="G4573" s="83"/>
      <c r="H4573" s="83"/>
      <c r="I4573" s="110" t="s">
        <v>11532</v>
      </c>
    </row>
    <row r="4574" spans="1:9">
      <c r="A4574" s="83" t="s">
        <v>11189</v>
      </c>
      <c r="B4574" s="83" t="s">
        <v>10149</v>
      </c>
      <c r="C4574" s="83" t="s">
        <v>11189</v>
      </c>
      <c r="D4574" s="83" t="s">
        <v>11318</v>
      </c>
      <c r="E4574" s="84">
        <f>number_trained_module_resource_mobil_teaching_f</f>
        <v>1</v>
      </c>
      <c r="F4574" s="83" t="b">
        <v>1</v>
      </c>
      <c r="G4574" s="83"/>
      <c r="H4574" s="83"/>
      <c r="I4574" s="110" t="s">
        <v>11532</v>
      </c>
    </row>
    <row r="4575" spans="1:9">
      <c r="A4575" s="83" t="s">
        <v>11190</v>
      </c>
      <c r="B4575" s="83" t="s">
        <v>10149</v>
      </c>
      <c r="C4575" s="83" t="s">
        <v>11190</v>
      </c>
      <c r="D4575" s="83" t="s">
        <v>11319</v>
      </c>
      <c r="E4575" s="84">
        <f>number_trained_module_resource_mobil_nonteaching_m</f>
        <v>0</v>
      </c>
      <c r="F4575" s="83" t="b">
        <v>1</v>
      </c>
      <c r="G4575" s="83"/>
      <c r="H4575" s="83"/>
      <c r="I4575" s="110" t="s">
        <v>11532</v>
      </c>
    </row>
    <row r="4576" spans="1:9">
      <c r="A4576" s="83" t="s">
        <v>11191</v>
      </c>
      <c r="B4576" s="83" t="s">
        <v>10149</v>
      </c>
      <c r="C4576" s="83" t="s">
        <v>11191</v>
      </c>
      <c r="D4576" s="83" t="s">
        <v>11320</v>
      </c>
      <c r="E4576" s="84">
        <f>number_trained_module_resource_mobil_nonteaching_f</f>
        <v>0</v>
      </c>
      <c r="F4576" s="83" t="b">
        <v>1</v>
      </c>
      <c r="G4576" s="83"/>
      <c r="H4576" s="83"/>
      <c r="I4576" s="110" t="s">
        <v>11532</v>
      </c>
    </row>
    <row r="4577" spans="1:9">
      <c r="A4577" s="83" t="s">
        <v>11192</v>
      </c>
      <c r="B4577" s="83" t="s">
        <v>10149</v>
      </c>
      <c r="C4577" s="83" t="s">
        <v>11192</v>
      </c>
      <c r="D4577" s="83" t="s">
        <v>11321</v>
      </c>
      <c r="E4577" s="84">
        <f>number_trained_module_contingency_teaching_m</f>
        <v>0</v>
      </c>
      <c r="F4577" s="83" t="b">
        <v>1</v>
      </c>
      <c r="G4577" s="83"/>
      <c r="H4577" s="83"/>
      <c r="I4577" s="110" t="s">
        <v>11532</v>
      </c>
    </row>
    <row r="4578" spans="1:9">
      <c r="A4578" s="83" t="s">
        <v>11193</v>
      </c>
      <c r="B4578" s="83" t="s">
        <v>10149</v>
      </c>
      <c r="C4578" s="83" t="s">
        <v>11193</v>
      </c>
      <c r="D4578" s="83" t="s">
        <v>11322</v>
      </c>
      <c r="E4578" s="84">
        <f>number_trained_module_contingency_teaching_f</f>
        <v>1</v>
      </c>
      <c r="F4578" s="83" t="b">
        <v>1</v>
      </c>
      <c r="G4578" s="83"/>
      <c r="H4578" s="83"/>
      <c r="I4578" s="110" t="s">
        <v>11532</v>
      </c>
    </row>
    <row r="4579" spans="1:9">
      <c r="A4579" s="83" t="s">
        <v>11194</v>
      </c>
      <c r="B4579" s="83" t="s">
        <v>10149</v>
      </c>
      <c r="C4579" s="83" t="s">
        <v>11194</v>
      </c>
      <c r="D4579" s="83" t="s">
        <v>11323</v>
      </c>
      <c r="E4579" s="84">
        <f>number_trained_module_contingency_nonteaching_m</f>
        <v>0</v>
      </c>
      <c r="F4579" s="83" t="b">
        <v>1</v>
      </c>
      <c r="G4579" s="83"/>
      <c r="H4579" s="83"/>
      <c r="I4579" s="110" t="s">
        <v>11532</v>
      </c>
    </row>
    <row r="4580" spans="1:9">
      <c r="A4580" s="83" t="s">
        <v>11195</v>
      </c>
      <c r="B4580" s="83" t="s">
        <v>10149</v>
      </c>
      <c r="C4580" s="83" t="s">
        <v>11195</v>
      </c>
      <c r="D4580" s="83" t="s">
        <v>11324</v>
      </c>
      <c r="E4580" s="84">
        <f>number_trained_module_contingency_nonteaching_f</f>
        <v>0</v>
      </c>
      <c r="F4580" s="83" t="b">
        <v>1</v>
      </c>
      <c r="G4580" s="83"/>
      <c r="H4580" s="83"/>
      <c r="I4580" s="110" t="s">
        <v>11532</v>
      </c>
    </row>
    <row r="4581" spans="1:9">
      <c r="A4581" s="83" t="s">
        <v>11196</v>
      </c>
      <c r="B4581" s="83" t="s">
        <v>10149</v>
      </c>
      <c r="C4581" s="83" t="s">
        <v>11196</v>
      </c>
      <c r="D4581" s="83" t="s">
        <v>11325</v>
      </c>
      <c r="E4581" s="84">
        <f>number_trained_module_common_hazards_teaching_m</f>
        <v>0</v>
      </c>
      <c r="F4581" s="83" t="b">
        <v>1</v>
      </c>
      <c r="G4581" s="83"/>
      <c r="H4581" s="83"/>
      <c r="I4581" s="110" t="s">
        <v>11532</v>
      </c>
    </row>
    <row r="4582" spans="1:9">
      <c r="A4582" s="83" t="s">
        <v>11197</v>
      </c>
      <c r="B4582" s="83" t="s">
        <v>10149</v>
      </c>
      <c r="C4582" s="83" t="s">
        <v>11197</v>
      </c>
      <c r="D4582" s="83" t="s">
        <v>11326</v>
      </c>
      <c r="E4582" s="84">
        <f>number_trained_module_common_hazards_teaching_f</f>
        <v>1</v>
      </c>
      <c r="F4582" s="83" t="b">
        <v>1</v>
      </c>
      <c r="G4582" s="83"/>
      <c r="H4582" s="83"/>
      <c r="I4582" s="110" t="s">
        <v>11532</v>
      </c>
    </row>
    <row r="4583" spans="1:9">
      <c r="A4583" s="83" t="s">
        <v>11198</v>
      </c>
      <c r="B4583" s="83" t="s">
        <v>10149</v>
      </c>
      <c r="C4583" s="83" t="s">
        <v>11198</v>
      </c>
      <c r="D4583" s="83" t="s">
        <v>11327</v>
      </c>
      <c r="E4583" s="84">
        <f>number_trained_module_common_hazards_nonteaching_m</f>
        <v>0</v>
      </c>
      <c r="F4583" s="83" t="b">
        <v>1</v>
      </c>
      <c r="G4583" s="83"/>
      <c r="H4583" s="83"/>
      <c r="I4583" s="110" t="s">
        <v>11532</v>
      </c>
    </row>
    <row r="4584" spans="1:9">
      <c r="A4584" s="83" t="s">
        <v>11199</v>
      </c>
      <c r="B4584" s="83" t="s">
        <v>10149</v>
      </c>
      <c r="C4584" s="83" t="s">
        <v>11199</v>
      </c>
      <c r="D4584" s="83" t="s">
        <v>11328</v>
      </c>
      <c r="E4584" s="84">
        <f>number_trained_module_common_hazards_nonteaching_f</f>
        <v>0</v>
      </c>
      <c r="F4584" s="83" t="b">
        <v>1</v>
      </c>
      <c r="G4584" s="83"/>
      <c r="H4584" s="83"/>
      <c r="I4584" s="110" t="s">
        <v>11532</v>
      </c>
    </row>
    <row r="4585" spans="1:9">
      <c r="A4585" s="83" t="s">
        <v>11200</v>
      </c>
      <c r="B4585" s="83" t="s">
        <v>10149</v>
      </c>
      <c r="C4585" s="83" t="s">
        <v>11200</v>
      </c>
      <c r="D4585" s="83" t="s">
        <v>11329</v>
      </c>
      <c r="E4585" s="84">
        <f>number_trained_module_mainstream_planning_teaching_m</f>
        <v>0</v>
      </c>
      <c r="F4585" s="83" t="b">
        <v>1</v>
      </c>
      <c r="G4585" s="83"/>
      <c r="H4585" s="83"/>
      <c r="I4585" s="110" t="s">
        <v>11532</v>
      </c>
    </row>
    <row r="4586" spans="1:9">
      <c r="A4586" s="83" t="s">
        <v>11201</v>
      </c>
      <c r="B4586" s="83" t="s">
        <v>10149</v>
      </c>
      <c r="C4586" s="83" t="s">
        <v>11201</v>
      </c>
      <c r="D4586" s="83" t="s">
        <v>11330</v>
      </c>
      <c r="E4586" s="84">
        <f>number_trained_module_mainstream_planning_teaching_f</f>
        <v>1</v>
      </c>
      <c r="F4586" s="83" t="b">
        <v>1</v>
      </c>
      <c r="G4586" s="83"/>
      <c r="H4586" s="83"/>
      <c r="I4586" s="110" t="s">
        <v>11532</v>
      </c>
    </row>
    <row r="4587" spans="1:9">
      <c r="A4587" s="83" t="s">
        <v>11202</v>
      </c>
      <c r="B4587" s="83" t="s">
        <v>10149</v>
      </c>
      <c r="C4587" s="83" t="s">
        <v>11202</v>
      </c>
      <c r="D4587" s="83" t="s">
        <v>11331</v>
      </c>
      <c r="E4587" s="84">
        <f>number_trained_module_mainstream_planning_nonteaching_m</f>
        <v>0</v>
      </c>
      <c r="F4587" s="83" t="b">
        <v>1</v>
      </c>
      <c r="G4587" s="83"/>
      <c r="H4587" s="83"/>
      <c r="I4587" s="110" t="s">
        <v>11532</v>
      </c>
    </row>
    <row r="4588" spans="1:9">
      <c r="A4588" s="83" t="s">
        <v>11203</v>
      </c>
      <c r="B4588" s="83" t="s">
        <v>10149</v>
      </c>
      <c r="C4588" s="83" t="s">
        <v>11203</v>
      </c>
      <c r="D4588" s="83" t="s">
        <v>11332</v>
      </c>
      <c r="E4588" s="84">
        <f>number_trained_module_mainstream_planning_nonteaching_f</f>
        <v>0</v>
      </c>
      <c r="F4588" s="83" t="b">
        <v>1</v>
      </c>
      <c r="G4588" s="83"/>
      <c r="H4588" s="83"/>
      <c r="I4588" s="110" t="s">
        <v>11532</v>
      </c>
    </row>
    <row r="4589" spans="1:9">
      <c r="A4589" s="83" t="s">
        <v>11208</v>
      </c>
      <c r="B4589" s="83" t="s">
        <v>10149</v>
      </c>
      <c r="C4589" s="83" t="s">
        <v>11208</v>
      </c>
      <c r="D4589" s="83" t="s">
        <v>11333</v>
      </c>
      <c r="E4589" s="84">
        <f>number_trained_module_understand_cchange_teaching_m</f>
        <v>0</v>
      </c>
      <c r="F4589" s="83" t="b">
        <v>1</v>
      </c>
      <c r="G4589" s="83"/>
      <c r="H4589" s="83"/>
      <c r="I4589" s="110" t="s">
        <v>11532</v>
      </c>
    </row>
    <row r="4590" spans="1:9">
      <c r="A4590" s="83" t="s">
        <v>11209</v>
      </c>
      <c r="B4590" s="83" t="s">
        <v>10149</v>
      </c>
      <c r="C4590" s="83" t="s">
        <v>11209</v>
      </c>
      <c r="D4590" s="83" t="s">
        <v>11334</v>
      </c>
      <c r="E4590" s="84">
        <f>number_trained_module_understand_cchange_teaching_f</f>
        <v>1</v>
      </c>
      <c r="F4590" s="83" t="b">
        <v>1</v>
      </c>
      <c r="G4590" s="83"/>
      <c r="H4590" s="83"/>
      <c r="I4590" s="110" t="s">
        <v>11532</v>
      </c>
    </row>
    <row r="4591" spans="1:9">
      <c r="A4591" s="83" t="s">
        <v>11210</v>
      </c>
      <c r="B4591" s="83" t="s">
        <v>10149</v>
      </c>
      <c r="C4591" s="83" t="s">
        <v>11210</v>
      </c>
      <c r="D4591" s="83" t="s">
        <v>11335</v>
      </c>
      <c r="E4591" s="84">
        <f>number_trained_module_understand_cchange_nonteaching_m</f>
        <v>0</v>
      </c>
      <c r="F4591" s="83" t="b">
        <v>1</v>
      </c>
      <c r="G4591" s="83"/>
      <c r="H4591" s="83"/>
      <c r="I4591" s="110" t="s">
        <v>11532</v>
      </c>
    </row>
    <row r="4592" spans="1:9">
      <c r="A4592" s="83" t="s">
        <v>11211</v>
      </c>
      <c r="B4592" s="83" t="s">
        <v>10149</v>
      </c>
      <c r="C4592" s="83" t="s">
        <v>11211</v>
      </c>
      <c r="D4592" s="83" t="s">
        <v>11336</v>
      </c>
      <c r="E4592" s="84">
        <f>number_trained_module_understand_cchange_nonteaching_f</f>
        <v>0</v>
      </c>
      <c r="F4592" s="83" t="b">
        <v>1</v>
      </c>
      <c r="G4592" s="83"/>
      <c r="H4592" s="83"/>
      <c r="I4592" s="110" t="s">
        <v>11532</v>
      </c>
    </row>
    <row r="4593" spans="1:9">
      <c r="A4593" s="83" t="s">
        <v>11204</v>
      </c>
      <c r="B4593" s="83" t="s">
        <v>10149</v>
      </c>
      <c r="C4593" s="83" t="s">
        <v>11204</v>
      </c>
      <c r="D4593" s="83" t="s">
        <v>11337</v>
      </c>
      <c r="E4593" s="84">
        <f>number_trained_module_cchange_global_teaching_m</f>
        <v>0</v>
      </c>
      <c r="F4593" s="83" t="b">
        <v>1</v>
      </c>
      <c r="G4593" s="83"/>
      <c r="H4593" s="83"/>
      <c r="I4593" s="110" t="s">
        <v>11532</v>
      </c>
    </row>
    <row r="4594" spans="1:9">
      <c r="A4594" s="83" t="s">
        <v>11205</v>
      </c>
      <c r="B4594" s="83" t="s">
        <v>10149</v>
      </c>
      <c r="C4594" s="83" t="s">
        <v>11205</v>
      </c>
      <c r="D4594" s="83" t="s">
        <v>11338</v>
      </c>
      <c r="E4594" s="84">
        <f>number_trained_module_cchange_global_teaching_f</f>
        <v>1</v>
      </c>
      <c r="F4594" s="83" t="b">
        <v>1</v>
      </c>
      <c r="G4594" s="83"/>
      <c r="H4594" s="83"/>
      <c r="I4594" s="110" t="s">
        <v>11532</v>
      </c>
    </row>
    <row r="4595" spans="1:9">
      <c r="A4595" s="83" t="s">
        <v>11206</v>
      </c>
      <c r="B4595" s="83" t="s">
        <v>10149</v>
      </c>
      <c r="C4595" s="83" t="s">
        <v>11206</v>
      </c>
      <c r="D4595" s="83" t="s">
        <v>11339</v>
      </c>
      <c r="E4595" s="84">
        <f>number_trained_module_cchange_global_nonteaching_m</f>
        <v>0</v>
      </c>
      <c r="F4595" s="83" t="b">
        <v>1</v>
      </c>
      <c r="G4595" s="83"/>
      <c r="H4595" s="83"/>
      <c r="I4595" s="110" t="s">
        <v>11532</v>
      </c>
    </row>
    <row r="4596" spans="1:9">
      <c r="A4596" s="83" t="s">
        <v>11207</v>
      </c>
      <c r="B4596" s="83" t="s">
        <v>10149</v>
      </c>
      <c r="C4596" s="83" t="s">
        <v>11207</v>
      </c>
      <c r="D4596" s="83" t="s">
        <v>11340</v>
      </c>
      <c r="E4596" s="84">
        <f>number_trained_module_cchange_global_nonteaching_f</f>
        <v>0</v>
      </c>
      <c r="F4596" s="83" t="b">
        <v>1</v>
      </c>
      <c r="G4596" s="83"/>
      <c r="H4596" s="83"/>
      <c r="I4596" s="110" t="s">
        <v>11532</v>
      </c>
    </row>
    <row r="4597" spans="1:9">
      <c r="A4597" s="83" t="s">
        <v>11212</v>
      </c>
      <c r="B4597" s="83" t="s">
        <v>10149</v>
      </c>
      <c r="C4597" s="83" t="s">
        <v>11212</v>
      </c>
      <c r="D4597" s="83" t="s">
        <v>11341</v>
      </c>
      <c r="E4597" s="84">
        <f>number_trained_module_peace_conflict_teaching_m</f>
        <v>0</v>
      </c>
      <c r="F4597" s="83" t="b">
        <v>1</v>
      </c>
      <c r="G4597" s="83"/>
      <c r="H4597" s="83"/>
      <c r="I4597" s="110" t="s">
        <v>11532</v>
      </c>
    </row>
    <row r="4598" spans="1:9">
      <c r="A4598" s="83" t="s">
        <v>11213</v>
      </c>
      <c r="B4598" s="83" t="s">
        <v>10149</v>
      </c>
      <c r="C4598" s="83" t="s">
        <v>11213</v>
      </c>
      <c r="D4598" s="83" t="s">
        <v>11342</v>
      </c>
      <c r="E4598" s="84">
        <f>number_trained_module_peace_conflict_teaching_f</f>
        <v>1</v>
      </c>
      <c r="F4598" s="83" t="b">
        <v>1</v>
      </c>
      <c r="G4598" s="83"/>
      <c r="H4598" s="83"/>
      <c r="I4598" s="110" t="s">
        <v>11532</v>
      </c>
    </row>
    <row r="4599" spans="1:9">
      <c r="A4599" s="83" t="s">
        <v>11214</v>
      </c>
      <c r="B4599" s="83" t="s">
        <v>10149</v>
      </c>
      <c r="C4599" s="83" t="s">
        <v>11214</v>
      </c>
      <c r="D4599" s="83" t="s">
        <v>11343</v>
      </c>
      <c r="E4599" s="84">
        <f>number_trained_module_peace_conflict_nonteaching_m</f>
        <v>0</v>
      </c>
      <c r="F4599" s="83" t="b">
        <v>1</v>
      </c>
      <c r="G4599" s="83"/>
      <c r="H4599" s="83"/>
      <c r="I4599" s="110" t="s">
        <v>11532</v>
      </c>
    </row>
    <row r="4600" spans="1:9">
      <c r="A4600" s="83" t="s">
        <v>11215</v>
      </c>
      <c r="B4600" s="83" t="s">
        <v>10149</v>
      </c>
      <c r="C4600" s="83" t="s">
        <v>11215</v>
      </c>
      <c r="D4600" s="83" t="s">
        <v>11344</v>
      </c>
      <c r="E4600" s="84">
        <f>number_trained_module_peace_conflict_nonteaching_f</f>
        <v>0</v>
      </c>
      <c r="F4600" s="83" t="b">
        <v>1</v>
      </c>
      <c r="G4600" s="83"/>
      <c r="H4600" s="83"/>
      <c r="I4600" s="110" t="s">
        <v>11532</v>
      </c>
    </row>
    <row r="4601" spans="1:9">
      <c r="A4601" s="83" t="s">
        <v>11216</v>
      </c>
      <c r="B4601" s="83" t="s">
        <v>10149</v>
      </c>
      <c r="C4601" s="83" t="s">
        <v>11216</v>
      </c>
      <c r="D4601" s="83" t="s">
        <v>11345</v>
      </c>
      <c r="E4601" s="84">
        <f>number_trained_module_sensitive_educ_teaching_m</f>
        <v>0</v>
      </c>
      <c r="F4601" s="83" t="b">
        <v>1</v>
      </c>
      <c r="G4601" s="83"/>
      <c r="H4601" s="83"/>
      <c r="I4601" s="110" t="s">
        <v>11532</v>
      </c>
    </row>
    <row r="4602" spans="1:9">
      <c r="A4602" s="83" t="s">
        <v>11217</v>
      </c>
      <c r="B4602" s="83" t="s">
        <v>10149</v>
      </c>
      <c r="C4602" s="83" t="s">
        <v>11217</v>
      </c>
      <c r="D4602" s="83" t="s">
        <v>11346</v>
      </c>
      <c r="E4602" s="84">
        <f>number_trained_module_sensitive_educ_teaching_f</f>
        <v>1</v>
      </c>
      <c r="F4602" s="83" t="b">
        <v>1</v>
      </c>
      <c r="G4602" s="83"/>
      <c r="H4602" s="83"/>
      <c r="I4602" s="110" t="s">
        <v>11532</v>
      </c>
    </row>
    <row r="4603" spans="1:9">
      <c r="A4603" s="83" t="s">
        <v>11218</v>
      </c>
      <c r="B4603" s="83" t="s">
        <v>10149</v>
      </c>
      <c r="C4603" s="83" t="s">
        <v>11218</v>
      </c>
      <c r="D4603" s="83" t="s">
        <v>11347</v>
      </c>
      <c r="E4603" s="84">
        <f>number_trained_module_sensitive_educ_nonteaching_m</f>
        <v>0</v>
      </c>
      <c r="F4603" s="83" t="b">
        <v>1</v>
      </c>
      <c r="G4603" s="83"/>
      <c r="H4603" s="83"/>
      <c r="I4603" s="110" t="s">
        <v>11532</v>
      </c>
    </row>
    <row r="4604" spans="1:9">
      <c r="A4604" s="83" t="s">
        <v>11219</v>
      </c>
      <c r="B4604" s="83" t="s">
        <v>10149</v>
      </c>
      <c r="C4604" s="83" t="s">
        <v>11219</v>
      </c>
      <c r="D4604" s="83" t="s">
        <v>11348</v>
      </c>
      <c r="E4604" s="84">
        <f>number_trained_module_sensitive_educ_nonteaching_f</f>
        <v>0</v>
      </c>
      <c r="F4604" s="83" t="b">
        <v>1</v>
      </c>
      <c r="G4604" s="83"/>
      <c r="H4604" s="83"/>
      <c r="I4604" s="110" t="s">
        <v>11532</v>
      </c>
    </row>
    <row r="4605" spans="1:9">
      <c r="A4605" s="83" t="s">
        <v>11220</v>
      </c>
      <c r="B4605" s="83" t="s">
        <v>10149</v>
      </c>
      <c r="C4605" s="83" t="s">
        <v>11220</v>
      </c>
      <c r="D4605" s="83" t="s">
        <v>11349</v>
      </c>
      <c r="E4605" s="84">
        <f>number_trained_module_mhpss_teaching_m</f>
        <v>0</v>
      </c>
      <c r="F4605" s="83" t="b">
        <v>1</v>
      </c>
      <c r="G4605" s="83"/>
      <c r="H4605" s="83"/>
      <c r="I4605" s="110" t="s">
        <v>11532</v>
      </c>
    </row>
    <row r="4606" spans="1:9">
      <c r="A4606" s="83" t="s">
        <v>11221</v>
      </c>
      <c r="B4606" s="83" t="s">
        <v>10149</v>
      </c>
      <c r="C4606" s="83" t="s">
        <v>11221</v>
      </c>
      <c r="D4606" s="83" t="s">
        <v>11350</v>
      </c>
      <c r="E4606" s="84">
        <f>number_trained_module_mhpss_teaching_f</f>
        <v>1</v>
      </c>
      <c r="F4606" s="83" t="b">
        <v>1</v>
      </c>
      <c r="G4606" s="83"/>
      <c r="H4606" s="83"/>
      <c r="I4606" s="110" t="s">
        <v>11532</v>
      </c>
    </row>
    <row r="4607" spans="1:9">
      <c r="A4607" s="83" t="s">
        <v>11222</v>
      </c>
      <c r="B4607" s="83" t="s">
        <v>10149</v>
      </c>
      <c r="C4607" s="83" t="s">
        <v>11222</v>
      </c>
      <c r="D4607" s="83" t="s">
        <v>11351</v>
      </c>
      <c r="E4607" s="84">
        <f>number_trained_module_mhpss_nonteaching_m</f>
        <v>0</v>
      </c>
      <c r="F4607" s="83" t="b">
        <v>1</v>
      </c>
      <c r="G4607" s="83"/>
      <c r="H4607" s="83"/>
      <c r="I4607" s="110" t="s">
        <v>11532</v>
      </c>
    </row>
    <row r="4608" spans="1:9">
      <c r="A4608" s="83" t="s">
        <v>11223</v>
      </c>
      <c r="B4608" s="83" t="s">
        <v>10149</v>
      </c>
      <c r="C4608" s="83" t="s">
        <v>11223</v>
      </c>
      <c r="D4608" s="83" t="s">
        <v>11352</v>
      </c>
      <c r="E4608" s="84">
        <f>number_trained_module_mhpss_nonteaching_f</f>
        <v>0</v>
      </c>
      <c r="F4608" s="83" t="b">
        <v>1</v>
      </c>
      <c r="G4608" s="83"/>
      <c r="H4608" s="83"/>
      <c r="I4608" s="110" t="s">
        <v>11532</v>
      </c>
    </row>
    <row r="4609" spans="1:9">
      <c r="A4609" s="83" t="s">
        <v>11224</v>
      </c>
      <c r="B4609" s="83" t="s">
        <v>10149</v>
      </c>
      <c r="C4609" s="83" t="s">
        <v>11224</v>
      </c>
      <c r="D4609" s="83" t="s">
        <v>11353</v>
      </c>
      <c r="E4609" s="84">
        <f>number_trained_module_life_support_teaching_m</f>
        <v>0</v>
      </c>
      <c r="F4609" s="83" t="b">
        <v>1</v>
      </c>
      <c r="G4609" s="83"/>
      <c r="H4609" s="83"/>
      <c r="I4609" s="110" t="s">
        <v>11532</v>
      </c>
    </row>
    <row r="4610" spans="1:9">
      <c r="A4610" s="83" t="s">
        <v>11225</v>
      </c>
      <c r="B4610" s="83" t="s">
        <v>10149</v>
      </c>
      <c r="C4610" s="83" t="s">
        <v>11225</v>
      </c>
      <c r="D4610" s="83" t="s">
        <v>11354</v>
      </c>
      <c r="E4610" s="84">
        <f>number_trained_module_life_support_teaching_f</f>
        <v>1</v>
      </c>
      <c r="F4610" s="83" t="b">
        <v>1</v>
      </c>
      <c r="G4610" s="83"/>
      <c r="H4610" s="83"/>
      <c r="I4610" s="110" t="s">
        <v>11532</v>
      </c>
    </row>
    <row r="4611" spans="1:9">
      <c r="A4611" s="83" t="s">
        <v>11226</v>
      </c>
      <c r="B4611" s="83" t="s">
        <v>10149</v>
      </c>
      <c r="C4611" s="83" t="s">
        <v>11226</v>
      </c>
      <c r="D4611" s="83" t="s">
        <v>11355</v>
      </c>
      <c r="E4611" s="84">
        <f>number_trained_module_life_support_nonteaching_m</f>
        <v>0</v>
      </c>
      <c r="F4611" s="83" t="b">
        <v>1</v>
      </c>
      <c r="G4611" s="83"/>
      <c r="H4611" s="83"/>
      <c r="I4611" s="110" t="s">
        <v>11532</v>
      </c>
    </row>
    <row r="4612" spans="1:9">
      <c r="A4612" s="83" t="s">
        <v>11227</v>
      </c>
      <c r="B4612" s="83" t="s">
        <v>10149</v>
      </c>
      <c r="C4612" s="83" t="s">
        <v>11227</v>
      </c>
      <c r="D4612" s="83" t="s">
        <v>11356</v>
      </c>
      <c r="E4612" s="84">
        <f>number_trained_module_life_support_nonteaching_f</f>
        <v>0</v>
      </c>
      <c r="F4612" s="83" t="b">
        <v>1</v>
      </c>
      <c r="G4612" s="83"/>
      <c r="H4612" s="83"/>
      <c r="I4612" s="110" t="s">
        <v>11532</v>
      </c>
    </row>
    <row r="4613" spans="1:9">
      <c r="A4613" s="83" t="s">
        <v>11228</v>
      </c>
      <c r="B4613" s="83" t="s">
        <v>10149</v>
      </c>
      <c r="C4613" s="83" t="s">
        <v>11228</v>
      </c>
      <c r="D4613" s="83" t="s">
        <v>11357</v>
      </c>
      <c r="E4613" s="84">
        <f>number_trained_module_staff_safety_teaching_m</f>
        <v>0</v>
      </c>
      <c r="F4613" s="83" t="b">
        <v>1</v>
      </c>
      <c r="G4613" s="83"/>
      <c r="H4613" s="83"/>
      <c r="I4613" s="110" t="s">
        <v>11532</v>
      </c>
    </row>
    <row r="4614" spans="1:9">
      <c r="A4614" s="83" t="s">
        <v>11229</v>
      </c>
      <c r="B4614" s="83" t="s">
        <v>10149</v>
      </c>
      <c r="C4614" s="83" t="s">
        <v>11229</v>
      </c>
      <c r="D4614" s="83" t="s">
        <v>11358</v>
      </c>
      <c r="E4614" s="84">
        <f>number_trained_module_staff_safety_teaching_f</f>
        <v>1</v>
      </c>
      <c r="F4614" s="83" t="b">
        <v>1</v>
      </c>
      <c r="G4614" s="83"/>
      <c r="H4614" s="83"/>
      <c r="I4614" s="110" t="s">
        <v>11532</v>
      </c>
    </row>
    <row r="4615" spans="1:9">
      <c r="A4615" s="83" t="s">
        <v>11230</v>
      </c>
      <c r="B4615" s="83" t="s">
        <v>10149</v>
      </c>
      <c r="C4615" s="83" t="s">
        <v>11230</v>
      </c>
      <c r="D4615" s="83" t="s">
        <v>11359</v>
      </c>
      <c r="E4615" s="84">
        <f>number_trained_module_staff_safety_nonteaching_m</f>
        <v>0</v>
      </c>
      <c r="F4615" s="83" t="b">
        <v>1</v>
      </c>
      <c r="G4615" s="83"/>
      <c r="H4615" s="83"/>
      <c r="I4615" s="110" t="s">
        <v>11532</v>
      </c>
    </row>
    <row r="4616" spans="1:9">
      <c r="A4616" s="83" t="s">
        <v>11231</v>
      </c>
      <c r="B4616" s="83" t="s">
        <v>10149</v>
      </c>
      <c r="C4616" s="83" t="s">
        <v>11231</v>
      </c>
      <c r="D4616" s="83" t="s">
        <v>11360</v>
      </c>
      <c r="E4616" s="84">
        <f>number_trained_module_staff_safety_nonteaching_f</f>
        <v>0</v>
      </c>
      <c r="F4616" s="83" t="b">
        <v>1</v>
      </c>
      <c r="G4616" s="83"/>
      <c r="H4616" s="83"/>
      <c r="I4616" s="110" t="s">
        <v>11532</v>
      </c>
    </row>
    <row r="4617" spans="1:9">
      <c r="A4617" s="83" t="s">
        <v>11236</v>
      </c>
      <c r="B4617" s="83" t="s">
        <v>10149</v>
      </c>
      <c r="C4617" s="83" t="s">
        <v>11236</v>
      </c>
      <c r="D4617" s="83" t="s">
        <v>11365</v>
      </c>
      <c r="E4617" s="84">
        <f>number_trained_module_others_specify</f>
        <v>0</v>
      </c>
      <c r="F4617" s="83" t="b">
        <v>1</v>
      </c>
      <c r="G4617" s="83" t="s">
        <v>2287</v>
      </c>
      <c r="H4617" s="83"/>
      <c r="I4617" s="110" t="s">
        <v>11532</v>
      </c>
    </row>
    <row r="4618" spans="1:9">
      <c r="A4618" s="83" t="s">
        <v>11232</v>
      </c>
      <c r="B4618" s="83" t="s">
        <v>10149</v>
      </c>
      <c r="C4618" s="83" t="s">
        <v>11232</v>
      </c>
      <c r="D4618" s="83" t="s">
        <v>11361</v>
      </c>
      <c r="E4618" s="84">
        <f>number_trained_module_others_teaching_m</f>
        <v>0</v>
      </c>
      <c r="F4618" s="83" t="b">
        <v>1</v>
      </c>
      <c r="G4618" s="83"/>
      <c r="H4618" s="83"/>
      <c r="I4618" s="110" t="s">
        <v>11532</v>
      </c>
    </row>
    <row r="4619" spans="1:9">
      <c r="A4619" s="83" t="s">
        <v>11233</v>
      </c>
      <c r="B4619" s="83" t="s">
        <v>10149</v>
      </c>
      <c r="C4619" s="83" t="s">
        <v>11233</v>
      </c>
      <c r="D4619" s="83" t="s">
        <v>11362</v>
      </c>
      <c r="E4619" s="84">
        <f>number_trained_module_others_teaching_f</f>
        <v>0</v>
      </c>
      <c r="F4619" s="83" t="b">
        <v>1</v>
      </c>
      <c r="G4619" s="83"/>
      <c r="H4619" s="83"/>
      <c r="I4619" s="110" t="s">
        <v>11532</v>
      </c>
    </row>
    <row r="4620" spans="1:9">
      <c r="A4620" s="83" t="s">
        <v>11234</v>
      </c>
      <c r="B4620" s="83" t="s">
        <v>10149</v>
      </c>
      <c r="C4620" s="83" t="s">
        <v>11234</v>
      </c>
      <c r="D4620" s="83" t="s">
        <v>11363</v>
      </c>
      <c r="E4620" s="84">
        <f>number_trained_module_others_nonteaching_m</f>
        <v>0</v>
      </c>
      <c r="F4620" s="83" t="b">
        <v>1</v>
      </c>
      <c r="G4620" s="83"/>
      <c r="H4620" s="83"/>
      <c r="I4620" s="110" t="s">
        <v>11532</v>
      </c>
    </row>
    <row r="4621" spans="1:9" s="112" customFormat="1" ht="16" thickBot="1">
      <c r="A4621" s="85" t="s">
        <v>11235</v>
      </c>
      <c r="B4621" s="85" t="s">
        <v>10149</v>
      </c>
      <c r="C4621" s="85" t="s">
        <v>11235</v>
      </c>
      <c r="D4621" s="85" t="s">
        <v>11364</v>
      </c>
      <c r="E4621" s="86">
        <f>number_trained_module_others_nonteaching_f</f>
        <v>0</v>
      </c>
      <c r="F4621" s="85" t="b">
        <v>1</v>
      </c>
      <c r="G4621" s="85"/>
      <c r="H4621" s="85"/>
      <c r="I4621" s="121" t="s">
        <v>11532</v>
      </c>
    </row>
    <row r="4622" spans="1:9">
      <c r="A4622" s="83" t="s">
        <v>11366</v>
      </c>
      <c r="B4622" s="83" t="s">
        <v>10149</v>
      </c>
      <c r="C4622" s="83" t="s">
        <v>11366</v>
      </c>
      <c r="D4622" s="83" t="s">
        <v>11383</v>
      </c>
      <c r="E4622" s="84">
        <f>number_completed_trng_drrmccampbp_teaching_m</f>
        <v>0</v>
      </c>
      <c r="F4622" s="83" t="b">
        <v>1</v>
      </c>
      <c r="G4622" s="83"/>
      <c r="H4622" s="83"/>
      <c r="I4622" s="110" t="s">
        <v>11532</v>
      </c>
    </row>
    <row r="4623" spans="1:9">
      <c r="A4623" s="83" t="s">
        <v>11367</v>
      </c>
      <c r="B4623" s="83" t="s">
        <v>10149</v>
      </c>
      <c r="C4623" s="83" t="s">
        <v>11367</v>
      </c>
      <c r="D4623" s="83" t="s">
        <v>11385</v>
      </c>
      <c r="E4623" s="84">
        <f>number_completed_trng_drrmccampbp_teaching_f</f>
        <v>0</v>
      </c>
      <c r="F4623" s="83" t="b">
        <v>1</v>
      </c>
      <c r="G4623" s="83"/>
      <c r="H4623" s="83"/>
      <c r="I4623" s="110" t="s">
        <v>11532</v>
      </c>
    </row>
    <row r="4624" spans="1:9">
      <c r="A4624" s="83" t="s">
        <v>11368</v>
      </c>
      <c r="B4624" s="83" t="s">
        <v>10149</v>
      </c>
      <c r="C4624" s="83" t="s">
        <v>11368</v>
      </c>
      <c r="D4624" s="83" t="s">
        <v>11386</v>
      </c>
      <c r="E4624" s="84">
        <f>number_completed_trng_drrmccampbp_nonteaching_m</f>
        <v>0</v>
      </c>
      <c r="F4624" s="83" t="b">
        <v>1</v>
      </c>
      <c r="G4624" s="83"/>
      <c r="H4624" s="83"/>
      <c r="I4624" s="110" t="s">
        <v>11532</v>
      </c>
    </row>
    <row r="4625" spans="1:9">
      <c r="A4625" s="83" t="s">
        <v>11369</v>
      </c>
      <c r="B4625" s="83" t="s">
        <v>10149</v>
      </c>
      <c r="C4625" s="83" t="s">
        <v>11369</v>
      </c>
      <c r="D4625" s="83" t="s">
        <v>11384</v>
      </c>
      <c r="E4625" s="84">
        <f>number_completed_trng_drrmccampbp_nonteaching_f</f>
        <v>0</v>
      </c>
      <c r="F4625" s="83" t="b">
        <v>1</v>
      </c>
      <c r="G4625" s="83"/>
      <c r="H4625" s="83"/>
      <c r="I4625" s="110" t="s">
        <v>11532</v>
      </c>
    </row>
    <row r="4626" spans="1:9">
      <c r="A4626" s="83" t="s">
        <v>11370</v>
      </c>
      <c r="B4626" s="83" t="s">
        <v>10149</v>
      </c>
      <c r="C4626" s="83" t="s">
        <v>11370</v>
      </c>
      <c r="D4626" s="83" t="s">
        <v>11387</v>
      </c>
      <c r="E4626" s="84">
        <f>number_teachers_trained_integ_drrmccampbp_daily_m</f>
        <v>0</v>
      </c>
      <c r="F4626" s="83" t="b">
        <v>1</v>
      </c>
      <c r="G4626" s="83"/>
      <c r="H4626" s="83"/>
      <c r="I4626" s="110" t="s">
        <v>11532</v>
      </c>
    </row>
    <row r="4627" spans="1:9">
      <c r="A4627" s="83" t="s">
        <v>11371</v>
      </c>
      <c r="B4627" s="83" t="s">
        <v>10149</v>
      </c>
      <c r="C4627" s="83" t="s">
        <v>11371</v>
      </c>
      <c r="D4627" s="83" t="s">
        <v>11388</v>
      </c>
      <c r="E4627" s="84">
        <f>number_teachers_trained_integ_drrmccampbp_daily_f</f>
        <v>0</v>
      </c>
      <c r="F4627" s="83" t="b">
        <v>1</v>
      </c>
      <c r="G4627" s="83"/>
      <c r="H4627" s="83"/>
      <c r="I4627" s="110" t="s">
        <v>11532</v>
      </c>
    </row>
    <row r="4628" spans="1:9">
      <c r="A4628" s="83" t="s">
        <v>11372</v>
      </c>
      <c r="B4628" s="83" t="s">
        <v>10149</v>
      </c>
      <c r="C4628" s="83" t="s">
        <v>11372</v>
      </c>
      <c r="D4628" s="83" t="s">
        <v>11389</v>
      </c>
      <c r="E4628" s="84" t="b">
        <f>sch_used_deped_dev_mhpss_standard_manual</f>
        <v>1</v>
      </c>
      <c r="F4628" s="83" t="b">
        <v>1</v>
      </c>
      <c r="G4628" s="83" t="s">
        <v>2287</v>
      </c>
      <c r="H4628" s="83"/>
      <c r="I4628" s="110" t="s">
        <v>11532</v>
      </c>
    </row>
    <row r="4629" spans="1:9">
      <c r="A4629" s="83" t="s">
        <v>11373</v>
      </c>
      <c r="B4629" s="83" t="s">
        <v>10149</v>
      </c>
      <c r="C4629" s="83" t="s">
        <v>11373</v>
      </c>
      <c r="D4629" s="83" t="s">
        <v>11390</v>
      </c>
      <c r="E4629" s="84">
        <f>number_mhpss_training_drrm_learner</f>
        <v>0</v>
      </c>
      <c r="F4629" s="83" t="b">
        <v>1</v>
      </c>
      <c r="G4629" s="83"/>
      <c r="H4629" s="83"/>
      <c r="I4629" s="110" t="s">
        <v>11532</v>
      </c>
    </row>
    <row r="4630" spans="1:9">
      <c r="A4630" s="83" t="s">
        <v>11374</v>
      </c>
      <c r="B4630" s="83" t="s">
        <v>10149</v>
      </c>
      <c r="C4630" s="83" t="s">
        <v>11374</v>
      </c>
      <c r="D4630" s="83" t="s">
        <v>11391</v>
      </c>
      <c r="E4630" s="84">
        <f>number_mhpss_training_drrm_personnel</f>
        <v>0</v>
      </c>
      <c r="F4630" s="83" t="b">
        <v>1</v>
      </c>
      <c r="G4630" s="83"/>
      <c r="H4630" s="83"/>
      <c r="I4630" s="110" t="s">
        <v>11532</v>
      </c>
    </row>
    <row r="4631" spans="1:9">
      <c r="A4631" s="83" t="s">
        <v>11375</v>
      </c>
      <c r="B4631" s="83" t="s">
        <v>10149</v>
      </c>
      <c r="C4631" s="83" t="s">
        <v>11375</v>
      </c>
      <c r="D4631" s="83" t="s">
        <v>11392</v>
      </c>
      <c r="E4631" s="84">
        <f>number_mhpss_training_ccam_learner</f>
        <v>0</v>
      </c>
      <c r="F4631" s="83" t="b">
        <v>1</v>
      </c>
      <c r="G4631" s="83"/>
      <c r="H4631" s="83"/>
      <c r="I4631" s="110" t="s">
        <v>11532</v>
      </c>
    </row>
    <row r="4632" spans="1:9">
      <c r="A4632" s="83" t="s">
        <v>11376</v>
      </c>
      <c r="B4632" s="83" t="s">
        <v>10149</v>
      </c>
      <c r="C4632" s="83" t="s">
        <v>11376</v>
      </c>
      <c r="D4632" s="83" t="s">
        <v>11393</v>
      </c>
      <c r="E4632" s="84">
        <f>number_mhpss_training_ccam_personnel</f>
        <v>0</v>
      </c>
      <c r="F4632" s="83" t="b">
        <v>1</v>
      </c>
      <c r="G4632" s="83"/>
      <c r="H4632" s="83"/>
      <c r="I4632" s="110" t="s">
        <v>11532</v>
      </c>
    </row>
    <row r="4633" spans="1:9">
      <c r="A4633" s="83" t="s">
        <v>11377</v>
      </c>
      <c r="B4633" s="83" t="s">
        <v>10149</v>
      </c>
      <c r="C4633" s="83" t="s">
        <v>11377</v>
      </c>
      <c r="D4633" s="83" t="s">
        <v>11394</v>
      </c>
      <c r="E4633" s="84">
        <f>number_mhpss_training_pbp_learner</f>
        <v>0</v>
      </c>
      <c r="F4633" s="83" t="b">
        <v>1</v>
      </c>
      <c r="G4633" s="83"/>
      <c r="H4633" s="83"/>
      <c r="I4633" s="110" t="s">
        <v>11532</v>
      </c>
    </row>
    <row r="4634" spans="1:9">
      <c r="A4634" s="83" t="s">
        <v>11378</v>
      </c>
      <c r="B4634" s="83" t="s">
        <v>10149</v>
      </c>
      <c r="C4634" s="83" t="s">
        <v>11378</v>
      </c>
      <c r="D4634" s="83" t="s">
        <v>11395</v>
      </c>
      <c r="E4634" s="84">
        <f>number_mhpss_training_pbp_personnel</f>
        <v>0</v>
      </c>
      <c r="F4634" s="83" t="b">
        <v>1</v>
      </c>
      <c r="G4634" s="83"/>
      <c r="H4634" s="83"/>
      <c r="I4634" s="110" t="s">
        <v>11532</v>
      </c>
    </row>
    <row r="4635" spans="1:9">
      <c r="A4635" s="83" t="s">
        <v>11379</v>
      </c>
      <c r="B4635" s="83" t="s">
        <v>10149</v>
      </c>
      <c r="C4635" s="83" t="s">
        <v>11379</v>
      </c>
      <c r="D4635" s="83" t="s">
        <v>11396</v>
      </c>
      <c r="E4635" s="84">
        <f>number_personnel_mhpss_psychfirstaid_teaching_m</f>
        <v>0</v>
      </c>
      <c r="F4635" s="83" t="b">
        <v>1</v>
      </c>
      <c r="G4635" s="83"/>
      <c r="H4635" s="83"/>
      <c r="I4635" s="110" t="s">
        <v>11532</v>
      </c>
    </row>
    <row r="4636" spans="1:9">
      <c r="A4636" s="83" t="s">
        <v>11380</v>
      </c>
      <c r="B4636" s="83" t="s">
        <v>10149</v>
      </c>
      <c r="C4636" s="83" t="s">
        <v>11380</v>
      </c>
      <c r="D4636" s="83" t="s">
        <v>11398</v>
      </c>
      <c r="E4636" s="84">
        <f>number_personnel_mhpss_psychfirstaid_teaching_f</f>
        <v>1</v>
      </c>
      <c r="F4636" s="83" t="b">
        <v>1</v>
      </c>
      <c r="G4636" s="83"/>
      <c r="H4636" s="83"/>
      <c r="I4636" s="110" t="s">
        <v>11532</v>
      </c>
    </row>
    <row r="4637" spans="1:9">
      <c r="A4637" s="83" t="s">
        <v>11381</v>
      </c>
      <c r="B4637" s="83" t="s">
        <v>10149</v>
      </c>
      <c r="C4637" s="83" t="s">
        <v>11381</v>
      </c>
      <c r="D4637" s="83" t="s">
        <v>11397</v>
      </c>
      <c r="E4637" s="84">
        <f>number_personnel_mhpss_psychfirstaid_nonteaching_m</f>
        <v>0</v>
      </c>
      <c r="F4637" s="83" t="b">
        <v>1</v>
      </c>
      <c r="G4637" s="83"/>
      <c r="H4637" s="83"/>
      <c r="I4637" s="110" t="s">
        <v>11532</v>
      </c>
    </row>
    <row r="4638" spans="1:9">
      <c r="A4638" s="83" t="s">
        <v>11382</v>
      </c>
      <c r="B4638" s="83" t="s">
        <v>10149</v>
      </c>
      <c r="C4638" s="83" t="s">
        <v>11382</v>
      </c>
      <c r="D4638" s="83" t="s">
        <v>11397</v>
      </c>
      <c r="E4638" s="84">
        <f>number_personnel_mhpss_psychfirstaid_nonteaching_f</f>
        <v>0</v>
      </c>
      <c r="F4638" s="83" t="b">
        <v>1</v>
      </c>
      <c r="G4638" s="83"/>
      <c r="H4638" s="83"/>
      <c r="I4638" s="110" t="s">
        <v>11532</v>
      </c>
    </row>
    <row r="4639" spans="1:9">
      <c r="A4639" s="83" t="s">
        <v>11400</v>
      </c>
      <c r="B4639" s="83" t="s">
        <v>11403</v>
      </c>
      <c r="C4639" s="83" t="s">
        <v>11400</v>
      </c>
      <c r="D4639" s="83" t="s">
        <v>11466</v>
      </c>
      <c r="E4639" s="84" t="b">
        <f>sch_cond_peaceandordertensions_past5yrs</f>
        <v>0</v>
      </c>
      <c r="F4639" s="83" t="b">
        <v>1</v>
      </c>
      <c r="G4639" s="83" t="s">
        <v>2287</v>
      </c>
      <c r="H4639" s="83"/>
    </row>
    <row r="4640" spans="1:9">
      <c r="A4640" s="83" t="s">
        <v>11401</v>
      </c>
      <c r="B4640" s="83" t="s">
        <v>11403</v>
      </c>
      <c r="C4640" s="83" t="s">
        <v>11401</v>
      </c>
      <c r="D4640" s="83" t="s">
        <v>11467</v>
      </c>
      <c r="E4640" s="84" t="b">
        <f>sch_cond_cant_reach_regcars_regpuv</f>
        <v>0</v>
      </c>
      <c r="F4640" s="83" t="b">
        <v>1</v>
      </c>
      <c r="G4640" s="83" t="s">
        <v>2287</v>
      </c>
      <c r="H4640" s="83"/>
    </row>
    <row r="4641" spans="1:8">
      <c r="A4641" s="83" t="s">
        <v>11402</v>
      </c>
      <c r="B4641" s="83" t="s">
        <v>11403</v>
      </c>
      <c r="C4641" s="83" t="s">
        <v>11402</v>
      </c>
      <c r="D4641" s="83" t="s">
        <v>11468</v>
      </c>
      <c r="E4641" s="84" t="b">
        <f>sch_cond_occ_danger_geo_challenges</f>
        <v>0</v>
      </c>
      <c r="F4641" s="83" t="b">
        <v>1</v>
      </c>
      <c r="G4641" s="83" t="s">
        <v>2287</v>
      </c>
      <c r="H4641" s="83"/>
    </row>
    <row r="4642" spans="1:8">
      <c r="A4642" s="83" t="s">
        <v>11404</v>
      </c>
      <c r="B4642" s="83" t="s">
        <v>11403</v>
      </c>
      <c r="C4642" s="83" t="s">
        <v>11404</v>
      </c>
      <c r="D4642" s="83" t="s">
        <v>11469</v>
      </c>
      <c r="E4642" s="84">
        <f>num_teachers_reside_withinschmun_k_m</f>
        <v>0</v>
      </c>
      <c r="F4642" s="83" t="b">
        <v>1</v>
      </c>
      <c r="G4642" s="83"/>
      <c r="H4642" s="83"/>
    </row>
    <row r="4643" spans="1:8">
      <c r="A4643" s="83" t="s">
        <v>11405</v>
      </c>
      <c r="B4643" s="83" t="s">
        <v>11403</v>
      </c>
      <c r="C4643" s="83" t="s">
        <v>11405</v>
      </c>
      <c r="D4643" s="83" t="s">
        <v>11470</v>
      </c>
      <c r="E4643" s="84">
        <f>num_teachers_reside_withinschmun_k_f</f>
        <v>0</v>
      </c>
      <c r="F4643" s="83" t="b">
        <v>1</v>
      </c>
      <c r="G4643" s="83"/>
      <c r="H4643" s="83"/>
    </row>
    <row r="4644" spans="1:8">
      <c r="A4644" s="83" t="s">
        <v>11406</v>
      </c>
      <c r="B4644" s="83" t="s">
        <v>11403</v>
      </c>
      <c r="C4644" s="83" t="s">
        <v>11406</v>
      </c>
      <c r="D4644" s="83" t="s">
        <v>11471</v>
      </c>
      <c r="E4644" s="84">
        <f>num_teachers_reside_withinschmun_g1_m</f>
        <v>0</v>
      </c>
      <c r="F4644" s="83" t="b">
        <v>1</v>
      </c>
      <c r="G4644" s="83"/>
      <c r="H4644" s="83"/>
    </row>
    <row r="4645" spans="1:8">
      <c r="A4645" s="83" t="s">
        <v>11407</v>
      </c>
      <c r="B4645" s="83" t="s">
        <v>11403</v>
      </c>
      <c r="C4645" s="83" t="s">
        <v>11407</v>
      </c>
      <c r="D4645" s="83" t="s">
        <v>11472</v>
      </c>
      <c r="E4645" s="84">
        <f>num_teachers_reside_withinschmun_g1_f</f>
        <v>0</v>
      </c>
      <c r="F4645" s="83" t="b">
        <v>1</v>
      </c>
      <c r="G4645" s="83"/>
      <c r="H4645" s="83"/>
    </row>
    <row r="4646" spans="1:8">
      <c r="A4646" s="83" t="s">
        <v>11408</v>
      </c>
      <c r="B4646" s="83" t="s">
        <v>11403</v>
      </c>
      <c r="C4646" s="83" t="s">
        <v>11408</v>
      </c>
      <c r="D4646" s="83" t="s">
        <v>11473</v>
      </c>
      <c r="E4646" s="84">
        <f>num_teachers_reside_withinschmun_g2_m</f>
        <v>0</v>
      </c>
      <c r="F4646" s="83" t="b">
        <v>1</v>
      </c>
      <c r="G4646" s="83"/>
      <c r="H4646" s="83"/>
    </row>
    <row r="4647" spans="1:8">
      <c r="A4647" s="83" t="s">
        <v>11409</v>
      </c>
      <c r="B4647" s="83" t="s">
        <v>11403</v>
      </c>
      <c r="C4647" s="83" t="s">
        <v>11409</v>
      </c>
      <c r="D4647" s="83" t="s">
        <v>11474</v>
      </c>
      <c r="E4647" s="84">
        <f>num_teachers_reside_withinschmun_g2_f</f>
        <v>0</v>
      </c>
      <c r="F4647" s="83" t="b">
        <v>1</v>
      </c>
      <c r="G4647" s="83"/>
      <c r="H4647" s="83"/>
    </row>
    <row r="4648" spans="1:8">
      <c r="A4648" s="83" t="s">
        <v>11410</v>
      </c>
      <c r="B4648" s="83" t="s">
        <v>11403</v>
      </c>
      <c r="C4648" s="83" t="s">
        <v>11410</v>
      </c>
      <c r="D4648" s="83" t="s">
        <v>11475</v>
      </c>
      <c r="E4648" s="84">
        <f>num_teachers_reside_withinschmun_g3_m</f>
        <v>0</v>
      </c>
      <c r="F4648" s="83" t="b">
        <v>1</v>
      </c>
      <c r="G4648" s="83"/>
      <c r="H4648" s="83"/>
    </row>
    <row r="4649" spans="1:8">
      <c r="A4649" s="83" t="s">
        <v>11411</v>
      </c>
      <c r="B4649" s="83" t="s">
        <v>11403</v>
      </c>
      <c r="C4649" s="83" t="s">
        <v>11411</v>
      </c>
      <c r="D4649" s="83" t="s">
        <v>11476</v>
      </c>
      <c r="E4649" s="84">
        <f>num_teachers_reside_withinschmun_g3_f</f>
        <v>0</v>
      </c>
      <c r="F4649" s="83" t="b">
        <v>1</v>
      </c>
      <c r="G4649" s="83"/>
      <c r="H4649" s="83"/>
    </row>
    <row r="4650" spans="1:8">
      <c r="A4650" s="83" t="s">
        <v>11412</v>
      </c>
      <c r="B4650" s="83" t="s">
        <v>11403</v>
      </c>
      <c r="C4650" s="83" t="s">
        <v>11412</v>
      </c>
      <c r="D4650" s="83" t="s">
        <v>11477</v>
      </c>
      <c r="E4650" s="84">
        <f>num_teachers_reside_withinschmun_g4_m</f>
        <v>0</v>
      </c>
      <c r="F4650" s="83" t="b">
        <v>1</v>
      </c>
      <c r="G4650" s="83"/>
      <c r="H4650" s="83"/>
    </row>
    <row r="4651" spans="1:8">
      <c r="A4651" s="83" t="s">
        <v>11413</v>
      </c>
      <c r="B4651" s="83" t="s">
        <v>11403</v>
      </c>
      <c r="C4651" s="83" t="s">
        <v>11413</v>
      </c>
      <c r="D4651" s="83" t="s">
        <v>11478</v>
      </c>
      <c r="E4651" s="84">
        <f>num_teachers_reside_withinschmun_g4_f</f>
        <v>0</v>
      </c>
      <c r="F4651" s="83" t="b">
        <v>1</v>
      </c>
      <c r="G4651" s="83"/>
      <c r="H4651" s="83"/>
    </row>
    <row r="4652" spans="1:8">
      <c r="A4652" s="83" t="s">
        <v>11414</v>
      </c>
      <c r="B4652" s="83" t="s">
        <v>11403</v>
      </c>
      <c r="C4652" s="83" t="s">
        <v>11414</v>
      </c>
      <c r="D4652" s="83" t="s">
        <v>11479</v>
      </c>
      <c r="E4652" s="84">
        <f>num_teachers_reside_withinschmun_g5_m</f>
        <v>0</v>
      </c>
      <c r="F4652" s="83" t="b">
        <v>1</v>
      </c>
      <c r="G4652" s="83"/>
      <c r="H4652" s="83"/>
    </row>
    <row r="4653" spans="1:8">
      <c r="A4653" s="83" t="s">
        <v>11415</v>
      </c>
      <c r="B4653" s="83" t="s">
        <v>11403</v>
      </c>
      <c r="C4653" s="83" t="s">
        <v>11415</v>
      </c>
      <c r="D4653" s="83" t="s">
        <v>11480</v>
      </c>
      <c r="E4653" s="84">
        <f>num_teachers_reside_withinschmun_g5_f</f>
        <v>0</v>
      </c>
      <c r="F4653" s="83" t="b">
        <v>1</v>
      </c>
      <c r="G4653" s="83"/>
      <c r="H4653" s="83"/>
    </row>
    <row r="4654" spans="1:8">
      <c r="A4654" s="83" t="s">
        <v>11416</v>
      </c>
      <c r="B4654" s="83" t="s">
        <v>11403</v>
      </c>
      <c r="C4654" s="83" t="s">
        <v>11416</v>
      </c>
      <c r="D4654" s="83" t="s">
        <v>11481</v>
      </c>
      <c r="E4654" s="84">
        <f>num_teachers_reside_withinschmun_g6_m</f>
        <v>0</v>
      </c>
      <c r="F4654" s="83" t="b">
        <v>1</v>
      </c>
      <c r="G4654" s="83"/>
      <c r="H4654" s="83"/>
    </row>
    <row r="4655" spans="1:8">
      <c r="A4655" s="83" t="s">
        <v>11417</v>
      </c>
      <c r="B4655" s="83" t="s">
        <v>11403</v>
      </c>
      <c r="C4655" s="83" t="s">
        <v>11417</v>
      </c>
      <c r="D4655" s="83" t="s">
        <v>11482</v>
      </c>
      <c r="E4655" s="84">
        <f>num_teachers_reside_withinschmun_g6_f</f>
        <v>0</v>
      </c>
      <c r="F4655" s="83" t="b">
        <v>1</v>
      </c>
      <c r="G4655" s="83"/>
      <c r="H4655" s="83"/>
    </row>
    <row r="4656" spans="1:8">
      <c r="A4656" s="83" t="s">
        <v>11418</v>
      </c>
      <c r="B4656" s="83" t="s">
        <v>11403</v>
      </c>
      <c r="C4656" s="83" t="s">
        <v>11418</v>
      </c>
      <c r="D4656" s="83" t="s">
        <v>11483</v>
      </c>
      <c r="E4656" s="84">
        <f>num_teachers_reside_outsideschmun_k_m</f>
        <v>0</v>
      </c>
      <c r="F4656" s="83" t="b">
        <v>1</v>
      </c>
      <c r="G4656" s="83"/>
      <c r="H4656" s="83"/>
    </row>
    <row r="4657" spans="1:9">
      <c r="A4657" s="83" t="s">
        <v>11419</v>
      </c>
      <c r="B4657" s="83" t="s">
        <v>11403</v>
      </c>
      <c r="C4657" s="83" t="s">
        <v>11419</v>
      </c>
      <c r="D4657" s="83" t="s">
        <v>11484</v>
      </c>
      <c r="E4657" s="84">
        <f>num_teachers_reside_outsideschmun_k_f</f>
        <v>0</v>
      </c>
      <c r="F4657" s="83" t="b">
        <v>1</v>
      </c>
      <c r="G4657" s="83"/>
      <c r="H4657" s="83"/>
    </row>
    <row r="4658" spans="1:9">
      <c r="A4658" s="83" t="s">
        <v>11420</v>
      </c>
      <c r="B4658" s="83" t="s">
        <v>11403</v>
      </c>
      <c r="C4658" s="83" t="s">
        <v>11420</v>
      </c>
      <c r="D4658" s="83" t="s">
        <v>11485</v>
      </c>
      <c r="E4658" s="84">
        <f>num_teachers_reside_outsideschmun_g1_m</f>
        <v>0</v>
      </c>
      <c r="F4658" s="83" t="b">
        <v>1</v>
      </c>
      <c r="G4658" s="83"/>
      <c r="H4658" s="83"/>
    </row>
    <row r="4659" spans="1:9">
      <c r="A4659" s="83" t="s">
        <v>11421</v>
      </c>
      <c r="B4659" s="83" t="s">
        <v>11403</v>
      </c>
      <c r="C4659" s="83" t="s">
        <v>11421</v>
      </c>
      <c r="D4659" s="83" t="s">
        <v>11486</v>
      </c>
      <c r="E4659" s="84">
        <f>num_teachers_reside_outsideschmun_g1_f</f>
        <v>0</v>
      </c>
      <c r="F4659" s="83" t="b">
        <v>1</v>
      </c>
      <c r="G4659" s="83"/>
      <c r="H4659" s="83"/>
    </row>
    <row r="4660" spans="1:9">
      <c r="A4660" s="83" t="s">
        <v>11422</v>
      </c>
      <c r="B4660" s="83" t="s">
        <v>11403</v>
      </c>
      <c r="C4660" s="83" t="s">
        <v>11422</v>
      </c>
      <c r="D4660" s="83" t="s">
        <v>11487</v>
      </c>
      <c r="E4660" s="84">
        <f>num_teachers_reside_outsideschmun_g2_m</f>
        <v>0</v>
      </c>
      <c r="F4660" s="83" t="b">
        <v>1</v>
      </c>
      <c r="G4660" s="83"/>
      <c r="H4660" s="83"/>
    </row>
    <row r="4661" spans="1:9">
      <c r="A4661" s="83" t="s">
        <v>11423</v>
      </c>
      <c r="B4661" s="83" t="s">
        <v>11403</v>
      </c>
      <c r="C4661" s="83" t="s">
        <v>11423</v>
      </c>
      <c r="D4661" s="83" t="s">
        <v>11488</v>
      </c>
      <c r="E4661" s="84">
        <f>num_teachers_reside_outsideschmun_g2_f</f>
        <v>0</v>
      </c>
      <c r="F4661" s="83" t="b">
        <v>1</v>
      </c>
      <c r="G4661" s="83"/>
      <c r="H4661" s="83"/>
    </row>
    <row r="4662" spans="1:9">
      <c r="A4662" s="83" t="s">
        <v>11424</v>
      </c>
      <c r="B4662" s="83" t="s">
        <v>11403</v>
      </c>
      <c r="C4662" s="83" t="s">
        <v>11424</v>
      </c>
      <c r="D4662" s="83" t="s">
        <v>11489</v>
      </c>
      <c r="E4662" s="84">
        <f>num_teachers_reside_outsideschmun_g3_m</f>
        <v>0</v>
      </c>
      <c r="F4662" s="83" t="b">
        <v>1</v>
      </c>
      <c r="G4662" s="83"/>
      <c r="H4662" s="83"/>
    </row>
    <row r="4663" spans="1:9">
      <c r="A4663" s="83" t="s">
        <v>11425</v>
      </c>
      <c r="B4663" s="83" t="s">
        <v>11403</v>
      </c>
      <c r="C4663" s="83" t="s">
        <v>11425</v>
      </c>
      <c r="D4663" s="83" t="s">
        <v>11490</v>
      </c>
      <c r="E4663" s="84">
        <f>num_teachers_reside_outsideschmun_g3_f</f>
        <v>0</v>
      </c>
      <c r="F4663" s="83" t="b">
        <v>1</v>
      </c>
      <c r="G4663" s="83"/>
      <c r="H4663" s="83"/>
    </row>
    <row r="4664" spans="1:9">
      <c r="A4664" s="83" t="s">
        <v>11426</v>
      </c>
      <c r="B4664" s="83" t="s">
        <v>11403</v>
      </c>
      <c r="C4664" s="83" t="s">
        <v>11426</v>
      </c>
      <c r="D4664" s="83" t="s">
        <v>11491</v>
      </c>
      <c r="E4664" s="84">
        <f>num_teachers_reside_outsideschmun_g4_m</f>
        <v>0</v>
      </c>
      <c r="F4664" s="83" t="b">
        <v>1</v>
      </c>
      <c r="G4664" s="83"/>
      <c r="H4664" s="83"/>
    </row>
    <row r="4665" spans="1:9">
      <c r="A4665" s="83" t="s">
        <v>11427</v>
      </c>
      <c r="B4665" s="83" t="s">
        <v>11403</v>
      </c>
      <c r="C4665" s="83" t="s">
        <v>11427</v>
      </c>
      <c r="D4665" s="83" t="s">
        <v>11492</v>
      </c>
      <c r="E4665" s="84">
        <f>num_teachers_reside_outsideschmun_g4_f</f>
        <v>0</v>
      </c>
      <c r="F4665" s="83" t="b">
        <v>1</v>
      </c>
      <c r="G4665" s="83"/>
      <c r="H4665" s="83"/>
    </row>
    <row r="4666" spans="1:9">
      <c r="A4666" s="83" t="s">
        <v>11428</v>
      </c>
      <c r="B4666" s="83" t="s">
        <v>11403</v>
      </c>
      <c r="C4666" s="83" t="s">
        <v>11428</v>
      </c>
      <c r="D4666" s="83" t="s">
        <v>11493</v>
      </c>
      <c r="E4666" s="84">
        <f>num_teachers_reside_outsideschmun_g5_m</f>
        <v>0</v>
      </c>
      <c r="F4666" s="83" t="b">
        <v>1</v>
      </c>
      <c r="G4666" s="83"/>
      <c r="H4666" s="83"/>
    </row>
    <row r="4667" spans="1:9">
      <c r="A4667" s="83" t="s">
        <v>11429</v>
      </c>
      <c r="B4667" s="83" t="s">
        <v>11403</v>
      </c>
      <c r="C4667" s="83" t="s">
        <v>11429</v>
      </c>
      <c r="D4667" s="83" t="s">
        <v>11494</v>
      </c>
      <c r="E4667" s="84">
        <f>num_teachers_reside_outsideschmun_g5_f</f>
        <v>0</v>
      </c>
      <c r="F4667" s="83" t="b">
        <v>1</v>
      </c>
      <c r="G4667" s="83"/>
      <c r="H4667" s="83"/>
    </row>
    <row r="4668" spans="1:9">
      <c r="A4668" s="83" t="s">
        <v>11430</v>
      </c>
      <c r="B4668" s="83" t="s">
        <v>11403</v>
      </c>
      <c r="C4668" s="83" t="s">
        <v>11430</v>
      </c>
      <c r="D4668" s="83" t="s">
        <v>11495</v>
      </c>
      <c r="E4668" s="84">
        <f>num_teachers_reside_outsideschmun_g6_m</f>
        <v>0</v>
      </c>
      <c r="F4668" s="83" t="b">
        <v>1</v>
      </c>
      <c r="G4668" s="83"/>
      <c r="H4668" s="83"/>
    </row>
    <row r="4669" spans="1:9">
      <c r="A4669" s="83" t="s">
        <v>11431</v>
      </c>
      <c r="B4669" s="83" t="s">
        <v>11403</v>
      </c>
      <c r="C4669" s="83" t="s">
        <v>11431</v>
      </c>
      <c r="D4669" s="83" t="s">
        <v>11496</v>
      </c>
      <c r="E4669" s="84">
        <f>num_teachers_reside_outsideschmun_g6_f</f>
        <v>0</v>
      </c>
      <c r="F4669" s="83" t="b">
        <v>1</v>
      </c>
      <c r="G4669" s="83"/>
      <c r="H4669" s="83"/>
    </row>
    <row r="4670" spans="1:9">
      <c r="A4670" s="83" t="s">
        <v>11432</v>
      </c>
      <c r="B4670" s="83" t="s">
        <v>11403</v>
      </c>
      <c r="C4670" s="83" t="s">
        <v>11432</v>
      </c>
      <c r="D4670" s="83" t="s">
        <v>11497</v>
      </c>
      <c r="E4670" s="84" t="b">
        <f>sch_workexp_IPcomm_devtlessonplans_ifyes</f>
        <v>0</v>
      </c>
      <c r="F4670" s="83" t="b">
        <v>1</v>
      </c>
      <c r="G4670" s="83" t="s">
        <v>2287</v>
      </c>
      <c r="H4670" s="83"/>
    </row>
    <row r="4671" spans="1:9">
      <c r="A4671" s="83" t="s">
        <v>11435</v>
      </c>
      <c r="B4671" s="83" t="s">
        <v>11403</v>
      </c>
      <c r="C4671" s="83" t="s">
        <v>11435</v>
      </c>
      <c r="D4671" s="83" t="s">
        <v>11498</v>
      </c>
      <c r="E4671" s="84" t="b">
        <f>sch_use_ip_mt_medium_instruction</f>
        <v>0</v>
      </c>
      <c r="F4671" s="83" t="b">
        <v>1</v>
      </c>
      <c r="G4671" s="83" t="s">
        <v>2287</v>
      </c>
      <c r="H4671" s="83"/>
      <c r="I4671" s="110" t="s">
        <v>11532</v>
      </c>
    </row>
    <row r="4672" spans="1:9">
      <c r="A4672" s="83" t="s">
        <v>11436</v>
      </c>
      <c r="B4672" s="83" t="s">
        <v>11403</v>
      </c>
      <c r="C4672" s="83" t="s">
        <v>11436</v>
      </c>
      <c r="D4672" s="83" t="s">
        <v>11499</v>
      </c>
      <c r="E4672" s="84" t="b">
        <f>sch_use_ip_mt_mtb_mle_subjects</f>
        <v>0</v>
      </c>
      <c r="F4672" s="83" t="b">
        <v>1</v>
      </c>
      <c r="G4672" s="83" t="s">
        <v>2287</v>
      </c>
      <c r="H4672" s="83"/>
      <c r="I4672" s="110" t="s">
        <v>11532</v>
      </c>
    </row>
    <row r="4673" spans="1:9">
      <c r="A4673" s="83" t="s">
        <v>11437</v>
      </c>
      <c r="B4673" s="83" t="s">
        <v>11403</v>
      </c>
      <c r="C4673" s="83" t="s">
        <v>11437</v>
      </c>
      <c r="D4673" s="83" t="s">
        <v>11500</v>
      </c>
      <c r="E4673" s="84" t="b">
        <f>sch_celebrate_ip_day</f>
        <v>0</v>
      </c>
      <c r="F4673" s="83" t="b">
        <v>1</v>
      </c>
      <c r="G4673" s="83" t="s">
        <v>2287</v>
      </c>
      <c r="H4673" s="83"/>
      <c r="I4673" s="110" t="s">
        <v>11532</v>
      </c>
    </row>
    <row r="4674" spans="1:9">
      <c r="A4674" s="83" t="s">
        <v>11438</v>
      </c>
      <c r="B4674" s="83" t="s">
        <v>11403</v>
      </c>
      <c r="C4674" s="83" t="s">
        <v>11438</v>
      </c>
      <c r="D4674" s="83" t="s">
        <v>11501</v>
      </c>
      <c r="E4674" s="84" t="b">
        <f>sch_celebrate_ip_month</f>
        <v>0</v>
      </c>
      <c r="F4674" s="83" t="b">
        <v>1</v>
      </c>
      <c r="G4674" s="83" t="s">
        <v>2287</v>
      </c>
      <c r="H4674" s="83"/>
      <c r="I4674" s="110" t="s">
        <v>11532</v>
      </c>
    </row>
    <row r="4675" spans="1:9">
      <c r="A4675" s="83" t="s">
        <v>11439</v>
      </c>
      <c r="B4675" s="83" t="s">
        <v>11403</v>
      </c>
      <c r="C4675" s="83" t="s">
        <v>11439</v>
      </c>
      <c r="D4675" s="83" t="s">
        <v>11502</v>
      </c>
      <c r="E4675" s="84" t="b">
        <f>sch_schoolhead_ip</f>
        <v>0</v>
      </c>
      <c r="F4675" s="83" t="b">
        <v>1</v>
      </c>
      <c r="G4675" s="83" t="s">
        <v>2287</v>
      </c>
      <c r="H4675" s="83"/>
      <c r="I4675" s="110" t="s">
        <v>11532</v>
      </c>
    </row>
    <row r="4676" spans="1:9">
      <c r="A4676" s="83" t="s">
        <v>11440</v>
      </c>
      <c r="B4676" s="83" t="s">
        <v>11403</v>
      </c>
      <c r="C4676" s="83" t="s">
        <v>11440</v>
      </c>
      <c r="D4676" s="83" t="s">
        <v>11503</v>
      </c>
      <c r="E4676" s="84">
        <f>sch_schoolhead_ip_specify</f>
        <v>0</v>
      </c>
      <c r="F4676" s="83" t="b">
        <v>1</v>
      </c>
      <c r="G4676" s="83"/>
      <c r="H4676" s="83"/>
      <c r="I4676" s="110" t="s">
        <v>11532</v>
      </c>
    </row>
    <row r="4677" spans="1:9">
      <c r="A4677" s="83" t="s">
        <v>11441</v>
      </c>
      <c r="B4677" s="83" t="s">
        <v>11403</v>
      </c>
      <c r="C4677" s="83" t="s">
        <v>11441</v>
      </c>
      <c r="D4677" s="83" t="s">
        <v>11504</v>
      </c>
      <c r="E4677" s="84" t="b">
        <f>sch_schoolhead_attended_iped_orientation</f>
        <v>0</v>
      </c>
      <c r="F4677" s="83" t="b">
        <v>1</v>
      </c>
      <c r="G4677" s="83" t="s">
        <v>2287</v>
      </c>
      <c r="H4677" s="83"/>
      <c r="I4677" s="110" t="s">
        <v>11532</v>
      </c>
    </row>
    <row r="4678" spans="1:9">
      <c r="A4678" s="83" t="s">
        <v>11442</v>
      </c>
      <c r="B4678" s="83" t="s">
        <v>11403</v>
      </c>
      <c r="C4678" s="83" t="s">
        <v>11442</v>
      </c>
      <c r="D4678" s="83" t="s">
        <v>11505</v>
      </c>
      <c r="E4678" s="84">
        <f>num_teachers_ip_k_m</f>
        <v>0</v>
      </c>
      <c r="F4678" s="83" t="b">
        <v>1</v>
      </c>
      <c r="G4678" s="83"/>
      <c r="H4678" s="83"/>
      <c r="I4678" s="110" t="s">
        <v>11532</v>
      </c>
    </row>
    <row r="4679" spans="1:9">
      <c r="A4679" s="83" t="s">
        <v>11443</v>
      </c>
      <c r="B4679" s="83" t="s">
        <v>11403</v>
      </c>
      <c r="C4679" s="83" t="s">
        <v>11443</v>
      </c>
      <c r="D4679" s="83" t="s">
        <v>11506</v>
      </c>
      <c r="E4679" s="84">
        <f>num_teachers_ip_k_f</f>
        <v>0</v>
      </c>
      <c r="F4679" s="83" t="b">
        <v>1</v>
      </c>
      <c r="G4679" s="83"/>
      <c r="H4679" s="83"/>
      <c r="I4679" s="110" t="s">
        <v>11532</v>
      </c>
    </row>
    <row r="4680" spans="1:9">
      <c r="A4680" s="83" t="s">
        <v>11444</v>
      </c>
      <c r="B4680" s="83" t="s">
        <v>11403</v>
      </c>
      <c r="C4680" s="83" t="s">
        <v>11444</v>
      </c>
      <c r="D4680" s="83" t="s">
        <v>11507</v>
      </c>
      <c r="E4680" s="84">
        <f>num_teachers_ip_g1_m</f>
        <v>0</v>
      </c>
      <c r="F4680" s="83" t="b">
        <v>1</v>
      </c>
      <c r="G4680" s="83"/>
      <c r="H4680" s="83"/>
      <c r="I4680" s="110" t="s">
        <v>11532</v>
      </c>
    </row>
    <row r="4681" spans="1:9">
      <c r="A4681" s="83" t="s">
        <v>11445</v>
      </c>
      <c r="B4681" s="83" t="s">
        <v>11403</v>
      </c>
      <c r="C4681" s="83" t="s">
        <v>11445</v>
      </c>
      <c r="D4681" s="83" t="s">
        <v>11508</v>
      </c>
      <c r="E4681" s="84">
        <f>num_teachers_ip_g1_f</f>
        <v>0</v>
      </c>
      <c r="F4681" s="83" t="b">
        <v>1</v>
      </c>
      <c r="G4681" s="83"/>
      <c r="H4681" s="83"/>
      <c r="I4681" s="110" t="s">
        <v>11532</v>
      </c>
    </row>
    <row r="4682" spans="1:9">
      <c r="A4682" s="83" t="s">
        <v>11446</v>
      </c>
      <c r="B4682" s="83" t="s">
        <v>11403</v>
      </c>
      <c r="C4682" s="83" t="s">
        <v>11446</v>
      </c>
      <c r="D4682" s="83" t="s">
        <v>11509</v>
      </c>
      <c r="E4682" s="84">
        <f>num_teachers_ip_g2_m</f>
        <v>0</v>
      </c>
      <c r="F4682" s="83" t="b">
        <v>1</v>
      </c>
      <c r="G4682" s="83"/>
      <c r="H4682" s="83"/>
      <c r="I4682" s="110" t="s">
        <v>11532</v>
      </c>
    </row>
    <row r="4683" spans="1:9">
      <c r="A4683" s="83" t="s">
        <v>11447</v>
      </c>
      <c r="B4683" s="83" t="s">
        <v>11403</v>
      </c>
      <c r="C4683" s="83" t="s">
        <v>11447</v>
      </c>
      <c r="D4683" s="83" t="s">
        <v>11510</v>
      </c>
      <c r="E4683" s="84">
        <f>num_teachers_ip_g2_f</f>
        <v>0</v>
      </c>
      <c r="F4683" s="83" t="b">
        <v>1</v>
      </c>
      <c r="G4683" s="83"/>
      <c r="H4683" s="83"/>
      <c r="I4683" s="110" t="s">
        <v>11532</v>
      </c>
    </row>
    <row r="4684" spans="1:9">
      <c r="A4684" s="83" t="s">
        <v>11448</v>
      </c>
      <c r="B4684" s="83" t="s">
        <v>11403</v>
      </c>
      <c r="C4684" s="83" t="s">
        <v>11448</v>
      </c>
      <c r="D4684" s="83" t="s">
        <v>11511</v>
      </c>
      <c r="E4684" s="84">
        <f>num_teachers_ip_g3_m</f>
        <v>0</v>
      </c>
      <c r="F4684" s="83" t="b">
        <v>1</v>
      </c>
      <c r="G4684" s="83"/>
      <c r="H4684" s="83"/>
      <c r="I4684" s="110" t="s">
        <v>11532</v>
      </c>
    </row>
    <row r="4685" spans="1:9">
      <c r="A4685" s="83" t="s">
        <v>11449</v>
      </c>
      <c r="B4685" s="83" t="s">
        <v>11403</v>
      </c>
      <c r="C4685" s="83" t="s">
        <v>11449</v>
      </c>
      <c r="D4685" s="83" t="s">
        <v>11512</v>
      </c>
      <c r="E4685" s="84">
        <f>num_teachers_ip_g3_f</f>
        <v>0</v>
      </c>
      <c r="F4685" s="83" t="b">
        <v>1</v>
      </c>
      <c r="G4685" s="83"/>
      <c r="H4685" s="83"/>
      <c r="I4685" s="110" t="s">
        <v>11532</v>
      </c>
    </row>
    <row r="4686" spans="1:9">
      <c r="A4686" s="83" t="s">
        <v>11450</v>
      </c>
      <c r="B4686" s="83" t="s">
        <v>11403</v>
      </c>
      <c r="C4686" s="83" t="s">
        <v>11450</v>
      </c>
      <c r="D4686" s="83" t="s">
        <v>11513</v>
      </c>
      <c r="E4686" s="84">
        <f>num_teachers_ip_g4_m</f>
        <v>0</v>
      </c>
      <c r="F4686" s="83" t="b">
        <v>1</v>
      </c>
      <c r="G4686" s="83"/>
      <c r="H4686" s="83"/>
      <c r="I4686" s="110" t="s">
        <v>11532</v>
      </c>
    </row>
    <row r="4687" spans="1:9">
      <c r="A4687" s="83" t="s">
        <v>11451</v>
      </c>
      <c r="B4687" s="83" t="s">
        <v>11403</v>
      </c>
      <c r="C4687" s="83" t="s">
        <v>11451</v>
      </c>
      <c r="D4687" s="83" t="s">
        <v>11514</v>
      </c>
      <c r="E4687" s="84">
        <f>num_teachers_ip_g4_f</f>
        <v>0</v>
      </c>
      <c r="F4687" s="83" t="b">
        <v>1</v>
      </c>
      <c r="G4687" s="83"/>
      <c r="H4687" s="83"/>
      <c r="I4687" s="110" t="s">
        <v>11532</v>
      </c>
    </row>
    <row r="4688" spans="1:9">
      <c r="A4688" s="83" t="s">
        <v>11452</v>
      </c>
      <c r="B4688" s="83" t="s">
        <v>11403</v>
      </c>
      <c r="C4688" s="83" t="s">
        <v>11452</v>
      </c>
      <c r="D4688" s="83" t="s">
        <v>11515</v>
      </c>
      <c r="E4688" s="84">
        <f>num_teachers_ip_g5_m</f>
        <v>0</v>
      </c>
      <c r="F4688" s="83" t="b">
        <v>1</v>
      </c>
      <c r="G4688" s="83"/>
      <c r="H4688" s="83"/>
      <c r="I4688" s="110" t="s">
        <v>11532</v>
      </c>
    </row>
    <row r="4689" spans="1:9">
      <c r="A4689" s="83" t="s">
        <v>11453</v>
      </c>
      <c r="B4689" s="83" t="s">
        <v>11403</v>
      </c>
      <c r="C4689" s="83" t="s">
        <v>11453</v>
      </c>
      <c r="D4689" s="83" t="s">
        <v>11516</v>
      </c>
      <c r="E4689" s="84">
        <f>num_teachers_ip_g5_f</f>
        <v>0</v>
      </c>
      <c r="F4689" s="83" t="b">
        <v>1</v>
      </c>
      <c r="G4689" s="83"/>
      <c r="H4689" s="83"/>
      <c r="I4689" s="110" t="s">
        <v>11532</v>
      </c>
    </row>
    <row r="4690" spans="1:9">
      <c r="A4690" s="83" t="s">
        <v>11454</v>
      </c>
      <c r="B4690" s="83" t="s">
        <v>11403</v>
      </c>
      <c r="C4690" s="83" t="s">
        <v>11454</v>
      </c>
      <c r="D4690" s="83" t="s">
        <v>11517</v>
      </c>
      <c r="E4690" s="84">
        <f>num_teachers_ip_g6_m</f>
        <v>0</v>
      </c>
      <c r="F4690" s="83" t="b">
        <v>1</v>
      </c>
      <c r="G4690" s="83"/>
      <c r="H4690" s="83"/>
      <c r="I4690" s="110" t="s">
        <v>11532</v>
      </c>
    </row>
    <row r="4691" spans="1:9">
      <c r="A4691" s="83" t="s">
        <v>11455</v>
      </c>
      <c r="B4691" s="83" t="s">
        <v>11403</v>
      </c>
      <c r="C4691" s="83" t="s">
        <v>11455</v>
      </c>
      <c r="D4691" s="83" t="s">
        <v>11518</v>
      </c>
      <c r="E4691" s="84">
        <f>num_teachers_ip_g6_f</f>
        <v>0</v>
      </c>
      <c r="F4691" s="83" t="b">
        <v>1</v>
      </c>
      <c r="G4691" s="83"/>
      <c r="H4691" s="83"/>
      <c r="I4691" s="110" t="s">
        <v>11532</v>
      </c>
    </row>
    <row r="4692" spans="1:9">
      <c r="A4692" s="83" t="s">
        <v>11456</v>
      </c>
      <c r="B4692" s="83" t="s">
        <v>11403</v>
      </c>
      <c r="C4692" s="83" t="s">
        <v>11456</v>
      </c>
      <c r="D4692" s="83" t="s">
        <v>11519</v>
      </c>
      <c r="E4692" s="84">
        <f>num_teacher_attended_iped_orientation_m</f>
        <v>0</v>
      </c>
      <c r="F4692" s="83" t="b">
        <v>1</v>
      </c>
      <c r="G4692" s="83"/>
      <c r="H4692" s="83"/>
      <c r="I4692" s="110" t="s">
        <v>11532</v>
      </c>
    </row>
    <row r="4693" spans="1:9">
      <c r="A4693" s="83" t="s">
        <v>11457</v>
      </c>
      <c r="B4693" s="83" t="s">
        <v>11403</v>
      </c>
      <c r="C4693" s="83" t="s">
        <v>11457</v>
      </c>
      <c r="D4693" s="83" t="s">
        <v>11520</v>
      </c>
      <c r="E4693" s="84">
        <f>num_teacher_attended_iped_orientation_f</f>
        <v>0</v>
      </c>
      <c r="F4693" s="83" t="b">
        <v>1</v>
      </c>
      <c r="G4693" s="83"/>
      <c r="H4693" s="83"/>
      <c r="I4693" s="110" t="s">
        <v>11532</v>
      </c>
    </row>
    <row r="4694" spans="1:9">
      <c r="A4694" s="83" t="s">
        <v>11458</v>
      </c>
      <c r="B4694" s="83" t="s">
        <v>11403</v>
      </c>
      <c r="C4694" s="83" t="s">
        <v>11458</v>
      </c>
      <c r="D4694" s="83" t="s">
        <v>11521</v>
      </c>
      <c r="E4694" s="84">
        <f>num_teacher_attended_iped_orientation_outside_deped_m</f>
        <v>0</v>
      </c>
      <c r="F4694" s="83" t="b">
        <v>1</v>
      </c>
      <c r="G4694" s="83"/>
      <c r="H4694" s="83"/>
      <c r="I4694" s="110" t="s">
        <v>11532</v>
      </c>
    </row>
    <row r="4695" spans="1:9">
      <c r="A4695" s="83" t="s">
        <v>11459</v>
      </c>
      <c r="B4695" s="83" t="s">
        <v>11403</v>
      </c>
      <c r="C4695" s="83" t="s">
        <v>11459</v>
      </c>
      <c r="D4695" s="83" t="s">
        <v>11522</v>
      </c>
      <c r="E4695" s="84">
        <f>num_teacher_attended_iped_orientation_outside_deped_f</f>
        <v>0</v>
      </c>
      <c r="F4695" s="83" t="b">
        <v>1</v>
      </c>
      <c r="G4695" s="83"/>
      <c r="H4695" s="83"/>
      <c r="I4695" s="110" t="s">
        <v>11532</v>
      </c>
    </row>
    <row r="4696" spans="1:9">
      <c r="A4696" s="83" t="s">
        <v>11460</v>
      </c>
      <c r="B4696" s="83" t="s">
        <v>11403</v>
      </c>
      <c r="C4696" s="83" t="s">
        <v>11460</v>
      </c>
      <c r="D4696" s="83" t="s">
        <v>11523</v>
      </c>
      <c r="E4696" s="84">
        <f>sch_health_ip_vacc_mcv_g1_m</f>
        <v>0</v>
      </c>
      <c r="F4696" s="83" t="b">
        <v>1</v>
      </c>
      <c r="G4696" s="83"/>
      <c r="H4696" s="83"/>
      <c r="I4696" s="110" t="s">
        <v>11532</v>
      </c>
    </row>
    <row r="4697" spans="1:9">
      <c r="A4697" s="83" t="s">
        <v>11461</v>
      </c>
      <c r="B4697" s="83" t="s">
        <v>11403</v>
      </c>
      <c r="C4697" s="83" t="s">
        <v>11461</v>
      </c>
      <c r="D4697" s="83" t="s">
        <v>11524</v>
      </c>
      <c r="E4697" s="84">
        <f>sch_health_ip_vacc_mcv_g1_f</f>
        <v>0</v>
      </c>
      <c r="F4697" s="83" t="b">
        <v>1</v>
      </c>
      <c r="G4697" s="83"/>
      <c r="H4697" s="83"/>
      <c r="I4697" s="110" t="s">
        <v>11532</v>
      </c>
    </row>
    <row r="4698" spans="1:9">
      <c r="A4698" s="83" t="s">
        <v>11462</v>
      </c>
      <c r="B4698" s="83" t="s">
        <v>11403</v>
      </c>
      <c r="C4698" s="83" t="s">
        <v>11462</v>
      </c>
      <c r="D4698" s="83" t="s">
        <v>11525</v>
      </c>
      <c r="E4698" s="84">
        <f>sch_health_ip_vacc_td_g1_m</f>
        <v>0</v>
      </c>
      <c r="F4698" s="83" t="b">
        <v>1</v>
      </c>
      <c r="G4698" s="83"/>
      <c r="H4698" s="83"/>
      <c r="I4698" s="110" t="s">
        <v>11532</v>
      </c>
    </row>
    <row r="4699" spans="1:9">
      <c r="A4699" s="83" t="s">
        <v>11463</v>
      </c>
      <c r="B4699" s="83" t="s">
        <v>11403</v>
      </c>
      <c r="C4699" s="83" t="s">
        <v>11463</v>
      </c>
      <c r="D4699" s="83" t="s">
        <v>11526</v>
      </c>
      <c r="E4699" s="84">
        <f>sch_health_ip_vacc_td_g1_f</f>
        <v>0</v>
      </c>
      <c r="F4699" s="83" t="b">
        <v>1</v>
      </c>
      <c r="G4699" s="83"/>
      <c r="H4699" s="83"/>
      <c r="I4699" s="110" t="s">
        <v>11532</v>
      </c>
    </row>
    <row r="4700" spans="1:9">
      <c r="A4700" s="83" t="s">
        <v>11464</v>
      </c>
      <c r="B4700" s="83" t="s">
        <v>11403</v>
      </c>
      <c r="C4700" s="83" t="s">
        <v>11464</v>
      </c>
      <c r="D4700" s="83" t="s">
        <v>11527</v>
      </c>
      <c r="E4700" s="84">
        <f>sch_health_ip_vacc_hpv_g4_f</f>
        <v>0</v>
      </c>
      <c r="F4700" s="83" t="b">
        <v>1</v>
      </c>
      <c r="G4700" s="83"/>
      <c r="H4700" s="83"/>
      <c r="I4700" s="110" t="s">
        <v>11532</v>
      </c>
    </row>
    <row r="4701" spans="1:9">
      <c r="A4701" s="83" t="s">
        <v>11465</v>
      </c>
      <c r="B4701" s="83" t="s">
        <v>11403</v>
      </c>
      <c r="C4701" s="83" t="s">
        <v>11465</v>
      </c>
      <c r="D4701" s="83" t="s">
        <v>11528</v>
      </c>
      <c r="E4701" s="84" t="b">
        <f>sch_ip_located_ancestral_domain_affected_ac</f>
        <v>0</v>
      </c>
      <c r="F4701" s="83" t="b">
        <v>1</v>
      </c>
      <c r="G4701" s="83" t="s">
        <v>2287</v>
      </c>
      <c r="H4701" s="83"/>
      <c r="I4701" s="110" t="s">
        <v>11532</v>
      </c>
    </row>
    <row r="4702" spans="1:9">
      <c r="A4702" s="83" t="s">
        <v>11433</v>
      </c>
      <c r="B4702" s="83" t="s">
        <v>11403</v>
      </c>
      <c r="C4702" s="83" t="s">
        <v>11433</v>
      </c>
      <c r="D4702" s="83" t="s">
        <v>11530</v>
      </c>
      <c r="E4702" s="83" t="str">
        <f>do_iped_focal_name</f>
        <v>RONE RAY M. PORTACION</v>
      </c>
      <c r="F4702" s="83" t="b">
        <v>1</v>
      </c>
      <c r="G4702" s="83"/>
      <c r="H4702" s="83"/>
    </row>
    <row r="4703" spans="1:9" ht="16" thickBot="1">
      <c r="A4703" s="85" t="s">
        <v>11434</v>
      </c>
      <c r="B4703" s="85" t="s">
        <v>11403</v>
      </c>
      <c r="C4703" s="85" t="s">
        <v>11434</v>
      </c>
      <c r="D4703" s="85" t="s">
        <v>11529</v>
      </c>
      <c r="E4703" s="85" t="str">
        <f>do_iped_focal_pos_title</f>
        <v>Education Program Supervisor</v>
      </c>
      <c r="F4703" s="85" t="b">
        <v>1</v>
      </c>
      <c r="G4703" s="85"/>
      <c r="H4703" s="85"/>
    </row>
    <row r="4707" spans="1:11">
      <c r="A4707" s="1729"/>
    </row>
    <row r="4708" spans="1:11" s="1731" customFormat="1">
      <c r="A4708" s="1730"/>
      <c r="B4708" s="1730"/>
      <c r="C4708" s="1730"/>
      <c r="D4708" s="1730"/>
      <c r="E4708" s="1732"/>
      <c r="F4708" s="1730"/>
      <c r="G4708" s="1730"/>
      <c r="H4708" s="83">
        <v>20</v>
      </c>
      <c r="I4708" s="110" t="s">
        <v>11532</v>
      </c>
      <c r="J4708" s="111"/>
      <c r="K4708" s="111"/>
    </row>
    <row r="4709" spans="1:11" s="1731" customFormat="1">
      <c r="A4709" s="1730"/>
      <c r="B4709" s="1730"/>
      <c r="C4709" s="1730"/>
      <c r="D4709" s="1730"/>
      <c r="E4709" s="1730"/>
      <c r="F4709" s="1730"/>
      <c r="G4709" s="1730"/>
      <c r="H4709" s="83"/>
      <c r="I4709" s="109"/>
      <c r="J4709" s="109"/>
      <c r="K4709" s="109"/>
    </row>
    <row r="4710" spans="1:11" s="1731" customFormat="1">
      <c r="A4710" s="1730"/>
      <c r="B4710" s="1730"/>
      <c r="C4710" s="1730"/>
      <c r="D4710" s="1730"/>
      <c r="E4710" s="1730"/>
      <c r="F4710" s="1730"/>
      <c r="G4710" s="1730"/>
      <c r="H4710" s="83"/>
      <c r="I4710" s="109"/>
      <c r="J4710" s="109"/>
      <c r="K4710" s="109"/>
    </row>
    <row r="4711" spans="1:11" s="1731" customFormat="1">
      <c r="A4711" s="1730"/>
      <c r="B4711" s="1730"/>
      <c r="C4711" s="1730"/>
      <c r="D4711" s="1730"/>
      <c r="E4711" s="1730"/>
      <c r="F4711" s="1730"/>
      <c r="G4711" s="1730"/>
      <c r="H4711" s="83"/>
      <c r="I4711" s="109"/>
      <c r="J4711" s="109"/>
      <c r="K4711" s="109"/>
    </row>
    <row r="4712" spans="1:11" s="1731" customFormat="1">
      <c r="A4712" s="1730"/>
      <c r="B4712" s="1730"/>
      <c r="C4712" s="1730"/>
      <c r="D4712" s="1730"/>
      <c r="E4712" s="1730"/>
      <c r="F4712" s="1730"/>
      <c r="G4712" s="1730"/>
      <c r="H4712" s="83"/>
      <c r="I4712" s="109"/>
      <c r="J4712" s="109"/>
      <c r="K4712" s="109"/>
    </row>
    <row r="4713" spans="1:11" s="1731" customFormat="1">
      <c r="A4713" s="1730"/>
      <c r="B4713" s="1730"/>
      <c r="C4713" s="1730"/>
      <c r="D4713" s="1730"/>
      <c r="E4713" s="1730"/>
      <c r="F4713" s="1730"/>
      <c r="G4713" s="1730"/>
      <c r="H4713" s="83"/>
      <c r="I4713" s="109"/>
      <c r="J4713" s="109"/>
      <c r="K4713" s="109"/>
    </row>
    <row r="4714" spans="1:11" s="1731" customFormat="1">
      <c r="A4714" s="1730"/>
      <c r="B4714" s="1730"/>
      <c r="C4714" s="1730"/>
      <c r="D4714" s="1730"/>
      <c r="E4714" s="1730"/>
      <c r="F4714" s="1730"/>
      <c r="G4714" s="1730"/>
      <c r="H4714" s="83"/>
      <c r="I4714" s="109"/>
      <c r="J4714" s="109"/>
      <c r="K4714" s="109"/>
    </row>
    <row r="4715" spans="1:11" s="1731" customFormat="1">
      <c r="A4715" s="1730"/>
      <c r="B4715" s="1730"/>
      <c r="C4715" s="1730"/>
      <c r="D4715" s="1730"/>
      <c r="E4715" s="1730"/>
      <c r="F4715" s="1730"/>
      <c r="G4715" s="1730"/>
      <c r="H4715" s="83"/>
      <c r="I4715" s="109"/>
      <c r="J4715" s="109"/>
      <c r="K4715" s="109"/>
    </row>
    <row r="4716" spans="1:11" s="1731" customFormat="1">
      <c r="A4716" s="1730"/>
      <c r="B4716" s="1730"/>
      <c r="C4716" s="1730"/>
      <c r="D4716" s="1730"/>
      <c r="E4716" s="1730"/>
      <c r="F4716" s="1730"/>
      <c r="G4716" s="1730"/>
      <c r="H4716" s="83"/>
      <c r="I4716" s="109"/>
      <c r="J4716" s="109"/>
      <c r="K4716" s="109"/>
    </row>
  </sheetData>
  <sheetProtection algorithmName="SHA-512" hashValue="m7nwhCx01dZ+BaEu8ppEyK9Hbrw2sHLx13Ut67FxTWwAuFCQJGXsy+Mu5wVQupOQqlXWZkPU/WDI2wIn5vH4PQ==" saltValue="JKbEIRedZSsq3pUqKEh4qw==" spinCount="100000" sheet="1" selectLockedCells="1"/>
  <autoFilter ref="A1:I4703" xr:uid="{00000000-0009-0000-0000-000002000000}"/>
  <conditionalFormatting sqref="A1245">
    <cfRule type="duplicateValues" dxfId="28" priority="2"/>
  </conditionalFormatting>
  <conditionalFormatting sqref="C1245">
    <cfRule type="duplicateValues" dxfId="27" priority="1"/>
  </conditionalFormatting>
  <pageMargins left="0.7" right="0.7" top="0.75" bottom="0.75" header="0.3" footer="0.3"/>
  <pageSetup paperSize="9" orientation="portrait" r:id="rId1"/>
  <ignoredErrors>
    <ignoredError sqref="E3"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00FF"/>
    <pageSetUpPr fitToPage="1"/>
  </sheetPr>
  <dimension ref="A1:P104"/>
  <sheetViews>
    <sheetView showGridLines="0" zoomScaleNormal="100" workbookViewId="0">
      <pane xSplit="3" ySplit="3" topLeftCell="D4" activePane="bottomRight" state="frozen"/>
      <selection activeCell="D11" sqref="D11"/>
      <selection pane="topRight" activeCell="D11" sqref="D11"/>
      <selection pane="bottomLeft" activeCell="D11" sqref="D11"/>
      <selection pane="bottomRight" activeCell="D49" sqref="D49"/>
    </sheetView>
  </sheetViews>
  <sheetFormatPr defaultColWidth="9" defaultRowHeight="18"/>
  <cols>
    <col min="1" max="1" width="8.08203125" style="46" customWidth="1"/>
    <col min="2" max="2" width="6.08203125" style="45" customWidth="1"/>
    <col min="3" max="3" width="6.08203125" style="2" customWidth="1"/>
    <col min="4" max="4" width="123.5" style="32" customWidth="1"/>
    <col min="5" max="16384" width="9" style="1"/>
  </cols>
  <sheetData>
    <row r="1" spans="1:4" ht="5.5" customHeight="1" thickBot="1">
      <c r="D1" s="43"/>
    </row>
    <row r="2" spans="1:4" ht="22.75" customHeight="1" thickBot="1">
      <c r="A2" s="1739" t="s">
        <v>11819</v>
      </c>
      <c r="B2" s="1740"/>
      <c r="C2" s="1740"/>
      <c r="D2" s="1741"/>
    </row>
    <row r="3" spans="1:4" s="27" customFormat="1" ht="16" thickBot="1">
      <c r="A3" s="3" t="s">
        <v>266</v>
      </c>
      <c r="B3" s="25" t="s">
        <v>265</v>
      </c>
      <c r="C3" s="31" t="s">
        <v>264</v>
      </c>
      <c r="D3" s="30" t="s">
        <v>263</v>
      </c>
    </row>
    <row r="4" spans="1:4" s="28" customFormat="1" ht="16" thickTop="1">
      <c r="A4" s="1708"/>
      <c r="B4" s="1709"/>
      <c r="C4" s="1709">
        <v>1</v>
      </c>
      <c r="D4" s="1710" t="s">
        <v>6</v>
      </c>
    </row>
    <row r="5" spans="1:4" s="28" customFormat="1" ht="15.5">
      <c r="A5" s="47">
        <v>1</v>
      </c>
      <c r="B5" s="44"/>
      <c r="C5" s="1745">
        <v>2</v>
      </c>
      <c r="D5" s="34" t="s">
        <v>11746</v>
      </c>
    </row>
    <row r="6" spans="1:4" s="28" customFormat="1" ht="15.5">
      <c r="A6" s="47">
        <v>2</v>
      </c>
      <c r="B6" s="44"/>
      <c r="C6" s="1746"/>
      <c r="D6" s="33" t="s">
        <v>11747</v>
      </c>
    </row>
    <row r="7" spans="1:4" s="28" customFormat="1" ht="15.5">
      <c r="A7" s="47"/>
      <c r="B7" s="44"/>
      <c r="C7" s="44">
        <v>3</v>
      </c>
      <c r="D7" s="34" t="s">
        <v>913</v>
      </c>
    </row>
    <row r="8" spans="1:4" s="28" customFormat="1" ht="15.5">
      <c r="A8" s="47">
        <v>3</v>
      </c>
      <c r="B8" s="44"/>
      <c r="C8" s="44">
        <v>4</v>
      </c>
      <c r="D8" s="35" t="s">
        <v>11820</v>
      </c>
    </row>
    <row r="9" spans="1:4" s="28" customFormat="1" ht="15.5">
      <c r="A9" s="47">
        <v>4</v>
      </c>
      <c r="B9" s="44"/>
      <c r="C9" s="44">
        <v>5</v>
      </c>
      <c r="D9" s="35" t="s">
        <v>11821</v>
      </c>
    </row>
    <row r="10" spans="1:4" s="28" customFormat="1" ht="15.5">
      <c r="A10" s="47">
        <v>5</v>
      </c>
      <c r="B10" s="44"/>
      <c r="C10" s="44">
        <v>6</v>
      </c>
      <c r="D10" s="36" t="s">
        <v>11822</v>
      </c>
    </row>
    <row r="11" spans="1:4" s="28" customFormat="1" ht="15.5">
      <c r="A11" s="47">
        <v>6</v>
      </c>
      <c r="B11" s="44"/>
      <c r="C11" s="44">
        <v>7</v>
      </c>
      <c r="D11" s="37" t="s">
        <v>11751</v>
      </c>
    </row>
    <row r="12" spans="1:4" s="28" customFormat="1" ht="15.5">
      <c r="A12" s="47">
        <v>7</v>
      </c>
      <c r="B12" s="44"/>
      <c r="C12" s="44">
        <v>8</v>
      </c>
      <c r="D12" s="34" t="s">
        <v>11752</v>
      </c>
    </row>
    <row r="13" spans="1:4" s="28" customFormat="1" ht="15.5">
      <c r="A13" s="47">
        <v>8</v>
      </c>
      <c r="B13" s="44"/>
      <c r="C13" s="44">
        <v>8</v>
      </c>
      <c r="D13" s="34" t="s">
        <v>11823</v>
      </c>
    </row>
    <row r="14" spans="1:4" s="28" customFormat="1" ht="31">
      <c r="A14" s="47">
        <v>9</v>
      </c>
      <c r="B14" s="44"/>
      <c r="C14" s="44">
        <v>8</v>
      </c>
      <c r="D14" s="38" t="s">
        <v>11824</v>
      </c>
    </row>
    <row r="15" spans="1:4" s="28" customFormat="1" ht="15.5">
      <c r="A15" s="47">
        <v>10</v>
      </c>
      <c r="B15" s="44"/>
      <c r="C15" s="44">
        <v>9</v>
      </c>
      <c r="D15" s="34" t="s">
        <v>11755</v>
      </c>
    </row>
    <row r="16" spans="1:4" s="28" customFormat="1" ht="15.5">
      <c r="A16" s="47">
        <v>11</v>
      </c>
      <c r="B16" s="44"/>
      <c r="C16" s="44">
        <v>10</v>
      </c>
      <c r="D16" s="36" t="s">
        <v>11756</v>
      </c>
    </row>
    <row r="17" spans="1:4" s="28" customFormat="1" ht="15.5">
      <c r="A17" s="47">
        <v>12</v>
      </c>
      <c r="B17" s="44"/>
      <c r="C17" s="44">
        <v>11</v>
      </c>
      <c r="D17" s="39" t="s">
        <v>11757</v>
      </c>
    </row>
    <row r="18" spans="1:4" s="28" customFormat="1" ht="15.5">
      <c r="A18" s="47">
        <v>13</v>
      </c>
      <c r="B18" s="44"/>
      <c r="C18" s="44">
        <v>11</v>
      </c>
      <c r="D18" s="38" t="s">
        <v>11852</v>
      </c>
    </row>
    <row r="19" spans="1:4" s="28" customFormat="1" ht="31">
      <c r="A19" s="47">
        <v>14</v>
      </c>
      <c r="B19" s="44"/>
      <c r="C19" s="44">
        <v>12</v>
      </c>
      <c r="D19" s="37" t="s">
        <v>11825</v>
      </c>
    </row>
    <row r="20" spans="1:4" s="28" customFormat="1" ht="31.5" customHeight="1">
      <c r="A20" s="47">
        <v>15</v>
      </c>
      <c r="B20" s="44"/>
      <c r="C20" s="44">
        <v>12</v>
      </c>
      <c r="D20" s="37" t="s">
        <v>11826</v>
      </c>
    </row>
    <row r="21" spans="1:4" s="28" customFormat="1" ht="15.5">
      <c r="A21" s="47">
        <v>16</v>
      </c>
      <c r="B21" s="44"/>
      <c r="C21" s="44">
        <v>13</v>
      </c>
      <c r="D21" s="34" t="s">
        <v>11827</v>
      </c>
    </row>
    <row r="22" spans="1:4" s="28" customFormat="1" ht="31">
      <c r="A22" s="47">
        <v>17</v>
      </c>
      <c r="B22" s="44"/>
      <c r="C22" s="44">
        <v>13</v>
      </c>
      <c r="D22" s="37" t="s">
        <v>11828</v>
      </c>
    </row>
    <row r="23" spans="1:4" s="28" customFormat="1" ht="15.5">
      <c r="A23" s="47">
        <v>18</v>
      </c>
      <c r="B23" s="44"/>
      <c r="C23" s="44">
        <v>14</v>
      </c>
      <c r="D23" s="34" t="s">
        <v>11829</v>
      </c>
    </row>
    <row r="24" spans="1:4" s="28" customFormat="1" ht="15.5">
      <c r="A24" s="47"/>
      <c r="B24" s="44">
        <v>1</v>
      </c>
      <c r="C24" s="44">
        <v>14</v>
      </c>
      <c r="D24" s="40" t="s">
        <v>11763</v>
      </c>
    </row>
    <row r="25" spans="1:4" s="28" customFormat="1" ht="15.5">
      <c r="A25" s="47"/>
      <c r="B25" s="44">
        <v>2</v>
      </c>
      <c r="C25" s="44">
        <v>14</v>
      </c>
      <c r="D25" s="40" t="s">
        <v>11766</v>
      </c>
    </row>
    <row r="26" spans="1:4" s="28" customFormat="1" ht="15.5">
      <c r="A26" s="47"/>
      <c r="B26" s="44">
        <v>3</v>
      </c>
      <c r="C26" s="44">
        <v>15</v>
      </c>
      <c r="D26" s="40" t="s">
        <v>11768</v>
      </c>
    </row>
    <row r="27" spans="1:4" s="28" customFormat="1" ht="15.5">
      <c r="A27" s="47"/>
      <c r="B27" s="44">
        <v>4</v>
      </c>
      <c r="C27" s="44">
        <v>15</v>
      </c>
      <c r="D27" s="40" t="s">
        <v>11769</v>
      </c>
    </row>
    <row r="28" spans="1:4" s="28" customFormat="1" ht="15.5">
      <c r="A28" s="47"/>
      <c r="B28" s="44">
        <v>5</v>
      </c>
      <c r="C28" s="44">
        <v>15</v>
      </c>
      <c r="D28" s="40" t="s">
        <v>11770</v>
      </c>
    </row>
    <row r="29" spans="1:4" s="28" customFormat="1" ht="15.5">
      <c r="A29" s="47">
        <v>19</v>
      </c>
      <c r="B29" s="44"/>
      <c r="C29" s="44">
        <v>16</v>
      </c>
      <c r="D29" s="36" t="s">
        <v>11771</v>
      </c>
    </row>
    <row r="30" spans="1:4" s="28" customFormat="1" ht="15.5">
      <c r="A30" s="47">
        <v>20</v>
      </c>
      <c r="B30" s="44"/>
      <c r="C30" s="44">
        <v>17</v>
      </c>
      <c r="D30" s="36" t="s">
        <v>11772</v>
      </c>
    </row>
    <row r="31" spans="1:4" s="28" customFormat="1" ht="15.5">
      <c r="A31" s="47"/>
      <c r="B31" s="44">
        <v>6</v>
      </c>
      <c r="C31" s="44">
        <v>18</v>
      </c>
      <c r="D31" s="36" t="s">
        <v>11773</v>
      </c>
    </row>
    <row r="32" spans="1:4" s="28" customFormat="1" ht="15.5">
      <c r="A32" s="47">
        <v>21</v>
      </c>
      <c r="B32" s="44"/>
      <c r="C32" s="44">
        <v>18</v>
      </c>
      <c r="D32" s="34" t="s">
        <v>11774</v>
      </c>
    </row>
    <row r="33" spans="1:16" s="28" customFormat="1" ht="15.5">
      <c r="A33" s="47">
        <v>22</v>
      </c>
      <c r="B33" s="44"/>
      <c r="C33" s="44">
        <v>19</v>
      </c>
      <c r="D33" s="34" t="s">
        <v>11775</v>
      </c>
    </row>
    <row r="34" spans="1:16" s="28" customFormat="1" ht="15.5">
      <c r="A34" s="47">
        <v>23</v>
      </c>
      <c r="B34" s="44"/>
      <c r="C34" s="44">
        <v>20</v>
      </c>
      <c r="D34" s="34" t="s">
        <v>11776</v>
      </c>
    </row>
    <row r="35" spans="1:16" s="28" customFormat="1" ht="15.5">
      <c r="A35" s="47">
        <v>24</v>
      </c>
      <c r="B35" s="44"/>
      <c r="C35" s="44">
        <v>21</v>
      </c>
      <c r="D35" s="34" t="s">
        <v>11777</v>
      </c>
    </row>
    <row r="36" spans="1:16" s="28" customFormat="1" ht="15.5">
      <c r="A36" s="47">
        <v>25</v>
      </c>
      <c r="B36" s="44"/>
      <c r="C36" s="44">
        <v>22</v>
      </c>
      <c r="D36" s="34" t="s">
        <v>11778</v>
      </c>
    </row>
    <row r="37" spans="1:16" s="28" customFormat="1" ht="31.75" customHeight="1">
      <c r="A37" s="47">
        <v>26</v>
      </c>
      <c r="B37" s="44"/>
      <c r="C37" s="44">
        <v>23</v>
      </c>
      <c r="D37" s="38" t="s">
        <v>11831</v>
      </c>
    </row>
    <row r="38" spans="1:16" s="28" customFormat="1" ht="27.65" customHeight="1">
      <c r="A38" s="47"/>
      <c r="B38" s="44">
        <v>7</v>
      </c>
      <c r="C38" s="44">
        <v>23</v>
      </c>
      <c r="D38" s="38" t="s">
        <v>11780</v>
      </c>
    </row>
    <row r="39" spans="1:16" s="28" customFormat="1" ht="15.5">
      <c r="A39" s="47">
        <v>27</v>
      </c>
      <c r="B39" s="44"/>
      <c r="C39" s="44">
        <v>24</v>
      </c>
      <c r="D39" s="34" t="s">
        <v>11853</v>
      </c>
      <c r="E39" s="29"/>
      <c r="F39" s="29"/>
      <c r="G39" s="29"/>
      <c r="H39" s="29"/>
      <c r="I39" s="29"/>
      <c r="J39" s="29"/>
      <c r="K39" s="29"/>
      <c r="L39" s="29"/>
      <c r="M39" s="29"/>
      <c r="N39" s="29"/>
      <c r="O39" s="29"/>
      <c r="P39" s="29"/>
    </row>
    <row r="40" spans="1:16" s="28" customFormat="1" ht="15.5">
      <c r="A40" s="47"/>
      <c r="B40" s="44">
        <v>8</v>
      </c>
      <c r="C40" s="44">
        <v>24</v>
      </c>
      <c r="D40" s="34" t="s">
        <v>11782</v>
      </c>
    </row>
    <row r="41" spans="1:16" s="28" customFormat="1" ht="18.649999999999999" customHeight="1">
      <c r="A41" s="47"/>
      <c r="B41" s="44">
        <v>9</v>
      </c>
      <c r="C41" s="44" t="s">
        <v>1953</v>
      </c>
      <c r="D41" s="34" t="s">
        <v>11783</v>
      </c>
    </row>
    <row r="42" spans="1:16" s="28" customFormat="1" ht="15.5">
      <c r="A42" s="47"/>
      <c r="B42" s="44">
        <v>10</v>
      </c>
      <c r="C42" s="44">
        <v>26</v>
      </c>
      <c r="D42" s="34" t="s">
        <v>11832</v>
      </c>
    </row>
    <row r="43" spans="1:16" s="28" customFormat="1" ht="15.5">
      <c r="A43" s="1747">
        <v>28</v>
      </c>
      <c r="B43" s="44"/>
      <c r="C43" s="1742">
        <v>27</v>
      </c>
      <c r="D43" s="40" t="s">
        <v>11785</v>
      </c>
    </row>
    <row r="44" spans="1:16" s="28" customFormat="1" ht="17.5" customHeight="1">
      <c r="A44" s="1748"/>
      <c r="B44" s="44"/>
      <c r="C44" s="1743"/>
      <c r="D44" s="1711" t="s">
        <v>1783</v>
      </c>
    </row>
    <row r="45" spans="1:16" s="28" customFormat="1" ht="15.5">
      <c r="A45" s="1748"/>
      <c r="B45" s="44"/>
      <c r="C45" s="1743"/>
      <c r="D45" s="40" t="s">
        <v>909</v>
      </c>
    </row>
    <row r="46" spans="1:16" s="28" customFormat="1" ht="15.5">
      <c r="A46" s="1748"/>
      <c r="B46" s="44"/>
      <c r="C46" s="1744"/>
      <c r="D46" s="40" t="s">
        <v>910</v>
      </c>
    </row>
    <row r="47" spans="1:16" s="28" customFormat="1" ht="15.5">
      <c r="A47" s="1749"/>
      <c r="B47" s="44"/>
      <c r="C47" s="1742">
        <v>28</v>
      </c>
      <c r="D47" s="40" t="s">
        <v>1954</v>
      </c>
    </row>
    <row r="48" spans="1:16" s="28" customFormat="1" ht="15.5">
      <c r="A48" s="47"/>
      <c r="B48" s="44">
        <v>11</v>
      </c>
      <c r="C48" s="1744"/>
      <c r="D48" s="40" t="s">
        <v>11786</v>
      </c>
    </row>
    <row r="49" spans="1:4" s="28" customFormat="1" ht="15.5">
      <c r="A49" s="47"/>
      <c r="B49" s="44">
        <v>12</v>
      </c>
      <c r="C49" s="1742">
        <v>29</v>
      </c>
      <c r="D49" s="41" t="s">
        <v>11787</v>
      </c>
    </row>
    <row r="50" spans="1:4" s="28" customFormat="1" ht="15.5">
      <c r="A50" s="47">
        <v>29</v>
      </c>
      <c r="B50" s="44"/>
      <c r="C50" s="1744"/>
      <c r="D50" s="40" t="s">
        <v>11789</v>
      </c>
    </row>
    <row r="51" spans="1:4" s="28" customFormat="1" ht="15.5">
      <c r="A51" s="47">
        <v>30</v>
      </c>
      <c r="B51" s="44"/>
      <c r="C51" s="1742">
        <v>30</v>
      </c>
      <c r="D51" s="40" t="s">
        <v>11790</v>
      </c>
    </row>
    <row r="52" spans="1:4" s="28" customFormat="1" ht="15.5">
      <c r="A52" s="47">
        <v>31</v>
      </c>
      <c r="B52" s="44"/>
      <c r="C52" s="1743"/>
      <c r="D52" s="40" t="s">
        <v>11791</v>
      </c>
    </row>
    <row r="53" spans="1:4" s="28" customFormat="1" ht="15.5">
      <c r="A53" s="47">
        <v>32</v>
      </c>
      <c r="B53" s="44"/>
      <c r="C53" s="1744"/>
      <c r="D53" s="40" t="s">
        <v>11851</v>
      </c>
    </row>
    <row r="54" spans="1:4" s="28" customFormat="1" ht="15.5">
      <c r="A54" s="47"/>
      <c r="B54" s="44">
        <v>13</v>
      </c>
      <c r="C54" s="44">
        <v>31</v>
      </c>
      <c r="D54" s="40" t="s">
        <v>11794</v>
      </c>
    </row>
    <row r="55" spans="1:4" s="28" customFormat="1" ht="15.5">
      <c r="A55" s="47"/>
      <c r="B55" s="44">
        <v>14</v>
      </c>
      <c r="C55" s="44">
        <v>32</v>
      </c>
      <c r="D55" s="34" t="s">
        <v>11796</v>
      </c>
    </row>
    <row r="56" spans="1:4" s="28" customFormat="1" ht="15.5">
      <c r="A56" s="47"/>
      <c r="B56" s="44">
        <v>15</v>
      </c>
      <c r="C56" s="44">
        <v>33</v>
      </c>
      <c r="D56" s="34" t="s">
        <v>11833</v>
      </c>
    </row>
    <row r="57" spans="1:4" s="28" customFormat="1" ht="15.5">
      <c r="A57" s="47"/>
      <c r="B57" s="44">
        <v>16</v>
      </c>
      <c r="C57" s="44">
        <v>34</v>
      </c>
      <c r="D57" s="40" t="s">
        <v>11797</v>
      </c>
    </row>
    <row r="58" spans="1:4" s="28" customFormat="1" ht="15.5">
      <c r="A58" s="47"/>
      <c r="B58" s="44">
        <v>17</v>
      </c>
      <c r="C58" s="1742">
        <v>35</v>
      </c>
      <c r="D58" s="40" t="s">
        <v>11798</v>
      </c>
    </row>
    <row r="59" spans="1:4" s="28" customFormat="1" ht="15.5">
      <c r="A59" s="47"/>
      <c r="B59" s="44">
        <v>18</v>
      </c>
      <c r="C59" s="1743"/>
      <c r="D59" s="34" t="s">
        <v>11799</v>
      </c>
    </row>
    <row r="60" spans="1:4" s="28" customFormat="1" ht="15.5">
      <c r="A60" s="47"/>
      <c r="B60" s="44">
        <v>19</v>
      </c>
      <c r="C60" s="1743"/>
      <c r="D60" s="40" t="s">
        <v>11800</v>
      </c>
    </row>
    <row r="61" spans="1:4" s="28" customFormat="1" ht="15.5">
      <c r="A61" s="47"/>
      <c r="B61" s="44">
        <v>20</v>
      </c>
      <c r="C61" s="1744"/>
      <c r="D61" s="40" t="s">
        <v>11801</v>
      </c>
    </row>
    <row r="62" spans="1:4" s="28" customFormat="1" ht="15.5">
      <c r="A62" s="47"/>
      <c r="B62" s="44">
        <v>21</v>
      </c>
      <c r="C62" s="1742">
        <v>36</v>
      </c>
      <c r="D62" s="40" t="s">
        <v>11802</v>
      </c>
    </row>
    <row r="63" spans="1:4" s="28" customFormat="1" ht="15.5">
      <c r="A63" s="47"/>
      <c r="B63" s="44">
        <v>22</v>
      </c>
      <c r="C63" s="1743"/>
      <c r="D63" s="42" t="s">
        <v>11803</v>
      </c>
    </row>
    <row r="64" spans="1:4" s="28" customFormat="1" ht="15.5">
      <c r="A64" s="47"/>
      <c r="B64" s="44">
        <v>23</v>
      </c>
      <c r="C64" s="1744"/>
      <c r="D64" s="42" t="s">
        <v>11804</v>
      </c>
    </row>
    <row r="65" spans="1:4" s="28" customFormat="1" ht="15.5">
      <c r="A65" s="47"/>
      <c r="B65" s="44">
        <v>24</v>
      </c>
      <c r="C65" s="1742">
        <v>37</v>
      </c>
      <c r="D65" s="34" t="s">
        <v>11805</v>
      </c>
    </row>
    <row r="66" spans="1:4" s="28" customFormat="1" ht="15.5">
      <c r="A66" s="47"/>
      <c r="B66" s="44">
        <v>25</v>
      </c>
      <c r="C66" s="1744"/>
      <c r="D66" s="34" t="s">
        <v>11806</v>
      </c>
    </row>
    <row r="67" spans="1:4" s="28" customFormat="1" ht="15.5">
      <c r="A67" s="47"/>
      <c r="B67" s="44">
        <v>26</v>
      </c>
      <c r="C67" s="44">
        <v>38</v>
      </c>
      <c r="D67" s="34" t="s">
        <v>11807</v>
      </c>
    </row>
    <row r="68" spans="1:4" s="28" customFormat="1" ht="15.5">
      <c r="A68" s="47"/>
      <c r="B68" s="44">
        <v>27</v>
      </c>
      <c r="C68" s="44">
        <v>39</v>
      </c>
      <c r="D68" s="40" t="s">
        <v>11838</v>
      </c>
    </row>
    <row r="69" spans="1:4" s="28" customFormat="1" ht="15.5">
      <c r="A69" s="47">
        <v>33</v>
      </c>
      <c r="B69" s="44"/>
      <c r="C69" s="44">
        <v>40</v>
      </c>
      <c r="D69" s="40" t="s">
        <v>11809</v>
      </c>
    </row>
    <row r="70" spans="1:4" s="28" customFormat="1">
      <c r="A70" s="1712">
        <v>34</v>
      </c>
      <c r="B70" s="1713"/>
      <c r="C70" s="1713">
        <v>41</v>
      </c>
      <c r="D70" s="40" t="s">
        <v>11810</v>
      </c>
    </row>
    <row r="71" spans="1:4" s="28" customFormat="1">
      <c r="A71" s="1712"/>
      <c r="B71" s="1713"/>
      <c r="C71" s="1713">
        <v>42</v>
      </c>
      <c r="D71" s="42" t="s">
        <v>1521</v>
      </c>
    </row>
    <row r="72" spans="1:4" s="28" customFormat="1">
      <c r="A72" s="1712">
        <v>35</v>
      </c>
      <c r="B72" s="1713"/>
      <c r="C72" s="1714" t="s">
        <v>1849</v>
      </c>
      <c r="D72" s="40" t="s">
        <v>11834</v>
      </c>
    </row>
    <row r="73" spans="1:4" s="28" customFormat="1">
      <c r="A73" s="1712">
        <v>36</v>
      </c>
      <c r="B73" s="1713"/>
      <c r="C73" s="1715">
        <v>44</v>
      </c>
      <c r="D73" s="40" t="s">
        <v>11812</v>
      </c>
    </row>
    <row r="74" spans="1:4" s="28" customFormat="1">
      <c r="A74" s="1712"/>
      <c r="B74" s="1752">
        <v>28</v>
      </c>
      <c r="C74" s="1716">
        <v>45</v>
      </c>
      <c r="D74" s="40" t="s">
        <v>11835</v>
      </c>
    </row>
    <row r="75" spans="1:4" s="28" customFormat="1">
      <c r="A75" s="1712"/>
      <c r="B75" s="1753"/>
      <c r="C75" s="1717"/>
      <c r="D75" s="40" t="s">
        <v>1532</v>
      </c>
    </row>
    <row r="76" spans="1:4" s="28" customFormat="1">
      <c r="A76" s="1712"/>
      <c r="B76" s="1753"/>
      <c r="C76" s="1757">
        <v>46</v>
      </c>
      <c r="D76" s="40" t="s">
        <v>1545</v>
      </c>
    </row>
    <row r="77" spans="1:4" s="28" customFormat="1">
      <c r="A77" s="1712"/>
      <c r="B77" s="1753"/>
      <c r="C77" s="1757"/>
      <c r="D77" s="1718" t="s">
        <v>1552</v>
      </c>
    </row>
    <row r="78" spans="1:4" s="28" customFormat="1">
      <c r="A78" s="1712"/>
      <c r="B78" s="1753"/>
      <c r="C78" s="1757"/>
      <c r="D78" s="1718" t="s">
        <v>1559</v>
      </c>
    </row>
    <row r="79" spans="1:4" s="28" customFormat="1">
      <c r="A79" s="1712"/>
      <c r="B79" s="1754"/>
      <c r="C79" s="1715">
        <v>47</v>
      </c>
      <c r="D79" s="1718" t="s">
        <v>1564</v>
      </c>
    </row>
    <row r="80" spans="1:4" s="28" customFormat="1">
      <c r="A80" s="1712"/>
      <c r="B80" s="1752">
        <v>29</v>
      </c>
      <c r="C80" s="1755">
        <v>48</v>
      </c>
      <c r="D80" s="40" t="s">
        <v>11836</v>
      </c>
    </row>
    <row r="81" spans="1:4" s="28" customFormat="1">
      <c r="A81" s="1712"/>
      <c r="B81" s="1753"/>
      <c r="C81" s="1756"/>
      <c r="D81" s="40" t="s">
        <v>1571</v>
      </c>
    </row>
    <row r="82" spans="1:4" s="28" customFormat="1">
      <c r="A82" s="1712"/>
      <c r="B82" s="1754"/>
      <c r="C82" s="1715">
        <v>49</v>
      </c>
      <c r="D82" s="40" t="s">
        <v>1593</v>
      </c>
    </row>
    <row r="83" spans="1:4" s="28" customFormat="1">
      <c r="A83" s="1712"/>
      <c r="B83" s="1752">
        <v>30</v>
      </c>
      <c r="C83" s="1755">
        <v>50</v>
      </c>
      <c r="D83" s="40" t="s">
        <v>11837</v>
      </c>
    </row>
    <row r="84" spans="1:4" s="28" customFormat="1" ht="18.649999999999999" customHeight="1">
      <c r="A84" s="1712"/>
      <c r="B84" s="1753"/>
      <c r="C84" s="1756"/>
      <c r="D84" s="40" t="s">
        <v>1598</v>
      </c>
    </row>
    <row r="85" spans="1:4" s="28" customFormat="1">
      <c r="A85" s="1712"/>
      <c r="B85" s="1753"/>
      <c r="C85" s="1713">
        <v>51</v>
      </c>
      <c r="D85" s="40" t="s">
        <v>1632</v>
      </c>
    </row>
    <row r="86" spans="1:4" s="28" customFormat="1">
      <c r="A86" s="1712"/>
      <c r="B86" s="1753"/>
      <c r="C86" s="1719">
        <v>52</v>
      </c>
      <c r="D86" s="40" t="s">
        <v>1759</v>
      </c>
    </row>
    <row r="87" spans="1:4" s="28" customFormat="1">
      <c r="A87" s="1712"/>
      <c r="B87" s="1753"/>
      <c r="C87" s="1719" t="s">
        <v>1952</v>
      </c>
      <c r="D87" s="1718" t="s">
        <v>1760</v>
      </c>
    </row>
    <row r="88" spans="1:4" s="28" customFormat="1" ht="18" customHeight="1">
      <c r="A88" s="1720"/>
      <c r="B88" s="1752">
        <v>31</v>
      </c>
      <c r="C88" s="1755">
        <v>55</v>
      </c>
      <c r="D88" s="40" t="s">
        <v>11817</v>
      </c>
    </row>
    <row r="89" spans="1:4" s="28" customFormat="1" ht="15.65" customHeight="1">
      <c r="A89" s="1720"/>
      <c r="B89" s="1753"/>
      <c r="C89" s="1757"/>
      <c r="D89" s="42" t="s">
        <v>1698</v>
      </c>
    </row>
    <row r="90" spans="1:4" s="28" customFormat="1" ht="15.65" customHeight="1">
      <c r="A90" s="1720"/>
      <c r="B90" s="1753"/>
      <c r="C90" s="1757"/>
      <c r="D90" s="40" t="s">
        <v>1702</v>
      </c>
    </row>
    <row r="91" spans="1:4" s="28" customFormat="1" ht="15.65" customHeight="1">
      <c r="A91" s="1720"/>
      <c r="B91" s="1753"/>
      <c r="C91" s="1721">
        <v>56</v>
      </c>
      <c r="D91" s="40" t="s">
        <v>1818</v>
      </c>
    </row>
    <row r="92" spans="1:4" s="28" customFormat="1">
      <c r="A92" s="1720"/>
      <c r="B92" s="1753"/>
      <c r="C92" s="1722">
        <v>57</v>
      </c>
      <c r="D92" s="40" t="s">
        <v>1756</v>
      </c>
    </row>
    <row r="93" spans="1:4" s="28" customFormat="1">
      <c r="A93" s="1720"/>
      <c r="B93" s="1754"/>
      <c r="C93" s="1723">
        <v>58</v>
      </c>
      <c r="D93" s="40" t="s">
        <v>1758</v>
      </c>
    </row>
    <row r="94" spans="1:4" s="28" customFormat="1">
      <c r="A94" s="1724"/>
      <c r="B94" s="1725"/>
      <c r="C94" s="1723">
        <v>59</v>
      </c>
      <c r="D94" s="1726" t="s">
        <v>1842</v>
      </c>
    </row>
    <row r="95" spans="1:4" s="28" customFormat="1" ht="18" customHeight="1" thickBot="1">
      <c r="A95" s="1727"/>
      <c r="B95" s="1714">
        <v>32</v>
      </c>
      <c r="C95" s="1728">
        <v>60</v>
      </c>
      <c r="D95" s="1726" t="s">
        <v>11830</v>
      </c>
    </row>
    <row r="96" spans="1:4" s="28" customFormat="1" ht="5.5" customHeight="1">
      <c r="A96" s="52"/>
      <c r="B96" s="50"/>
      <c r="C96" s="51"/>
      <c r="D96" s="53"/>
    </row>
    <row r="97" spans="1:4" ht="22.5">
      <c r="A97" s="1758" t="s">
        <v>11745</v>
      </c>
      <c r="B97" s="1758"/>
      <c r="C97" s="1758"/>
    </row>
    <row r="98" spans="1:4" ht="22.5">
      <c r="A98" s="1707">
        <v>36</v>
      </c>
      <c r="B98" s="1707">
        <v>32</v>
      </c>
      <c r="C98" s="1707">
        <v>60</v>
      </c>
    </row>
    <row r="99" spans="1:4" s="28" customFormat="1">
      <c r="A99" s="49"/>
      <c r="B99" s="51"/>
      <c r="C99" s="51"/>
      <c r="D99" s="48"/>
    </row>
    <row r="100" spans="1:4" s="28" customFormat="1" ht="15.5">
      <c r="A100" s="1751" t="s">
        <v>1356</v>
      </c>
      <c r="B100" s="1751"/>
      <c r="C100" s="1751"/>
      <c r="D100" s="48"/>
    </row>
    <row r="101" spans="1:4" s="28" customFormat="1" ht="20">
      <c r="A101" s="65">
        <v>36</v>
      </c>
      <c r="B101" s="65">
        <v>32</v>
      </c>
      <c r="C101" s="68">
        <v>60</v>
      </c>
      <c r="D101" s="48"/>
    </row>
    <row r="103" spans="1:4" s="28" customFormat="1" ht="18" customHeight="1">
      <c r="A103" s="1750" t="s">
        <v>11745</v>
      </c>
      <c r="B103" s="1750"/>
      <c r="C103" s="1750"/>
      <c r="D103" s="48"/>
    </row>
    <row r="104" spans="1:4" s="28" customFormat="1" ht="20">
      <c r="A104" s="66">
        <v>32</v>
      </c>
      <c r="B104" s="66">
        <v>33</v>
      </c>
      <c r="C104" s="67">
        <v>48</v>
      </c>
      <c r="D104" s="48"/>
    </row>
  </sheetData>
  <sheetProtection algorithmName="SHA-512" hashValue="1ZhCfcDtZlB4mEWK/5qHe6iJcc96GjT8h6F60/xN3DLvYMvyvWQz8pDN7ZByvTCnZnESDjF+8DiBYAxwoRBPSw==" saltValue="H+u/DzGhoPZxl/RjnQRCeA==" spinCount="100000" sheet="1" objects="1" scenarios="1"/>
  <mergeCells count="21">
    <mergeCell ref="A103:C103"/>
    <mergeCell ref="A100:C100"/>
    <mergeCell ref="C49:C50"/>
    <mergeCell ref="C51:C53"/>
    <mergeCell ref="C58:C61"/>
    <mergeCell ref="C62:C64"/>
    <mergeCell ref="C65:C66"/>
    <mergeCell ref="B88:B93"/>
    <mergeCell ref="B83:B87"/>
    <mergeCell ref="B74:B79"/>
    <mergeCell ref="C83:C84"/>
    <mergeCell ref="C76:C78"/>
    <mergeCell ref="C80:C81"/>
    <mergeCell ref="B80:B82"/>
    <mergeCell ref="C88:C90"/>
    <mergeCell ref="A97:C97"/>
    <mergeCell ref="A2:D2"/>
    <mergeCell ref="C43:C46"/>
    <mergeCell ref="C5:C6"/>
    <mergeCell ref="A43:A47"/>
    <mergeCell ref="C47:C48"/>
  </mergeCells>
  <printOptions horizontalCentered="1" verticalCentered="1"/>
  <pageMargins left="0.25" right="0.25" top="0.2" bottom="0.2" header="0" footer="0.1"/>
  <pageSetup paperSize="9" scale="46"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B1:AV45"/>
  <sheetViews>
    <sheetView showGridLines="0" topLeftCell="F1" zoomScaleNormal="100" zoomScaleSheetLayoutView="80" workbookViewId="0">
      <selection activeCell="AH29" sqref="AH29:AV29"/>
    </sheetView>
  </sheetViews>
  <sheetFormatPr defaultRowHeight="15.5"/>
  <cols>
    <col min="1" max="1" width="2.08203125" style="125" customWidth="1"/>
    <col min="2" max="48" width="3.58203125" style="125" customWidth="1"/>
    <col min="49" max="49" width="2.08203125" style="125" customWidth="1"/>
    <col min="50" max="50" width="9" style="125" customWidth="1"/>
    <col min="51" max="257" width="9" style="125"/>
    <col min="258" max="258" width="2.08203125" style="125" customWidth="1"/>
    <col min="259" max="304" width="3.58203125" style="125" customWidth="1"/>
    <col min="305" max="305" width="1.58203125" style="125" customWidth="1"/>
    <col min="306" max="306" width="2.08203125" style="125" customWidth="1"/>
    <col min="307" max="513" width="9" style="125"/>
    <col min="514" max="514" width="2.08203125" style="125" customWidth="1"/>
    <col min="515" max="560" width="3.58203125" style="125" customWidth="1"/>
    <col min="561" max="561" width="1.58203125" style="125" customWidth="1"/>
    <col min="562" max="562" width="2.08203125" style="125" customWidth="1"/>
    <col min="563" max="769" width="9" style="125"/>
    <col min="770" max="770" width="2.08203125" style="125" customWidth="1"/>
    <col min="771" max="816" width="3.58203125" style="125" customWidth="1"/>
    <col min="817" max="817" width="1.58203125" style="125" customWidth="1"/>
    <col min="818" max="818" width="2.08203125" style="125" customWidth="1"/>
    <col min="819" max="1025" width="9" style="125"/>
    <col min="1026" max="1026" width="2.08203125" style="125" customWidth="1"/>
    <col min="1027" max="1072" width="3.58203125" style="125" customWidth="1"/>
    <col min="1073" max="1073" width="1.58203125" style="125" customWidth="1"/>
    <col min="1074" max="1074" width="2.08203125" style="125" customWidth="1"/>
    <col min="1075" max="1281" width="9" style="125"/>
    <col min="1282" max="1282" width="2.08203125" style="125" customWidth="1"/>
    <col min="1283" max="1328" width="3.58203125" style="125" customWidth="1"/>
    <col min="1329" max="1329" width="1.58203125" style="125" customWidth="1"/>
    <col min="1330" max="1330" width="2.08203125" style="125" customWidth="1"/>
    <col min="1331" max="1537" width="9" style="125"/>
    <col min="1538" max="1538" width="2.08203125" style="125" customWidth="1"/>
    <col min="1539" max="1584" width="3.58203125" style="125" customWidth="1"/>
    <col min="1585" max="1585" width="1.58203125" style="125" customWidth="1"/>
    <col min="1586" max="1586" width="2.08203125" style="125" customWidth="1"/>
    <col min="1587" max="1793" width="9" style="125"/>
    <col min="1794" max="1794" width="2.08203125" style="125" customWidth="1"/>
    <col min="1795" max="1840" width="3.58203125" style="125" customWidth="1"/>
    <col min="1841" max="1841" width="1.58203125" style="125" customWidth="1"/>
    <col min="1842" max="1842" width="2.08203125" style="125" customWidth="1"/>
    <col min="1843" max="2049" width="9" style="125"/>
    <col min="2050" max="2050" width="2.08203125" style="125" customWidth="1"/>
    <col min="2051" max="2096" width="3.58203125" style="125" customWidth="1"/>
    <col min="2097" max="2097" width="1.58203125" style="125" customWidth="1"/>
    <col min="2098" max="2098" width="2.08203125" style="125" customWidth="1"/>
    <col min="2099" max="2305" width="9" style="125"/>
    <col min="2306" max="2306" width="2.08203125" style="125" customWidth="1"/>
    <col min="2307" max="2352" width="3.58203125" style="125" customWidth="1"/>
    <col min="2353" max="2353" width="1.58203125" style="125" customWidth="1"/>
    <col min="2354" max="2354" width="2.08203125" style="125" customWidth="1"/>
    <col min="2355" max="2561" width="9" style="125"/>
    <col min="2562" max="2562" width="2.08203125" style="125" customWidth="1"/>
    <col min="2563" max="2608" width="3.58203125" style="125" customWidth="1"/>
    <col min="2609" max="2609" width="1.58203125" style="125" customWidth="1"/>
    <col min="2610" max="2610" width="2.08203125" style="125" customWidth="1"/>
    <col min="2611" max="2817" width="9" style="125"/>
    <col min="2818" max="2818" width="2.08203125" style="125" customWidth="1"/>
    <col min="2819" max="2864" width="3.58203125" style="125" customWidth="1"/>
    <col min="2865" max="2865" width="1.58203125" style="125" customWidth="1"/>
    <col min="2866" max="2866" width="2.08203125" style="125" customWidth="1"/>
    <col min="2867" max="3073" width="9" style="125"/>
    <col min="3074" max="3074" width="2.08203125" style="125" customWidth="1"/>
    <col min="3075" max="3120" width="3.58203125" style="125" customWidth="1"/>
    <col min="3121" max="3121" width="1.58203125" style="125" customWidth="1"/>
    <col min="3122" max="3122" width="2.08203125" style="125" customWidth="1"/>
    <col min="3123" max="3329" width="9" style="125"/>
    <col min="3330" max="3330" width="2.08203125" style="125" customWidth="1"/>
    <col min="3331" max="3376" width="3.58203125" style="125" customWidth="1"/>
    <col min="3377" max="3377" width="1.58203125" style="125" customWidth="1"/>
    <col min="3378" max="3378" width="2.08203125" style="125" customWidth="1"/>
    <col min="3379" max="3585" width="9" style="125"/>
    <col min="3586" max="3586" width="2.08203125" style="125" customWidth="1"/>
    <col min="3587" max="3632" width="3.58203125" style="125" customWidth="1"/>
    <col min="3633" max="3633" width="1.58203125" style="125" customWidth="1"/>
    <col min="3634" max="3634" width="2.08203125" style="125" customWidth="1"/>
    <col min="3635" max="3841" width="9" style="125"/>
    <col min="3842" max="3842" width="2.08203125" style="125" customWidth="1"/>
    <col min="3843" max="3888" width="3.58203125" style="125" customWidth="1"/>
    <col min="3889" max="3889" width="1.58203125" style="125" customWidth="1"/>
    <col min="3890" max="3890" width="2.08203125" style="125" customWidth="1"/>
    <col min="3891" max="4097" width="9" style="125"/>
    <col min="4098" max="4098" width="2.08203125" style="125" customWidth="1"/>
    <col min="4099" max="4144" width="3.58203125" style="125" customWidth="1"/>
    <col min="4145" max="4145" width="1.58203125" style="125" customWidth="1"/>
    <col min="4146" max="4146" width="2.08203125" style="125" customWidth="1"/>
    <col min="4147" max="4353" width="9" style="125"/>
    <col min="4354" max="4354" width="2.08203125" style="125" customWidth="1"/>
    <col min="4355" max="4400" width="3.58203125" style="125" customWidth="1"/>
    <col min="4401" max="4401" width="1.58203125" style="125" customWidth="1"/>
    <col min="4402" max="4402" width="2.08203125" style="125" customWidth="1"/>
    <col min="4403" max="4609" width="9" style="125"/>
    <col min="4610" max="4610" width="2.08203125" style="125" customWidth="1"/>
    <col min="4611" max="4656" width="3.58203125" style="125" customWidth="1"/>
    <col min="4657" max="4657" width="1.58203125" style="125" customWidth="1"/>
    <col min="4658" max="4658" width="2.08203125" style="125" customWidth="1"/>
    <col min="4659" max="4865" width="9" style="125"/>
    <col min="4866" max="4866" width="2.08203125" style="125" customWidth="1"/>
    <col min="4867" max="4912" width="3.58203125" style="125" customWidth="1"/>
    <col min="4913" max="4913" width="1.58203125" style="125" customWidth="1"/>
    <col min="4914" max="4914" width="2.08203125" style="125" customWidth="1"/>
    <col min="4915" max="5121" width="9" style="125"/>
    <col min="5122" max="5122" width="2.08203125" style="125" customWidth="1"/>
    <col min="5123" max="5168" width="3.58203125" style="125" customWidth="1"/>
    <col min="5169" max="5169" width="1.58203125" style="125" customWidth="1"/>
    <col min="5170" max="5170" width="2.08203125" style="125" customWidth="1"/>
    <col min="5171" max="5377" width="9" style="125"/>
    <col min="5378" max="5378" width="2.08203125" style="125" customWidth="1"/>
    <col min="5379" max="5424" width="3.58203125" style="125" customWidth="1"/>
    <col min="5425" max="5425" width="1.58203125" style="125" customWidth="1"/>
    <col min="5426" max="5426" width="2.08203125" style="125" customWidth="1"/>
    <col min="5427" max="5633" width="9" style="125"/>
    <col min="5634" max="5634" width="2.08203125" style="125" customWidth="1"/>
    <col min="5635" max="5680" width="3.58203125" style="125" customWidth="1"/>
    <col min="5681" max="5681" width="1.58203125" style="125" customWidth="1"/>
    <col min="5682" max="5682" width="2.08203125" style="125" customWidth="1"/>
    <col min="5683" max="5889" width="9" style="125"/>
    <col min="5890" max="5890" width="2.08203125" style="125" customWidth="1"/>
    <col min="5891" max="5936" width="3.58203125" style="125" customWidth="1"/>
    <col min="5937" max="5937" width="1.58203125" style="125" customWidth="1"/>
    <col min="5938" max="5938" width="2.08203125" style="125" customWidth="1"/>
    <col min="5939" max="6145" width="9" style="125"/>
    <col min="6146" max="6146" width="2.08203125" style="125" customWidth="1"/>
    <col min="6147" max="6192" width="3.58203125" style="125" customWidth="1"/>
    <col min="6193" max="6193" width="1.58203125" style="125" customWidth="1"/>
    <col min="6194" max="6194" width="2.08203125" style="125" customWidth="1"/>
    <col min="6195" max="6401" width="9" style="125"/>
    <col min="6402" max="6402" width="2.08203125" style="125" customWidth="1"/>
    <col min="6403" max="6448" width="3.58203125" style="125" customWidth="1"/>
    <col min="6449" max="6449" width="1.58203125" style="125" customWidth="1"/>
    <col min="6450" max="6450" width="2.08203125" style="125" customWidth="1"/>
    <col min="6451" max="6657" width="9" style="125"/>
    <col min="6658" max="6658" width="2.08203125" style="125" customWidth="1"/>
    <col min="6659" max="6704" width="3.58203125" style="125" customWidth="1"/>
    <col min="6705" max="6705" width="1.58203125" style="125" customWidth="1"/>
    <col min="6706" max="6706" width="2.08203125" style="125" customWidth="1"/>
    <col min="6707" max="6913" width="9" style="125"/>
    <col min="6914" max="6914" width="2.08203125" style="125" customWidth="1"/>
    <col min="6915" max="6960" width="3.58203125" style="125" customWidth="1"/>
    <col min="6961" max="6961" width="1.58203125" style="125" customWidth="1"/>
    <col min="6962" max="6962" width="2.08203125" style="125" customWidth="1"/>
    <col min="6963" max="7169" width="9" style="125"/>
    <col min="7170" max="7170" width="2.08203125" style="125" customWidth="1"/>
    <col min="7171" max="7216" width="3.58203125" style="125" customWidth="1"/>
    <col min="7217" max="7217" width="1.58203125" style="125" customWidth="1"/>
    <col min="7218" max="7218" width="2.08203125" style="125" customWidth="1"/>
    <col min="7219" max="7425" width="9" style="125"/>
    <col min="7426" max="7426" width="2.08203125" style="125" customWidth="1"/>
    <col min="7427" max="7472" width="3.58203125" style="125" customWidth="1"/>
    <col min="7473" max="7473" width="1.58203125" style="125" customWidth="1"/>
    <col min="7474" max="7474" width="2.08203125" style="125" customWidth="1"/>
    <col min="7475" max="7681" width="9" style="125"/>
    <col min="7682" max="7682" width="2.08203125" style="125" customWidth="1"/>
    <col min="7683" max="7728" width="3.58203125" style="125" customWidth="1"/>
    <col min="7729" max="7729" width="1.58203125" style="125" customWidth="1"/>
    <col min="7730" max="7730" width="2.08203125" style="125" customWidth="1"/>
    <col min="7731" max="7937" width="9" style="125"/>
    <col min="7938" max="7938" width="2.08203125" style="125" customWidth="1"/>
    <col min="7939" max="7984" width="3.58203125" style="125" customWidth="1"/>
    <col min="7985" max="7985" width="1.58203125" style="125" customWidth="1"/>
    <col min="7986" max="7986" width="2.08203125" style="125" customWidth="1"/>
    <col min="7987" max="8193" width="9" style="125"/>
    <col min="8194" max="8194" width="2.08203125" style="125" customWidth="1"/>
    <col min="8195" max="8240" width="3.58203125" style="125" customWidth="1"/>
    <col min="8241" max="8241" width="1.58203125" style="125" customWidth="1"/>
    <col min="8242" max="8242" width="2.08203125" style="125" customWidth="1"/>
    <col min="8243" max="8449" width="9" style="125"/>
    <col min="8450" max="8450" width="2.08203125" style="125" customWidth="1"/>
    <col min="8451" max="8496" width="3.58203125" style="125" customWidth="1"/>
    <col min="8497" max="8497" width="1.58203125" style="125" customWidth="1"/>
    <col min="8498" max="8498" width="2.08203125" style="125" customWidth="1"/>
    <col min="8499" max="8705" width="9" style="125"/>
    <col min="8706" max="8706" width="2.08203125" style="125" customWidth="1"/>
    <col min="8707" max="8752" width="3.58203125" style="125" customWidth="1"/>
    <col min="8753" max="8753" width="1.58203125" style="125" customWidth="1"/>
    <col min="8754" max="8754" width="2.08203125" style="125" customWidth="1"/>
    <col min="8755" max="8961" width="9" style="125"/>
    <col min="8962" max="8962" width="2.08203125" style="125" customWidth="1"/>
    <col min="8963" max="9008" width="3.58203125" style="125" customWidth="1"/>
    <col min="9009" max="9009" width="1.58203125" style="125" customWidth="1"/>
    <col min="9010" max="9010" width="2.08203125" style="125" customWidth="1"/>
    <col min="9011" max="9217" width="9" style="125"/>
    <col min="9218" max="9218" width="2.08203125" style="125" customWidth="1"/>
    <col min="9219" max="9264" width="3.58203125" style="125" customWidth="1"/>
    <col min="9265" max="9265" width="1.58203125" style="125" customWidth="1"/>
    <col min="9266" max="9266" width="2.08203125" style="125" customWidth="1"/>
    <col min="9267" max="9473" width="9" style="125"/>
    <col min="9474" max="9474" width="2.08203125" style="125" customWidth="1"/>
    <col min="9475" max="9520" width="3.58203125" style="125" customWidth="1"/>
    <col min="9521" max="9521" width="1.58203125" style="125" customWidth="1"/>
    <col min="9522" max="9522" width="2.08203125" style="125" customWidth="1"/>
    <col min="9523" max="9729" width="9" style="125"/>
    <col min="9730" max="9730" width="2.08203125" style="125" customWidth="1"/>
    <col min="9731" max="9776" width="3.58203125" style="125" customWidth="1"/>
    <col min="9777" max="9777" width="1.58203125" style="125" customWidth="1"/>
    <col min="9778" max="9778" width="2.08203125" style="125" customWidth="1"/>
    <col min="9779" max="9985" width="9" style="125"/>
    <col min="9986" max="9986" width="2.08203125" style="125" customWidth="1"/>
    <col min="9987" max="10032" width="3.58203125" style="125" customWidth="1"/>
    <col min="10033" max="10033" width="1.58203125" style="125" customWidth="1"/>
    <col min="10034" max="10034" width="2.08203125" style="125" customWidth="1"/>
    <col min="10035" max="10241" width="9" style="125"/>
    <col min="10242" max="10242" width="2.08203125" style="125" customWidth="1"/>
    <col min="10243" max="10288" width="3.58203125" style="125" customWidth="1"/>
    <col min="10289" max="10289" width="1.58203125" style="125" customWidth="1"/>
    <col min="10290" max="10290" width="2.08203125" style="125" customWidth="1"/>
    <col min="10291" max="10497" width="9" style="125"/>
    <col min="10498" max="10498" width="2.08203125" style="125" customWidth="1"/>
    <col min="10499" max="10544" width="3.58203125" style="125" customWidth="1"/>
    <col min="10545" max="10545" width="1.58203125" style="125" customWidth="1"/>
    <col min="10546" max="10546" width="2.08203125" style="125" customWidth="1"/>
    <col min="10547" max="10753" width="9" style="125"/>
    <col min="10754" max="10754" width="2.08203125" style="125" customWidth="1"/>
    <col min="10755" max="10800" width="3.58203125" style="125" customWidth="1"/>
    <col min="10801" max="10801" width="1.58203125" style="125" customWidth="1"/>
    <col min="10802" max="10802" width="2.08203125" style="125" customWidth="1"/>
    <col min="10803" max="11009" width="9" style="125"/>
    <col min="11010" max="11010" width="2.08203125" style="125" customWidth="1"/>
    <col min="11011" max="11056" width="3.58203125" style="125" customWidth="1"/>
    <col min="11057" max="11057" width="1.58203125" style="125" customWidth="1"/>
    <col min="11058" max="11058" width="2.08203125" style="125" customWidth="1"/>
    <col min="11059" max="11265" width="9" style="125"/>
    <col min="11266" max="11266" width="2.08203125" style="125" customWidth="1"/>
    <col min="11267" max="11312" width="3.58203125" style="125" customWidth="1"/>
    <col min="11313" max="11313" width="1.58203125" style="125" customWidth="1"/>
    <col min="11314" max="11314" width="2.08203125" style="125" customWidth="1"/>
    <col min="11315" max="11521" width="9" style="125"/>
    <col min="11522" max="11522" width="2.08203125" style="125" customWidth="1"/>
    <col min="11523" max="11568" width="3.58203125" style="125" customWidth="1"/>
    <col min="11569" max="11569" width="1.58203125" style="125" customWidth="1"/>
    <col min="11570" max="11570" width="2.08203125" style="125" customWidth="1"/>
    <col min="11571" max="11777" width="9" style="125"/>
    <col min="11778" max="11778" width="2.08203125" style="125" customWidth="1"/>
    <col min="11779" max="11824" width="3.58203125" style="125" customWidth="1"/>
    <col min="11825" max="11825" width="1.58203125" style="125" customWidth="1"/>
    <col min="11826" max="11826" width="2.08203125" style="125" customWidth="1"/>
    <col min="11827" max="12033" width="9" style="125"/>
    <col min="12034" max="12034" width="2.08203125" style="125" customWidth="1"/>
    <col min="12035" max="12080" width="3.58203125" style="125" customWidth="1"/>
    <col min="12081" max="12081" width="1.58203125" style="125" customWidth="1"/>
    <col min="12082" max="12082" width="2.08203125" style="125" customWidth="1"/>
    <col min="12083" max="12289" width="9" style="125"/>
    <col min="12290" max="12290" width="2.08203125" style="125" customWidth="1"/>
    <col min="12291" max="12336" width="3.58203125" style="125" customWidth="1"/>
    <col min="12337" max="12337" width="1.58203125" style="125" customWidth="1"/>
    <col min="12338" max="12338" width="2.08203125" style="125" customWidth="1"/>
    <col min="12339" max="12545" width="9" style="125"/>
    <col min="12546" max="12546" width="2.08203125" style="125" customWidth="1"/>
    <col min="12547" max="12592" width="3.58203125" style="125" customWidth="1"/>
    <col min="12593" max="12593" width="1.58203125" style="125" customWidth="1"/>
    <col min="12594" max="12594" width="2.08203125" style="125" customWidth="1"/>
    <col min="12595" max="12801" width="9" style="125"/>
    <col min="12802" max="12802" width="2.08203125" style="125" customWidth="1"/>
    <col min="12803" max="12848" width="3.58203125" style="125" customWidth="1"/>
    <col min="12849" max="12849" width="1.58203125" style="125" customWidth="1"/>
    <col min="12850" max="12850" width="2.08203125" style="125" customWidth="1"/>
    <col min="12851" max="13057" width="9" style="125"/>
    <col min="13058" max="13058" width="2.08203125" style="125" customWidth="1"/>
    <col min="13059" max="13104" width="3.58203125" style="125" customWidth="1"/>
    <col min="13105" max="13105" width="1.58203125" style="125" customWidth="1"/>
    <col min="13106" max="13106" width="2.08203125" style="125" customWidth="1"/>
    <col min="13107" max="13313" width="9" style="125"/>
    <col min="13314" max="13314" width="2.08203125" style="125" customWidth="1"/>
    <col min="13315" max="13360" width="3.58203125" style="125" customWidth="1"/>
    <col min="13361" max="13361" width="1.58203125" style="125" customWidth="1"/>
    <col min="13362" max="13362" width="2.08203125" style="125" customWidth="1"/>
    <col min="13363" max="13569" width="9" style="125"/>
    <col min="13570" max="13570" width="2.08203125" style="125" customWidth="1"/>
    <col min="13571" max="13616" width="3.58203125" style="125" customWidth="1"/>
    <col min="13617" max="13617" width="1.58203125" style="125" customWidth="1"/>
    <col min="13618" max="13618" width="2.08203125" style="125" customWidth="1"/>
    <col min="13619" max="13825" width="9" style="125"/>
    <col min="13826" max="13826" width="2.08203125" style="125" customWidth="1"/>
    <col min="13827" max="13872" width="3.58203125" style="125" customWidth="1"/>
    <col min="13873" max="13873" width="1.58203125" style="125" customWidth="1"/>
    <col min="13874" max="13874" width="2.08203125" style="125" customWidth="1"/>
    <col min="13875" max="14081" width="9" style="125"/>
    <col min="14082" max="14082" width="2.08203125" style="125" customWidth="1"/>
    <col min="14083" max="14128" width="3.58203125" style="125" customWidth="1"/>
    <col min="14129" max="14129" width="1.58203125" style="125" customWidth="1"/>
    <col min="14130" max="14130" width="2.08203125" style="125" customWidth="1"/>
    <col min="14131" max="14337" width="9" style="125"/>
    <col min="14338" max="14338" width="2.08203125" style="125" customWidth="1"/>
    <col min="14339" max="14384" width="3.58203125" style="125" customWidth="1"/>
    <col min="14385" max="14385" width="1.58203125" style="125" customWidth="1"/>
    <col min="14386" max="14386" width="2.08203125" style="125" customWidth="1"/>
    <col min="14387" max="14593" width="9" style="125"/>
    <col min="14594" max="14594" width="2.08203125" style="125" customWidth="1"/>
    <col min="14595" max="14640" width="3.58203125" style="125" customWidth="1"/>
    <col min="14641" max="14641" width="1.58203125" style="125" customWidth="1"/>
    <col min="14642" max="14642" width="2.08203125" style="125" customWidth="1"/>
    <col min="14643" max="14849" width="9" style="125"/>
    <col min="14850" max="14850" width="2.08203125" style="125" customWidth="1"/>
    <col min="14851" max="14896" width="3.58203125" style="125" customWidth="1"/>
    <col min="14897" max="14897" width="1.58203125" style="125" customWidth="1"/>
    <col min="14898" max="14898" width="2.08203125" style="125" customWidth="1"/>
    <col min="14899" max="15105" width="9" style="125"/>
    <col min="15106" max="15106" width="2.08203125" style="125" customWidth="1"/>
    <col min="15107" max="15152" width="3.58203125" style="125" customWidth="1"/>
    <col min="15153" max="15153" width="1.58203125" style="125" customWidth="1"/>
    <col min="15154" max="15154" width="2.08203125" style="125" customWidth="1"/>
    <col min="15155" max="15361" width="9" style="125"/>
    <col min="15362" max="15362" width="2.08203125" style="125" customWidth="1"/>
    <col min="15363" max="15408" width="3.58203125" style="125" customWidth="1"/>
    <col min="15409" max="15409" width="1.58203125" style="125" customWidth="1"/>
    <col min="15410" max="15410" width="2.08203125" style="125" customWidth="1"/>
    <col min="15411" max="15617" width="9" style="125"/>
    <col min="15618" max="15618" width="2.08203125" style="125" customWidth="1"/>
    <col min="15619" max="15664" width="3.58203125" style="125" customWidth="1"/>
    <col min="15665" max="15665" width="1.58203125" style="125" customWidth="1"/>
    <col min="15666" max="15666" width="2.08203125" style="125" customWidth="1"/>
    <col min="15667" max="15873" width="9" style="125"/>
    <col min="15874" max="15874" width="2.08203125" style="125" customWidth="1"/>
    <col min="15875" max="15920" width="3.58203125" style="125" customWidth="1"/>
    <col min="15921" max="15921" width="1.58203125" style="125" customWidth="1"/>
    <col min="15922" max="15922" width="2.08203125" style="125" customWidth="1"/>
    <col min="15923" max="16129" width="9" style="125"/>
    <col min="16130" max="16130" width="2.08203125" style="125" customWidth="1"/>
    <col min="16131" max="16176" width="3.58203125" style="125" customWidth="1"/>
    <col min="16177" max="16177" width="1.58203125" style="125" customWidth="1"/>
    <col min="16178" max="16178" width="2.08203125" style="125" customWidth="1"/>
    <col min="16179" max="16384" width="9" style="125"/>
  </cols>
  <sheetData>
    <row r="1" spans="2:48" ht="12" customHeight="1"/>
    <row r="2" spans="2:48" s="127" customFormat="1" ht="21.75" customHeight="1">
      <c r="B2" s="126" t="s">
        <v>11744</v>
      </c>
      <c r="C2" s="125"/>
      <c r="D2" s="125"/>
      <c r="E2" s="125"/>
      <c r="F2" s="125"/>
      <c r="V2" s="128"/>
      <c r="W2" s="128"/>
      <c r="X2" s="128"/>
      <c r="Y2" s="128"/>
      <c r="Z2" s="128"/>
      <c r="AA2" s="128"/>
      <c r="AB2" s="128"/>
      <c r="AC2" s="128"/>
      <c r="AD2" s="128"/>
      <c r="AE2" s="128"/>
      <c r="AO2" s="129" t="s">
        <v>959</v>
      </c>
      <c r="AQ2" s="1759">
        <v>127503</v>
      </c>
      <c r="AR2" s="1760"/>
      <c r="AS2" s="1760"/>
      <c r="AT2" s="1760"/>
      <c r="AU2" s="1760"/>
      <c r="AV2" s="1761"/>
    </row>
    <row r="3" spans="2:48" s="127" customFormat="1" ht="15.75" customHeight="1">
      <c r="B3" s="130"/>
      <c r="C3" s="125"/>
      <c r="D3" s="125"/>
      <c r="E3" s="125"/>
      <c r="F3" s="125"/>
      <c r="V3" s="128"/>
      <c r="W3" s="128"/>
      <c r="X3" s="128"/>
      <c r="Y3" s="128"/>
      <c r="Z3" s="128"/>
      <c r="AA3" s="128"/>
      <c r="AB3" s="128"/>
      <c r="AC3" s="128"/>
      <c r="AD3" s="128"/>
      <c r="AE3" s="128"/>
      <c r="AL3" s="129"/>
      <c r="AM3" s="131"/>
      <c r="AN3" s="129"/>
      <c r="AO3" s="129"/>
      <c r="AQ3" s="129"/>
      <c r="AR3" s="129"/>
      <c r="AS3" s="129"/>
      <c r="AT3" s="132"/>
      <c r="AU3" s="131"/>
      <c r="AV3" s="131"/>
    </row>
    <row r="4" spans="2:48" s="133" customFormat="1" ht="15.75" customHeight="1">
      <c r="H4" s="1762"/>
      <c r="I4" s="1762"/>
      <c r="J4" s="1762"/>
      <c r="K4" s="1762"/>
      <c r="L4" s="1762"/>
      <c r="M4" s="1762"/>
      <c r="AM4" s="125"/>
      <c r="AN4" s="125"/>
      <c r="AO4" s="125"/>
      <c r="AP4" s="134"/>
      <c r="AQ4" s="134"/>
      <c r="AR4" s="134"/>
      <c r="AS4" s="134"/>
      <c r="AT4" s="134"/>
      <c r="AU4" s="134"/>
      <c r="AV4" s="134"/>
    </row>
    <row r="5" spans="2:48" ht="4.5" customHeight="1">
      <c r="H5" s="1762"/>
      <c r="I5" s="1762"/>
      <c r="J5" s="1762"/>
      <c r="K5" s="1762"/>
      <c r="L5" s="1762"/>
      <c r="M5" s="1762"/>
    </row>
    <row r="6" spans="2:48">
      <c r="B6" s="1767" t="s">
        <v>3</v>
      </c>
      <c r="C6" s="1767"/>
      <c r="D6" s="1767"/>
      <c r="E6" s="1767"/>
      <c r="F6" s="1767"/>
      <c r="G6" s="1767"/>
      <c r="H6" s="1767"/>
      <c r="I6" s="1767"/>
      <c r="J6" s="1767"/>
      <c r="K6" s="1767"/>
      <c r="L6" s="1767"/>
      <c r="M6" s="1767"/>
      <c r="N6" s="1767"/>
      <c r="O6" s="1767"/>
      <c r="P6" s="1767"/>
      <c r="Q6" s="1767"/>
      <c r="R6" s="1767"/>
      <c r="S6" s="1767"/>
      <c r="T6" s="1767"/>
      <c r="U6" s="1767"/>
      <c r="V6" s="1767"/>
      <c r="W6" s="1767"/>
      <c r="X6" s="1767"/>
      <c r="Y6" s="1767"/>
      <c r="Z6" s="1767"/>
      <c r="AA6" s="1767"/>
      <c r="AB6" s="1767"/>
      <c r="AC6" s="1767"/>
      <c r="AD6" s="1767"/>
      <c r="AE6" s="1767"/>
      <c r="AF6" s="1767"/>
      <c r="AG6" s="1767"/>
      <c r="AH6" s="1767"/>
      <c r="AI6" s="1767"/>
      <c r="AJ6" s="1767"/>
      <c r="AK6" s="1767"/>
      <c r="AL6" s="1767"/>
      <c r="AM6" s="1767"/>
      <c r="AN6" s="1767"/>
      <c r="AO6" s="1767"/>
      <c r="AP6" s="1767"/>
      <c r="AQ6" s="1767"/>
      <c r="AR6" s="1767"/>
      <c r="AS6" s="1767"/>
      <c r="AT6" s="1767"/>
      <c r="AU6" s="1767"/>
      <c r="AV6" s="1767"/>
    </row>
    <row r="7" spans="2:48" s="135" customFormat="1" ht="15">
      <c r="B7" s="1768" t="s">
        <v>4</v>
      </c>
      <c r="C7" s="1768"/>
      <c r="D7" s="1768"/>
      <c r="E7" s="1768"/>
      <c r="F7" s="1768"/>
      <c r="G7" s="1768"/>
      <c r="H7" s="1768"/>
      <c r="I7" s="1768"/>
      <c r="J7" s="1768"/>
      <c r="K7" s="1768"/>
      <c r="L7" s="1768"/>
      <c r="M7" s="1768"/>
      <c r="N7" s="1768"/>
      <c r="O7" s="1768"/>
      <c r="P7" s="1768"/>
      <c r="Q7" s="1768"/>
      <c r="R7" s="1768"/>
      <c r="S7" s="1768"/>
      <c r="T7" s="1768"/>
      <c r="U7" s="1768"/>
      <c r="V7" s="1768"/>
      <c r="W7" s="1768"/>
      <c r="X7" s="1768"/>
      <c r="Y7" s="1768"/>
      <c r="Z7" s="1768"/>
      <c r="AA7" s="1768"/>
      <c r="AB7" s="1768"/>
      <c r="AC7" s="1768"/>
      <c r="AD7" s="1768"/>
      <c r="AE7" s="1768"/>
      <c r="AF7" s="1768"/>
      <c r="AG7" s="1768"/>
      <c r="AH7" s="1768"/>
      <c r="AI7" s="1768"/>
      <c r="AJ7" s="1768"/>
      <c r="AK7" s="1768"/>
      <c r="AL7" s="1768"/>
      <c r="AM7" s="1768"/>
      <c r="AN7" s="1768"/>
      <c r="AO7" s="1768"/>
      <c r="AP7" s="1768"/>
      <c r="AQ7" s="1768"/>
      <c r="AR7" s="1768"/>
      <c r="AS7" s="1768"/>
      <c r="AT7" s="1768"/>
      <c r="AU7" s="1768"/>
      <c r="AV7" s="1768"/>
    </row>
    <row r="8" spans="2:48" s="136" customFormat="1" ht="15.75" customHeight="1">
      <c r="B8" s="1769" t="s">
        <v>242</v>
      </c>
      <c r="C8" s="1769"/>
      <c r="D8" s="1769"/>
      <c r="E8" s="1769"/>
      <c r="F8" s="1769"/>
      <c r="G8" s="1769"/>
      <c r="H8" s="1769"/>
      <c r="I8" s="1769"/>
      <c r="J8" s="1769"/>
      <c r="K8" s="1769"/>
      <c r="L8" s="1769"/>
      <c r="M8" s="1769"/>
      <c r="N8" s="1769"/>
      <c r="O8" s="1769"/>
      <c r="P8" s="1769"/>
      <c r="Q8" s="1769"/>
      <c r="R8" s="1769"/>
      <c r="S8" s="1769"/>
      <c r="T8" s="1769"/>
      <c r="U8" s="1769"/>
      <c r="V8" s="1769"/>
      <c r="W8" s="1769"/>
      <c r="X8" s="1769"/>
      <c r="Y8" s="1769"/>
      <c r="Z8" s="1769"/>
      <c r="AA8" s="1769"/>
      <c r="AB8" s="1769"/>
      <c r="AC8" s="1769"/>
      <c r="AD8" s="1769"/>
      <c r="AE8" s="1769"/>
      <c r="AF8" s="1769"/>
      <c r="AG8" s="1769"/>
      <c r="AH8" s="1769"/>
      <c r="AI8" s="1769"/>
      <c r="AJ8" s="1769"/>
      <c r="AK8" s="1769"/>
      <c r="AL8" s="1769"/>
      <c r="AM8" s="1769"/>
      <c r="AN8" s="1769"/>
      <c r="AO8" s="1769"/>
      <c r="AP8" s="1769"/>
      <c r="AQ8" s="1769"/>
      <c r="AR8" s="1769"/>
      <c r="AS8" s="1769"/>
      <c r="AT8" s="1769"/>
      <c r="AU8" s="1769"/>
      <c r="AV8" s="1769"/>
    </row>
    <row r="9" spans="2:48" s="137" customFormat="1" ht="15.75" customHeight="1">
      <c r="B9" s="1770" t="s">
        <v>243</v>
      </c>
      <c r="C9" s="1770"/>
      <c r="D9" s="1770"/>
      <c r="E9" s="1770"/>
      <c r="F9" s="1770"/>
      <c r="G9" s="1770"/>
      <c r="H9" s="1770"/>
      <c r="I9" s="1770"/>
      <c r="J9" s="1770"/>
      <c r="K9" s="1770"/>
      <c r="L9" s="1770"/>
      <c r="M9" s="1770"/>
      <c r="N9" s="1770"/>
      <c r="O9" s="1770"/>
      <c r="P9" s="1770"/>
      <c r="Q9" s="1770"/>
      <c r="R9" s="1770"/>
      <c r="S9" s="1770"/>
      <c r="T9" s="1770"/>
      <c r="U9" s="1770"/>
      <c r="V9" s="1770"/>
      <c r="W9" s="1770"/>
      <c r="X9" s="1770"/>
      <c r="Y9" s="1770"/>
      <c r="Z9" s="1770"/>
      <c r="AA9" s="1770"/>
      <c r="AB9" s="1770"/>
      <c r="AC9" s="1770"/>
      <c r="AD9" s="1770"/>
      <c r="AE9" s="1770"/>
      <c r="AF9" s="1770"/>
      <c r="AG9" s="1770"/>
      <c r="AH9" s="1770"/>
      <c r="AI9" s="1770"/>
      <c r="AJ9" s="1770"/>
      <c r="AK9" s="1770"/>
      <c r="AL9" s="1770"/>
      <c r="AM9" s="1770"/>
      <c r="AN9" s="1770"/>
      <c r="AO9" s="1770"/>
      <c r="AP9" s="1770"/>
      <c r="AQ9" s="1770"/>
      <c r="AR9" s="1770"/>
      <c r="AS9" s="1770"/>
      <c r="AT9" s="1770"/>
      <c r="AU9" s="1770"/>
      <c r="AV9" s="1770"/>
    </row>
    <row r="10" spans="2:48" s="138" customFormat="1" ht="9" customHeight="1">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row>
    <row r="11" spans="2:48" s="140" customFormat="1" ht="25">
      <c r="B11" s="1771" t="s">
        <v>5</v>
      </c>
      <c r="C11" s="1771"/>
      <c r="D11" s="1771"/>
      <c r="E11" s="1771"/>
      <c r="F11" s="1771"/>
      <c r="G11" s="1771"/>
      <c r="H11" s="1771"/>
      <c r="I11" s="1771"/>
      <c r="J11" s="1771"/>
      <c r="K11" s="1771"/>
      <c r="L11" s="1771"/>
      <c r="M11" s="1771"/>
      <c r="N11" s="1771"/>
      <c r="O11" s="1771"/>
      <c r="P11" s="1771"/>
      <c r="Q11" s="1771"/>
      <c r="R11" s="1771"/>
      <c r="S11" s="1771"/>
      <c r="T11" s="1771"/>
      <c r="U11" s="1771"/>
      <c r="V11" s="1771"/>
      <c r="W11" s="1771"/>
      <c r="X11" s="1771"/>
      <c r="Y11" s="1771"/>
      <c r="Z11" s="1771"/>
      <c r="AA11" s="1771"/>
      <c r="AB11" s="1771"/>
      <c r="AC11" s="1771"/>
      <c r="AD11" s="1771"/>
      <c r="AE11" s="1771"/>
      <c r="AF11" s="1771"/>
      <c r="AG11" s="1771"/>
      <c r="AH11" s="1771"/>
      <c r="AI11" s="1771"/>
      <c r="AJ11" s="1771"/>
      <c r="AK11" s="1771"/>
      <c r="AL11" s="1771"/>
      <c r="AM11" s="1771"/>
      <c r="AN11" s="1771"/>
      <c r="AO11" s="1771"/>
      <c r="AP11" s="1771"/>
      <c r="AQ11" s="1771"/>
      <c r="AR11" s="1771"/>
      <c r="AS11" s="1771"/>
      <c r="AT11" s="1771"/>
      <c r="AU11" s="1771"/>
      <c r="AV11" s="1771"/>
    </row>
    <row r="12" spans="2:48" ht="9" customHeight="1" thickBot="1"/>
    <row r="13" spans="2:48" s="142" customFormat="1" ht="31.75" customHeight="1" thickTop="1">
      <c r="B13" s="141"/>
      <c r="C13" s="1772" t="s">
        <v>56</v>
      </c>
      <c r="D13" s="1772"/>
      <c r="E13" s="1772"/>
      <c r="F13" s="1772"/>
      <c r="G13" s="1772"/>
      <c r="H13" s="1772"/>
      <c r="I13" s="1772"/>
      <c r="J13" s="1772"/>
      <c r="K13" s="1772"/>
      <c r="L13" s="1772"/>
      <c r="M13" s="1772"/>
      <c r="N13" s="1772"/>
      <c r="O13" s="1772"/>
      <c r="P13" s="1772"/>
      <c r="Q13" s="1772"/>
      <c r="R13" s="1772"/>
      <c r="S13" s="1772"/>
      <c r="T13" s="1772"/>
      <c r="U13" s="1772"/>
      <c r="V13" s="1772"/>
      <c r="W13" s="1772"/>
      <c r="X13" s="1772"/>
      <c r="Y13" s="1772"/>
      <c r="Z13" s="1772"/>
      <c r="AA13" s="1772"/>
      <c r="AB13" s="1772"/>
      <c r="AC13" s="1772"/>
      <c r="AD13" s="1772"/>
      <c r="AE13" s="1772"/>
      <c r="AF13" s="1772"/>
      <c r="AG13" s="1772"/>
      <c r="AH13" s="1772"/>
      <c r="AI13" s="1772"/>
      <c r="AJ13" s="1772"/>
      <c r="AK13" s="1772"/>
      <c r="AL13" s="1772"/>
      <c r="AM13" s="1772"/>
      <c r="AN13" s="1772"/>
      <c r="AO13" s="1772"/>
      <c r="AP13" s="1772"/>
      <c r="AQ13" s="1772"/>
      <c r="AR13" s="1772"/>
      <c r="AS13" s="1772"/>
      <c r="AT13" s="1772"/>
      <c r="AU13" s="1772"/>
      <c r="AV13" s="1773"/>
    </row>
    <row r="14" spans="2:48" s="142" customFormat="1" ht="31.75" customHeight="1">
      <c r="B14" s="143"/>
      <c r="C14" s="1774" t="s">
        <v>105</v>
      </c>
      <c r="D14" s="1774"/>
      <c r="E14" s="1774"/>
      <c r="F14" s="1774"/>
      <c r="G14" s="1774"/>
      <c r="H14" s="1774"/>
      <c r="I14" s="1774"/>
      <c r="J14" s="1774"/>
      <c r="K14" s="1774"/>
      <c r="L14" s="1774"/>
      <c r="M14" s="1774"/>
      <c r="N14" s="1774"/>
      <c r="O14" s="1774"/>
      <c r="P14" s="1774"/>
      <c r="Q14" s="1774"/>
      <c r="R14" s="1774"/>
      <c r="S14" s="1774"/>
      <c r="T14" s="1774"/>
      <c r="U14" s="1774"/>
      <c r="V14" s="1774"/>
      <c r="W14" s="1774"/>
      <c r="X14" s="1774"/>
      <c r="Y14" s="1774"/>
      <c r="Z14" s="1774"/>
      <c r="AA14" s="1774"/>
      <c r="AB14" s="1774"/>
      <c r="AC14" s="1774"/>
      <c r="AD14" s="1774"/>
      <c r="AE14" s="1774"/>
      <c r="AF14" s="1774"/>
      <c r="AG14" s="1774"/>
      <c r="AH14" s="1774"/>
      <c r="AI14" s="1774"/>
      <c r="AJ14" s="1774"/>
      <c r="AK14" s="1774"/>
      <c r="AL14" s="1774"/>
      <c r="AM14" s="1774"/>
      <c r="AN14" s="1774"/>
      <c r="AO14" s="1774"/>
      <c r="AP14" s="1774"/>
      <c r="AQ14" s="1774"/>
      <c r="AR14" s="1774"/>
      <c r="AS14" s="1774"/>
      <c r="AT14" s="1774"/>
      <c r="AU14" s="1774"/>
      <c r="AV14" s="144"/>
    </row>
    <row r="15" spans="2:48" s="142" customFormat="1" ht="31.75" customHeight="1">
      <c r="B15" s="143"/>
      <c r="C15" s="1774" t="s">
        <v>781</v>
      </c>
      <c r="D15" s="1774"/>
      <c r="E15" s="1774"/>
      <c r="F15" s="1774"/>
      <c r="G15" s="1774"/>
      <c r="H15" s="1774"/>
      <c r="I15" s="1774"/>
      <c r="J15" s="1774"/>
      <c r="K15" s="1774"/>
      <c r="L15" s="1774"/>
      <c r="M15" s="1774"/>
      <c r="N15" s="1774"/>
      <c r="O15" s="1774"/>
      <c r="P15" s="1774"/>
      <c r="Q15" s="1774"/>
      <c r="R15" s="1774"/>
      <c r="S15" s="1774"/>
      <c r="T15" s="1774"/>
      <c r="U15" s="1774"/>
      <c r="V15" s="1774"/>
      <c r="W15" s="1774"/>
      <c r="X15" s="1774"/>
      <c r="Y15" s="1774"/>
      <c r="Z15" s="1774"/>
      <c r="AA15" s="1774"/>
      <c r="AB15" s="1774"/>
      <c r="AC15" s="1774"/>
      <c r="AD15" s="1774"/>
      <c r="AE15" s="1774"/>
      <c r="AF15" s="1774"/>
      <c r="AG15" s="1774"/>
      <c r="AH15" s="1774"/>
      <c r="AI15" s="1774"/>
      <c r="AJ15" s="1774"/>
      <c r="AK15" s="1774"/>
      <c r="AL15" s="1774"/>
      <c r="AM15" s="1774"/>
      <c r="AN15" s="1774"/>
      <c r="AO15" s="1774"/>
      <c r="AP15" s="1774"/>
      <c r="AQ15" s="1774"/>
      <c r="AR15" s="1774"/>
      <c r="AS15" s="1774"/>
      <c r="AT15" s="1774"/>
      <c r="AU15" s="1774"/>
      <c r="AV15" s="144"/>
    </row>
    <row r="16" spans="2:48" s="142" customFormat="1" ht="41.25" customHeight="1" thickBot="1">
      <c r="B16" s="145"/>
      <c r="C16" s="1775" t="s">
        <v>11740</v>
      </c>
      <c r="D16" s="1775"/>
      <c r="E16" s="1775"/>
      <c r="F16" s="1775"/>
      <c r="G16" s="1775"/>
      <c r="H16" s="1775"/>
      <c r="I16" s="1775"/>
      <c r="J16" s="1775"/>
      <c r="K16" s="1775"/>
      <c r="L16" s="1775"/>
      <c r="M16" s="1775"/>
      <c r="N16" s="1775"/>
      <c r="O16" s="1775"/>
      <c r="P16" s="1775"/>
      <c r="Q16" s="1775"/>
      <c r="R16" s="1775"/>
      <c r="S16" s="1775"/>
      <c r="T16" s="1775"/>
      <c r="U16" s="1775"/>
      <c r="V16" s="1775"/>
      <c r="W16" s="1775"/>
      <c r="X16" s="1775"/>
      <c r="Y16" s="1775"/>
      <c r="Z16" s="1775"/>
      <c r="AA16" s="1775"/>
      <c r="AB16" s="1775"/>
      <c r="AC16" s="1775"/>
      <c r="AD16" s="1775"/>
      <c r="AE16" s="1775"/>
      <c r="AF16" s="1775"/>
      <c r="AG16" s="1775"/>
      <c r="AH16" s="1775"/>
      <c r="AI16" s="1775"/>
      <c r="AJ16" s="1775"/>
      <c r="AK16" s="1775"/>
      <c r="AL16" s="1775"/>
      <c r="AM16" s="1775"/>
      <c r="AN16" s="1775"/>
      <c r="AO16" s="1775"/>
      <c r="AP16" s="1775"/>
      <c r="AQ16" s="1775"/>
      <c r="AR16" s="1775"/>
      <c r="AS16" s="1775"/>
      <c r="AT16" s="1775"/>
      <c r="AU16" s="1775"/>
      <c r="AV16" s="146"/>
    </row>
    <row r="17" spans="2:48" s="127" customFormat="1" ht="7.5" customHeight="1" thickTop="1">
      <c r="V17" s="128"/>
      <c r="W17" s="128"/>
      <c r="X17" s="128"/>
      <c r="Y17" s="128"/>
      <c r="Z17" s="128"/>
      <c r="AA17" s="128"/>
      <c r="AB17" s="128"/>
      <c r="AC17" s="128"/>
      <c r="AD17" s="128"/>
      <c r="AE17" s="128"/>
    </row>
    <row r="18" spans="2:48" s="127" customFormat="1">
      <c r="B18" s="1765" t="s">
        <v>6</v>
      </c>
      <c r="C18" s="1765"/>
      <c r="D18" s="1765"/>
      <c r="E18" s="1765"/>
      <c r="F18" s="1765"/>
      <c r="G18" s="1765"/>
      <c r="H18" s="1765"/>
      <c r="I18" s="1765"/>
      <c r="J18" s="1765"/>
      <c r="K18" s="1765"/>
      <c r="L18" s="1765"/>
      <c r="M18" s="1765"/>
      <c r="N18" s="1765"/>
      <c r="O18" s="1765"/>
      <c r="P18" s="1765"/>
      <c r="Q18" s="1765"/>
      <c r="R18" s="1765"/>
      <c r="S18" s="1765"/>
      <c r="T18" s="1765"/>
      <c r="U18" s="1765"/>
      <c r="V18" s="1765"/>
      <c r="W18" s="1765"/>
      <c r="X18" s="1765"/>
      <c r="Y18" s="1765"/>
      <c r="Z18" s="1765"/>
      <c r="AA18" s="1765"/>
      <c r="AB18" s="1765"/>
      <c r="AC18" s="1765"/>
      <c r="AD18" s="1765"/>
      <c r="AE18" s="1765"/>
      <c r="AF18" s="1765"/>
      <c r="AG18" s="1765"/>
      <c r="AH18" s="1765"/>
      <c r="AI18" s="1765"/>
      <c r="AJ18" s="1765"/>
      <c r="AK18" s="1765"/>
      <c r="AL18" s="1765"/>
      <c r="AM18" s="1765"/>
      <c r="AN18" s="1765"/>
      <c r="AO18" s="1765"/>
      <c r="AP18" s="1765"/>
      <c r="AQ18" s="1765"/>
      <c r="AR18" s="1765"/>
      <c r="AS18" s="1765"/>
      <c r="AT18" s="1765"/>
      <c r="AU18" s="1765"/>
      <c r="AV18" s="1765"/>
    </row>
    <row r="19" spans="2:48" s="127" customFormat="1">
      <c r="B19" s="1765" t="s">
        <v>11745</v>
      </c>
      <c r="C19" s="1765"/>
      <c r="D19" s="1765"/>
      <c r="E19" s="1765"/>
      <c r="F19" s="1765"/>
      <c r="G19" s="1765"/>
      <c r="H19" s="1765"/>
      <c r="I19" s="1765"/>
      <c r="J19" s="1765"/>
      <c r="K19" s="1765"/>
      <c r="L19" s="1765"/>
      <c r="M19" s="1765"/>
      <c r="N19" s="1765"/>
      <c r="O19" s="1765"/>
      <c r="P19" s="1765"/>
      <c r="Q19" s="1765"/>
      <c r="R19" s="1765"/>
      <c r="S19" s="1765"/>
      <c r="T19" s="1765"/>
      <c r="U19" s="1765"/>
      <c r="V19" s="1765"/>
      <c r="W19" s="1765"/>
      <c r="X19" s="1765"/>
      <c r="Y19" s="1765"/>
      <c r="Z19" s="1765"/>
      <c r="AA19" s="1765"/>
      <c r="AB19" s="1765"/>
      <c r="AC19" s="1765"/>
      <c r="AD19" s="1765"/>
      <c r="AE19" s="1765"/>
      <c r="AF19" s="1765"/>
      <c r="AG19" s="1765"/>
      <c r="AH19" s="1765"/>
      <c r="AI19" s="1765"/>
      <c r="AJ19" s="1765"/>
      <c r="AK19" s="1765"/>
      <c r="AL19" s="1765"/>
      <c r="AM19" s="1765"/>
      <c r="AN19" s="1765"/>
      <c r="AO19" s="1765"/>
      <c r="AP19" s="1765"/>
      <c r="AQ19" s="1765"/>
      <c r="AR19" s="1765"/>
      <c r="AS19" s="1765"/>
      <c r="AT19" s="1765"/>
      <c r="AU19" s="1765"/>
      <c r="AV19" s="1765"/>
    </row>
    <row r="20" spans="2:48" s="127" customFormat="1" ht="7.5" customHeight="1">
      <c r="V20" s="128"/>
      <c r="W20" s="128"/>
      <c r="X20" s="128"/>
      <c r="Y20" s="128"/>
      <c r="Z20" s="128"/>
      <c r="AA20" s="128"/>
      <c r="AB20" s="128"/>
      <c r="AC20" s="128"/>
      <c r="AD20" s="128"/>
      <c r="AE20" s="128"/>
    </row>
    <row r="21" spans="2:48" s="127" customFormat="1" ht="25" customHeight="1">
      <c r="B21" s="147" t="s">
        <v>960</v>
      </c>
      <c r="F21" s="148" t="s">
        <v>8</v>
      </c>
      <c r="G21" s="1766" t="s">
        <v>11861</v>
      </c>
      <c r="H21" s="1766"/>
      <c r="I21" s="1766"/>
      <c r="J21" s="1766"/>
      <c r="K21" s="1766"/>
      <c r="L21" s="1766"/>
      <c r="M21" s="1766"/>
      <c r="N21" s="1766"/>
      <c r="O21" s="1766"/>
      <c r="P21" s="1766"/>
      <c r="Q21" s="1766"/>
      <c r="R21" s="1766"/>
      <c r="S21" s="1766"/>
      <c r="T21" s="1766"/>
      <c r="U21" s="1766"/>
      <c r="V21" s="128"/>
      <c r="W21" s="128"/>
      <c r="X21" s="128"/>
      <c r="Y21" s="128"/>
      <c r="Z21" s="128"/>
      <c r="AA21" s="147" t="s">
        <v>10</v>
      </c>
      <c r="AB21" s="128"/>
      <c r="AC21" s="128"/>
      <c r="AD21" s="128"/>
      <c r="AE21" s="128"/>
      <c r="AG21" s="147" t="s">
        <v>8</v>
      </c>
      <c r="AH21" s="1766" t="s">
        <v>1995</v>
      </c>
      <c r="AI21" s="1766"/>
      <c r="AJ21" s="1766"/>
      <c r="AK21" s="1766"/>
      <c r="AL21" s="1766"/>
      <c r="AM21" s="1766"/>
      <c r="AN21" s="1766"/>
      <c r="AO21" s="1766"/>
      <c r="AP21" s="1766"/>
      <c r="AQ21" s="1766"/>
      <c r="AR21" s="1766"/>
      <c r="AS21" s="1766"/>
      <c r="AT21" s="1766"/>
      <c r="AU21" s="1766"/>
      <c r="AV21" s="1766"/>
    </row>
    <row r="22" spans="2:48" s="127" customFormat="1" ht="25" customHeight="1">
      <c r="B22" s="147"/>
      <c r="F22" s="148"/>
      <c r="G22" s="1776" t="s">
        <v>961</v>
      </c>
      <c r="H22" s="1776"/>
      <c r="I22" s="1776"/>
      <c r="J22" s="1776"/>
      <c r="K22" s="1776"/>
      <c r="L22" s="1776"/>
      <c r="M22" s="1776"/>
      <c r="N22" s="1776"/>
      <c r="O22" s="1776"/>
      <c r="P22" s="1776"/>
      <c r="Q22" s="1776"/>
      <c r="R22" s="1776"/>
      <c r="S22" s="1776"/>
      <c r="T22" s="1776"/>
      <c r="U22" s="1776"/>
      <c r="V22" s="128"/>
      <c r="W22" s="128"/>
      <c r="X22" s="128"/>
      <c r="Y22" s="128"/>
      <c r="Z22" s="128"/>
      <c r="AA22" s="147" t="s">
        <v>11</v>
      </c>
      <c r="AB22" s="128"/>
      <c r="AC22" s="128"/>
      <c r="AD22" s="128"/>
      <c r="AE22" s="128"/>
      <c r="AG22" s="147" t="s">
        <v>8</v>
      </c>
      <c r="AH22" s="1777" t="s">
        <v>2145</v>
      </c>
      <c r="AI22" s="1777"/>
      <c r="AJ22" s="1777"/>
      <c r="AK22" s="1777"/>
      <c r="AL22" s="1777"/>
      <c r="AM22" s="1777"/>
      <c r="AN22" s="1777"/>
      <c r="AO22" s="1777"/>
      <c r="AP22" s="1777"/>
      <c r="AQ22" s="1777"/>
      <c r="AR22" s="1777"/>
      <c r="AS22" s="1777"/>
      <c r="AT22" s="1777"/>
      <c r="AU22" s="1777"/>
      <c r="AV22" s="1777"/>
    </row>
    <row r="23" spans="2:48" s="127" customFormat="1" ht="25" customHeight="1">
      <c r="B23" s="147"/>
      <c r="F23" s="148"/>
      <c r="G23" s="1766"/>
      <c r="H23" s="1766"/>
      <c r="I23" s="1766"/>
      <c r="J23" s="1766"/>
      <c r="K23" s="1766"/>
      <c r="L23" s="1766"/>
      <c r="M23" s="1766"/>
      <c r="N23" s="1766"/>
      <c r="O23" s="1766"/>
      <c r="P23" s="1766"/>
      <c r="Q23" s="1766"/>
      <c r="R23" s="1766"/>
      <c r="S23" s="1766"/>
      <c r="T23" s="1766"/>
      <c r="U23" s="1766"/>
      <c r="V23" s="128"/>
      <c r="W23" s="128"/>
      <c r="X23" s="128"/>
      <c r="Y23" s="128"/>
      <c r="Z23" s="128"/>
      <c r="AA23" s="147" t="s">
        <v>12</v>
      </c>
      <c r="AB23" s="128"/>
      <c r="AC23" s="128"/>
      <c r="AD23" s="128"/>
      <c r="AE23" s="128"/>
      <c r="AG23" s="147" t="s">
        <v>8</v>
      </c>
      <c r="AH23" s="1766" t="s">
        <v>11862</v>
      </c>
      <c r="AI23" s="1766"/>
      <c r="AJ23" s="1766"/>
      <c r="AK23" s="1766"/>
      <c r="AL23" s="1766"/>
      <c r="AM23" s="1766"/>
      <c r="AN23" s="1766"/>
      <c r="AO23" s="1766"/>
      <c r="AP23" s="1766"/>
      <c r="AQ23" s="1766"/>
      <c r="AR23" s="1766"/>
      <c r="AS23" s="1766"/>
      <c r="AT23" s="1766"/>
      <c r="AU23" s="1766"/>
      <c r="AV23" s="1766"/>
    </row>
    <row r="24" spans="2:48" s="127" customFormat="1" ht="25" customHeight="1">
      <c r="B24" s="147"/>
      <c r="F24" s="148"/>
      <c r="G24" s="1776" t="s">
        <v>271</v>
      </c>
      <c r="H24" s="1776"/>
      <c r="I24" s="1776"/>
      <c r="J24" s="1776"/>
      <c r="K24" s="1776"/>
      <c r="L24" s="1776"/>
      <c r="M24" s="1776"/>
      <c r="N24" s="1776"/>
      <c r="O24" s="1776"/>
      <c r="P24" s="1776"/>
      <c r="Q24" s="1776"/>
      <c r="R24" s="1776"/>
      <c r="S24" s="1776"/>
      <c r="T24" s="1776"/>
      <c r="U24" s="1776"/>
      <c r="V24" s="128"/>
      <c r="W24" s="128"/>
      <c r="X24" s="128"/>
      <c r="Y24" s="128"/>
      <c r="Z24" s="128"/>
      <c r="AA24" s="147" t="s">
        <v>13</v>
      </c>
      <c r="AB24" s="128"/>
      <c r="AC24" s="128"/>
      <c r="AD24" s="128"/>
      <c r="AE24" s="128"/>
      <c r="AG24" s="147" t="s">
        <v>8</v>
      </c>
      <c r="AH24" s="1766" t="s">
        <v>2238</v>
      </c>
      <c r="AI24" s="1766"/>
      <c r="AJ24" s="1766"/>
      <c r="AK24" s="1766"/>
      <c r="AL24" s="1766"/>
      <c r="AM24" s="1766"/>
      <c r="AN24" s="1766"/>
      <c r="AO24" s="1766"/>
      <c r="AP24" s="1766"/>
      <c r="AQ24" s="1766"/>
      <c r="AR24" s="1766"/>
      <c r="AS24" s="1766"/>
      <c r="AT24" s="1766"/>
      <c r="AU24" s="1766"/>
      <c r="AV24" s="1766"/>
    </row>
    <row r="25" spans="2:48" s="127" customFormat="1" ht="25" customHeight="1">
      <c r="B25" s="147" t="s">
        <v>7</v>
      </c>
      <c r="F25" s="148" t="s">
        <v>8</v>
      </c>
      <c r="G25" s="74"/>
      <c r="H25" s="149"/>
      <c r="I25" s="1766" t="s">
        <v>11870</v>
      </c>
      <c r="J25" s="1766"/>
      <c r="K25" s="1766"/>
      <c r="L25" s="1766"/>
      <c r="M25" s="149"/>
      <c r="N25" s="1766" t="s">
        <v>11868</v>
      </c>
      <c r="O25" s="1766"/>
      <c r="P25" s="1766"/>
      <c r="Q25" s="1766"/>
      <c r="R25" s="1766"/>
      <c r="S25" s="1766"/>
      <c r="T25" s="1766"/>
      <c r="U25" s="1766"/>
      <c r="V25" s="128"/>
      <c r="W25" s="128"/>
      <c r="X25" s="128"/>
      <c r="Y25" s="128"/>
      <c r="Z25" s="128"/>
      <c r="AA25" s="147" t="s">
        <v>269</v>
      </c>
      <c r="AB25" s="128"/>
      <c r="AC25" s="128"/>
      <c r="AD25" s="128"/>
      <c r="AE25" s="128"/>
      <c r="AG25" s="147" t="s">
        <v>8</v>
      </c>
      <c r="AH25" s="1766" t="s">
        <v>11863</v>
      </c>
      <c r="AI25" s="1766"/>
      <c r="AJ25" s="1766"/>
      <c r="AK25" s="1766"/>
      <c r="AL25" s="1766"/>
      <c r="AM25" s="1766"/>
      <c r="AN25" s="1766"/>
      <c r="AO25" s="1766"/>
      <c r="AP25" s="1766"/>
      <c r="AQ25" s="1766"/>
      <c r="AR25" s="1766"/>
      <c r="AS25" s="1766"/>
      <c r="AT25" s="1766"/>
      <c r="AU25" s="1766"/>
      <c r="AV25" s="1766"/>
    </row>
    <row r="26" spans="2:48" s="127" customFormat="1" ht="25" customHeight="1">
      <c r="B26" s="150"/>
      <c r="F26" s="149"/>
      <c r="G26" s="151" t="s">
        <v>267</v>
      </c>
      <c r="H26" s="152"/>
      <c r="I26" s="1776" t="s">
        <v>58</v>
      </c>
      <c r="J26" s="1776"/>
      <c r="K26" s="1776"/>
      <c r="L26" s="1776"/>
      <c r="M26" s="153"/>
      <c r="N26" s="1776" t="s">
        <v>9</v>
      </c>
      <c r="O26" s="1776"/>
      <c r="P26" s="1776"/>
      <c r="Q26" s="1776"/>
      <c r="R26" s="1776"/>
      <c r="S26" s="1776"/>
      <c r="T26" s="1776"/>
      <c r="U26" s="1776"/>
      <c r="V26" s="128"/>
      <c r="W26" s="128"/>
      <c r="X26" s="128"/>
      <c r="Y26" s="128"/>
      <c r="Z26" s="128"/>
      <c r="AA26" s="147" t="s">
        <v>272</v>
      </c>
      <c r="AB26" s="128"/>
      <c r="AC26" s="128"/>
      <c r="AD26" s="128"/>
      <c r="AE26" s="128"/>
      <c r="AG26" s="147" t="s">
        <v>8</v>
      </c>
      <c r="AH26" s="1766">
        <v>9817015549</v>
      </c>
      <c r="AI26" s="1766"/>
      <c r="AJ26" s="1766"/>
      <c r="AK26" s="1766"/>
      <c r="AL26" s="1766"/>
      <c r="AM26" s="1766"/>
      <c r="AN26" s="1766"/>
      <c r="AO26" s="1766"/>
      <c r="AP26" s="1766"/>
      <c r="AQ26" s="1766"/>
      <c r="AR26" s="1766"/>
      <c r="AS26" s="1766"/>
      <c r="AT26" s="1766"/>
      <c r="AU26" s="1766"/>
      <c r="AV26" s="1766"/>
    </row>
    <row r="27" spans="2:48" s="127" customFormat="1" ht="25" customHeight="1">
      <c r="G27" s="1766" t="s">
        <v>11869</v>
      </c>
      <c r="H27" s="1766"/>
      <c r="I27" s="1766"/>
      <c r="J27" s="1766"/>
      <c r="K27" s="1766"/>
      <c r="L27" s="1766"/>
      <c r="M27" s="149"/>
      <c r="N27" s="1766" t="s">
        <v>2145</v>
      </c>
      <c r="O27" s="1766"/>
      <c r="P27" s="1766"/>
      <c r="Q27" s="1766"/>
      <c r="R27" s="1766"/>
      <c r="S27" s="149"/>
      <c r="T27" s="1766">
        <v>7209</v>
      </c>
      <c r="U27" s="1766"/>
      <c r="V27" s="128"/>
      <c r="W27" s="128"/>
      <c r="X27" s="128"/>
      <c r="Y27" s="128"/>
      <c r="Z27" s="128"/>
      <c r="AA27" s="147" t="s">
        <v>270</v>
      </c>
      <c r="AB27" s="128"/>
      <c r="AC27" s="128"/>
      <c r="AD27" s="128"/>
      <c r="AE27" s="128"/>
      <c r="AG27" s="147" t="s">
        <v>8</v>
      </c>
      <c r="AH27" s="1778" t="s">
        <v>11863</v>
      </c>
      <c r="AI27" s="1766"/>
      <c r="AJ27" s="1766"/>
      <c r="AK27" s="1766"/>
      <c r="AL27" s="1766"/>
      <c r="AM27" s="1766"/>
      <c r="AN27" s="1766"/>
      <c r="AO27" s="1766"/>
      <c r="AP27" s="1766"/>
      <c r="AQ27" s="1766"/>
      <c r="AR27" s="1766"/>
      <c r="AS27" s="1766"/>
      <c r="AT27" s="1766"/>
      <c r="AU27" s="1766"/>
      <c r="AV27" s="1766"/>
    </row>
    <row r="28" spans="2:48" s="127" customFormat="1" ht="25" customHeight="1">
      <c r="G28" s="1776" t="s">
        <v>273</v>
      </c>
      <c r="H28" s="1776"/>
      <c r="I28" s="1776"/>
      <c r="J28" s="1776"/>
      <c r="K28" s="1776"/>
      <c r="L28" s="1776"/>
      <c r="M28" s="153"/>
      <c r="N28" s="1776" t="s">
        <v>268</v>
      </c>
      <c r="O28" s="1776"/>
      <c r="P28" s="1776"/>
      <c r="Q28" s="1776"/>
      <c r="R28" s="1776"/>
      <c r="T28" s="1776" t="s">
        <v>276</v>
      </c>
      <c r="U28" s="1776"/>
      <c r="V28" s="128"/>
      <c r="W28" s="128"/>
      <c r="X28" s="128"/>
      <c r="Y28" s="128"/>
      <c r="Z28" s="128"/>
      <c r="AA28" s="147" t="s">
        <v>275</v>
      </c>
      <c r="AB28" s="128"/>
      <c r="AC28" s="128"/>
      <c r="AD28" s="128"/>
      <c r="AE28" s="128"/>
      <c r="AG28" s="147" t="s">
        <v>8</v>
      </c>
      <c r="AH28" s="1766" t="s">
        <v>11863</v>
      </c>
      <c r="AI28" s="1766"/>
      <c r="AJ28" s="1766"/>
      <c r="AK28" s="1766"/>
      <c r="AL28" s="1766"/>
      <c r="AM28" s="1766"/>
      <c r="AN28" s="1766"/>
      <c r="AO28" s="1766"/>
      <c r="AP28" s="1766"/>
      <c r="AQ28" s="1766"/>
      <c r="AR28" s="1766"/>
      <c r="AS28" s="1766"/>
      <c r="AT28" s="1766"/>
      <c r="AU28" s="1766"/>
      <c r="AV28" s="1766"/>
    </row>
    <row r="29" spans="2:48" s="127" customFormat="1" ht="25" customHeight="1">
      <c r="B29" s="154"/>
      <c r="C29" s="155"/>
      <c r="D29" s="155"/>
      <c r="E29" s="155"/>
      <c r="F29" s="155"/>
      <c r="G29" s="155"/>
      <c r="H29" s="155"/>
      <c r="I29" s="155"/>
      <c r="J29" s="151"/>
      <c r="K29" s="151"/>
      <c r="L29" s="156"/>
      <c r="M29" s="151"/>
      <c r="N29" s="151"/>
      <c r="O29" s="151"/>
      <c r="P29" s="151"/>
      <c r="Q29" s="151"/>
      <c r="R29" s="157"/>
      <c r="S29" s="151"/>
      <c r="T29" s="151"/>
      <c r="V29" s="128"/>
      <c r="W29" s="128"/>
      <c r="X29" s="128"/>
      <c r="Y29" s="128"/>
      <c r="Z29" s="128"/>
      <c r="AA29" s="147" t="s">
        <v>14</v>
      </c>
      <c r="AB29" s="128"/>
      <c r="AC29" s="128"/>
      <c r="AD29" s="128"/>
      <c r="AE29" s="128"/>
      <c r="AG29" s="147" t="s">
        <v>8</v>
      </c>
      <c r="AH29" s="1766" t="s">
        <v>11864</v>
      </c>
      <c r="AI29" s="1766"/>
      <c r="AJ29" s="1766"/>
      <c r="AK29" s="1766"/>
      <c r="AL29" s="1766"/>
      <c r="AM29" s="1766"/>
      <c r="AN29" s="1766"/>
      <c r="AO29" s="1766"/>
      <c r="AP29" s="1766"/>
      <c r="AQ29" s="1766"/>
      <c r="AR29" s="1766"/>
      <c r="AS29" s="1766"/>
      <c r="AT29" s="1766"/>
      <c r="AU29" s="1766"/>
      <c r="AV29" s="1766"/>
    </row>
    <row r="30" spans="2:48" s="127" customFormat="1" ht="25" customHeight="1">
      <c r="B30" s="154"/>
      <c r="C30" s="155"/>
      <c r="D30" s="155"/>
      <c r="E30" s="155"/>
      <c r="F30" s="155"/>
      <c r="G30" s="155"/>
      <c r="H30" s="155"/>
      <c r="I30" s="155"/>
      <c r="J30" s="151"/>
      <c r="K30" s="151"/>
      <c r="L30" s="156"/>
      <c r="M30" s="151"/>
      <c r="N30" s="151"/>
      <c r="O30" s="151"/>
      <c r="P30" s="151"/>
      <c r="Q30" s="151"/>
      <c r="R30" s="157"/>
      <c r="S30" s="151"/>
      <c r="T30" s="151"/>
      <c r="V30" s="128"/>
      <c r="W30" s="128"/>
      <c r="X30" s="128"/>
      <c r="Y30" s="128"/>
      <c r="Z30" s="128"/>
      <c r="AA30" s="147" t="s">
        <v>1355</v>
      </c>
      <c r="AB30" s="128"/>
      <c r="AC30" s="128"/>
      <c r="AD30" s="128"/>
      <c r="AE30" s="128"/>
      <c r="AG30" s="147" t="s">
        <v>8</v>
      </c>
      <c r="AH30" s="1766">
        <v>1919</v>
      </c>
      <c r="AI30" s="1766"/>
      <c r="AJ30" s="1766"/>
      <c r="AK30" s="1766"/>
      <c r="AL30" s="1766"/>
      <c r="AM30" s="1766"/>
      <c r="AN30" s="1766"/>
      <c r="AO30" s="1766"/>
      <c r="AP30" s="1766"/>
      <c r="AQ30" s="1766"/>
      <c r="AR30" s="1766"/>
      <c r="AS30" s="1766"/>
      <c r="AT30" s="1766"/>
      <c r="AU30" s="1766"/>
      <c r="AV30" s="1766"/>
    </row>
    <row r="31" spans="2:48" s="128" customFormat="1" ht="25" customHeight="1">
      <c r="B31" s="154" t="s">
        <v>1955</v>
      </c>
      <c r="C31" s="158"/>
      <c r="D31" s="158"/>
      <c r="E31" s="158"/>
      <c r="F31" s="158"/>
      <c r="G31" s="158"/>
      <c r="H31" s="158"/>
      <c r="I31" s="158"/>
      <c r="J31" s="151"/>
      <c r="K31" s="151"/>
      <c r="L31" s="156"/>
      <c r="M31" s="151"/>
      <c r="N31" s="151"/>
      <c r="O31" s="151"/>
      <c r="P31" s="151"/>
      <c r="Q31" s="151"/>
      <c r="R31" s="157"/>
      <c r="S31" s="151"/>
      <c r="T31" s="151"/>
      <c r="AA31" s="147"/>
      <c r="AG31" s="147"/>
      <c r="AH31" s="159"/>
      <c r="AI31" s="159"/>
      <c r="AJ31" s="159"/>
      <c r="AK31" s="159"/>
      <c r="AL31" s="159"/>
      <c r="AM31" s="159"/>
      <c r="AN31" s="159"/>
      <c r="AO31" s="159"/>
      <c r="AP31" s="159"/>
      <c r="AQ31" s="159"/>
      <c r="AR31" s="159"/>
      <c r="AS31" s="159"/>
      <c r="AT31" s="159"/>
      <c r="AU31" s="159"/>
      <c r="AV31" s="159"/>
    </row>
    <row r="32" spans="2:48" s="128" customFormat="1" ht="25" customHeight="1">
      <c r="B32" s="160"/>
      <c r="C32" s="179" t="b">
        <v>1</v>
      </c>
      <c r="D32" s="161" t="s">
        <v>1777</v>
      </c>
      <c r="E32" s="160"/>
      <c r="F32" s="160"/>
      <c r="G32" s="160"/>
      <c r="H32" s="160"/>
      <c r="I32" s="160"/>
      <c r="J32" s="151"/>
      <c r="K32" s="151"/>
      <c r="L32" s="156"/>
      <c r="M32" s="151"/>
      <c r="N32" s="151"/>
      <c r="O32" s="151"/>
      <c r="P32" s="151"/>
      <c r="Q32" s="151"/>
      <c r="R32" s="157"/>
      <c r="S32" s="151"/>
      <c r="T32" s="151"/>
      <c r="AA32" s="154" t="s">
        <v>963</v>
      </c>
      <c r="AB32" s="125"/>
      <c r="AC32" s="125"/>
      <c r="AD32" s="125"/>
      <c r="AE32" s="125"/>
      <c r="AF32" s="125"/>
      <c r="AG32" s="125"/>
      <c r="AH32" s="125"/>
    </row>
    <row r="33" spans="2:48" s="162" customFormat="1" ht="25" customHeight="1">
      <c r="B33" s="160"/>
      <c r="C33" s="179" t="b">
        <v>0</v>
      </c>
      <c r="D33" s="161" t="s">
        <v>1778</v>
      </c>
      <c r="E33" s="160"/>
      <c r="F33" s="160"/>
      <c r="G33" s="160"/>
      <c r="H33" s="160"/>
      <c r="I33" s="160"/>
      <c r="AA33" s="160"/>
      <c r="AB33" s="179" t="b">
        <v>1</v>
      </c>
      <c r="AC33" s="161" t="s">
        <v>57</v>
      </c>
      <c r="AD33" s="160"/>
      <c r="AE33" s="160"/>
      <c r="AF33" s="160"/>
      <c r="AG33" s="133"/>
      <c r="AH33" s="163"/>
    </row>
    <row r="34" spans="2:48" s="165" customFormat="1" ht="25" customHeight="1">
      <c r="B34" s="164"/>
      <c r="C34" s="179" t="b">
        <v>1</v>
      </c>
      <c r="D34" s="161" t="s">
        <v>964</v>
      </c>
      <c r="E34" s="164"/>
      <c r="F34" s="164"/>
      <c r="G34" s="164"/>
      <c r="H34" s="164"/>
      <c r="I34" s="164"/>
      <c r="V34" s="162"/>
      <c r="W34" s="162"/>
      <c r="X34" s="162"/>
      <c r="Y34" s="162"/>
      <c r="Z34" s="162"/>
      <c r="AA34" s="160"/>
      <c r="AB34" s="179" t="b">
        <v>1</v>
      </c>
      <c r="AC34" s="161" t="s">
        <v>274</v>
      </c>
      <c r="AD34" s="160"/>
      <c r="AE34" s="160"/>
      <c r="AF34" s="164"/>
      <c r="AG34" s="133"/>
      <c r="AH34" s="163"/>
    </row>
    <row r="35" spans="2:48" s="165" customFormat="1" ht="25" customHeight="1">
      <c r="B35" s="164"/>
      <c r="C35" s="179" t="b">
        <v>0</v>
      </c>
      <c r="D35" s="161" t="s">
        <v>1779</v>
      </c>
      <c r="E35" s="164"/>
      <c r="J35" s="164"/>
      <c r="K35" s="164"/>
      <c r="L35" s="164"/>
      <c r="M35" s="164"/>
      <c r="N35" s="164"/>
      <c r="O35" s="164"/>
      <c r="P35" s="164"/>
      <c r="Q35" s="164"/>
      <c r="R35" s="1779"/>
      <c r="S35" s="1779"/>
      <c r="T35" s="1779"/>
      <c r="U35" s="1779"/>
      <c r="V35" s="1779"/>
      <c r="W35" s="1779"/>
      <c r="X35" s="1779"/>
      <c r="Y35" s="161" t="s">
        <v>962</v>
      </c>
      <c r="Z35" s="162"/>
      <c r="AA35" s="162"/>
      <c r="AB35" s="162"/>
      <c r="AC35" s="162"/>
      <c r="AD35" s="162"/>
      <c r="AE35" s="162"/>
    </row>
    <row r="36" spans="2:48" s="165" customFormat="1" ht="25" customHeight="1">
      <c r="Z36" s="166"/>
      <c r="AA36" s="160"/>
      <c r="AB36" s="160"/>
      <c r="AC36" s="160"/>
      <c r="AD36" s="160"/>
      <c r="AE36" s="160"/>
      <c r="AF36" s="164"/>
      <c r="AG36" s="164"/>
      <c r="AH36" s="164"/>
      <c r="AI36" s="164"/>
      <c r="AJ36" s="164"/>
      <c r="AK36" s="164"/>
    </row>
    <row r="37" spans="2:48" s="127" customFormat="1" ht="30" customHeight="1">
      <c r="R37" s="167" t="str">
        <f>IF(AND(sch_annex_extension_school=TRUE,sch_annex_extension_mother_sch_id=""),"Please enter Mother School ID","")</f>
        <v/>
      </c>
      <c r="V37" s="128"/>
      <c r="W37" s="128"/>
      <c r="X37" s="128"/>
      <c r="Y37" s="128"/>
      <c r="Z37" s="128"/>
      <c r="AA37" s="168"/>
      <c r="AB37" s="128"/>
      <c r="AC37" s="128"/>
      <c r="AD37" s="128"/>
      <c r="AE37" s="128"/>
    </row>
    <row r="38" spans="2:48" s="168" customFormat="1" ht="14">
      <c r="B38" s="169" t="s">
        <v>847</v>
      </c>
      <c r="R38" s="169" t="s">
        <v>783</v>
      </c>
      <c r="AH38" s="170" t="s">
        <v>965</v>
      </c>
    </row>
    <row r="39" spans="2:48" s="168" customFormat="1" ht="21.75" customHeight="1">
      <c r="B39" s="169" t="s">
        <v>18</v>
      </c>
      <c r="E39" s="171" t="s">
        <v>8</v>
      </c>
      <c r="F39" s="1763" t="s">
        <v>11865</v>
      </c>
      <c r="G39" s="1763"/>
      <c r="H39" s="1763"/>
      <c r="I39" s="1763"/>
      <c r="J39" s="1763"/>
      <c r="K39" s="1763"/>
      <c r="L39" s="1763"/>
      <c r="M39" s="1763"/>
      <c r="N39" s="1763"/>
      <c r="O39" s="1763"/>
      <c r="R39" s="1780" t="s">
        <v>11867</v>
      </c>
      <c r="S39" s="1780"/>
      <c r="T39" s="1780"/>
      <c r="U39" s="1780"/>
      <c r="V39" s="1780"/>
      <c r="W39" s="1780"/>
      <c r="X39" s="1780"/>
      <c r="Y39" s="1780"/>
      <c r="Z39" s="1780"/>
      <c r="AA39" s="1780"/>
      <c r="AB39" s="1780"/>
      <c r="AC39" s="1780"/>
      <c r="AD39" s="1780"/>
      <c r="AE39" s="1780"/>
      <c r="AH39" s="170" t="s">
        <v>966</v>
      </c>
      <c r="AL39" s="171"/>
      <c r="AM39" s="1763" t="s">
        <v>11871</v>
      </c>
      <c r="AN39" s="1763"/>
      <c r="AO39" s="1763"/>
      <c r="AP39" s="1763"/>
      <c r="AQ39" s="1763"/>
      <c r="AR39" s="1763"/>
      <c r="AS39" s="1763"/>
      <c r="AT39" s="1763"/>
      <c r="AU39" s="1763"/>
      <c r="AV39" s="1763"/>
    </row>
    <row r="40" spans="2:48" s="174" customFormat="1" ht="15" customHeight="1">
      <c r="B40" s="172"/>
      <c r="C40" s="172"/>
      <c r="D40" s="172"/>
      <c r="E40" s="172"/>
      <c r="F40" s="1781" t="s">
        <v>741</v>
      </c>
      <c r="G40" s="1781"/>
      <c r="H40" s="1781"/>
      <c r="I40" s="1781"/>
      <c r="J40" s="1781"/>
      <c r="K40" s="1781"/>
      <c r="L40" s="1781"/>
      <c r="M40" s="1781"/>
      <c r="N40" s="1781"/>
      <c r="O40" s="1781"/>
      <c r="P40" s="172"/>
      <c r="Q40" s="172"/>
      <c r="R40" s="1763"/>
      <c r="S40" s="1763"/>
      <c r="T40" s="1763"/>
      <c r="U40" s="1763"/>
      <c r="V40" s="1763"/>
      <c r="W40" s="1763"/>
      <c r="X40" s="1763"/>
      <c r="Y40" s="1763"/>
      <c r="Z40" s="1763"/>
      <c r="AA40" s="1763"/>
      <c r="AB40" s="1763"/>
      <c r="AC40" s="1763"/>
      <c r="AD40" s="1763"/>
      <c r="AE40" s="1763"/>
      <c r="AF40" s="173"/>
      <c r="AG40" s="173"/>
      <c r="AH40" s="173"/>
      <c r="AL40" s="175"/>
      <c r="AM40" s="1764" t="s">
        <v>741</v>
      </c>
      <c r="AN40" s="1764"/>
      <c r="AO40" s="1764"/>
      <c r="AP40" s="1764"/>
      <c r="AQ40" s="1764"/>
      <c r="AR40" s="1764"/>
      <c r="AS40" s="1764"/>
      <c r="AT40" s="1764"/>
      <c r="AU40" s="1764"/>
      <c r="AV40" s="1764"/>
    </row>
    <row r="41" spans="2:48" s="168" customFormat="1" ht="21.75" customHeight="1">
      <c r="B41" s="169" t="s">
        <v>46</v>
      </c>
      <c r="E41" s="171" t="s">
        <v>8</v>
      </c>
      <c r="F41" s="1763" t="s">
        <v>11866</v>
      </c>
      <c r="G41" s="1763"/>
      <c r="H41" s="1763"/>
      <c r="I41" s="1763"/>
      <c r="J41" s="1763"/>
      <c r="K41" s="1763"/>
      <c r="L41" s="1763"/>
      <c r="M41" s="1763"/>
      <c r="N41" s="1763"/>
      <c r="O41" s="1763"/>
      <c r="R41" s="1764" t="s">
        <v>741</v>
      </c>
      <c r="S41" s="1764"/>
      <c r="T41" s="1764"/>
      <c r="U41" s="1764"/>
      <c r="V41" s="1764"/>
      <c r="W41" s="1764"/>
      <c r="X41" s="1764"/>
      <c r="Y41" s="1764"/>
      <c r="Z41" s="1764"/>
      <c r="AA41" s="1764"/>
      <c r="AB41" s="1764"/>
      <c r="AC41" s="1764"/>
      <c r="AD41" s="1764"/>
      <c r="AE41" s="1764"/>
      <c r="AH41" s="169" t="s">
        <v>967</v>
      </c>
      <c r="AL41" s="171"/>
      <c r="AM41" s="1763" t="s">
        <v>11872</v>
      </c>
      <c r="AN41" s="1763"/>
      <c r="AO41" s="1763"/>
      <c r="AP41" s="1763"/>
      <c r="AQ41" s="1763"/>
      <c r="AR41" s="1763"/>
      <c r="AS41" s="1763"/>
      <c r="AT41" s="1763"/>
      <c r="AU41" s="1763"/>
      <c r="AV41" s="1763"/>
    </row>
    <row r="42" spans="2:48" ht="15.65" customHeight="1">
      <c r="B42" s="169"/>
      <c r="E42" s="175"/>
      <c r="L42" s="173"/>
      <c r="R42" s="176"/>
      <c r="S42" s="176"/>
      <c r="U42" s="177"/>
      <c r="V42" s="177"/>
      <c r="W42" s="177"/>
      <c r="X42" s="177"/>
      <c r="Y42" s="173"/>
      <c r="Z42" s="173"/>
      <c r="AA42" s="173"/>
      <c r="AD42" s="175"/>
      <c r="AE42" s="177"/>
      <c r="AF42" s="177"/>
      <c r="AG42" s="177"/>
      <c r="AJ42" s="175"/>
      <c r="AK42" s="177"/>
      <c r="AL42" s="177"/>
      <c r="AM42" s="177"/>
      <c r="AN42" s="177"/>
      <c r="AO42" s="177"/>
      <c r="AP42" s="173"/>
      <c r="AS42" s="177"/>
      <c r="AT42" s="177"/>
    </row>
    <row r="45" spans="2:48">
      <c r="R45" s="138"/>
      <c r="AI45" s="178"/>
    </row>
  </sheetData>
  <sheetProtection algorithmName="SHA-512" hashValue="ArLQ/Vqp+EVBnkyz0QmZgzymRwUJASrHnS3eYKd+VzZvaFwXRkgNdXXVH17XeCCZQ9Nn//L1e+yrQcNTcBdjgw==" saltValue="Z5ovSfI/iS3ASWZJZBqKcg==" spinCount="100000" sheet="1" selectLockedCells="1"/>
  <mergeCells count="46">
    <mergeCell ref="AH30:AV30"/>
    <mergeCell ref="R35:X35"/>
    <mergeCell ref="F39:O39"/>
    <mergeCell ref="R39:AE40"/>
    <mergeCell ref="AM39:AV39"/>
    <mergeCell ref="F40:O40"/>
    <mergeCell ref="AM40:AV40"/>
    <mergeCell ref="G28:L28"/>
    <mergeCell ref="N28:R28"/>
    <mergeCell ref="T28:U28"/>
    <mergeCell ref="AH28:AV28"/>
    <mergeCell ref="AH29:AV29"/>
    <mergeCell ref="I26:L26"/>
    <mergeCell ref="N26:U26"/>
    <mergeCell ref="AH26:AV26"/>
    <mergeCell ref="G27:L27"/>
    <mergeCell ref="N27:R27"/>
    <mergeCell ref="T27:U27"/>
    <mergeCell ref="AH27:AV27"/>
    <mergeCell ref="G24:U24"/>
    <mergeCell ref="AH24:AV24"/>
    <mergeCell ref="I25:L25"/>
    <mergeCell ref="N25:U25"/>
    <mergeCell ref="AH25:AV25"/>
    <mergeCell ref="C15:AU15"/>
    <mergeCell ref="C16:AU16"/>
    <mergeCell ref="G22:U22"/>
    <mergeCell ref="AH22:AV22"/>
    <mergeCell ref="G23:U23"/>
    <mergeCell ref="AH23:AV23"/>
    <mergeCell ref="AQ2:AV2"/>
    <mergeCell ref="H4:M5"/>
    <mergeCell ref="F41:O41"/>
    <mergeCell ref="R41:AE41"/>
    <mergeCell ref="AM41:AV41"/>
    <mergeCell ref="B18:AV18"/>
    <mergeCell ref="B19:AV19"/>
    <mergeCell ref="G21:U21"/>
    <mergeCell ref="AH21:AV21"/>
    <mergeCell ref="B6:AV6"/>
    <mergeCell ref="B7:AV7"/>
    <mergeCell ref="B8:AV8"/>
    <mergeCell ref="B9:AV9"/>
    <mergeCell ref="B11:AV11"/>
    <mergeCell ref="C13:AV13"/>
    <mergeCell ref="C14:AU14"/>
  </mergeCells>
  <dataValidations count="5">
    <dataValidation type="custom" allowBlank="1" showInputMessage="1" showErrorMessage="1" errorTitle="GESP SY 2022-2023" error="Please enter 6-digit valid School ID." promptTitle="GESP SY 2021-2022" sqref="AQ2:AV2" xr:uid="{00000000-0002-0000-0400-000000000000}">
      <formula1>AND(LEN(AQ2)=6, OR(AQ2&lt;299999, AND(AQ2&gt;499999, AQ2&lt;600000)))</formula1>
    </dataValidation>
    <dataValidation type="whole" allowBlank="1" showInputMessage="1" showErrorMessage="1" errorTitle="GESP SY 2022-2023" error="Please enter valid Zip Code." sqref="T27:U27" xr:uid="{00000000-0002-0000-0400-000001000000}">
      <formula1>0</formula1>
      <formula2>9999</formula2>
    </dataValidation>
    <dataValidation type="whole" allowBlank="1" showInputMessage="1" showErrorMessage="1" errorTitle="GESP SY 2022-2023" error="Please enter only the year the school was established." promptTitle="GESP SY 2022-2023" sqref="AH30:AV30" xr:uid="{00000000-0002-0000-0400-000002000000}">
      <formula1>1600</formula1>
      <formula2>2022</formula2>
    </dataValidation>
    <dataValidation type="whole" allowBlank="1" showInputMessage="1" showErrorMessage="1" errorTitle="GESP SY 2022-2023" error="Please enter 6-digit valid School ID." sqref="R35:X35" xr:uid="{00000000-0002-0000-0400-000003000000}">
      <formula1>100000</formula1>
      <formula2>599999</formula2>
    </dataValidation>
    <dataValidation type="list" allowBlank="1" showInputMessage="1" showErrorMessage="1" errorTitle="GESP SY 2022-2023" error="Please select from the list provided" sqref="AH22:AV22" xr:uid="{00000000-0002-0000-0400-000004000000}">
      <formula1>INDIRECT(SUBSTITUTE($AH$21," ","_"))</formula1>
    </dataValidation>
  </dataValidations>
  <printOptions horizontalCentered="1" verticalCentered="1"/>
  <pageMargins left="0.25" right="0.25" top="0.2" bottom="0.2" header="0" footer="0.1"/>
  <pageSetup paperSize="9" scale="63" orientation="landscape" r:id="rId1"/>
  <headerFooter alignWithMargins="0">
    <oddFooter>&amp;L&amp;10&amp;F &amp;A&amp;R&amp;11Page 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2</xdr:col>
                    <xdr:colOff>31750</xdr:colOff>
                    <xdr:row>31</xdr:row>
                    <xdr:rowOff>50800</xdr:rowOff>
                  </from>
                  <to>
                    <xdr:col>3</xdr:col>
                    <xdr:colOff>107950</xdr:colOff>
                    <xdr:row>31</xdr:row>
                    <xdr:rowOff>279400</xdr:rowOff>
                  </to>
                </anchor>
              </controlPr>
            </control>
          </mc:Choice>
        </mc:AlternateContent>
        <mc:AlternateContent xmlns:mc="http://schemas.openxmlformats.org/markup-compatibility/2006">
          <mc:Choice Requires="x14">
            <control shapeId="2051" r:id="rId5" name="Check Box 3">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mc:AlternateContent xmlns:mc="http://schemas.openxmlformats.org/markup-compatibility/2006">
          <mc:Choice Requires="x14">
            <control shapeId="2052" r:id="rId6" name="Check Box 4">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mc:AlternateContent xmlns:mc="http://schemas.openxmlformats.org/markup-compatibility/2006">
          <mc:Choice Requires="x14">
            <control shapeId="2053" r:id="rId7" name="Check Box 5">
              <controlPr locked="0" defaultSize="0" autoFill="0" autoLine="0" autoPict="0" altText="">
                <anchor moveWithCells="1">
                  <from>
                    <xdr:col>2</xdr:col>
                    <xdr:colOff>31750</xdr:colOff>
                    <xdr:row>33</xdr:row>
                    <xdr:rowOff>50800</xdr:rowOff>
                  </from>
                  <to>
                    <xdr:col>3</xdr:col>
                    <xdr:colOff>107950</xdr:colOff>
                    <xdr:row>33</xdr:row>
                    <xdr:rowOff>266700</xdr:rowOff>
                  </to>
                </anchor>
              </controlPr>
            </control>
          </mc:Choice>
        </mc:AlternateContent>
        <mc:AlternateContent xmlns:mc="http://schemas.openxmlformats.org/markup-compatibility/2006">
          <mc:Choice Requires="x14">
            <control shapeId="2054" r:id="rId8" name="Check Box 6">
              <controlPr locked="0" defaultSize="0" autoFill="0" autoLine="0" autoPict="0" altText="">
                <anchor moveWithCells="1">
                  <from>
                    <xdr:col>2</xdr:col>
                    <xdr:colOff>31750</xdr:colOff>
                    <xdr:row>34</xdr:row>
                    <xdr:rowOff>50800</xdr:rowOff>
                  </from>
                  <to>
                    <xdr:col>3</xdr:col>
                    <xdr:colOff>107950</xdr:colOff>
                    <xdr:row>34</xdr:row>
                    <xdr:rowOff>266700</xdr:rowOff>
                  </to>
                </anchor>
              </controlPr>
            </control>
          </mc:Choice>
        </mc:AlternateContent>
        <mc:AlternateContent xmlns:mc="http://schemas.openxmlformats.org/markup-compatibility/2006">
          <mc:Choice Requires="x14">
            <control shapeId="2055" r:id="rId9" name="Check Box 7">
              <controlPr locked="0" defaultSize="0" autoFill="0" autoLine="0" autoPict="0" altText="">
                <anchor moveWithCells="1">
                  <from>
                    <xdr:col>27</xdr:col>
                    <xdr:colOff>31750</xdr:colOff>
                    <xdr:row>32</xdr:row>
                    <xdr:rowOff>50800</xdr:rowOff>
                  </from>
                  <to>
                    <xdr:col>28</xdr:col>
                    <xdr:colOff>107950</xdr:colOff>
                    <xdr:row>32</xdr:row>
                    <xdr:rowOff>279400</xdr:rowOff>
                  </to>
                </anchor>
              </controlPr>
            </control>
          </mc:Choice>
        </mc:AlternateContent>
        <mc:AlternateContent xmlns:mc="http://schemas.openxmlformats.org/markup-compatibility/2006">
          <mc:Choice Requires="x14">
            <control shapeId="2056" r:id="rId10" name="Check Box 8">
              <controlPr locked="0" defaultSize="0" autoFill="0" autoLine="0" autoPict="0" altText="">
                <anchor moveWithCells="1">
                  <from>
                    <xdr:col>27</xdr:col>
                    <xdr:colOff>31750</xdr:colOff>
                    <xdr:row>33</xdr:row>
                    <xdr:rowOff>50800</xdr:rowOff>
                  </from>
                  <to>
                    <xdr:col>28</xdr:col>
                    <xdr:colOff>107950</xdr:colOff>
                    <xdr:row>33</xdr:row>
                    <xdr:rowOff>279400</xdr:rowOff>
                  </to>
                </anchor>
              </controlPr>
            </control>
          </mc:Choice>
        </mc:AlternateContent>
        <mc:AlternateContent xmlns:mc="http://schemas.openxmlformats.org/markup-compatibility/2006">
          <mc:Choice Requires="x14">
            <control shapeId="2058" r:id="rId11" name="Check Box 10">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mc:AlternateContent xmlns:mc="http://schemas.openxmlformats.org/markup-compatibility/2006">
          <mc:Choice Requires="x14">
            <control shapeId="2059" r:id="rId12" name="Check Box 11">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promptTitle="GESP 2022-2023" xr:uid="{00000000-0002-0000-0400-000005000000}">
          <x14:formula1>
            <xm:f>list!$A$1:$Q$1</xm:f>
          </x14:formula1>
          <xm:sqref>AH21:AV21</xm:sqref>
        </x14:dataValidation>
        <x14:dataValidation type="list" allowBlank="1" showInputMessage="1" showErrorMessage="1" errorTitle="GESP SY 2022-2023" error="Please select on the list provided." xr:uid="{00000000-0002-0000-0400-000006000000}">
          <x14:formula1>
            <xm:f>Dropdowns!$A$13:$A$21</xm:f>
          </x14:formula1>
          <xm:sqref>AH24:AV24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B1:BZ58"/>
  <sheetViews>
    <sheetView showGridLines="0" zoomScaleNormal="100" workbookViewId="0">
      <selection activeCell="AA50" sqref="AA50:AS50"/>
    </sheetView>
  </sheetViews>
  <sheetFormatPr defaultColWidth="9" defaultRowHeight="15.5"/>
  <cols>
    <col min="1" max="1" width="2.08203125" style="181" customWidth="1"/>
    <col min="2" max="22" width="3.58203125" style="181" customWidth="1"/>
    <col min="23" max="24" width="4.58203125" style="181" customWidth="1"/>
    <col min="25" max="30" width="3.58203125" style="181" customWidth="1"/>
    <col min="31" max="32" width="4.58203125" style="181" customWidth="1"/>
    <col min="33" max="40" width="3.58203125" style="181" customWidth="1"/>
    <col min="41" max="42" width="4.58203125" style="181" customWidth="1"/>
    <col min="43" max="50" width="3.58203125" style="181" customWidth="1"/>
    <col min="51" max="52" width="4.58203125" style="181" customWidth="1"/>
    <col min="53" max="58" width="3.58203125" style="181" customWidth="1"/>
    <col min="59" max="60" width="4.58203125" style="181" customWidth="1"/>
    <col min="61" max="68" width="3.58203125" style="181" customWidth="1"/>
    <col min="69" max="70" width="4.58203125" style="181" customWidth="1"/>
    <col min="71" max="71" width="2.08203125" style="181" customWidth="1"/>
    <col min="72" max="16384" width="9" style="181"/>
  </cols>
  <sheetData>
    <row r="1" spans="2:76" ht="12" customHeight="1"/>
    <row r="2" spans="2:76" s="180" customFormat="1" ht="18" thickBot="1">
      <c r="B2" s="219" t="s">
        <v>11746</v>
      </c>
      <c r="C2" s="219"/>
      <c r="D2" s="219"/>
      <c r="E2" s="219"/>
      <c r="F2" s="219"/>
      <c r="G2" s="219"/>
      <c r="H2" s="219"/>
      <c r="I2" s="219"/>
      <c r="J2" s="219"/>
      <c r="K2" s="219"/>
      <c r="L2" s="219"/>
      <c r="M2" s="219"/>
      <c r="N2" s="219"/>
      <c r="AB2" s="220"/>
      <c r="AC2" s="220"/>
      <c r="AD2" s="221"/>
      <c r="BD2" s="220"/>
      <c r="BE2" s="220"/>
      <c r="BF2" s="221"/>
    </row>
    <row r="3" spans="2:76" s="180" customFormat="1" ht="22.5" customHeight="1">
      <c r="B3" s="1823" t="s">
        <v>424</v>
      </c>
      <c r="C3" s="1824"/>
      <c r="D3" s="1824"/>
      <c r="E3" s="1824"/>
      <c r="F3" s="1824"/>
      <c r="G3" s="1824"/>
      <c r="H3" s="1824"/>
      <c r="I3" s="1824"/>
      <c r="J3" s="1824"/>
      <c r="K3" s="1824"/>
      <c r="L3" s="1824"/>
      <c r="M3" s="1824"/>
      <c r="N3" s="1824"/>
      <c r="O3" s="1824"/>
      <c r="P3" s="1823" t="s">
        <v>57</v>
      </c>
      <c r="Q3" s="1824"/>
      <c r="R3" s="1824"/>
      <c r="S3" s="1824"/>
      <c r="T3" s="1824"/>
      <c r="U3" s="1840"/>
      <c r="V3" s="1823" t="s">
        <v>19</v>
      </c>
      <c r="W3" s="1824"/>
      <c r="X3" s="1824"/>
      <c r="Y3" s="1824"/>
      <c r="Z3" s="1824"/>
      <c r="AA3" s="1840"/>
      <c r="AB3" s="1823" t="s">
        <v>20</v>
      </c>
      <c r="AC3" s="1824"/>
      <c r="AD3" s="1824"/>
      <c r="AE3" s="1824"/>
      <c r="AF3" s="1824"/>
      <c r="AG3" s="1840"/>
      <c r="AH3" s="1823" t="s">
        <v>21</v>
      </c>
      <c r="AI3" s="1824"/>
      <c r="AJ3" s="1824"/>
      <c r="AK3" s="1824"/>
      <c r="AL3" s="1824"/>
      <c r="AM3" s="1840"/>
      <c r="AN3" s="1823" t="s">
        <v>22</v>
      </c>
      <c r="AO3" s="1824"/>
      <c r="AP3" s="1824"/>
      <c r="AQ3" s="1824"/>
      <c r="AR3" s="1824"/>
      <c r="AS3" s="1840"/>
      <c r="AT3" s="1823" t="s">
        <v>23</v>
      </c>
      <c r="AU3" s="1824"/>
      <c r="AV3" s="1824"/>
      <c r="AW3" s="1824"/>
      <c r="AX3" s="1824"/>
      <c r="AY3" s="1840"/>
      <c r="AZ3" s="1823" t="s">
        <v>24</v>
      </c>
      <c r="BA3" s="1824"/>
      <c r="BB3" s="1824"/>
      <c r="BC3" s="1824"/>
      <c r="BD3" s="1824"/>
      <c r="BE3" s="1824"/>
      <c r="BF3" s="1792" t="s">
        <v>1278</v>
      </c>
      <c r="BG3" s="1793"/>
      <c r="BH3" s="1793"/>
      <c r="BI3" s="1793"/>
      <c r="BJ3" s="1793"/>
      <c r="BK3" s="1794"/>
    </row>
    <row r="4" spans="2:76" s="180" customFormat="1" ht="22.5" customHeight="1">
      <c r="B4" s="1851"/>
      <c r="C4" s="1852"/>
      <c r="D4" s="1852"/>
      <c r="E4" s="1852"/>
      <c r="F4" s="1852"/>
      <c r="G4" s="1852"/>
      <c r="H4" s="1852"/>
      <c r="I4" s="1852"/>
      <c r="J4" s="1852"/>
      <c r="K4" s="1852"/>
      <c r="L4" s="1852"/>
      <c r="M4" s="1852"/>
      <c r="N4" s="1852"/>
      <c r="O4" s="1852"/>
      <c r="P4" s="1825"/>
      <c r="Q4" s="1826"/>
      <c r="R4" s="1826"/>
      <c r="S4" s="1826"/>
      <c r="T4" s="1826"/>
      <c r="U4" s="1841"/>
      <c r="V4" s="1825"/>
      <c r="W4" s="1826"/>
      <c r="X4" s="1826"/>
      <c r="Y4" s="1826"/>
      <c r="Z4" s="1826"/>
      <c r="AA4" s="1841"/>
      <c r="AB4" s="1825"/>
      <c r="AC4" s="1826"/>
      <c r="AD4" s="1826"/>
      <c r="AE4" s="1826"/>
      <c r="AF4" s="1826"/>
      <c r="AG4" s="1841"/>
      <c r="AH4" s="1825"/>
      <c r="AI4" s="1826"/>
      <c r="AJ4" s="1826"/>
      <c r="AK4" s="1826"/>
      <c r="AL4" s="1826"/>
      <c r="AM4" s="1841"/>
      <c r="AN4" s="1825"/>
      <c r="AO4" s="1826"/>
      <c r="AP4" s="1826"/>
      <c r="AQ4" s="1826"/>
      <c r="AR4" s="1826"/>
      <c r="AS4" s="1841"/>
      <c r="AT4" s="1825"/>
      <c r="AU4" s="1826"/>
      <c r="AV4" s="1826"/>
      <c r="AW4" s="1826"/>
      <c r="AX4" s="1826"/>
      <c r="AY4" s="1841"/>
      <c r="AZ4" s="1825"/>
      <c r="BA4" s="1826"/>
      <c r="BB4" s="1826"/>
      <c r="BC4" s="1826"/>
      <c r="BD4" s="1826"/>
      <c r="BE4" s="1826"/>
      <c r="BF4" s="1795"/>
      <c r="BG4" s="1796"/>
      <c r="BH4" s="1796"/>
      <c r="BI4" s="1796"/>
      <c r="BJ4" s="1796"/>
      <c r="BK4" s="1797"/>
    </row>
    <row r="5" spans="2:76" s="180" customFormat="1" ht="19.5" customHeight="1" thickBot="1">
      <c r="B5" s="1853"/>
      <c r="C5" s="1854"/>
      <c r="D5" s="1854"/>
      <c r="E5" s="1854"/>
      <c r="F5" s="1854"/>
      <c r="G5" s="1854"/>
      <c r="H5" s="1854"/>
      <c r="I5" s="1854"/>
      <c r="J5" s="1854"/>
      <c r="K5" s="1854"/>
      <c r="L5" s="1854"/>
      <c r="M5" s="1854"/>
      <c r="N5" s="1854"/>
      <c r="O5" s="1854"/>
      <c r="P5" s="1827" t="s">
        <v>15</v>
      </c>
      <c r="Q5" s="1799"/>
      <c r="R5" s="1800"/>
      <c r="S5" s="1801" t="s">
        <v>16</v>
      </c>
      <c r="T5" s="1799"/>
      <c r="U5" s="1802"/>
      <c r="V5" s="1827" t="s">
        <v>15</v>
      </c>
      <c r="W5" s="1799"/>
      <c r="X5" s="1800"/>
      <c r="Y5" s="1801" t="s">
        <v>16</v>
      </c>
      <c r="Z5" s="1799"/>
      <c r="AA5" s="1802"/>
      <c r="AB5" s="1827" t="s">
        <v>15</v>
      </c>
      <c r="AC5" s="1799"/>
      <c r="AD5" s="1800"/>
      <c r="AE5" s="1801" t="s">
        <v>16</v>
      </c>
      <c r="AF5" s="1799"/>
      <c r="AG5" s="1802"/>
      <c r="AH5" s="1827" t="s">
        <v>15</v>
      </c>
      <c r="AI5" s="1799"/>
      <c r="AJ5" s="1800"/>
      <c r="AK5" s="1801" t="s">
        <v>16</v>
      </c>
      <c r="AL5" s="1799"/>
      <c r="AM5" s="1802"/>
      <c r="AN5" s="1827" t="s">
        <v>15</v>
      </c>
      <c r="AO5" s="1799"/>
      <c r="AP5" s="1800"/>
      <c r="AQ5" s="1801" t="s">
        <v>16</v>
      </c>
      <c r="AR5" s="1799"/>
      <c r="AS5" s="1802"/>
      <c r="AT5" s="1827" t="s">
        <v>15</v>
      </c>
      <c r="AU5" s="1799"/>
      <c r="AV5" s="1800"/>
      <c r="AW5" s="1801" t="s">
        <v>16</v>
      </c>
      <c r="AX5" s="1799"/>
      <c r="AY5" s="1802"/>
      <c r="AZ5" s="1827" t="s">
        <v>15</v>
      </c>
      <c r="BA5" s="1799"/>
      <c r="BB5" s="1800"/>
      <c r="BC5" s="1801" t="s">
        <v>16</v>
      </c>
      <c r="BD5" s="1799"/>
      <c r="BE5" s="1799"/>
      <c r="BF5" s="1798" t="s">
        <v>15</v>
      </c>
      <c r="BG5" s="1799"/>
      <c r="BH5" s="1800"/>
      <c r="BI5" s="1801" t="s">
        <v>16</v>
      </c>
      <c r="BJ5" s="1799"/>
      <c r="BK5" s="1802"/>
    </row>
    <row r="6" spans="2:76" s="191" customFormat="1" ht="33" customHeight="1" thickBot="1">
      <c r="B6" s="1849" t="s">
        <v>992</v>
      </c>
      <c r="C6" s="1850"/>
      <c r="D6" s="1850"/>
      <c r="E6" s="1850"/>
      <c r="F6" s="1850"/>
      <c r="G6" s="1850"/>
      <c r="H6" s="1850"/>
      <c r="I6" s="1850"/>
      <c r="J6" s="1850"/>
      <c r="K6" s="1850"/>
      <c r="L6" s="1850"/>
      <c r="M6" s="1850"/>
      <c r="N6" s="1850"/>
      <c r="O6" s="1850"/>
      <c r="P6" s="1828"/>
      <c r="Q6" s="1804"/>
      <c r="R6" s="1805"/>
      <c r="S6" s="1806"/>
      <c r="T6" s="1804"/>
      <c r="U6" s="1807"/>
      <c r="V6" s="1828"/>
      <c r="W6" s="1804"/>
      <c r="X6" s="1805"/>
      <c r="Y6" s="1806"/>
      <c r="Z6" s="1804"/>
      <c r="AA6" s="1807"/>
      <c r="AB6" s="1828"/>
      <c r="AC6" s="1804"/>
      <c r="AD6" s="1805"/>
      <c r="AE6" s="1806"/>
      <c r="AF6" s="1804"/>
      <c r="AG6" s="1807"/>
      <c r="AH6" s="1828"/>
      <c r="AI6" s="1804"/>
      <c r="AJ6" s="1805"/>
      <c r="AK6" s="1806"/>
      <c r="AL6" s="1804"/>
      <c r="AM6" s="1807"/>
      <c r="AN6" s="1828"/>
      <c r="AO6" s="1804"/>
      <c r="AP6" s="1805"/>
      <c r="AQ6" s="1806"/>
      <c r="AR6" s="1804"/>
      <c r="AS6" s="1807"/>
      <c r="AT6" s="1828"/>
      <c r="AU6" s="1804"/>
      <c r="AV6" s="1805"/>
      <c r="AW6" s="1806"/>
      <c r="AX6" s="1804"/>
      <c r="AY6" s="1807"/>
      <c r="AZ6" s="1828"/>
      <c r="BA6" s="1804"/>
      <c r="BB6" s="1805"/>
      <c r="BC6" s="1806"/>
      <c r="BD6" s="1804"/>
      <c r="BE6" s="1804"/>
      <c r="BF6" s="1803"/>
      <c r="BG6" s="1804"/>
      <c r="BH6" s="1805"/>
      <c r="BI6" s="1806"/>
      <c r="BJ6" s="1804"/>
      <c r="BK6" s="1807"/>
    </row>
    <row r="7" spans="2:76" s="191" customFormat="1" ht="27" customHeight="1">
      <c r="B7" s="1845" t="s">
        <v>935</v>
      </c>
      <c r="C7" s="1846"/>
      <c r="D7" s="1846"/>
      <c r="E7" s="1846"/>
      <c r="F7" s="1846"/>
      <c r="G7" s="1846"/>
      <c r="H7" s="1846"/>
      <c r="I7" s="1846"/>
      <c r="J7" s="1846"/>
      <c r="K7" s="1846"/>
      <c r="L7" s="1846"/>
      <c r="M7" s="1846"/>
      <c r="N7" s="1846"/>
      <c r="O7" s="1846"/>
      <c r="P7" s="1829">
        <v>0</v>
      </c>
      <c r="Q7" s="1830"/>
      <c r="R7" s="1831"/>
      <c r="S7" s="1832">
        <v>0</v>
      </c>
      <c r="T7" s="1830"/>
      <c r="U7" s="1837"/>
      <c r="V7" s="1829">
        <v>0</v>
      </c>
      <c r="W7" s="1830"/>
      <c r="X7" s="1831"/>
      <c r="Y7" s="1832">
        <v>0</v>
      </c>
      <c r="Z7" s="1830"/>
      <c r="AA7" s="1837"/>
      <c r="AB7" s="1829">
        <v>0</v>
      </c>
      <c r="AC7" s="1830"/>
      <c r="AD7" s="1831"/>
      <c r="AE7" s="1832">
        <v>0</v>
      </c>
      <c r="AF7" s="1830"/>
      <c r="AG7" s="1837"/>
      <c r="AH7" s="1829">
        <v>0</v>
      </c>
      <c r="AI7" s="1830"/>
      <c r="AJ7" s="1831"/>
      <c r="AK7" s="1832">
        <v>0</v>
      </c>
      <c r="AL7" s="1830"/>
      <c r="AM7" s="1837"/>
      <c r="AN7" s="1829">
        <v>0</v>
      </c>
      <c r="AO7" s="1830"/>
      <c r="AP7" s="1831"/>
      <c r="AQ7" s="1832">
        <v>0</v>
      </c>
      <c r="AR7" s="1830"/>
      <c r="AS7" s="1837"/>
      <c r="AT7" s="1829">
        <v>0</v>
      </c>
      <c r="AU7" s="1830"/>
      <c r="AV7" s="1831"/>
      <c r="AW7" s="1832">
        <v>0</v>
      </c>
      <c r="AX7" s="1830"/>
      <c r="AY7" s="1837"/>
      <c r="AZ7" s="1829">
        <v>0</v>
      </c>
      <c r="BA7" s="1830"/>
      <c r="BB7" s="1831"/>
      <c r="BC7" s="1832">
        <v>0</v>
      </c>
      <c r="BD7" s="1830"/>
      <c r="BE7" s="1830"/>
      <c r="BF7" s="1808">
        <f>alive_muslim_m_k+alive_muslim_m_g1+alive_muslim_m_g2+alive_muslim_m_g3+alive_muslim_m_g4+alive_muslim_m_g5+alive_muslim_m_g6</f>
        <v>0</v>
      </c>
      <c r="BG7" s="1809"/>
      <c r="BH7" s="1810"/>
      <c r="BI7" s="1811">
        <f>alive_muslim_f_k+alive_muslim_f_g1+alive_muslim_f_g2+alive_muslim_f_g3+alive_muslim_f_g4+alive_muslim_f_g5+alive_muslim_f_g6</f>
        <v>0</v>
      </c>
      <c r="BJ7" s="1809"/>
      <c r="BK7" s="1812"/>
    </row>
    <row r="8" spans="2:76" s="191" customFormat="1" ht="27" customHeight="1" thickBot="1">
      <c r="B8" s="1847" t="s">
        <v>936</v>
      </c>
      <c r="C8" s="1848"/>
      <c r="D8" s="1848"/>
      <c r="E8" s="1848"/>
      <c r="F8" s="1848"/>
      <c r="G8" s="1848"/>
      <c r="H8" s="1848"/>
      <c r="I8" s="1848"/>
      <c r="J8" s="1848"/>
      <c r="K8" s="1848"/>
      <c r="L8" s="1848"/>
      <c r="M8" s="1848"/>
      <c r="N8" s="1848"/>
      <c r="O8" s="1848"/>
      <c r="P8" s="1833">
        <v>0</v>
      </c>
      <c r="Q8" s="1834"/>
      <c r="R8" s="1835"/>
      <c r="S8" s="1836">
        <v>0</v>
      </c>
      <c r="T8" s="1834"/>
      <c r="U8" s="1838"/>
      <c r="V8" s="1833">
        <v>0</v>
      </c>
      <c r="W8" s="1834"/>
      <c r="X8" s="1835"/>
      <c r="Y8" s="1836">
        <v>0</v>
      </c>
      <c r="Z8" s="1834"/>
      <c r="AA8" s="1838"/>
      <c r="AB8" s="1833">
        <v>0</v>
      </c>
      <c r="AC8" s="1834"/>
      <c r="AD8" s="1835"/>
      <c r="AE8" s="1836">
        <v>0</v>
      </c>
      <c r="AF8" s="1834"/>
      <c r="AG8" s="1838"/>
      <c r="AH8" s="1833">
        <v>0</v>
      </c>
      <c r="AI8" s="1834"/>
      <c r="AJ8" s="1835"/>
      <c r="AK8" s="1836">
        <v>0</v>
      </c>
      <c r="AL8" s="1834"/>
      <c r="AM8" s="1838"/>
      <c r="AN8" s="1833">
        <v>0</v>
      </c>
      <c r="AO8" s="1834"/>
      <c r="AP8" s="1835"/>
      <c r="AQ8" s="1836">
        <v>0</v>
      </c>
      <c r="AR8" s="1834"/>
      <c r="AS8" s="1838"/>
      <c r="AT8" s="1833">
        <v>0</v>
      </c>
      <c r="AU8" s="1834"/>
      <c r="AV8" s="1835"/>
      <c r="AW8" s="1836">
        <v>0</v>
      </c>
      <c r="AX8" s="1834"/>
      <c r="AY8" s="1838"/>
      <c r="AZ8" s="1833">
        <v>0</v>
      </c>
      <c r="BA8" s="1834"/>
      <c r="BB8" s="1835"/>
      <c r="BC8" s="1836">
        <v>0</v>
      </c>
      <c r="BD8" s="1834"/>
      <c r="BE8" s="1834"/>
      <c r="BF8" s="1813">
        <f>alive_nonmuslim_m_k+alive_nonmuslim_m_g1+alive_nonmuslim_m_g2+alive_nonmuslim_m_g3+alive_nonmuslim_m_g4+alive_nonmuslim_m_g5+alive_nonmuslim_m_g6</f>
        <v>0</v>
      </c>
      <c r="BG8" s="1814"/>
      <c r="BH8" s="1815"/>
      <c r="BI8" s="1816">
        <f>alive_nonmuslim_f_k+alive_nonmuslim_f_g1+alive_nonmuslim_f_g2+alive_nonmuslim_f_g3+alive_nonmuslim_f_g4+alive_nonmuslim_f_g5+alive_nonmuslim_f_g6</f>
        <v>0</v>
      </c>
      <c r="BJ8" s="1814"/>
      <c r="BK8" s="1817"/>
    </row>
    <row r="9" spans="2:76" s="191" customFormat="1" ht="27" customHeight="1" thickBot="1">
      <c r="B9" s="1847" t="s">
        <v>991</v>
      </c>
      <c r="C9" s="1848"/>
      <c r="D9" s="1848"/>
      <c r="E9" s="1848"/>
      <c r="F9" s="1848"/>
      <c r="G9" s="1848"/>
      <c r="H9" s="1848"/>
      <c r="I9" s="1848"/>
      <c r="J9" s="1848"/>
      <c r="K9" s="1848"/>
      <c r="L9" s="1848"/>
      <c r="M9" s="1848"/>
      <c r="N9" s="1848"/>
      <c r="O9" s="1848"/>
      <c r="P9" s="1842"/>
      <c r="Q9" s="1843"/>
      <c r="R9" s="1843"/>
      <c r="S9" s="1843"/>
      <c r="T9" s="1843"/>
      <c r="U9" s="1844"/>
      <c r="V9" s="1788">
        <v>0</v>
      </c>
      <c r="W9" s="1789"/>
      <c r="X9" s="1790"/>
      <c r="Y9" s="1791">
        <v>0</v>
      </c>
      <c r="Z9" s="1789"/>
      <c r="AA9" s="1839"/>
      <c r="AB9" s="1788">
        <v>0</v>
      </c>
      <c r="AC9" s="1789"/>
      <c r="AD9" s="1790"/>
      <c r="AE9" s="1791">
        <v>0</v>
      </c>
      <c r="AF9" s="1789"/>
      <c r="AG9" s="1839"/>
      <c r="AH9" s="1788">
        <v>0</v>
      </c>
      <c r="AI9" s="1789"/>
      <c r="AJ9" s="1790"/>
      <c r="AK9" s="1791">
        <v>0</v>
      </c>
      <c r="AL9" s="1789"/>
      <c r="AM9" s="1839"/>
      <c r="AN9" s="1788">
        <v>0</v>
      </c>
      <c r="AO9" s="1789"/>
      <c r="AP9" s="1790"/>
      <c r="AQ9" s="1791">
        <v>0</v>
      </c>
      <c r="AR9" s="1789"/>
      <c r="AS9" s="1839"/>
      <c r="AT9" s="1788">
        <v>0</v>
      </c>
      <c r="AU9" s="1789"/>
      <c r="AV9" s="1790"/>
      <c r="AW9" s="1791">
        <v>0</v>
      </c>
      <c r="AX9" s="1789"/>
      <c r="AY9" s="1839"/>
      <c r="AZ9" s="1788">
        <v>0</v>
      </c>
      <c r="BA9" s="1789"/>
      <c r="BB9" s="1790"/>
      <c r="BC9" s="1791">
        <v>0</v>
      </c>
      <c r="BD9" s="1789"/>
      <c r="BE9" s="1789"/>
      <c r="BF9" s="1818">
        <f>sses_m_g1+sses_m_g2+sses_m_g3+sses_m_g4+sses_m_g5+sses_m_g6</f>
        <v>0</v>
      </c>
      <c r="BG9" s="1819"/>
      <c r="BH9" s="1820"/>
      <c r="BI9" s="1821">
        <f>sses_f_g1+sses_f_g2+sses_f_g3+sses_f_g4+sses_f_g5+sses_f_g6</f>
        <v>0</v>
      </c>
      <c r="BJ9" s="1819"/>
      <c r="BK9" s="1822"/>
    </row>
    <row r="10" spans="2:76" s="180" customFormat="1" ht="19.75" customHeight="1">
      <c r="B10" s="204" t="s">
        <v>1499</v>
      </c>
      <c r="C10" s="204"/>
      <c r="D10" s="204"/>
      <c r="E10" s="204"/>
      <c r="F10" s="204"/>
      <c r="G10" s="204"/>
      <c r="H10" s="204"/>
      <c r="I10" s="204"/>
      <c r="J10" s="204"/>
      <c r="K10" s="204"/>
      <c r="L10" s="204"/>
      <c r="M10" s="204"/>
      <c r="N10" s="204"/>
      <c r="O10" s="205"/>
      <c r="P10" s="206"/>
      <c r="Q10" s="206"/>
      <c r="R10" s="206"/>
      <c r="S10" s="206"/>
      <c r="T10" s="206"/>
      <c r="U10" s="206"/>
      <c r="V10" s="206"/>
      <c r="W10" s="206"/>
      <c r="X10" s="206"/>
      <c r="Y10" s="206"/>
      <c r="Z10" s="206"/>
      <c r="AA10" s="206"/>
      <c r="AB10" s="206"/>
      <c r="AC10" s="206"/>
      <c r="AD10" s="206"/>
      <c r="AE10" s="206"/>
      <c r="AF10" s="206"/>
      <c r="AG10" s="205"/>
      <c r="AH10" s="206"/>
      <c r="AI10" s="206"/>
      <c r="AJ10" s="206"/>
      <c r="AK10" s="206"/>
      <c r="AL10" s="206"/>
      <c r="AM10" s="206"/>
      <c r="AN10" s="206"/>
      <c r="AO10" s="206"/>
      <c r="AP10" s="206"/>
      <c r="AQ10" s="205"/>
      <c r="AR10" s="206"/>
      <c r="AS10" s="206"/>
      <c r="AT10" s="206"/>
      <c r="AU10" s="206"/>
      <c r="AV10" s="206"/>
      <c r="AW10" s="206"/>
      <c r="AX10" s="206"/>
      <c r="AY10" s="206"/>
      <c r="AZ10" s="206"/>
      <c r="BA10" s="206"/>
      <c r="BB10" s="206"/>
      <c r="BC10" s="206"/>
      <c r="BD10" s="206"/>
      <c r="BE10" s="206"/>
      <c r="BF10" s="206"/>
      <c r="BG10" s="206"/>
      <c r="BH10" s="206"/>
      <c r="BI10" s="205"/>
      <c r="BJ10" s="206"/>
      <c r="BK10" s="206"/>
      <c r="BL10" s="206"/>
      <c r="BM10" s="206"/>
      <c r="BN10" s="206"/>
      <c r="BO10" s="206"/>
      <c r="BP10" s="206"/>
      <c r="BQ10" s="206"/>
      <c r="BR10" s="206"/>
    </row>
    <row r="11" spans="2:76" s="211" customFormat="1" ht="21.65" customHeight="1">
      <c r="B11" s="207" t="s">
        <v>1748</v>
      </c>
      <c r="C11" s="208"/>
      <c r="D11" s="208"/>
      <c r="E11" s="208"/>
      <c r="F11" s="208"/>
      <c r="G11" s="208"/>
      <c r="H11" s="208"/>
      <c r="I11" s="208"/>
      <c r="J11" s="208"/>
      <c r="K11" s="208"/>
      <c r="L11" s="208"/>
      <c r="M11" s="208"/>
      <c r="N11" s="208"/>
      <c r="O11" s="209"/>
      <c r="P11" s="210"/>
      <c r="Q11" s="210"/>
      <c r="R11" s="210"/>
      <c r="S11" s="210"/>
      <c r="T11" s="210"/>
      <c r="U11" s="210"/>
      <c r="V11" s="210"/>
      <c r="W11" s="210"/>
      <c r="X11" s="210"/>
      <c r="Y11" s="210"/>
      <c r="Z11" s="210"/>
      <c r="AA11" s="210"/>
      <c r="AB11" s="210"/>
      <c r="AC11" s="210"/>
      <c r="AG11" s="209"/>
      <c r="AH11" s="210"/>
      <c r="AI11" s="210"/>
      <c r="AJ11" s="210"/>
      <c r="AK11" s="210"/>
      <c r="AL11" s="210"/>
      <c r="AM11" s="210"/>
      <c r="AN11" s="210"/>
      <c r="AO11" s="210"/>
      <c r="AP11" s="210"/>
      <c r="AQ11" s="209"/>
      <c r="AR11" s="210"/>
      <c r="AS11" s="210"/>
      <c r="AT11" s="210"/>
      <c r="AU11" s="210"/>
      <c r="AV11" s="210"/>
      <c r="AW11" s="210"/>
      <c r="AX11" s="210"/>
      <c r="AY11" s="210"/>
      <c r="AZ11" s="210"/>
      <c r="BA11" s="210"/>
      <c r="BB11" s="210"/>
      <c r="BC11" s="210"/>
      <c r="BD11" s="210"/>
      <c r="BE11" s="210"/>
      <c r="BI11" s="209"/>
      <c r="BJ11" s="210"/>
      <c r="BK11" s="210"/>
      <c r="BL11" s="210"/>
      <c r="BM11" s="210"/>
      <c r="BN11" s="210"/>
      <c r="BO11" s="210"/>
      <c r="BP11" s="210"/>
      <c r="BQ11" s="210"/>
      <c r="BR11" s="210"/>
    </row>
    <row r="12" spans="2:76" s="215" customFormat="1" ht="17.149999999999999" customHeight="1">
      <c r="B12" s="212" t="s">
        <v>1749</v>
      </c>
      <c r="C12" s="212"/>
      <c r="D12" s="212"/>
      <c r="E12" s="212"/>
      <c r="F12" s="212"/>
      <c r="G12" s="212"/>
      <c r="H12" s="212"/>
      <c r="I12" s="212"/>
      <c r="J12" s="212"/>
      <c r="K12" s="212"/>
      <c r="L12" s="212"/>
      <c r="M12" s="212"/>
      <c r="N12" s="212"/>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c r="AX12" s="213"/>
      <c r="AY12" s="213"/>
      <c r="AZ12" s="213"/>
      <c r="BA12" s="213"/>
      <c r="BB12" s="213"/>
      <c r="BC12" s="213"/>
      <c r="BD12" s="213"/>
      <c r="BE12" s="213"/>
      <c r="BF12" s="213"/>
      <c r="BG12" s="213"/>
      <c r="BH12" s="213"/>
      <c r="BI12" s="213"/>
      <c r="BJ12" s="213"/>
      <c r="BK12" s="213"/>
      <c r="BL12" s="213"/>
      <c r="BM12" s="213"/>
      <c r="BN12" s="213"/>
      <c r="BO12" s="213"/>
      <c r="BP12" s="213"/>
      <c r="BQ12" s="213"/>
      <c r="BR12" s="213"/>
      <c r="BS12" s="213"/>
      <c r="BT12" s="213"/>
      <c r="BU12" s="214"/>
      <c r="BV12" s="214"/>
      <c r="BW12" s="187"/>
      <c r="BX12" s="187"/>
    </row>
    <row r="13" spans="2:76" s="215" customFormat="1" ht="17.149999999999999" customHeight="1">
      <c r="B13" s="212" t="s">
        <v>1750</v>
      </c>
      <c r="C13" s="212"/>
      <c r="D13" s="212"/>
      <c r="E13" s="212"/>
      <c r="F13" s="212"/>
      <c r="G13" s="212"/>
      <c r="H13" s="212"/>
      <c r="I13" s="212"/>
      <c r="J13" s="212"/>
      <c r="K13" s="212"/>
      <c r="L13" s="212"/>
      <c r="M13" s="212"/>
      <c r="N13" s="212"/>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4"/>
      <c r="BV13" s="214"/>
      <c r="BW13" s="187"/>
      <c r="BX13" s="187"/>
    </row>
    <row r="14" spans="2:76" ht="24.65" customHeight="1"/>
    <row r="15" spans="2:76" ht="17.25" customHeight="1" thickBot="1">
      <c r="B15" s="217" t="s">
        <v>11747</v>
      </c>
      <c r="C15" s="217"/>
      <c r="D15" s="217"/>
      <c r="E15" s="217"/>
      <c r="F15" s="217"/>
      <c r="G15" s="217"/>
      <c r="H15" s="217"/>
      <c r="I15" s="217"/>
      <c r="J15" s="217"/>
      <c r="K15" s="217"/>
      <c r="L15" s="217"/>
      <c r="M15" s="217"/>
      <c r="N15" s="217"/>
    </row>
    <row r="16" spans="2:76" s="218" customFormat="1" ht="15.75" customHeight="1">
      <c r="B16" s="1880" t="s">
        <v>865</v>
      </c>
      <c r="C16" s="1881"/>
      <c r="D16" s="1881"/>
      <c r="E16" s="1881"/>
      <c r="F16" s="1881"/>
      <c r="G16" s="1881"/>
      <c r="H16" s="1881"/>
      <c r="I16" s="1881"/>
      <c r="J16" s="1881"/>
      <c r="K16" s="1881"/>
      <c r="L16" s="1881"/>
      <c r="M16" s="1881"/>
      <c r="N16" s="1882"/>
      <c r="O16" s="1889" t="s">
        <v>425</v>
      </c>
      <c r="P16" s="1890"/>
      <c r="Q16" s="1890"/>
      <c r="R16" s="1890"/>
      <c r="S16" s="1890"/>
      <c r="T16" s="1890"/>
      <c r="U16" s="1890"/>
      <c r="V16" s="1890"/>
      <c r="W16" s="1890"/>
      <c r="X16" s="1890"/>
      <c r="Y16" s="1890"/>
      <c r="Z16" s="1890"/>
      <c r="AA16" s="1890"/>
      <c r="AB16" s="1890"/>
      <c r="AC16" s="1890"/>
      <c r="AD16" s="1890"/>
      <c r="AE16" s="1890"/>
      <c r="AF16" s="1890"/>
      <c r="AG16" s="1890"/>
      <c r="AH16" s="1890"/>
      <c r="AI16" s="1890"/>
      <c r="AJ16" s="1890"/>
      <c r="AK16" s="1890"/>
      <c r="AL16" s="1890"/>
      <c r="AM16" s="1890"/>
      <c r="AN16" s="1890"/>
      <c r="AO16" s="1890"/>
      <c r="AP16" s="1891"/>
      <c r="AQ16" s="1889" t="s">
        <v>426</v>
      </c>
      <c r="AR16" s="1890"/>
      <c r="AS16" s="1890"/>
      <c r="AT16" s="1890"/>
      <c r="AU16" s="1890"/>
      <c r="AV16" s="1890"/>
      <c r="AW16" s="1890"/>
      <c r="AX16" s="1890"/>
      <c r="AY16" s="1890"/>
      <c r="AZ16" s="1890"/>
      <c r="BA16" s="1890"/>
      <c r="BB16" s="1890"/>
      <c r="BC16" s="1890"/>
      <c r="BD16" s="1890"/>
      <c r="BE16" s="1890"/>
      <c r="BF16" s="1890"/>
      <c r="BG16" s="1890"/>
      <c r="BH16" s="1890"/>
      <c r="BI16" s="1890"/>
      <c r="BJ16" s="1890"/>
      <c r="BK16" s="1890"/>
      <c r="BL16" s="1890"/>
      <c r="BM16" s="1890"/>
      <c r="BN16" s="1890"/>
      <c r="BO16" s="1890"/>
      <c r="BP16" s="1890"/>
      <c r="BQ16" s="1890"/>
      <c r="BR16" s="1891"/>
    </row>
    <row r="17" spans="2:70" s="218" customFormat="1">
      <c r="B17" s="1883"/>
      <c r="C17" s="1884"/>
      <c r="D17" s="1884"/>
      <c r="E17" s="1884"/>
      <c r="F17" s="1884"/>
      <c r="G17" s="1884"/>
      <c r="H17" s="1884"/>
      <c r="I17" s="1884"/>
      <c r="J17" s="1884"/>
      <c r="K17" s="1884"/>
      <c r="L17" s="1884"/>
      <c r="M17" s="1884"/>
      <c r="N17" s="1885"/>
      <c r="O17" s="1870" t="s">
        <v>427</v>
      </c>
      <c r="P17" s="1871"/>
      <c r="Q17" s="1871"/>
      <c r="R17" s="1871"/>
      <c r="S17" s="1871"/>
      <c r="T17" s="1871"/>
      <c r="U17" s="1871"/>
      <c r="V17" s="1871"/>
      <c r="W17" s="1871"/>
      <c r="X17" s="1872"/>
      <c r="Y17" s="1870" t="s">
        <v>428</v>
      </c>
      <c r="Z17" s="1871"/>
      <c r="AA17" s="1871"/>
      <c r="AB17" s="1871"/>
      <c r="AC17" s="1871"/>
      <c r="AD17" s="1871"/>
      <c r="AE17" s="1871"/>
      <c r="AF17" s="1872"/>
      <c r="AG17" s="1870" t="s">
        <v>429</v>
      </c>
      <c r="AH17" s="1871"/>
      <c r="AI17" s="1871"/>
      <c r="AJ17" s="1871"/>
      <c r="AK17" s="1871"/>
      <c r="AL17" s="1871"/>
      <c r="AM17" s="1871"/>
      <c r="AN17" s="1871"/>
      <c r="AO17" s="1871"/>
      <c r="AP17" s="1872"/>
      <c r="AQ17" s="1870" t="s">
        <v>427</v>
      </c>
      <c r="AR17" s="1871"/>
      <c r="AS17" s="1871"/>
      <c r="AT17" s="1871"/>
      <c r="AU17" s="1871"/>
      <c r="AV17" s="1871"/>
      <c r="AW17" s="1871"/>
      <c r="AX17" s="1871"/>
      <c r="AY17" s="1871"/>
      <c r="AZ17" s="1872"/>
      <c r="BA17" s="1870" t="s">
        <v>428</v>
      </c>
      <c r="BB17" s="1871"/>
      <c r="BC17" s="1871"/>
      <c r="BD17" s="1871"/>
      <c r="BE17" s="1871"/>
      <c r="BF17" s="1871"/>
      <c r="BG17" s="1871"/>
      <c r="BH17" s="1872"/>
      <c r="BI17" s="1870" t="s">
        <v>429</v>
      </c>
      <c r="BJ17" s="1871"/>
      <c r="BK17" s="1871"/>
      <c r="BL17" s="1871"/>
      <c r="BM17" s="1871"/>
      <c r="BN17" s="1871"/>
      <c r="BO17" s="1871"/>
      <c r="BP17" s="1871"/>
      <c r="BQ17" s="1871"/>
      <c r="BR17" s="1872"/>
    </row>
    <row r="18" spans="2:70" s="199" customFormat="1" ht="50.25" customHeight="1" thickBot="1">
      <c r="B18" s="1886"/>
      <c r="C18" s="1887"/>
      <c r="D18" s="1887"/>
      <c r="E18" s="1887"/>
      <c r="F18" s="1887"/>
      <c r="G18" s="1887"/>
      <c r="H18" s="1887"/>
      <c r="I18" s="1887"/>
      <c r="J18" s="1887"/>
      <c r="K18" s="1887"/>
      <c r="L18" s="1887"/>
      <c r="M18" s="1887"/>
      <c r="N18" s="1888"/>
      <c r="O18" s="1866" t="s">
        <v>430</v>
      </c>
      <c r="P18" s="1867"/>
      <c r="Q18" s="1868" t="s">
        <v>431</v>
      </c>
      <c r="R18" s="1867"/>
      <c r="S18" s="1868" t="s">
        <v>432</v>
      </c>
      <c r="T18" s="1867"/>
      <c r="U18" s="1868" t="s">
        <v>433</v>
      </c>
      <c r="V18" s="1869"/>
      <c r="W18" s="1873" t="s">
        <v>29</v>
      </c>
      <c r="X18" s="1874"/>
      <c r="Y18" s="1866" t="s">
        <v>1275</v>
      </c>
      <c r="Z18" s="1879"/>
      <c r="AA18" s="1879"/>
      <c r="AB18" s="1868" t="s">
        <v>1276</v>
      </c>
      <c r="AC18" s="1879"/>
      <c r="AD18" s="1869"/>
      <c r="AE18" s="1873" t="s">
        <v>29</v>
      </c>
      <c r="AF18" s="1874"/>
      <c r="AG18" s="1866" t="s">
        <v>434</v>
      </c>
      <c r="AH18" s="1867"/>
      <c r="AI18" s="1868" t="s">
        <v>988</v>
      </c>
      <c r="AJ18" s="1867"/>
      <c r="AK18" s="1868" t="s">
        <v>989</v>
      </c>
      <c r="AL18" s="1867"/>
      <c r="AM18" s="1868" t="s">
        <v>990</v>
      </c>
      <c r="AN18" s="1869"/>
      <c r="AO18" s="1873" t="s">
        <v>29</v>
      </c>
      <c r="AP18" s="1874"/>
      <c r="AQ18" s="1866" t="s">
        <v>430</v>
      </c>
      <c r="AR18" s="1867"/>
      <c r="AS18" s="1868" t="s">
        <v>431</v>
      </c>
      <c r="AT18" s="1867"/>
      <c r="AU18" s="1868" t="s">
        <v>432</v>
      </c>
      <c r="AV18" s="1867"/>
      <c r="AW18" s="1868" t="s">
        <v>433</v>
      </c>
      <c r="AX18" s="1869"/>
      <c r="AY18" s="1873" t="s">
        <v>29</v>
      </c>
      <c r="AZ18" s="1874"/>
      <c r="BA18" s="1866" t="s">
        <v>1275</v>
      </c>
      <c r="BB18" s="1879"/>
      <c r="BC18" s="1879"/>
      <c r="BD18" s="1868" t="s">
        <v>1276</v>
      </c>
      <c r="BE18" s="1879"/>
      <c r="BF18" s="1869"/>
      <c r="BG18" s="1873" t="s">
        <v>29</v>
      </c>
      <c r="BH18" s="1874"/>
      <c r="BI18" s="1866" t="s">
        <v>434</v>
      </c>
      <c r="BJ18" s="1867"/>
      <c r="BK18" s="1868" t="s">
        <v>988</v>
      </c>
      <c r="BL18" s="1867"/>
      <c r="BM18" s="1868" t="s">
        <v>989</v>
      </c>
      <c r="BN18" s="1867"/>
      <c r="BO18" s="1868" t="s">
        <v>990</v>
      </c>
      <c r="BP18" s="1869"/>
      <c r="BQ18" s="1873" t="s">
        <v>29</v>
      </c>
      <c r="BR18" s="1874"/>
    </row>
    <row r="19" spans="2:70" s="199" customFormat="1" ht="27" customHeight="1" thickBot="1">
      <c r="B19" s="1876" t="s">
        <v>521</v>
      </c>
      <c r="C19" s="1877"/>
      <c r="D19" s="1877"/>
      <c r="E19" s="1877"/>
      <c r="F19" s="1877"/>
      <c r="G19" s="1877"/>
      <c r="H19" s="1877"/>
      <c r="I19" s="1877"/>
      <c r="J19" s="1877"/>
      <c r="K19" s="1877"/>
      <c r="L19" s="1877"/>
      <c r="M19" s="1877"/>
      <c r="N19" s="1878"/>
      <c r="O19" s="1863"/>
      <c r="P19" s="1864"/>
      <c r="Q19" s="1864"/>
      <c r="R19" s="1864"/>
      <c r="S19" s="1864"/>
      <c r="T19" s="1864"/>
      <c r="U19" s="1864"/>
      <c r="V19" s="1864"/>
      <c r="W19" s="1864"/>
      <c r="X19" s="1864"/>
      <c r="Y19" s="1864"/>
      <c r="Z19" s="1864"/>
      <c r="AA19" s="1864"/>
      <c r="AB19" s="1864"/>
      <c r="AC19" s="1864"/>
      <c r="AD19" s="1864"/>
      <c r="AE19" s="1864"/>
      <c r="AF19" s="1864"/>
      <c r="AG19" s="1864"/>
      <c r="AH19" s="1864"/>
      <c r="AI19" s="1864"/>
      <c r="AJ19" s="1864"/>
      <c r="AK19" s="1864"/>
      <c r="AL19" s="1864"/>
      <c r="AM19" s="1864"/>
      <c r="AN19" s="1864"/>
      <c r="AO19" s="1864"/>
      <c r="AP19" s="1864"/>
      <c r="AQ19" s="1864"/>
      <c r="AR19" s="1864"/>
      <c r="AS19" s="1864"/>
      <c r="AT19" s="1864"/>
      <c r="AU19" s="1864"/>
      <c r="AV19" s="1864"/>
      <c r="AW19" s="1864"/>
      <c r="AX19" s="1864"/>
      <c r="AY19" s="1864"/>
      <c r="AZ19" s="1864"/>
      <c r="BA19" s="1864"/>
      <c r="BB19" s="1864"/>
      <c r="BC19" s="1864"/>
      <c r="BD19" s="1864"/>
      <c r="BE19" s="1864"/>
      <c r="BF19" s="1864"/>
      <c r="BG19" s="1864"/>
      <c r="BH19" s="1864"/>
      <c r="BI19" s="1864"/>
      <c r="BJ19" s="1864"/>
      <c r="BK19" s="1864"/>
      <c r="BL19" s="1864"/>
      <c r="BM19" s="1864"/>
      <c r="BN19" s="1864"/>
      <c r="BO19" s="1864"/>
      <c r="BP19" s="1864"/>
      <c r="BQ19" s="1864"/>
      <c r="BR19" s="1865"/>
    </row>
    <row r="20" spans="2:70" s="186" customFormat="1" ht="27" customHeight="1" thickTop="1">
      <c r="B20" s="200" t="s">
        <v>151</v>
      </c>
      <c r="C20" s="1855" t="s">
        <v>968</v>
      </c>
      <c r="D20" s="1855"/>
      <c r="E20" s="1855"/>
      <c r="F20" s="1855"/>
      <c r="G20" s="1855"/>
      <c r="H20" s="1855"/>
      <c r="I20" s="1855"/>
      <c r="J20" s="1855"/>
      <c r="K20" s="1855"/>
      <c r="L20" s="1855"/>
      <c r="M20" s="1855"/>
      <c r="N20" s="1856"/>
      <c r="O20" s="1857">
        <v>0</v>
      </c>
      <c r="P20" s="1858"/>
      <c r="Q20" s="1859">
        <v>0</v>
      </c>
      <c r="R20" s="1858"/>
      <c r="S20" s="1859">
        <v>0</v>
      </c>
      <c r="T20" s="1858"/>
      <c r="U20" s="1859">
        <v>0</v>
      </c>
      <c r="V20" s="1860"/>
      <c r="W20" s="1861">
        <f>SUM(O20:V20)</f>
        <v>0</v>
      </c>
      <c r="X20" s="1862"/>
      <c r="Y20" s="1857">
        <v>0</v>
      </c>
      <c r="Z20" s="1875"/>
      <c r="AA20" s="1858"/>
      <c r="AB20" s="1859">
        <v>0</v>
      </c>
      <c r="AC20" s="1875"/>
      <c r="AD20" s="1860"/>
      <c r="AE20" s="1861">
        <f>SUM(Y20:AD20)</f>
        <v>0</v>
      </c>
      <c r="AF20" s="1862"/>
      <c r="AG20" s="1857">
        <v>0</v>
      </c>
      <c r="AH20" s="1858"/>
      <c r="AI20" s="1859">
        <v>0</v>
      </c>
      <c r="AJ20" s="1858"/>
      <c r="AK20" s="1859">
        <v>0</v>
      </c>
      <c r="AL20" s="1858"/>
      <c r="AM20" s="1859">
        <v>0</v>
      </c>
      <c r="AN20" s="1860"/>
      <c r="AO20" s="1861">
        <f>SUM(AG20:AN20)</f>
        <v>0</v>
      </c>
      <c r="AP20" s="1862"/>
      <c r="AQ20" s="1857">
        <v>0</v>
      </c>
      <c r="AR20" s="1858"/>
      <c r="AS20" s="1859">
        <v>0</v>
      </c>
      <c r="AT20" s="1858"/>
      <c r="AU20" s="1859">
        <v>0</v>
      </c>
      <c r="AV20" s="1858"/>
      <c r="AW20" s="1859">
        <v>0</v>
      </c>
      <c r="AX20" s="1860"/>
      <c r="AY20" s="1861">
        <f>SUM(AQ20:AX20)</f>
        <v>0</v>
      </c>
      <c r="AZ20" s="1862"/>
      <c r="BA20" s="1857">
        <v>0</v>
      </c>
      <c r="BB20" s="1875"/>
      <c r="BC20" s="1858"/>
      <c r="BD20" s="1859">
        <v>0</v>
      </c>
      <c r="BE20" s="1875"/>
      <c r="BF20" s="1860"/>
      <c r="BG20" s="1861">
        <f>SUM(BA20:BF20)</f>
        <v>0</v>
      </c>
      <c r="BH20" s="1862"/>
      <c r="BI20" s="1857">
        <v>0</v>
      </c>
      <c r="BJ20" s="1858"/>
      <c r="BK20" s="1859">
        <v>0</v>
      </c>
      <c r="BL20" s="1858"/>
      <c r="BM20" s="1859">
        <v>0</v>
      </c>
      <c r="BN20" s="1858"/>
      <c r="BO20" s="1859">
        <v>0</v>
      </c>
      <c r="BP20" s="1860"/>
      <c r="BQ20" s="1861">
        <f>SUM(BI20:BP20)</f>
        <v>0</v>
      </c>
      <c r="BR20" s="1862"/>
    </row>
    <row r="21" spans="2:70" s="186" customFormat="1" ht="27" customHeight="1">
      <c r="B21" s="201" t="s">
        <v>152</v>
      </c>
      <c r="C21" s="1892" t="s">
        <v>969</v>
      </c>
      <c r="D21" s="1892"/>
      <c r="E21" s="1892"/>
      <c r="F21" s="1892"/>
      <c r="G21" s="1892"/>
      <c r="H21" s="1892"/>
      <c r="I21" s="1892"/>
      <c r="J21" s="1892"/>
      <c r="K21" s="1892"/>
      <c r="L21" s="1892"/>
      <c r="M21" s="1892"/>
      <c r="N21" s="1893"/>
      <c r="O21" s="1894">
        <v>0</v>
      </c>
      <c r="P21" s="1895"/>
      <c r="Q21" s="1896">
        <v>0</v>
      </c>
      <c r="R21" s="1895"/>
      <c r="S21" s="1896">
        <v>0</v>
      </c>
      <c r="T21" s="1895"/>
      <c r="U21" s="1896">
        <v>0</v>
      </c>
      <c r="V21" s="1897"/>
      <c r="W21" s="1898">
        <f>SUM(O21:V21)</f>
        <v>0</v>
      </c>
      <c r="X21" s="1899"/>
      <c r="Y21" s="1894">
        <v>0</v>
      </c>
      <c r="Z21" s="1900"/>
      <c r="AA21" s="1895"/>
      <c r="AB21" s="1896">
        <v>0</v>
      </c>
      <c r="AC21" s="1900"/>
      <c r="AD21" s="1897"/>
      <c r="AE21" s="1898">
        <f>SUM(Y21:AD21)</f>
        <v>0</v>
      </c>
      <c r="AF21" s="1899"/>
      <c r="AG21" s="1894">
        <v>0</v>
      </c>
      <c r="AH21" s="1895"/>
      <c r="AI21" s="1896">
        <v>0</v>
      </c>
      <c r="AJ21" s="1895"/>
      <c r="AK21" s="1896">
        <v>0</v>
      </c>
      <c r="AL21" s="1895"/>
      <c r="AM21" s="1896">
        <v>0</v>
      </c>
      <c r="AN21" s="1897"/>
      <c r="AO21" s="1898">
        <f>SUM(AG21:AN21)</f>
        <v>0</v>
      </c>
      <c r="AP21" s="1899"/>
      <c r="AQ21" s="1894">
        <v>0</v>
      </c>
      <c r="AR21" s="1895"/>
      <c r="AS21" s="1896">
        <v>0</v>
      </c>
      <c r="AT21" s="1895"/>
      <c r="AU21" s="1896">
        <v>0</v>
      </c>
      <c r="AV21" s="1895"/>
      <c r="AW21" s="1896">
        <v>0</v>
      </c>
      <c r="AX21" s="1897"/>
      <c r="AY21" s="1898">
        <f>SUM(AQ21:AX21)</f>
        <v>0</v>
      </c>
      <c r="AZ21" s="1899"/>
      <c r="BA21" s="1894">
        <v>0</v>
      </c>
      <c r="BB21" s="1900"/>
      <c r="BC21" s="1895"/>
      <c r="BD21" s="1896">
        <v>0</v>
      </c>
      <c r="BE21" s="1900"/>
      <c r="BF21" s="1897"/>
      <c r="BG21" s="1898">
        <f>SUM(BA21:BF21)</f>
        <v>0</v>
      </c>
      <c r="BH21" s="1899"/>
      <c r="BI21" s="1894">
        <v>0</v>
      </c>
      <c r="BJ21" s="1895"/>
      <c r="BK21" s="1896">
        <v>0</v>
      </c>
      <c r="BL21" s="1895"/>
      <c r="BM21" s="1896">
        <v>0</v>
      </c>
      <c r="BN21" s="1895"/>
      <c r="BO21" s="1896">
        <v>0</v>
      </c>
      <c r="BP21" s="1897"/>
      <c r="BQ21" s="1898">
        <f>SUM(BI21:BP21)</f>
        <v>0</v>
      </c>
      <c r="BR21" s="1899"/>
    </row>
    <row r="22" spans="2:70" s="186" customFormat="1" ht="27" customHeight="1">
      <c r="B22" s="201" t="s">
        <v>153</v>
      </c>
      <c r="C22" s="1892" t="s">
        <v>970</v>
      </c>
      <c r="D22" s="1892"/>
      <c r="E22" s="1892"/>
      <c r="F22" s="1892"/>
      <c r="G22" s="1892"/>
      <c r="H22" s="1892"/>
      <c r="I22" s="1892"/>
      <c r="J22" s="1892"/>
      <c r="K22" s="1892"/>
      <c r="L22" s="1892"/>
      <c r="M22" s="1892"/>
      <c r="N22" s="1893"/>
      <c r="O22" s="1894">
        <v>0</v>
      </c>
      <c r="P22" s="1895"/>
      <c r="Q22" s="1896">
        <v>0</v>
      </c>
      <c r="R22" s="1895"/>
      <c r="S22" s="1896">
        <v>0</v>
      </c>
      <c r="T22" s="1895"/>
      <c r="U22" s="1896">
        <v>0</v>
      </c>
      <c r="V22" s="1897"/>
      <c r="W22" s="1898">
        <f t="shared" ref="W22:W31" si="0">SUM(O22:V22)</f>
        <v>0</v>
      </c>
      <c r="X22" s="1899"/>
      <c r="Y22" s="1894">
        <v>0</v>
      </c>
      <c r="Z22" s="1900"/>
      <c r="AA22" s="1895"/>
      <c r="AB22" s="1896">
        <v>0</v>
      </c>
      <c r="AC22" s="1900"/>
      <c r="AD22" s="1897"/>
      <c r="AE22" s="1898">
        <f t="shared" ref="AE22:AE31" si="1">SUM(Y22:AD22)</f>
        <v>0</v>
      </c>
      <c r="AF22" s="1899"/>
      <c r="AG22" s="1894">
        <v>0</v>
      </c>
      <c r="AH22" s="1895"/>
      <c r="AI22" s="1896">
        <v>0</v>
      </c>
      <c r="AJ22" s="1895"/>
      <c r="AK22" s="1896">
        <v>0</v>
      </c>
      <c r="AL22" s="1895"/>
      <c r="AM22" s="1896">
        <v>0</v>
      </c>
      <c r="AN22" s="1897"/>
      <c r="AO22" s="1898">
        <f t="shared" ref="AO22:AO31" si="2">SUM(AG22:AN22)</f>
        <v>0</v>
      </c>
      <c r="AP22" s="1899"/>
      <c r="AQ22" s="1894">
        <v>0</v>
      </c>
      <c r="AR22" s="1895"/>
      <c r="AS22" s="1896">
        <v>0</v>
      </c>
      <c r="AT22" s="1895"/>
      <c r="AU22" s="1896">
        <v>0</v>
      </c>
      <c r="AV22" s="1895"/>
      <c r="AW22" s="1896">
        <v>0</v>
      </c>
      <c r="AX22" s="1897"/>
      <c r="AY22" s="1898">
        <f t="shared" ref="AY22:AY31" si="3">SUM(AQ22:AX22)</f>
        <v>0</v>
      </c>
      <c r="AZ22" s="1899"/>
      <c r="BA22" s="1894">
        <v>0</v>
      </c>
      <c r="BB22" s="1900"/>
      <c r="BC22" s="1895"/>
      <c r="BD22" s="1896">
        <v>0</v>
      </c>
      <c r="BE22" s="1900"/>
      <c r="BF22" s="1897"/>
      <c r="BG22" s="1898">
        <f t="shared" ref="BG22:BG31" si="4">SUM(BA22:BF22)</f>
        <v>0</v>
      </c>
      <c r="BH22" s="1899"/>
      <c r="BI22" s="1894">
        <v>0</v>
      </c>
      <c r="BJ22" s="1895"/>
      <c r="BK22" s="1896">
        <v>0</v>
      </c>
      <c r="BL22" s="1895"/>
      <c r="BM22" s="1896">
        <v>0</v>
      </c>
      <c r="BN22" s="1895"/>
      <c r="BO22" s="1896">
        <v>0</v>
      </c>
      <c r="BP22" s="1897"/>
      <c r="BQ22" s="1898">
        <f t="shared" ref="BQ22:BQ31" si="5">SUM(BI22:BP22)</f>
        <v>0</v>
      </c>
      <c r="BR22" s="1899"/>
    </row>
    <row r="23" spans="2:70" s="186" customFormat="1" ht="27" customHeight="1">
      <c r="B23" s="201" t="s">
        <v>154</v>
      </c>
      <c r="C23" s="1892" t="s">
        <v>971</v>
      </c>
      <c r="D23" s="1892"/>
      <c r="E23" s="1892"/>
      <c r="F23" s="1892"/>
      <c r="G23" s="1892"/>
      <c r="H23" s="1892"/>
      <c r="I23" s="1892"/>
      <c r="J23" s="1892"/>
      <c r="K23" s="1892"/>
      <c r="L23" s="1892"/>
      <c r="M23" s="1892"/>
      <c r="N23" s="1893"/>
      <c r="O23" s="1894">
        <v>0</v>
      </c>
      <c r="P23" s="1895"/>
      <c r="Q23" s="1896">
        <v>0</v>
      </c>
      <c r="R23" s="1895"/>
      <c r="S23" s="1896">
        <v>0</v>
      </c>
      <c r="T23" s="1895"/>
      <c r="U23" s="1896">
        <v>0</v>
      </c>
      <c r="V23" s="1897"/>
      <c r="W23" s="1898">
        <f t="shared" si="0"/>
        <v>0</v>
      </c>
      <c r="X23" s="1899"/>
      <c r="Y23" s="1894">
        <v>0</v>
      </c>
      <c r="Z23" s="1900"/>
      <c r="AA23" s="1895"/>
      <c r="AB23" s="1896">
        <v>0</v>
      </c>
      <c r="AC23" s="1900"/>
      <c r="AD23" s="1897"/>
      <c r="AE23" s="1898">
        <f t="shared" si="1"/>
        <v>0</v>
      </c>
      <c r="AF23" s="1899"/>
      <c r="AG23" s="1894">
        <v>0</v>
      </c>
      <c r="AH23" s="1895"/>
      <c r="AI23" s="1896">
        <v>0</v>
      </c>
      <c r="AJ23" s="1895"/>
      <c r="AK23" s="1896">
        <v>0</v>
      </c>
      <c r="AL23" s="1895"/>
      <c r="AM23" s="1896">
        <v>0</v>
      </c>
      <c r="AN23" s="1897"/>
      <c r="AO23" s="1898">
        <f t="shared" si="2"/>
        <v>0</v>
      </c>
      <c r="AP23" s="1899"/>
      <c r="AQ23" s="1894">
        <v>0</v>
      </c>
      <c r="AR23" s="1895"/>
      <c r="AS23" s="1896">
        <v>0</v>
      </c>
      <c r="AT23" s="1895"/>
      <c r="AU23" s="1896">
        <v>0</v>
      </c>
      <c r="AV23" s="1895"/>
      <c r="AW23" s="1896">
        <v>0</v>
      </c>
      <c r="AX23" s="1897"/>
      <c r="AY23" s="1898">
        <f t="shared" si="3"/>
        <v>0</v>
      </c>
      <c r="AZ23" s="1899"/>
      <c r="BA23" s="1894">
        <v>0</v>
      </c>
      <c r="BB23" s="1900"/>
      <c r="BC23" s="1895"/>
      <c r="BD23" s="1896">
        <v>0</v>
      </c>
      <c r="BE23" s="1900"/>
      <c r="BF23" s="1897"/>
      <c r="BG23" s="1898">
        <f t="shared" si="4"/>
        <v>0</v>
      </c>
      <c r="BH23" s="1899"/>
      <c r="BI23" s="1894">
        <v>0</v>
      </c>
      <c r="BJ23" s="1895"/>
      <c r="BK23" s="1896">
        <v>0</v>
      </c>
      <c r="BL23" s="1895"/>
      <c r="BM23" s="1896">
        <v>0</v>
      </c>
      <c r="BN23" s="1895"/>
      <c r="BO23" s="1896">
        <v>0</v>
      </c>
      <c r="BP23" s="1897"/>
      <c r="BQ23" s="1898">
        <f t="shared" si="5"/>
        <v>0</v>
      </c>
      <c r="BR23" s="1899"/>
    </row>
    <row r="24" spans="2:70" s="186" customFormat="1" ht="27" customHeight="1">
      <c r="B24" s="201" t="s">
        <v>155</v>
      </c>
      <c r="C24" s="1892" t="s">
        <v>972</v>
      </c>
      <c r="D24" s="1892"/>
      <c r="E24" s="1892"/>
      <c r="F24" s="1892"/>
      <c r="G24" s="1892"/>
      <c r="H24" s="1892"/>
      <c r="I24" s="1892"/>
      <c r="J24" s="1892"/>
      <c r="K24" s="1892"/>
      <c r="L24" s="1892"/>
      <c r="M24" s="1892"/>
      <c r="N24" s="1893"/>
      <c r="O24" s="1894">
        <v>0</v>
      </c>
      <c r="P24" s="1895"/>
      <c r="Q24" s="1896">
        <v>0</v>
      </c>
      <c r="R24" s="1895"/>
      <c r="S24" s="1896">
        <v>0</v>
      </c>
      <c r="T24" s="1895"/>
      <c r="U24" s="1896">
        <v>0</v>
      </c>
      <c r="V24" s="1897"/>
      <c r="W24" s="1898">
        <f t="shared" si="0"/>
        <v>0</v>
      </c>
      <c r="X24" s="1899"/>
      <c r="Y24" s="1894">
        <v>0</v>
      </c>
      <c r="Z24" s="1900"/>
      <c r="AA24" s="1895"/>
      <c r="AB24" s="1896">
        <v>0</v>
      </c>
      <c r="AC24" s="1900"/>
      <c r="AD24" s="1897"/>
      <c r="AE24" s="1898">
        <f t="shared" si="1"/>
        <v>0</v>
      </c>
      <c r="AF24" s="1899"/>
      <c r="AG24" s="1894">
        <v>0</v>
      </c>
      <c r="AH24" s="1895"/>
      <c r="AI24" s="1896">
        <v>0</v>
      </c>
      <c r="AJ24" s="1895"/>
      <c r="AK24" s="1896">
        <v>0</v>
      </c>
      <c r="AL24" s="1895"/>
      <c r="AM24" s="1896">
        <v>0</v>
      </c>
      <c r="AN24" s="1897"/>
      <c r="AO24" s="1898">
        <f t="shared" si="2"/>
        <v>0</v>
      </c>
      <c r="AP24" s="1899"/>
      <c r="AQ24" s="1894">
        <v>0</v>
      </c>
      <c r="AR24" s="1895"/>
      <c r="AS24" s="1896">
        <v>0</v>
      </c>
      <c r="AT24" s="1895"/>
      <c r="AU24" s="1896">
        <v>0</v>
      </c>
      <c r="AV24" s="1895"/>
      <c r="AW24" s="1896">
        <v>0</v>
      </c>
      <c r="AX24" s="1897"/>
      <c r="AY24" s="1898">
        <f t="shared" si="3"/>
        <v>0</v>
      </c>
      <c r="AZ24" s="1899"/>
      <c r="BA24" s="1894">
        <v>0</v>
      </c>
      <c r="BB24" s="1900"/>
      <c r="BC24" s="1895"/>
      <c r="BD24" s="1896">
        <v>0</v>
      </c>
      <c r="BE24" s="1900"/>
      <c r="BF24" s="1897"/>
      <c r="BG24" s="1898">
        <f t="shared" si="4"/>
        <v>0</v>
      </c>
      <c r="BH24" s="1899"/>
      <c r="BI24" s="1894">
        <v>0</v>
      </c>
      <c r="BJ24" s="1895"/>
      <c r="BK24" s="1896">
        <v>0</v>
      </c>
      <c r="BL24" s="1895"/>
      <c r="BM24" s="1896">
        <v>0</v>
      </c>
      <c r="BN24" s="1895"/>
      <c r="BO24" s="1896">
        <v>0</v>
      </c>
      <c r="BP24" s="1897"/>
      <c r="BQ24" s="1898">
        <f t="shared" si="5"/>
        <v>0</v>
      </c>
      <c r="BR24" s="1899"/>
    </row>
    <row r="25" spans="2:70" s="186" customFormat="1" ht="27" customHeight="1">
      <c r="B25" s="201" t="s">
        <v>156</v>
      </c>
      <c r="C25" s="1892" t="s">
        <v>973</v>
      </c>
      <c r="D25" s="1892"/>
      <c r="E25" s="1892"/>
      <c r="F25" s="1892"/>
      <c r="G25" s="1892"/>
      <c r="H25" s="1892"/>
      <c r="I25" s="1892"/>
      <c r="J25" s="1892"/>
      <c r="K25" s="1892"/>
      <c r="L25" s="1892"/>
      <c r="M25" s="1892"/>
      <c r="N25" s="1893"/>
      <c r="O25" s="1894">
        <v>0</v>
      </c>
      <c r="P25" s="1895"/>
      <c r="Q25" s="1896">
        <v>0</v>
      </c>
      <c r="R25" s="1895"/>
      <c r="S25" s="1896">
        <v>0</v>
      </c>
      <c r="T25" s="1895"/>
      <c r="U25" s="1896">
        <v>0</v>
      </c>
      <c r="V25" s="1897"/>
      <c r="W25" s="1898">
        <f t="shared" si="0"/>
        <v>0</v>
      </c>
      <c r="X25" s="1899"/>
      <c r="Y25" s="1894">
        <v>0</v>
      </c>
      <c r="Z25" s="1900"/>
      <c r="AA25" s="1895"/>
      <c r="AB25" s="1896">
        <v>0</v>
      </c>
      <c r="AC25" s="1900"/>
      <c r="AD25" s="1897"/>
      <c r="AE25" s="1898">
        <f t="shared" si="1"/>
        <v>0</v>
      </c>
      <c r="AF25" s="1899"/>
      <c r="AG25" s="1894">
        <v>0</v>
      </c>
      <c r="AH25" s="1895"/>
      <c r="AI25" s="1896">
        <v>0</v>
      </c>
      <c r="AJ25" s="1895"/>
      <c r="AK25" s="1896">
        <v>0</v>
      </c>
      <c r="AL25" s="1895"/>
      <c r="AM25" s="1896">
        <v>0</v>
      </c>
      <c r="AN25" s="1897"/>
      <c r="AO25" s="1898">
        <f t="shared" si="2"/>
        <v>0</v>
      </c>
      <c r="AP25" s="1899"/>
      <c r="AQ25" s="1894">
        <v>0</v>
      </c>
      <c r="AR25" s="1895"/>
      <c r="AS25" s="1896">
        <v>0</v>
      </c>
      <c r="AT25" s="1895"/>
      <c r="AU25" s="1896">
        <v>0</v>
      </c>
      <c r="AV25" s="1895"/>
      <c r="AW25" s="1896">
        <v>0</v>
      </c>
      <c r="AX25" s="1897"/>
      <c r="AY25" s="1898">
        <f t="shared" si="3"/>
        <v>0</v>
      </c>
      <c r="AZ25" s="1899"/>
      <c r="BA25" s="1894">
        <v>0</v>
      </c>
      <c r="BB25" s="1900"/>
      <c r="BC25" s="1895"/>
      <c r="BD25" s="1896">
        <v>0</v>
      </c>
      <c r="BE25" s="1900"/>
      <c r="BF25" s="1897"/>
      <c r="BG25" s="1898">
        <f t="shared" si="4"/>
        <v>0</v>
      </c>
      <c r="BH25" s="1899"/>
      <c r="BI25" s="1894">
        <v>0</v>
      </c>
      <c r="BJ25" s="1895"/>
      <c r="BK25" s="1896">
        <v>0</v>
      </c>
      <c r="BL25" s="1895"/>
      <c r="BM25" s="1896">
        <v>0</v>
      </c>
      <c r="BN25" s="1895"/>
      <c r="BO25" s="1896">
        <v>0</v>
      </c>
      <c r="BP25" s="1897"/>
      <c r="BQ25" s="1898">
        <f t="shared" si="5"/>
        <v>0</v>
      </c>
      <c r="BR25" s="1899"/>
    </row>
    <row r="26" spans="2:70" s="186" customFormat="1" ht="27" customHeight="1">
      <c r="B26" s="201" t="s">
        <v>157</v>
      </c>
      <c r="C26" s="1892" t="s">
        <v>974</v>
      </c>
      <c r="D26" s="1892"/>
      <c r="E26" s="1892"/>
      <c r="F26" s="1892"/>
      <c r="G26" s="1892"/>
      <c r="H26" s="1892"/>
      <c r="I26" s="1892"/>
      <c r="J26" s="1892"/>
      <c r="K26" s="1892"/>
      <c r="L26" s="1892"/>
      <c r="M26" s="1892"/>
      <c r="N26" s="1893"/>
      <c r="O26" s="1894">
        <v>0</v>
      </c>
      <c r="P26" s="1895"/>
      <c r="Q26" s="1896">
        <v>0</v>
      </c>
      <c r="R26" s="1895"/>
      <c r="S26" s="1896">
        <v>0</v>
      </c>
      <c r="T26" s="1895"/>
      <c r="U26" s="1896">
        <v>0</v>
      </c>
      <c r="V26" s="1897"/>
      <c r="W26" s="1898">
        <f t="shared" si="0"/>
        <v>0</v>
      </c>
      <c r="X26" s="1899"/>
      <c r="Y26" s="1894">
        <v>0</v>
      </c>
      <c r="Z26" s="1900"/>
      <c r="AA26" s="1895"/>
      <c r="AB26" s="1896">
        <v>0</v>
      </c>
      <c r="AC26" s="1900"/>
      <c r="AD26" s="1897"/>
      <c r="AE26" s="1898">
        <f t="shared" si="1"/>
        <v>0</v>
      </c>
      <c r="AF26" s="1899"/>
      <c r="AG26" s="1894">
        <v>0</v>
      </c>
      <c r="AH26" s="1895"/>
      <c r="AI26" s="1896">
        <v>0</v>
      </c>
      <c r="AJ26" s="1895"/>
      <c r="AK26" s="1896">
        <v>0</v>
      </c>
      <c r="AL26" s="1895"/>
      <c r="AM26" s="1896">
        <v>0</v>
      </c>
      <c r="AN26" s="1897"/>
      <c r="AO26" s="1898">
        <f t="shared" si="2"/>
        <v>0</v>
      </c>
      <c r="AP26" s="1899"/>
      <c r="AQ26" s="1894">
        <v>0</v>
      </c>
      <c r="AR26" s="1895"/>
      <c r="AS26" s="1896">
        <v>0</v>
      </c>
      <c r="AT26" s="1895"/>
      <c r="AU26" s="1896">
        <v>0</v>
      </c>
      <c r="AV26" s="1895"/>
      <c r="AW26" s="1896">
        <v>0</v>
      </c>
      <c r="AX26" s="1897"/>
      <c r="AY26" s="1898">
        <f t="shared" si="3"/>
        <v>0</v>
      </c>
      <c r="AZ26" s="1899"/>
      <c r="BA26" s="1894">
        <v>0</v>
      </c>
      <c r="BB26" s="1900"/>
      <c r="BC26" s="1895"/>
      <c r="BD26" s="1896">
        <v>0</v>
      </c>
      <c r="BE26" s="1900"/>
      <c r="BF26" s="1897"/>
      <c r="BG26" s="1898">
        <f t="shared" si="4"/>
        <v>0</v>
      </c>
      <c r="BH26" s="1899"/>
      <c r="BI26" s="1894">
        <v>0</v>
      </c>
      <c r="BJ26" s="1895"/>
      <c r="BK26" s="1896">
        <v>0</v>
      </c>
      <c r="BL26" s="1895"/>
      <c r="BM26" s="1896">
        <v>0</v>
      </c>
      <c r="BN26" s="1895"/>
      <c r="BO26" s="1896">
        <v>0</v>
      </c>
      <c r="BP26" s="1897"/>
      <c r="BQ26" s="1898">
        <f t="shared" si="5"/>
        <v>0</v>
      </c>
      <c r="BR26" s="1899"/>
    </row>
    <row r="27" spans="2:70" s="186" customFormat="1" ht="27" customHeight="1">
      <c r="B27" s="201" t="s">
        <v>158</v>
      </c>
      <c r="C27" s="1892" t="s">
        <v>975</v>
      </c>
      <c r="D27" s="1892"/>
      <c r="E27" s="1892"/>
      <c r="F27" s="1892"/>
      <c r="G27" s="1892"/>
      <c r="H27" s="1892"/>
      <c r="I27" s="1892"/>
      <c r="J27" s="1892"/>
      <c r="K27" s="1892"/>
      <c r="L27" s="1892"/>
      <c r="M27" s="1892"/>
      <c r="N27" s="1893"/>
      <c r="O27" s="1894">
        <v>0</v>
      </c>
      <c r="P27" s="1895"/>
      <c r="Q27" s="1896">
        <v>0</v>
      </c>
      <c r="R27" s="1895"/>
      <c r="S27" s="1896">
        <v>0</v>
      </c>
      <c r="T27" s="1895"/>
      <c r="U27" s="1896">
        <v>0</v>
      </c>
      <c r="V27" s="1897"/>
      <c r="W27" s="1898">
        <f t="shared" si="0"/>
        <v>0</v>
      </c>
      <c r="X27" s="1899"/>
      <c r="Y27" s="1894">
        <v>0</v>
      </c>
      <c r="Z27" s="1900"/>
      <c r="AA27" s="1895"/>
      <c r="AB27" s="1896">
        <v>0</v>
      </c>
      <c r="AC27" s="1900"/>
      <c r="AD27" s="1897"/>
      <c r="AE27" s="1898">
        <f t="shared" si="1"/>
        <v>0</v>
      </c>
      <c r="AF27" s="1899"/>
      <c r="AG27" s="1894">
        <v>0</v>
      </c>
      <c r="AH27" s="1895"/>
      <c r="AI27" s="1896">
        <v>0</v>
      </c>
      <c r="AJ27" s="1895"/>
      <c r="AK27" s="1896">
        <v>0</v>
      </c>
      <c r="AL27" s="1895"/>
      <c r="AM27" s="1896">
        <v>0</v>
      </c>
      <c r="AN27" s="1897"/>
      <c r="AO27" s="1898">
        <f t="shared" si="2"/>
        <v>0</v>
      </c>
      <c r="AP27" s="1899"/>
      <c r="AQ27" s="1894">
        <v>0</v>
      </c>
      <c r="AR27" s="1895"/>
      <c r="AS27" s="1896">
        <v>0</v>
      </c>
      <c r="AT27" s="1895"/>
      <c r="AU27" s="1896">
        <v>0</v>
      </c>
      <c r="AV27" s="1895"/>
      <c r="AW27" s="1896">
        <v>0</v>
      </c>
      <c r="AX27" s="1897"/>
      <c r="AY27" s="1898">
        <f t="shared" si="3"/>
        <v>0</v>
      </c>
      <c r="AZ27" s="1899"/>
      <c r="BA27" s="1894">
        <v>0</v>
      </c>
      <c r="BB27" s="1900"/>
      <c r="BC27" s="1895"/>
      <c r="BD27" s="1896">
        <v>0</v>
      </c>
      <c r="BE27" s="1900"/>
      <c r="BF27" s="1897"/>
      <c r="BG27" s="1898">
        <f t="shared" si="4"/>
        <v>0</v>
      </c>
      <c r="BH27" s="1899"/>
      <c r="BI27" s="1894">
        <v>0</v>
      </c>
      <c r="BJ27" s="1895"/>
      <c r="BK27" s="1896">
        <v>0</v>
      </c>
      <c r="BL27" s="1895"/>
      <c r="BM27" s="1896">
        <v>0</v>
      </c>
      <c r="BN27" s="1895"/>
      <c r="BO27" s="1896">
        <v>0</v>
      </c>
      <c r="BP27" s="1897"/>
      <c r="BQ27" s="1898">
        <f t="shared" si="5"/>
        <v>0</v>
      </c>
      <c r="BR27" s="1899"/>
    </row>
    <row r="28" spans="2:70" s="186" customFormat="1" ht="27" customHeight="1">
      <c r="B28" s="201" t="s">
        <v>159</v>
      </c>
      <c r="C28" s="1892" t="s">
        <v>976</v>
      </c>
      <c r="D28" s="1892"/>
      <c r="E28" s="1892"/>
      <c r="F28" s="1892"/>
      <c r="G28" s="1892"/>
      <c r="H28" s="1892"/>
      <c r="I28" s="1892"/>
      <c r="J28" s="1892"/>
      <c r="K28" s="1892"/>
      <c r="L28" s="1892"/>
      <c r="M28" s="1892"/>
      <c r="N28" s="1893"/>
      <c r="O28" s="1894">
        <v>0</v>
      </c>
      <c r="P28" s="1895"/>
      <c r="Q28" s="1896">
        <v>0</v>
      </c>
      <c r="R28" s="1895"/>
      <c r="S28" s="1896">
        <v>0</v>
      </c>
      <c r="T28" s="1895"/>
      <c r="U28" s="1896">
        <v>0</v>
      </c>
      <c r="V28" s="1897"/>
      <c r="W28" s="1898">
        <f t="shared" si="0"/>
        <v>0</v>
      </c>
      <c r="X28" s="1899"/>
      <c r="Y28" s="1894">
        <v>0</v>
      </c>
      <c r="Z28" s="1900"/>
      <c r="AA28" s="1895"/>
      <c r="AB28" s="1896">
        <v>0</v>
      </c>
      <c r="AC28" s="1900"/>
      <c r="AD28" s="1897"/>
      <c r="AE28" s="1898">
        <f t="shared" si="1"/>
        <v>0</v>
      </c>
      <c r="AF28" s="1899"/>
      <c r="AG28" s="1894">
        <v>0</v>
      </c>
      <c r="AH28" s="1895"/>
      <c r="AI28" s="1896">
        <v>0</v>
      </c>
      <c r="AJ28" s="1895"/>
      <c r="AK28" s="1896">
        <v>0</v>
      </c>
      <c r="AL28" s="1895"/>
      <c r="AM28" s="1896">
        <v>0</v>
      </c>
      <c r="AN28" s="1897"/>
      <c r="AO28" s="1898">
        <f t="shared" si="2"/>
        <v>0</v>
      </c>
      <c r="AP28" s="1899"/>
      <c r="AQ28" s="1894">
        <v>0</v>
      </c>
      <c r="AR28" s="1895"/>
      <c r="AS28" s="1896">
        <v>0</v>
      </c>
      <c r="AT28" s="1895"/>
      <c r="AU28" s="1896">
        <v>0</v>
      </c>
      <c r="AV28" s="1895"/>
      <c r="AW28" s="1896">
        <v>0</v>
      </c>
      <c r="AX28" s="1897"/>
      <c r="AY28" s="1898">
        <f t="shared" si="3"/>
        <v>0</v>
      </c>
      <c r="AZ28" s="1899"/>
      <c r="BA28" s="1894">
        <v>0</v>
      </c>
      <c r="BB28" s="1900"/>
      <c r="BC28" s="1895"/>
      <c r="BD28" s="1896">
        <v>0</v>
      </c>
      <c r="BE28" s="1900"/>
      <c r="BF28" s="1897"/>
      <c r="BG28" s="1898">
        <f t="shared" si="4"/>
        <v>0</v>
      </c>
      <c r="BH28" s="1899"/>
      <c r="BI28" s="1894">
        <v>0</v>
      </c>
      <c r="BJ28" s="1895"/>
      <c r="BK28" s="1896">
        <v>0</v>
      </c>
      <c r="BL28" s="1895"/>
      <c r="BM28" s="1896">
        <v>0</v>
      </c>
      <c r="BN28" s="1895"/>
      <c r="BO28" s="1896">
        <v>0</v>
      </c>
      <c r="BP28" s="1897"/>
      <c r="BQ28" s="1898">
        <f t="shared" si="5"/>
        <v>0</v>
      </c>
      <c r="BR28" s="1899"/>
    </row>
    <row r="29" spans="2:70" s="186" customFormat="1" ht="27" customHeight="1">
      <c r="B29" s="201" t="s">
        <v>160</v>
      </c>
      <c r="C29" s="1892" t="s">
        <v>977</v>
      </c>
      <c r="D29" s="1892"/>
      <c r="E29" s="1892"/>
      <c r="F29" s="1892"/>
      <c r="G29" s="1892"/>
      <c r="H29" s="1892"/>
      <c r="I29" s="1892"/>
      <c r="J29" s="1892"/>
      <c r="K29" s="1892"/>
      <c r="L29" s="1892"/>
      <c r="M29" s="1892"/>
      <c r="N29" s="1893"/>
      <c r="O29" s="1894">
        <v>0</v>
      </c>
      <c r="P29" s="1895"/>
      <c r="Q29" s="1896">
        <v>0</v>
      </c>
      <c r="R29" s="1895"/>
      <c r="S29" s="1896">
        <v>0</v>
      </c>
      <c r="T29" s="1895"/>
      <c r="U29" s="1896">
        <v>0</v>
      </c>
      <c r="V29" s="1897"/>
      <c r="W29" s="1898">
        <f t="shared" si="0"/>
        <v>0</v>
      </c>
      <c r="X29" s="1899"/>
      <c r="Y29" s="1894">
        <v>0</v>
      </c>
      <c r="Z29" s="1900"/>
      <c r="AA29" s="1895"/>
      <c r="AB29" s="1896">
        <v>0</v>
      </c>
      <c r="AC29" s="1900"/>
      <c r="AD29" s="1897"/>
      <c r="AE29" s="1898">
        <f>SUM(Y29:AD29)</f>
        <v>0</v>
      </c>
      <c r="AF29" s="1899"/>
      <c r="AG29" s="1894">
        <v>0</v>
      </c>
      <c r="AH29" s="1895"/>
      <c r="AI29" s="1896">
        <v>0</v>
      </c>
      <c r="AJ29" s="1895"/>
      <c r="AK29" s="1896">
        <v>0</v>
      </c>
      <c r="AL29" s="1895"/>
      <c r="AM29" s="1896">
        <v>0</v>
      </c>
      <c r="AN29" s="1897"/>
      <c r="AO29" s="1898">
        <f t="shared" si="2"/>
        <v>0</v>
      </c>
      <c r="AP29" s="1899"/>
      <c r="AQ29" s="1894">
        <v>0</v>
      </c>
      <c r="AR29" s="1895"/>
      <c r="AS29" s="1896">
        <v>0</v>
      </c>
      <c r="AT29" s="1895"/>
      <c r="AU29" s="1896">
        <v>0</v>
      </c>
      <c r="AV29" s="1895"/>
      <c r="AW29" s="1896">
        <v>0</v>
      </c>
      <c r="AX29" s="1897"/>
      <c r="AY29" s="1898">
        <f t="shared" si="3"/>
        <v>0</v>
      </c>
      <c r="AZ29" s="1899"/>
      <c r="BA29" s="1894">
        <v>0</v>
      </c>
      <c r="BB29" s="1900"/>
      <c r="BC29" s="1895"/>
      <c r="BD29" s="1896">
        <v>0</v>
      </c>
      <c r="BE29" s="1900"/>
      <c r="BF29" s="1897"/>
      <c r="BG29" s="1898">
        <f t="shared" si="4"/>
        <v>0</v>
      </c>
      <c r="BH29" s="1899"/>
      <c r="BI29" s="1894">
        <v>0</v>
      </c>
      <c r="BJ29" s="1895"/>
      <c r="BK29" s="1896">
        <v>0</v>
      </c>
      <c r="BL29" s="1895"/>
      <c r="BM29" s="1896">
        <v>0</v>
      </c>
      <c r="BN29" s="1895"/>
      <c r="BO29" s="1896">
        <v>0</v>
      </c>
      <c r="BP29" s="1897"/>
      <c r="BQ29" s="1898">
        <f t="shared" si="5"/>
        <v>0</v>
      </c>
      <c r="BR29" s="1899"/>
    </row>
    <row r="30" spans="2:70" s="186" customFormat="1" ht="27" customHeight="1">
      <c r="B30" s="202"/>
      <c r="C30" s="1947" t="s">
        <v>978</v>
      </c>
      <c r="D30" s="1947"/>
      <c r="E30" s="1913" t="s">
        <v>979</v>
      </c>
      <c r="F30" s="1913"/>
      <c r="G30" s="1913"/>
      <c r="H30" s="1913"/>
      <c r="I30" s="1913"/>
      <c r="J30" s="1913"/>
      <c r="K30" s="1913"/>
      <c r="L30" s="1913"/>
      <c r="M30" s="1913"/>
      <c r="N30" s="1914"/>
      <c r="O30" s="1894">
        <v>0</v>
      </c>
      <c r="P30" s="1895"/>
      <c r="Q30" s="1896">
        <v>0</v>
      </c>
      <c r="R30" s="1895"/>
      <c r="S30" s="1896">
        <v>0</v>
      </c>
      <c r="T30" s="1895"/>
      <c r="U30" s="1896">
        <v>0</v>
      </c>
      <c r="V30" s="1897"/>
      <c r="W30" s="1898">
        <f t="shared" si="0"/>
        <v>0</v>
      </c>
      <c r="X30" s="1899"/>
      <c r="Y30" s="1894">
        <v>0</v>
      </c>
      <c r="Z30" s="1900"/>
      <c r="AA30" s="1895"/>
      <c r="AB30" s="1896">
        <v>0</v>
      </c>
      <c r="AC30" s="1900"/>
      <c r="AD30" s="1897"/>
      <c r="AE30" s="1898">
        <f t="shared" si="1"/>
        <v>0</v>
      </c>
      <c r="AF30" s="1899"/>
      <c r="AG30" s="1894">
        <v>0</v>
      </c>
      <c r="AH30" s="1895"/>
      <c r="AI30" s="1896">
        <v>0</v>
      </c>
      <c r="AJ30" s="1895"/>
      <c r="AK30" s="1896">
        <v>0</v>
      </c>
      <c r="AL30" s="1895"/>
      <c r="AM30" s="1896">
        <v>0</v>
      </c>
      <c r="AN30" s="1897"/>
      <c r="AO30" s="1898">
        <f t="shared" si="2"/>
        <v>0</v>
      </c>
      <c r="AP30" s="1899"/>
      <c r="AQ30" s="1894">
        <v>0</v>
      </c>
      <c r="AR30" s="1895"/>
      <c r="AS30" s="1896">
        <v>0</v>
      </c>
      <c r="AT30" s="1895"/>
      <c r="AU30" s="1896">
        <v>0</v>
      </c>
      <c r="AV30" s="1895"/>
      <c r="AW30" s="1896">
        <v>0</v>
      </c>
      <c r="AX30" s="1897"/>
      <c r="AY30" s="1898">
        <f t="shared" si="3"/>
        <v>0</v>
      </c>
      <c r="AZ30" s="1899"/>
      <c r="BA30" s="1894">
        <v>0</v>
      </c>
      <c r="BB30" s="1900"/>
      <c r="BC30" s="1895"/>
      <c r="BD30" s="1896">
        <v>0</v>
      </c>
      <c r="BE30" s="1900"/>
      <c r="BF30" s="1897"/>
      <c r="BG30" s="1898">
        <f t="shared" si="4"/>
        <v>0</v>
      </c>
      <c r="BH30" s="1899"/>
      <c r="BI30" s="1894">
        <v>0</v>
      </c>
      <c r="BJ30" s="1895"/>
      <c r="BK30" s="1896">
        <v>0</v>
      </c>
      <c r="BL30" s="1895"/>
      <c r="BM30" s="1896">
        <v>0</v>
      </c>
      <c r="BN30" s="1895"/>
      <c r="BO30" s="1896">
        <v>0</v>
      </c>
      <c r="BP30" s="1897"/>
      <c r="BQ30" s="1898">
        <f t="shared" si="5"/>
        <v>0</v>
      </c>
      <c r="BR30" s="1899"/>
    </row>
    <row r="31" spans="2:70" s="186" customFormat="1" ht="27" customHeight="1" thickBot="1">
      <c r="B31" s="203" t="s">
        <v>161</v>
      </c>
      <c r="C31" s="1901" t="s">
        <v>420</v>
      </c>
      <c r="D31" s="1901"/>
      <c r="E31" s="1901"/>
      <c r="F31" s="1901"/>
      <c r="G31" s="1901"/>
      <c r="H31" s="1901"/>
      <c r="I31" s="1901"/>
      <c r="J31" s="1901"/>
      <c r="K31" s="1901"/>
      <c r="L31" s="1901"/>
      <c r="M31" s="1901"/>
      <c r="N31" s="1902"/>
      <c r="O31" s="1903">
        <v>0</v>
      </c>
      <c r="P31" s="1904"/>
      <c r="Q31" s="1905">
        <v>0</v>
      </c>
      <c r="R31" s="1904"/>
      <c r="S31" s="1905">
        <v>0</v>
      </c>
      <c r="T31" s="1904"/>
      <c r="U31" s="1905">
        <v>0</v>
      </c>
      <c r="V31" s="1906"/>
      <c r="W31" s="1907">
        <f t="shared" si="0"/>
        <v>0</v>
      </c>
      <c r="X31" s="1908"/>
      <c r="Y31" s="1903">
        <v>0</v>
      </c>
      <c r="Z31" s="1909"/>
      <c r="AA31" s="1904"/>
      <c r="AB31" s="1905">
        <v>0</v>
      </c>
      <c r="AC31" s="1909"/>
      <c r="AD31" s="1906"/>
      <c r="AE31" s="1907">
        <f t="shared" si="1"/>
        <v>0</v>
      </c>
      <c r="AF31" s="1908"/>
      <c r="AG31" s="1903">
        <v>0</v>
      </c>
      <c r="AH31" s="1904"/>
      <c r="AI31" s="1905">
        <v>0</v>
      </c>
      <c r="AJ31" s="1904"/>
      <c r="AK31" s="1905">
        <v>0</v>
      </c>
      <c r="AL31" s="1904"/>
      <c r="AM31" s="1905">
        <v>0</v>
      </c>
      <c r="AN31" s="1906"/>
      <c r="AO31" s="1907">
        <f t="shared" si="2"/>
        <v>0</v>
      </c>
      <c r="AP31" s="1908"/>
      <c r="AQ31" s="1903">
        <v>0</v>
      </c>
      <c r="AR31" s="1904"/>
      <c r="AS31" s="1905">
        <v>0</v>
      </c>
      <c r="AT31" s="1904"/>
      <c r="AU31" s="1905">
        <v>0</v>
      </c>
      <c r="AV31" s="1904"/>
      <c r="AW31" s="1905">
        <v>0</v>
      </c>
      <c r="AX31" s="1906"/>
      <c r="AY31" s="1907">
        <f t="shared" si="3"/>
        <v>0</v>
      </c>
      <c r="AZ31" s="1908"/>
      <c r="BA31" s="1903">
        <v>0</v>
      </c>
      <c r="BB31" s="1909"/>
      <c r="BC31" s="1904"/>
      <c r="BD31" s="1905">
        <v>0</v>
      </c>
      <c r="BE31" s="1909"/>
      <c r="BF31" s="1906"/>
      <c r="BG31" s="1907">
        <f t="shared" si="4"/>
        <v>0</v>
      </c>
      <c r="BH31" s="1908"/>
      <c r="BI31" s="1903">
        <v>0</v>
      </c>
      <c r="BJ31" s="1904"/>
      <c r="BK31" s="1905">
        <v>0</v>
      </c>
      <c r="BL31" s="1904"/>
      <c r="BM31" s="1905">
        <v>0</v>
      </c>
      <c r="BN31" s="1904"/>
      <c r="BO31" s="1905">
        <v>0</v>
      </c>
      <c r="BP31" s="1906"/>
      <c r="BQ31" s="1907">
        <f t="shared" si="5"/>
        <v>0</v>
      </c>
      <c r="BR31" s="1908"/>
    </row>
    <row r="32" spans="2:70" s="199" customFormat="1" ht="27" customHeight="1" thickBot="1">
      <c r="B32" s="1876" t="s">
        <v>522</v>
      </c>
      <c r="C32" s="1877"/>
      <c r="D32" s="1877"/>
      <c r="E32" s="1877"/>
      <c r="F32" s="1877"/>
      <c r="G32" s="1877"/>
      <c r="H32" s="1877"/>
      <c r="I32" s="1877"/>
      <c r="J32" s="1877"/>
      <c r="K32" s="1877"/>
      <c r="L32" s="1877"/>
      <c r="M32" s="1877"/>
      <c r="N32" s="1878"/>
      <c r="O32" s="1863"/>
      <c r="P32" s="1864"/>
      <c r="Q32" s="1864"/>
      <c r="R32" s="1864"/>
      <c r="S32" s="1864"/>
      <c r="T32" s="1864"/>
      <c r="U32" s="1864"/>
      <c r="V32" s="1864"/>
      <c r="W32" s="1864"/>
      <c r="X32" s="1864"/>
      <c r="Y32" s="1864"/>
      <c r="Z32" s="1864"/>
      <c r="AA32" s="1864"/>
      <c r="AB32" s="1864"/>
      <c r="AC32" s="1864"/>
      <c r="AD32" s="1864"/>
      <c r="AE32" s="1864"/>
      <c r="AF32" s="1864"/>
      <c r="AG32" s="1864"/>
      <c r="AH32" s="1864"/>
      <c r="AI32" s="1864"/>
      <c r="AJ32" s="1864"/>
      <c r="AK32" s="1864"/>
      <c r="AL32" s="1864"/>
      <c r="AM32" s="1864"/>
      <c r="AN32" s="1864"/>
      <c r="AO32" s="1864"/>
      <c r="AP32" s="1864"/>
      <c r="AQ32" s="1864"/>
      <c r="AR32" s="1864"/>
      <c r="AS32" s="1864"/>
      <c r="AT32" s="1864"/>
      <c r="AU32" s="1864"/>
      <c r="AV32" s="1864"/>
      <c r="AW32" s="1864"/>
      <c r="AX32" s="1864"/>
      <c r="AY32" s="1864"/>
      <c r="AZ32" s="1864"/>
      <c r="BA32" s="1864"/>
      <c r="BB32" s="1864"/>
      <c r="BC32" s="1864"/>
      <c r="BD32" s="1864"/>
      <c r="BE32" s="1864"/>
      <c r="BF32" s="1864"/>
      <c r="BG32" s="1864"/>
      <c r="BH32" s="1864"/>
      <c r="BI32" s="1864"/>
      <c r="BJ32" s="1864"/>
      <c r="BK32" s="1864"/>
      <c r="BL32" s="1864"/>
      <c r="BM32" s="1864"/>
      <c r="BN32" s="1864"/>
      <c r="BO32" s="1864"/>
      <c r="BP32" s="1864"/>
      <c r="BQ32" s="1864"/>
      <c r="BR32" s="1865"/>
    </row>
    <row r="33" spans="2:78" s="186" customFormat="1" ht="27" customHeight="1" thickTop="1">
      <c r="B33" s="194" t="s">
        <v>151</v>
      </c>
      <c r="C33" s="1945" t="s">
        <v>980</v>
      </c>
      <c r="D33" s="1945"/>
      <c r="E33" s="1945"/>
      <c r="F33" s="1945"/>
      <c r="G33" s="1945"/>
      <c r="H33" s="1945"/>
      <c r="I33" s="1945"/>
      <c r="J33" s="1945"/>
      <c r="K33" s="1945"/>
      <c r="L33" s="1945"/>
      <c r="M33" s="1945"/>
      <c r="N33" s="1946"/>
      <c r="O33" s="1857">
        <v>0</v>
      </c>
      <c r="P33" s="1858"/>
      <c r="Q33" s="1859">
        <v>0</v>
      </c>
      <c r="R33" s="1858"/>
      <c r="S33" s="1859">
        <v>0</v>
      </c>
      <c r="T33" s="1858"/>
      <c r="U33" s="1859">
        <v>0</v>
      </c>
      <c r="V33" s="1860"/>
      <c r="W33" s="1861">
        <f>SUM(O33:V33)</f>
        <v>0</v>
      </c>
      <c r="X33" s="1862"/>
      <c r="Y33" s="1857">
        <v>0</v>
      </c>
      <c r="Z33" s="1875"/>
      <c r="AA33" s="1858"/>
      <c r="AB33" s="1859">
        <v>0</v>
      </c>
      <c r="AC33" s="1875"/>
      <c r="AD33" s="1860"/>
      <c r="AE33" s="1861">
        <f>SUM(Y33:AD33)</f>
        <v>0</v>
      </c>
      <c r="AF33" s="1862"/>
      <c r="AG33" s="1857">
        <v>0</v>
      </c>
      <c r="AH33" s="1858"/>
      <c r="AI33" s="1859">
        <v>0</v>
      </c>
      <c r="AJ33" s="1858"/>
      <c r="AK33" s="1859">
        <v>0</v>
      </c>
      <c r="AL33" s="1858"/>
      <c r="AM33" s="1859">
        <v>0</v>
      </c>
      <c r="AN33" s="1860"/>
      <c r="AO33" s="1861">
        <f>SUM(AG33:AN33)</f>
        <v>0</v>
      </c>
      <c r="AP33" s="1862"/>
      <c r="AQ33" s="1934"/>
      <c r="AR33" s="1935"/>
      <c r="AS33" s="1935"/>
      <c r="AT33" s="1935"/>
      <c r="AU33" s="1935"/>
      <c r="AV33" s="1935"/>
      <c r="AW33" s="1935"/>
      <c r="AX33" s="1935"/>
      <c r="AY33" s="1935"/>
      <c r="AZ33" s="1935"/>
      <c r="BA33" s="1935"/>
      <c r="BB33" s="1935"/>
      <c r="BC33" s="1935"/>
      <c r="BD33" s="1935"/>
      <c r="BE33" s="1935"/>
      <c r="BF33" s="1935"/>
      <c r="BG33" s="1935"/>
      <c r="BH33" s="1935"/>
      <c r="BI33" s="1935"/>
      <c r="BJ33" s="1935"/>
      <c r="BK33" s="1935"/>
      <c r="BL33" s="1935"/>
      <c r="BM33" s="1935"/>
      <c r="BN33" s="1935"/>
      <c r="BO33" s="1935"/>
      <c r="BP33" s="1935"/>
      <c r="BQ33" s="1935"/>
      <c r="BR33" s="1936"/>
    </row>
    <row r="34" spans="2:78" s="186" customFormat="1" ht="27" customHeight="1">
      <c r="B34" s="195" t="s">
        <v>152</v>
      </c>
      <c r="C34" s="1913" t="s">
        <v>981</v>
      </c>
      <c r="D34" s="1913"/>
      <c r="E34" s="1913"/>
      <c r="F34" s="1913"/>
      <c r="G34" s="1913"/>
      <c r="H34" s="1913"/>
      <c r="I34" s="1913"/>
      <c r="J34" s="1913"/>
      <c r="K34" s="1913"/>
      <c r="L34" s="1913"/>
      <c r="M34" s="1913"/>
      <c r="N34" s="1914"/>
      <c r="O34" s="1894">
        <v>0</v>
      </c>
      <c r="P34" s="1895"/>
      <c r="Q34" s="1896">
        <v>0</v>
      </c>
      <c r="R34" s="1895"/>
      <c r="S34" s="1896">
        <v>0</v>
      </c>
      <c r="T34" s="1895"/>
      <c r="U34" s="1896">
        <v>0</v>
      </c>
      <c r="V34" s="1897"/>
      <c r="W34" s="1898">
        <f>SUM(O34:V34)</f>
        <v>0</v>
      </c>
      <c r="X34" s="1899"/>
      <c r="Y34" s="1894">
        <v>0</v>
      </c>
      <c r="Z34" s="1900"/>
      <c r="AA34" s="1895"/>
      <c r="AB34" s="1896">
        <v>0</v>
      </c>
      <c r="AC34" s="1900"/>
      <c r="AD34" s="1897"/>
      <c r="AE34" s="1898">
        <f>SUM(Y34:AD34)</f>
        <v>0</v>
      </c>
      <c r="AF34" s="1899"/>
      <c r="AG34" s="1894">
        <v>0</v>
      </c>
      <c r="AH34" s="1895"/>
      <c r="AI34" s="1896">
        <v>0</v>
      </c>
      <c r="AJ34" s="1895"/>
      <c r="AK34" s="1896">
        <v>0</v>
      </c>
      <c r="AL34" s="1895"/>
      <c r="AM34" s="1896">
        <v>0</v>
      </c>
      <c r="AN34" s="1897"/>
      <c r="AO34" s="1898">
        <f>SUM(AG34:AN34)</f>
        <v>0</v>
      </c>
      <c r="AP34" s="1899"/>
      <c r="AQ34" s="1937"/>
      <c r="AR34" s="1938"/>
      <c r="AS34" s="1938"/>
      <c r="AT34" s="1938"/>
      <c r="AU34" s="1938"/>
      <c r="AV34" s="1938"/>
      <c r="AW34" s="1938"/>
      <c r="AX34" s="1938"/>
      <c r="AY34" s="1938"/>
      <c r="AZ34" s="1938"/>
      <c r="BA34" s="1938"/>
      <c r="BB34" s="1938"/>
      <c r="BC34" s="1938"/>
      <c r="BD34" s="1938"/>
      <c r="BE34" s="1938"/>
      <c r="BF34" s="1938"/>
      <c r="BG34" s="1938"/>
      <c r="BH34" s="1938"/>
      <c r="BI34" s="1938"/>
      <c r="BJ34" s="1938"/>
      <c r="BK34" s="1938"/>
      <c r="BL34" s="1938"/>
      <c r="BM34" s="1938"/>
      <c r="BN34" s="1938"/>
      <c r="BO34" s="1938"/>
      <c r="BP34" s="1938"/>
      <c r="BQ34" s="1938"/>
      <c r="BR34" s="1939"/>
    </row>
    <row r="35" spans="2:78" s="186" customFormat="1" ht="27" customHeight="1">
      <c r="B35" s="195" t="s">
        <v>153</v>
      </c>
      <c r="C35" s="1913" t="s">
        <v>982</v>
      </c>
      <c r="D35" s="1913"/>
      <c r="E35" s="1913"/>
      <c r="F35" s="1913"/>
      <c r="G35" s="1913"/>
      <c r="H35" s="1913"/>
      <c r="I35" s="1913"/>
      <c r="J35" s="1913"/>
      <c r="K35" s="1913"/>
      <c r="L35" s="1913"/>
      <c r="M35" s="1913"/>
      <c r="N35" s="1914"/>
      <c r="O35" s="1894">
        <v>0</v>
      </c>
      <c r="P35" s="1895"/>
      <c r="Q35" s="1896">
        <v>0</v>
      </c>
      <c r="R35" s="1895"/>
      <c r="S35" s="1896">
        <v>0</v>
      </c>
      <c r="T35" s="1895"/>
      <c r="U35" s="1896">
        <v>0</v>
      </c>
      <c r="V35" s="1897"/>
      <c r="W35" s="1898">
        <f t="shared" ref="W35:W40" si="6">SUM(O35:V35)</f>
        <v>0</v>
      </c>
      <c r="X35" s="1899"/>
      <c r="Y35" s="1894">
        <v>0</v>
      </c>
      <c r="Z35" s="1900"/>
      <c r="AA35" s="1895"/>
      <c r="AB35" s="1896">
        <v>0</v>
      </c>
      <c r="AC35" s="1900"/>
      <c r="AD35" s="1897"/>
      <c r="AE35" s="1898">
        <f t="shared" ref="AE35:AE40" si="7">SUM(Y35:AD35)</f>
        <v>0</v>
      </c>
      <c r="AF35" s="1899"/>
      <c r="AG35" s="1894">
        <v>0</v>
      </c>
      <c r="AH35" s="1895"/>
      <c r="AI35" s="1896">
        <v>0</v>
      </c>
      <c r="AJ35" s="1895"/>
      <c r="AK35" s="1896">
        <v>0</v>
      </c>
      <c r="AL35" s="1895"/>
      <c r="AM35" s="1896">
        <v>0</v>
      </c>
      <c r="AN35" s="1897"/>
      <c r="AO35" s="1898">
        <f t="shared" ref="AO35:AO40" si="8">SUM(AG35:AN35)</f>
        <v>0</v>
      </c>
      <c r="AP35" s="1899"/>
      <c r="AQ35" s="1937"/>
      <c r="AR35" s="1938"/>
      <c r="AS35" s="1938"/>
      <c r="AT35" s="1938"/>
      <c r="AU35" s="1938"/>
      <c r="AV35" s="1938"/>
      <c r="AW35" s="1938"/>
      <c r="AX35" s="1938"/>
      <c r="AY35" s="1938"/>
      <c r="AZ35" s="1938"/>
      <c r="BA35" s="1938"/>
      <c r="BB35" s="1938"/>
      <c r="BC35" s="1938"/>
      <c r="BD35" s="1938"/>
      <c r="BE35" s="1938"/>
      <c r="BF35" s="1938"/>
      <c r="BG35" s="1938"/>
      <c r="BH35" s="1938"/>
      <c r="BI35" s="1938"/>
      <c r="BJ35" s="1938"/>
      <c r="BK35" s="1938"/>
      <c r="BL35" s="1938"/>
      <c r="BM35" s="1938"/>
      <c r="BN35" s="1938"/>
      <c r="BO35" s="1938"/>
      <c r="BP35" s="1938"/>
      <c r="BQ35" s="1938"/>
      <c r="BR35" s="1939"/>
    </row>
    <row r="36" spans="2:78" s="186" customFormat="1" ht="35.15" customHeight="1">
      <c r="B36" s="196" t="s">
        <v>154</v>
      </c>
      <c r="C36" s="1910" t="s">
        <v>983</v>
      </c>
      <c r="D36" s="1911"/>
      <c r="E36" s="1911"/>
      <c r="F36" s="1911"/>
      <c r="G36" s="1911"/>
      <c r="H36" s="1911"/>
      <c r="I36" s="1911"/>
      <c r="J36" s="1911"/>
      <c r="K36" s="1911"/>
      <c r="L36" s="1911"/>
      <c r="M36" s="1911"/>
      <c r="N36" s="1912"/>
      <c r="O36" s="1894">
        <v>0</v>
      </c>
      <c r="P36" s="1895"/>
      <c r="Q36" s="1896">
        <v>0</v>
      </c>
      <c r="R36" s="1895"/>
      <c r="S36" s="1896">
        <v>0</v>
      </c>
      <c r="T36" s="1895"/>
      <c r="U36" s="1896">
        <v>0</v>
      </c>
      <c r="V36" s="1897"/>
      <c r="W36" s="1898">
        <f t="shared" si="6"/>
        <v>0</v>
      </c>
      <c r="X36" s="1899"/>
      <c r="Y36" s="1894">
        <v>0</v>
      </c>
      <c r="Z36" s="1900"/>
      <c r="AA36" s="1895"/>
      <c r="AB36" s="1896">
        <v>0</v>
      </c>
      <c r="AC36" s="1900"/>
      <c r="AD36" s="1897"/>
      <c r="AE36" s="1898">
        <f t="shared" si="7"/>
        <v>0</v>
      </c>
      <c r="AF36" s="1899"/>
      <c r="AG36" s="1894">
        <v>0</v>
      </c>
      <c r="AH36" s="1895"/>
      <c r="AI36" s="1896">
        <v>0</v>
      </c>
      <c r="AJ36" s="1895"/>
      <c r="AK36" s="1896">
        <v>0</v>
      </c>
      <c r="AL36" s="1895"/>
      <c r="AM36" s="1896">
        <v>0</v>
      </c>
      <c r="AN36" s="1897"/>
      <c r="AO36" s="1898">
        <f t="shared" si="8"/>
        <v>0</v>
      </c>
      <c r="AP36" s="1899"/>
      <c r="AQ36" s="1937"/>
      <c r="AR36" s="1938"/>
      <c r="AS36" s="1938"/>
      <c r="AT36" s="1938"/>
      <c r="AU36" s="1938"/>
      <c r="AV36" s="1938"/>
      <c r="AW36" s="1938"/>
      <c r="AX36" s="1938"/>
      <c r="AY36" s="1938"/>
      <c r="AZ36" s="1938"/>
      <c r="BA36" s="1938"/>
      <c r="BB36" s="1938"/>
      <c r="BC36" s="1938"/>
      <c r="BD36" s="1938"/>
      <c r="BE36" s="1938"/>
      <c r="BF36" s="1938"/>
      <c r="BG36" s="1938"/>
      <c r="BH36" s="1938"/>
      <c r="BI36" s="1938"/>
      <c r="BJ36" s="1938"/>
      <c r="BK36" s="1938"/>
      <c r="BL36" s="1938"/>
      <c r="BM36" s="1938"/>
      <c r="BN36" s="1938"/>
      <c r="BO36" s="1938"/>
      <c r="BP36" s="1938"/>
      <c r="BQ36" s="1938"/>
      <c r="BR36" s="1939"/>
    </row>
    <row r="37" spans="2:78" s="186" customFormat="1" ht="27" customHeight="1">
      <c r="B37" s="195" t="s">
        <v>155</v>
      </c>
      <c r="C37" s="1913" t="s">
        <v>984</v>
      </c>
      <c r="D37" s="1913"/>
      <c r="E37" s="1913"/>
      <c r="F37" s="1913"/>
      <c r="G37" s="1913"/>
      <c r="H37" s="1913"/>
      <c r="I37" s="1913"/>
      <c r="J37" s="1913"/>
      <c r="K37" s="1913"/>
      <c r="L37" s="1913"/>
      <c r="M37" s="1913"/>
      <c r="N37" s="1914"/>
      <c r="O37" s="1894">
        <v>0</v>
      </c>
      <c r="P37" s="1895"/>
      <c r="Q37" s="1896">
        <v>0</v>
      </c>
      <c r="R37" s="1895"/>
      <c r="S37" s="1896">
        <v>0</v>
      </c>
      <c r="T37" s="1895"/>
      <c r="U37" s="1896">
        <v>0</v>
      </c>
      <c r="V37" s="1897"/>
      <c r="W37" s="1898">
        <f t="shared" si="6"/>
        <v>0</v>
      </c>
      <c r="X37" s="1899"/>
      <c r="Y37" s="1894">
        <v>0</v>
      </c>
      <c r="Z37" s="1900"/>
      <c r="AA37" s="1895"/>
      <c r="AB37" s="1896">
        <v>0</v>
      </c>
      <c r="AC37" s="1900"/>
      <c r="AD37" s="1897"/>
      <c r="AE37" s="1898">
        <f t="shared" si="7"/>
        <v>0</v>
      </c>
      <c r="AF37" s="1899"/>
      <c r="AG37" s="1894">
        <v>0</v>
      </c>
      <c r="AH37" s="1895"/>
      <c r="AI37" s="1896">
        <v>0</v>
      </c>
      <c r="AJ37" s="1895"/>
      <c r="AK37" s="1896">
        <v>0</v>
      </c>
      <c r="AL37" s="1895"/>
      <c r="AM37" s="1896">
        <v>0</v>
      </c>
      <c r="AN37" s="1897"/>
      <c r="AO37" s="1898">
        <f t="shared" si="8"/>
        <v>0</v>
      </c>
      <c r="AP37" s="1899"/>
      <c r="AQ37" s="1937"/>
      <c r="AR37" s="1938"/>
      <c r="AS37" s="1938"/>
      <c r="AT37" s="1938"/>
      <c r="AU37" s="1938"/>
      <c r="AV37" s="1938"/>
      <c r="AW37" s="1938"/>
      <c r="AX37" s="1938"/>
      <c r="AY37" s="1938"/>
      <c r="AZ37" s="1938"/>
      <c r="BA37" s="1938"/>
      <c r="BB37" s="1938"/>
      <c r="BC37" s="1938"/>
      <c r="BD37" s="1938"/>
      <c r="BE37" s="1938"/>
      <c r="BF37" s="1938"/>
      <c r="BG37" s="1938"/>
      <c r="BH37" s="1938"/>
      <c r="BI37" s="1938"/>
      <c r="BJ37" s="1938"/>
      <c r="BK37" s="1938"/>
      <c r="BL37" s="1938"/>
      <c r="BM37" s="1938"/>
      <c r="BN37" s="1938"/>
      <c r="BO37" s="1938"/>
      <c r="BP37" s="1938"/>
      <c r="BQ37" s="1938"/>
      <c r="BR37" s="1939"/>
    </row>
    <row r="38" spans="2:78" s="186" customFormat="1" ht="27" customHeight="1">
      <c r="B38" s="197" t="s">
        <v>156</v>
      </c>
      <c r="C38" s="1913" t="s">
        <v>985</v>
      </c>
      <c r="D38" s="1913"/>
      <c r="E38" s="1913"/>
      <c r="F38" s="1913"/>
      <c r="G38" s="1913"/>
      <c r="H38" s="1913"/>
      <c r="I38" s="1913"/>
      <c r="J38" s="1913"/>
      <c r="K38" s="1913"/>
      <c r="L38" s="1913"/>
      <c r="M38" s="1913"/>
      <c r="N38" s="1914"/>
      <c r="O38" s="1894">
        <v>0</v>
      </c>
      <c r="P38" s="1895"/>
      <c r="Q38" s="1896">
        <v>0</v>
      </c>
      <c r="R38" s="1895"/>
      <c r="S38" s="1896">
        <v>0</v>
      </c>
      <c r="T38" s="1895"/>
      <c r="U38" s="1896">
        <v>0</v>
      </c>
      <c r="V38" s="1897"/>
      <c r="W38" s="1898">
        <f t="shared" si="6"/>
        <v>0</v>
      </c>
      <c r="X38" s="1899"/>
      <c r="Y38" s="1894">
        <v>0</v>
      </c>
      <c r="Z38" s="1900"/>
      <c r="AA38" s="1895"/>
      <c r="AB38" s="1896">
        <v>0</v>
      </c>
      <c r="AC38" s="1900"/>
      <c r="AD38" s="1897"/>
      <c r="AE38" s="1898">
        <f t="shared" si="7"/>
        <v>0</v>
      </c>
      <c r="AF38" s="1899"/>
      <c r="AG38" s="1894">
        <v>0</v>
      </c>
      <c r="AH38" s="1895"/>
      <c r="AI38" s="1896">
        <v>0</v>
      </c>
      <c r="AJ38" s="1895"/>
      <c r="AK38" s="1896">
        <v>0</v>
      </c>
      <c r="AL38" s="1895"/>
      <c r="AM38" s="1896">
        <v>0</v>
      </c>
      <c r="AN38" s="1897"/>
      <c r="AO38" s="1898">
        <f t="shared" si="8"/>
        <v>0</v>
      </c>
      <c r="AP38" s="1899"/>
      <c r="AQ38" s="1937"/>
      <c r="AR38" s="1938"/>
      <c r="AS38" s="1938"/>
      <c r="AT38" s="1938"/>
      <c r="AU38" s="1938"/>
      <c r="AV38" s="1938"/>
      <c r="AW38" s="1938"/>
      <c r="AX38" s="1938"/>
      <c r="AY38" s="1938"/>
      <c r="AZ38" s="1938"/>
      <c r="BA38" s="1938"/>
      <c r="BB38" s="1938"/>
      <c r="BC38" s="1938"/>
      <c r="BD38" s="1938"/>
      <c r="BE38" s="1938"/>
      <c r="BF38" s="1938"/>
      <c r="BG38" s="1938"/>
      <c r="BH38" s="1938"/>
      <c r="BI38" s="1938"/>
      <c r="BJ38" s="1938"/>
      <c r="BK38" s="1938"/>
      <c r="BL38" s="1938"/>
      <c r="BM38" s="1938"/>
      <c r="BN38" s="1938"/>
      <c r="BO38" s="1938"/>
      <c r="BP38" s="1938"/>
      <c r="BQ38" s="1938"/>
      <c r="BR38" s="1939"/>
    </row>
    <row r="39" spans="2:78" s="186" customFormat="1" ht="35.15" customHeight="1">
      <c r="B39" s="197" t="s">
        <v>157</v>
      </c>
      <c r="C39" s="1944" t="s">
        <v>986</v>
      </c>
      <c r="D39" s="1913"/>
      <c r="E39" s="1913"/>
      <c r="F39" s="1913"/>
      <c r="G39" s="1913"/>
      <c r="H39" s="1913"/>
      <c r="I39" s="1913"/>
      <c r="J39" s="1913"/>
      <c r="K39" s="1913"/>
      <c r="L39" s="1913"/>
      <c r="M39" s="1913"/>
      <c r="N39" s="1914"/>
      <c r="O39" s="1894">
        <v>0</v>
      </c>
      <c r="P39" s="1895"/>
      <c r="Q39" s="1896">
        <v>0</v>
      </c>
      <c r="R39" s="1895"/>
      <c r="S39" s="1896">
        <v>0</v>
      </c>
      <c r="T39" s="1895"/>
      <c r="U39" s="1896">
        <v>0</v>
      </c>
      <c r="V39" s="1897"/>
      <c r="W39" s="1898">
        <f t="shared" si="6"/>
        <v>0</v>
      </c>
      <c r="X39" s="1899"/>
      <c r="Y39" s="1894">
        <v>0</v>
      </c>
      <c r="Z39" s="1900"/>
      <c r="AA39" s="1895"/>
      <c r="AB39" s="1896">
        <v>0</v>
      </c>
      <c r="AC39" s="1900"/>
      <c r="AD39" s="1897"/>
      <c r="AE39" s="1898">
        <f t="shared" si="7"/>
        <v>0</v>
      </c>
      <c r="AF39" s="1899"/>
      <c r="AG39" s="1894">
        <v>0</v>
      </c>
      <c r="AH39" s="1895"/>
      <c r="AI39" s="1896">
        <v>0</v>
      </c>
      <c r="AJ39" s="1895"/>
      <c r="AK39" s="1896">
        <v>0</v>
      </c>
      <c r="AL39" s="1895"/>
      <c r="AM39" s="1896">
        <v>0</v>
      </c>
      <c r="AN39" s="1897"/>
      <c r="AO39" s="1898">
        <f t="shared" si="8"/>
        <v>0</v>
      </c>
      <c r="AP39" s="1899"/>
      <c r="AQ39" s="1937"/>
      <c r="AR39" s="1938"/>
      <c r="AS39" s="1938"/>
      <c r="AT39" s="1938"/>
      <c r="AU39" s="1938"/>
      <c r="AV39" s="1938"/>
      <c r="AW39" s="1938"/>
      <c r="AX39" s="1938"/>
      <c r="AY39" s="1938"/>
      <c r="AZ39" s="1938"/>
      <c r="BA39" s="1938"/>
      <c r="BB39" s="1938"/>
      <c r="BC39" s="1938"/>
      <c r="BD39" s="1938"/>
      <c r="BE39" s="1938"/>
      <c r="BF39" s="1938"/>
      <c r="BG39" s="1938"/>
      <c r="BH39" s="1938"/>
      <c r="BI39" s="1938"/>
      <c r="BJ39" s="1938"/>
      <c r="BK39" s="1938"/>
      <c r="BL39" s="1938"/>
      <c r="BM39" s="1938"/>
      <c r="BN39" s="1938"/>
      <c r="BO39" s="1938"/>
      <c r="BP39" s="1938"/>
      <c r="BQ39" s="1938"/>
      <c r="BR39" s="1939"/>
    </row>
    <row r="40" spans="2:78" s="186" customFormat="1" ht="27" customHeight="1" thickBot="1">
      <c r="B40" s="198" t="s">
        <v>158</v>
      </c>
      <c r="C40" s="1925" t="s">
        <v>987</v>
      </c>
      <c r="D40" s="1925"/>
      <c r="E40" s="1925"/>
      <c r="F40" s="1925"/>
      <c r="G40" s="1925"/>
      <c r="H40" s="1925"/>
      <c r="I40" s="1925"/>
      <c r="J40" s="1925"/>
      <c r="K40" s="1925"/>
      <c r="L40" s="1925"/>
      <c r="M40" s="1925"/>
      <c r="N40" s="1926"/>
      <c r="O40" s="1927">
        <v>0</v>
      </c>
      <c r="P40" s="1928"/>
      <c r="Q40" s="1929">
        <v>0</v>
      </c>
      <c r="R40" s="1928"/>
      <c r="S40" s="1929">
        <v>0</v>
      </c>
      <c r="T40" s="1928"/>
      <c r="U40" s="1929">
        <v>0</v>
      </c>
      <c r="V40" s="1930"/>
      <c r="W40" s="1931">
        <f t="shared" si="6"/>
        <v>0</v>
      </c>
      <c r="X40" s="1932"/>
      <c r="Y40" s="1927">
        <v>0</v>
      </c>
      <c r="Z40" s="1933"/>
      <c r="AA40" s="1928"/>
      <c r="AB40" s="1929">
        <v>0</v>
      </c>
      <c r="AC40" s="1933"/>
      <c r="AD40" s="1930"/>
      <c r="AE40" s="1931">
        <f t="shared" si="7"/>
        <v>0</v>
      </c>
      <c r="AF40" s="1932"/>
      <c r="AG40" s="1927">
        <v>0</v>
      </c>
      <c r="AH40" s="1928"/>
      <c r="AI40" s="1929">
        <v>0</v>
      </c>
      <c r="AJ40" s="1928"/>
      <c r="AK40" s="1929">
        <v>0</v>
      </c>
      <c r="AL40" s="1928"/>
      <c r="AM40" s="1929">
        <v>0</v>
      </c>
      <c r="AN40" s="1930"/>
      <c r="AO40" s="1931">
        <f t="shared" si="8"/>
        <v>0</v>
      </c>
      <c r="AP40" s="1932"/>
      <c r="AQ40" s="1940"/>
      <c r="AR40" s="1941"/>
      <c r="AS40" s="1941"/>
      <c r="AT40" s="1941"/>
      <c r="AU40" s="1941"/>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941"/>
      <c r="BQ40" s="1941"/>
      <c r="BR40" s="1942"/>
    </row>
    <row r="41" spans="2:78" s="186" customFormat="1" ht="27" customHeight="1" thickTop="1" thickBot="1">
      <c r="B41" s="1919" t="s">
        <v>29</v>
      </c>
      <c r="C41" s="1920"/>
      <c r="D41" s="1920"/>
      <c r="E41" s="1920"/>
      <c r="F41" s="1920"/>
      <c r="G41" s="1920"/>
      <c r="H41" s="1920"/>
      <c r="I41" s="1920"/>
      <c r="J41" s="1920"/>
      <c r="K41" s="1920"/>
      <c r="L41" s="1920"/>
      <c r="M41" s="1920"/>
      <c r="N41" s="1921"/>
      <c r="O41" s="1922">
        <f>SUM(O20:P29, O31, O33:P40)</f>
        <v>0</v>
      </c>
      <c r="P41" s="1916"/>
      <c r="Q41" s="1923">
        <f t="shared" ref="Q41" si="9">SUM(Q20:R29, Q31, Q33:R40)</f>
        <v>0</v>
      </c>
      <c r="R41" s="1916"/>
      <c r="S41" s="1923">
        <f t="shared" ref="S41" si="10">SUM(S20:T29, S31, S33:T40)</f>
        <v>0</v>
      </c>
      <c r="T41" s="1916"/>
      <c r="U41" s="1915">
        <f t="shared" ref="U41" si="11">SUM(U20:V29, U31, U33:V40)</f>
        <v>0</v>
      </c>
      <c r="V41" s="1924"/>
      <c r="W41" s="1917">
        <f t="shared" ref="W41" si="12">SUM(W20:X29, W31, W33:X40)</f>
        <v>0</v>
      </c>
      <c r="X41" s="1918"/>
      <c r="Y41" s="1922">
        <f>SUM(Y20:AA29, Y31, Y33:AA40)</f>
        <v>0</v>
      </c>
      <c r="Z41" s="1915"/>
      <c r="AA41" s="1916">
        <f t="shared" ref="AA41" si="13">SUM(AA20:AB29, AA31, AA33:AB40)</f>
        <v>0</v>
      </c>
      <c r="AB41" s="1915">
        <f>SUM(AB20:AD29, AB31, AB33:AD40)</f>
        <v>0</v>
      </c>
      <c r="AC41" s="1915"/>
      <c r="AD41" s="1916">
        <f t="shared" ref="AD41" si="14">SUM(AD20:AE29, AD31, AD33:AE40)</f>
        <v>0</v>
      </c>
      <c r="AE41" s="1917">
        <f t="shared" ref="AE41" si="15">SUM(AE20:AF29, AE31, AE33:AF40)</f>
        <v>0</v>
      </c>
      <c r="AF41" s="1918"/>
      <c r="AG41" s="1922">
        <f t="shared" ref="AG41" si="16">SUM(AG20:AH29, AG31, AG33:AH40)</f>
        <v>0</v>
      </c>
      <c r="AH41" s="1916"/>
      <c r="AI41" s="1923">
        <f t="shared" ref="AI41" si="17">SUM(AI20:AJ29, AI31, AI33:AJ40)</f>
        <v>0</v>
      </c>
      <c r="AJ41" s="1916"/>
      <c r="AK41" s="1923">
        <f t="shared" ref="AK41" si="18">SUM(AK20:AL29, AK31, AK33:AL40)</f>
        <v>0</v>
      </c>
      <c r="AL41" s="1916"/>
      <c r="AM41" s="1915">
        <f t="shared" ref="AM41" si="19">SUM(AM20:AN29, AM31, AM33:AN40)</f>
        <v>0</v>
      </c>
      <c r="AN41" s="1916"/>
      <c r="AO41" s="1917">
        <f t="shared" ref="AO41" si="20">SUM(AO20:AP29, AO31, AO33:AP40)</f>
        <v>0</v>
      </c>
      <c r="AP41" s="1918"/>
      <c r="AQ41" s="1922">
        <f t="shared" ref="AQ41" si="21">SUM(AQ20:AR29, AQ31, AQ33:AR40)</f>
        <v>0</v>
      </c>
      <c r="AR41" s="1916"/>
      <c r="AS41" s="1923">
        <f t="shared" ref="AS41" si="22">SUM(AS20:AT29, AS31, AS33:AT40)</f>
        <v>0</v>
      </c>
      <c r="AT41" s="1916"/>
      <c r="AU41" s="1923">
        <f t="shared" ref="AU41" si="23">SUM(AU20:AV29, AU31, AU33:AV40)</f>
        <v>0</v>
      </c>
      <c r="AV41" s="1916"/>
      <c r="AW41" s="1923">
        <f t="shared" ref="AW41" si="24">SUM(AW20:AX29, AW31, AW33:AX40)</f>
        <v>0</v>
      </c>
      <c r="AX41" s="1916"/>
      <c r="AY41" s="1917">
        <f t="shared" ref="AY41" si="25">SUM(AY20:AZ29, AY31, AY33:AZ40)</f>
        <v>0</v>
      </c>
      <c r="AZ41" s="1918"/>
      <c r="BA41" s="1922">
        <f>SUM(BA20:BC29, BA31, BA33:BB40)</f>
        <v>0</v>
      </c>
      <c r="BB41" s="1915"/>
      <c r="BC41" s="1916">
        <f t="shared" ref="BC41" si="26">SUM(BC20:BD29, BC31, BC33:BD40)</f>
        <v>0</v>
      </c>
      <c r="BD41" s="1923">
        <f>SUM(BD20:BF29, BD31, BD33:BE40)</f>
        <v>0</v>
      </c>
      <c r="BE41" s="1915"/>
      <c r="BF41" s="1924">
        <f t="shared" ref="BF41" si="27">SUM(BF20:BG29, BF31, BF33:BG40)</f>
        <v>0</v>
      </c>
      <c r="BG41" s="1917">
        <f t="shared" ref="BG41" si="28">SUM(BG20:BH29, BG31, BG33:BH40)</f>
        <v>0</v>
      </c>
      <c r="BH41" s="1918"/>
      <c r="BI41" s="1922">
        <f t="shared" ref="BI41" si="29">SUM(BI20:BJ29, BI31, BI33:BJ40)</f>
        <v>0</v>
      </c>
      <c r="BJ41" s="1916"/>
      <c r="BK41" s="1923">
        <f t="shared" ref="BK41" si="30">SUM(BK20:BL29, BK31, BK33:BL40)</f>
        <v>0</v>
      </c>
      <c r="BL41" s="1916"/>
      <c r="BM41" s="1923">
        <f t="shared" ref="BM41" si="31">SUM(BM20:BN29, BM31, BM33:BN40)</f>
        <v>0</v>
      </c>
      <c r="BN41" s="1916"/>
      <c r="BO41" s="1923">
        <f t="shared" ref="BO41" si="32">SUM(BO20:BP29, BO31, BO33:BP40)</f>
        <v>0</v>
      </c>
      <c r="BP41" s="1916"/>
      <c r="BQ41" s="1917">
        <f t="shared" ref="BQ41" si="33">SUM(BQ20:BR29, BQ31, BQ33:BR40)</f>
        <v>0</v>
      </c>
      <c r="BR41" s="1918"/>
    </row>
    <row r="42" spans="2:78" s="180" customFormat="1" ht="17.149999999999999" customHeight="1">
      <c r="B42" s="187" t="s">
        <v>1245</v>
      </c>
      <c r="C42" s="188"/>
      <c r="D42" s="189"/>
      <c r="E42" s="189"/>
      <c r="F42" s="189"/>
      <c r="G42" s="189"/>
      <c r="H42" s="189"/>
      <c r="I42" s="189"/>
      <c r="J42" s="189"/>
      <c r="K42" s="189"/>
      <c r="L42" s="189"/>
      <c r="M42" s="189"/>
      <c r="N42" s="189"/>
      <c r="O42" s="190" t="str">
        <f>IF(OR(sped_home_cd_age_5to10&lt;sped_home_cancer_age_5to10, sped_home_cd_age_11to15&lt;sped_home_cancer_age_11to15, sped_home_cd_age_16to20&lt;sped_home_cancer_age_16to20, sped_home_cd_age_21to25&lt;sped_home_cancer_age_21to25, sped_home_cd_gp_ktog6&lt;sped_home_cancer_gp_ktog6,sped_home_cd_gp_tp&lt;sped_home_cancer_gp_tp,sped_home_cd_ltp_age_5to10&lt;sped_home_cancer_ltp_age_5to10,sped_home_cd_ltp_age_11to15&lt;sped_home_cancer_ltp_age_11to15,sped_home_cd_ltp_age_16to20&lt;sped_home_cancer_ltp_age_16to20,sped_home_cd_ltp_age_21to25&lt;sped_home_cancer_ltp_age_21to25,sped_hosp_cd_age_5to10&lt;sped_hosp_cancer_age_5to10,sped_hosp_cd_age_11to15&lt;sped_hosp_cancer_age_11to15,sped_hosp_cd_age_16to20&lt;sped_hosp_cancer_age_16to20,sped_hosp_cd_age_21to25&lt;sped_hosp_cancer_age_21to25,sped_hosp_cd_gp_ktog6&lt;sped_hosp_cancer_gp_ktog6,sped_hosp_cd_gp_tp&lt;sped_hosp_cancer_gp_tp,sped_hosp_cd_ltp_age_5to10&lt;sped_hosp_cancer_ltp_age_5to10,sped_hosp_cd_ltp_age_11to15&lt;sped_hosp_cancer_ltp_age_11to15,sped_hosp_cd_ltp_age_16to20&lt;sped_hosp_cancer_ltp_age_16to20,sped_hosp_cd_ltp_age_21to25&lt;sped_hosp_cancer_ltp_age_21to25), "Values in 10. Special Health Problem/Chronic Disease shall be greater than or equal to the values in 10.a. Cancer.","")</f>
        <v/>
      </c>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91"/>
      <c r="BY42" s="191"/>
      <c r="BZ42" s="191"/>
    </row>
    <row r="43" spans="2:78" s="180" customFormat="1" ht="17.149999999999999" customHeight="1">
      <c r="B43" s="187"/>
      <c r="C43" s="188"/>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91"/>
      <c r="BY43" s="191"/>
      <c r="BZ43" s="191"/>
    </row>
    <row r="44" spans="2:78" ht="17.149999999999999" customHeight="1">
      <c r="B44" s="192" t="s">
        <v>937</v>
      </c>
      <c r="C44" s="192"/>
      <c r="D44" s="192"/>
      <c r="E44" s="193" t="s">
        <v>938</v>
      </c>
      <c r="F44" s="193"/>
      <c r="G44" s="192"/>
      <c r="H44" s="192"/>
      <c r="I44" s="192"/>
      <c r="J44" s="192"/>
      <c r="K44" s="192"/>
      <c r="L44" s="192"/>
      <c r="M44" s="192"/>
      <c r="N44" s="192"/>
    </row>
    <row r="45" spans="2:78" ht="17.149999999999999" customHeight="1">
      <c r="D45" s="193"/>
      <c r="E45" s="193" t="s">
        <v>1277</v>
      </c>
      <c r="F45" s="193"/>
      <c r="G45" s="193"/>
      <c r="H45" s="193"/>
      <c r="I45" s="193"/>
      <c r="J45" s="193"/>
      <c r="K45" s="193"/>
      <c r="L45" s="193"/>
      <c r="M45" s="193"/>
      <c r="N45" s="193"/>
      <c r="O45" s="193"/>
      <c r="AG45" s="193"/>
      <c r="AQ45" s="193"/>
      <c r="BI45" s="193"/>
    </row>
    <row r="46" spans="2:78" ht="17.149999999999999" customHeight="1">
      <c r="D46" s="193"/>
      <c r="E46" s="193" t="s">
        <v>939</v>
      </c>
      <c r="F46" s="193"/>
      <c r="G46" s="193"/>
      <c r="H46" s="193"/>
      <c r="I46" s="193"/>
      <c r="J46" s="193"/>
      <c r="K46" s="193"/>
      <c r="L46" s="193"/>
      <c r="M46" s="193"/>
      <c r="N46" s="193"/>
      <c r="O46" s="193"/>
      <c r="AG46" s="193"/>
      <c r="AQ46" s="193"/>
      <c r="BI46" s="193"/>
    </row>
    <row r="47" spans="2:78" ht="17.149999999999999" customHeight="1">
      <c r="D47" s="193"/>
      <c r="E47" s="193"/>
      <c r="F47" s="193"/>
      <c r="G47" s="193"/>
      <c r="H47" s="193"/>
      <c r="I47" s="193"/>
      <c r="J47" s="193"/>
      <c r="K47" s="193"/>
      <c r="L47" s="193"/>
      <c r="M47" s="193"/>
      <c r="N47" s="193"/>
      <c r="O47" s="193"/>
      <c r="AG47" s="193"/>
      <c r="AQ47" s="193"/>
      <c r="BI47" s="193"/>
    </row>
    <row r="48" spans="2:78" ht="27" customHeight="1"/>
    <row r="49" spans="2:77" s="127" customFormat="1">
      <c r="B49" s="147" t="s">
        <v>847</v>
      </c>
      <c r="AA49" s="147" t="s">
        <v>760</v>
      </c>
      <c r="AB49" s="147"/>
      <c r="AZ49" s="147" t="s">
        <v>783</v>
      </c>
      <c r="BA49" s="168"/>
      <c r="BB49" s="168"/>
      <c r="BC49" s="168"/>
      <c r="BD49" s="168"/>
      <c r="BE49" s="168"/>
      <c r="BF49" s="168"/>
      <c r="BG49" s="168"/>
      <c r="BH49" s="168"/>
      <c r="BI49" s="168"/>
      <c r="BJ49" s="168"/>
      <c r="BK49" s="168"/>
      <c r="BL49" s="168"/>
      <c r="BM49" s="168"/>
      <c r="BN49" s="168"/>
    </row>
    <row r="50" spans="2:77" s="127" customFormat="1" ht="21.75" customHeight="1">
      <c r="B50" s="147" t="s">
        <v>756</v>
      </c>
      <c r="F50" s="1943" t="str">
        <f>activesheet!E29</f>
        <v>RICO S. MISPEROS</v>
      </c>
      <c r="G50" s="1943"/>
      <c r="H50" s="1943"/>
      <c r="I50" s="1943"/>
      <c r="J50" s="1943"/>
      <c r="K50" s="1943"/>
      <c r="L50" s="1943"/>
      <c r="M50" s="1943"/>
      <c r="N50" s="1943"/>
      <c r="O50" s="1943"/>
      <c r="P50" s="1943"/>
      <c r="Q50" s="1943"/>
      <c r="R50" s="1943"/>
      <c r="S50" s="1943"/>
      <c r="T50" s="1943"/>
      <c r="U50" s="182"/>
      <c r="V50" s="182"/>
      <c r="W50" s="182"/>
      <c r="X50" s="182"/>
      <c r="Y50" s="182"/>
      <c r="Z50" s="182"/>
      <c r="AA50" s="1763" t="s">
        <v>11873</v>
      </c>
      <c r="AB50" s="1782"/>
      <c r="AC50" s="1782"/>
      <c r="AD50" s="1782"/>
      <c r="AE50" s="1782"/>
      <c r="AF50" s="1782"/>
      <c r="AG50" s="1782"/>
      <c r="AH50" s="1782"/>
      <c r="AI50" s="1782"/>
      <c r="AJ50" s="1782"/>
      <c r="AK50" s="1782"/>
      <c r="AL50" s="1782"/>
      <c r="AM50" s="1782"/>
      <c r="AN50" s="1782"/>
      <c r="AO50" s="1782"/>
      <c r="AP50" s="1782"/>
      <c r="AQ50" s="1782"/>
      <c r="AR50" s="1782"/>
      <c r="AS50" s="1782"/>
      <c r="AT50" s="182"/>
      <c r="AU50" s="182"/>
      <c r="AV50" s="182"/>
      <c r="AW50" s="182"/>
      <c r="AX50" s="182"/>
      <c r="AZ50" s="1786" t="str">
        <f>activesheet!E31</f>
        <v>MICHAEL T. JAMIS</v>
      </c>
      <c r="BA50" s="1786"/>
      <c r="BB50" s="1786"/>
      <c r="BC50" s="1786"/>
      <c r="BD50" s="1786"/>
      <c r="BE50" s="1786"/>
      <c r="BF50" s="1786"/>
      <c r="BG50" s="1786"/>
      <c r="BH50" s="1786"/>
      <c r="BI50" s="1786"/>
      <c r="BJ50" s="1786"/>
      <c r="BK50" s="1786"/>
      <c r="BL50" s="1786"/>
      <c r="BM50" s="1786"/>
      <c r="BN50" s="1786"/>
      <c r="BO50" s="1786"/>
      <c r="BP50" s="1786"/>
      <c r="BQ50" s="1786"/>
      <c r="BR50" s="1786"/>
    </row>
    <row r="51" spans="2:77" s="183" customFormat="1" ht="14.15" customHeight="1">
      <c r="B51" s="184"/>
      <c r="C51" s="184"/>
      <c r="D51" s="184"/>
      <c r="E51" s="184"/>
      <c r="F51" s="1783" t="s">
        <v>741</v>
      </c>
      <c r="G51" s="1783"/>
      <c r="H51" s="1764"/>
      <c r="I51" s="1764"/>
      <c r="J51" s="1764"/>
      <c r="K51" s="1764"/>
      <c r="L51" s="1764"/>
      <c r="M51" s="1764"/>
      <c r="N51" s="1764"/>
      <c r="O51" s="1764"/>
      <c r="P51" s="1764"/>
      <c r="Q51" s="1764"/>
      <c r="R51" s="1764"/>
      <c r="S51" s="1764"/>
      <c r="T51" s="1764"/>
      <c r="U51" s="184"/>
      <c r="V51" s="184"/>
      <c r="W51" s="184"/>
      <c r="X51" s="184"/>
      <c r="Y51" s="184"/>
      <c r="Z51" s="184"/>
      <c r="AA51" s="1783" t="s">
        <v>741</v>
      </c>
      <c r="AB51" s="1783"/>
      <c r="AC51" s="1783"/>
      <c r="AD51" s="1783"/>
      <c r="AE51" s="1783"/>
      <c r="AF51" s="1784"/>
      <c r="AG51" s="1785"/>
      <c r="AH51" s="1785"/>
      <c r="AI51" s="1785"/>
      <c r="AJ51" s="1785"/>
      <c r="AK51" s="1785"/>
      <c r="AL51" s="1785"/>
      <c r="AM51" s="1785"/>
      <c r="AN51" s="1785"/>
      <c r="AO51" s="1785"/>
      <c r="AP51" s="1785"/>
      <c r="AQ51" s="1785"/>
      <c r="AR51" s="1785"/>
      <c r="AS51" s="1785"/>
      <c r="AT51" s="185"/>
      <c r="AU51" s="185"/>
      <c r="AV51" s="185"/>
      <c r="AW51" s="185"/>
      <c r="AX51" s="185"/>
      <c r="AY51" s="185"/>
      <c r="AZ51" s="1787"/>
      <c r="BA51" s="1787"/>
      <c r="BB51" s="1787"/>
      <c r="BC51" s="1787"/>
      <c r="BD51" s="1787"/>
      <c r="BE51" s="1787"/>
      <c r="BF51" s="1787"/>
      <c r="BG51" s="1787"/>
      <c r="BH51" s="1787"/>
      <c r="BI51" s="1787"/>
      <c r="BJ51" s="1787"/>
      <c r="BK51" s="1787"/>
      <c r="BL51" s="1787"/>
      <c r="BM51" s="1787"/>
      <c r="BN51" s="1787"/>
      <c r="BO51" s="1787"/>
      <c r="BP51" s="1787"/>
      <c r="BQ51" s="1787"/>
      <c r="BR51" s="1787"/>
    </row>
    <row r="52" spans="2:77" s="127" customFormat="1" ht="21.75" customHeight="1">
      <c r="B52" s="147" t="s">
        <v>71</v>
      </c>
      <c r="F52" s="1943" t="str">
        <f>activesheet!E30</f>
        <v>SCHOOL PRINCIPAL II</v>
      </c>
      <c r="G52" s="1943"/>
      <c r="H52" s="1943"/>
      <c r="I52" s="1943"/>
      <c r="J52" s="1943"/>
      <c r="K52" s="1943"/>
      <c r="L52" s="1943"/>
      <c r="M52" s="1943"/>
      <c r="N52" s="1943"/>
      <c r="O52" s="1943"/>
      <c r="P52" s="1943"/>
      <c r="Q52" s="1943"/>
      <c r="R52" s="1943"/>
      <c r="S52" s="1943"/>
      <c r="T52" s="1943"/>
      <c r="U52" s="182"/>
      <c r="V52" s="182"/>
      <c r="W52" s="182"/>
      <c r="X52" s="182"/>
      <c r="Y52" s="182"/>
      <c r="Z52" s="182"/>
      <c r="AA52" s="147" t="s">
        <v>71</v>
      </c>
      <c r="AB52" s="147"/>
      <c r="AE52" s="1763" t="s">
        <v>11876</v>
      </c>
      <c r="AF52" s="1782"/>
      <c r="AG52" s="1782"/>
      <c r="AH52" s="1782"/>
      <c r="AI52" s="1782"/>
      <c r="AJ52" s="1782"/>
      <c r="AK52" s="1782"/>
      <c r="AL52" s="1782"/>
      <c r="AM52" s="1782"/>
      <c r="AN52" s="1782"/>
      <c r="AO52" s="1782"/>
      <c r="AP52" s="1782"/>
      <c r="AQ52" s="1782"/>
      <c r="AR52" s="1782"/>
      <c r="AS52" s="1782"/>
      <c r="AT52" s="182"/>
      <c r="AU52" s="182"/>
      <c r="AV52" s="182"/>
      <c r="AW52" s="182"/>
      <c r="AX52" s="182"/>
      <c r="AZ52" s="1764" t="s">
        <v>741</v>
      </c>
      <c r="BA52" s="1764"/>
      <c r="BB52" s="1764"/>
      <c r="BC52" s="1764"/>
      <c r="BD52" s="1764"/>
      <c r="BE52" s="1764"/>
      <c r="BF52" s="1764"/>
      <c r="BG52" s="1764"/>
      <c r="BH52" s="1764"/>
      <c r="BI52" s="1764"/>
      <c r="BJ52" s="1764"/>
      <c r="BK52" s="1764"/>
      <c r="BL52" s="1764"/>
      <c r="BM52" s="1764"/>
      <c r="BN52" s="1764"/>
      <c r="BO52" s="1764"/>
      <c r="BP52" s="1764"/>
      <c r="BQ52" s="1764"/>
      <c r="BR52" s="1764"/>
    </row>
    <row r="53" spans="2:77">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c r="BF53" s="180"/>
      <c r="BG53" s="180"/>
      <c r="BH53" s="180"/>
      <c r="BI53" s="180"/>
      <c r="BJ53" s="180"/>
      <c r="BK53" s="180"/>
      <c r="BL53" s="180"/>
      <c r="BM53" s="180"/>
      <c r="BN53" s="180"/>
      <c r="BO53" s="180"/>
      <c r="BP53" s="180"/>
      <c r="BQ53" s="180"/>
      <c r="BR53" s="180"/>
      <c r="BS53" s="180"/>
      <c r="BT53" s="180"/>
      <c r="BU53" s="180"/>
      <c r="BV53" s="180"/>
      <c r="BW53" s="180"/>
      <c r="BX53" s="180"/>
      <c r="BY53" s="180"/>
    </row>
    <row r="54" spans="2:77">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c r="BF54" s="180"/>
      <c r="BG54" s="180"/>
      <c r="BH54" s="180"/>
      <c r="BI54" s="180"/>
      <c r="BJ54" s="180"/>
      <c r="BK54" s="180"/>
      <c r="BL54" s="180"/>
      <c r="BM54" s="180"/>
      <c r="BN54" s="180"/>
      <c r="BO54" s="180"/>
      <c r="BP54" s="180"/>
      <c r="BQ54" s="180"/>
      <c r="BR54" s="180"/>
      <c r="BS54" s="180"/>
      <c r="BT54" s="180"/>
      <c r="BU54" s="180"/>
      <c r="BV54" s="180"/>
      <c r="BW54" s="180"/>
      <c r="BX54" s="180"/>
      <c r="BY54" s="180"/>
    </row>
    <row r="55" spans="2:77">
      <c r="B55" s="180"/>
      <c r="C55" s="180"/>
      <c r="D55" s="180"/>
      <c r="E55" s="180"/>
      <c r="F55" s="180"/>
      <c r="G55" s="180"/>
      <c r="H55" s="180"/>
      <c r="I55" s="180"/>
      <c r="J55" s="180"/>
      <c r="K55" s="180"/>
      <c r="L55" s="180"/>
      <c r="M55" s="180"/>
      <c r="N55" s="180"/>
      <c r="O55" s="180"/>
      <c r="P55" s="180"/>
      <c r="Q55" s="180"/>
      <c r="R55" s="180"/>
      <c r="S55" s="180"/>
      <c r="T55" s="180"/>
      <c r="U55" s="180" t="s">
        <v>220</v>
      </c>
      <c r="V55" s="180"/>
      <c r="W55" s="180"/>
      <c r="X55" s="180"/>
      <c r="Y55" s="180"/>
      <c r="Z55" s="180"/>
      <c r="AA55" s="180"/>
      <c r="AB55" s="180"/>
      <c r="AC55" s="180"/>
      <c r="AD55" s="180"/>
      <c r="AE55" s="180"/>
      <c r="AF55" s="180"/>
      <c r="AG55" s="180"/>
      <c r="AH55" s="180"/>
      <c r="AI55" s="180"/>
      <c r="AJ55" s="180"/>
      <c r="AK55" s="180"/>
      <c r="AL55" s="180"/>
      <c r="AM55" s="180" t="s">
        <v>220</v>
      </c>
      <c r="AN55" s="180"/>
      <c r="AO55" s="180"/>
      <c r="AP55" s="180"/>
      <c r="AQ55" s="180"/>
      <c r="AR55" s="180"/>
      <c r="AS55" s="180"/>
      <c r="AT55" s="180"/>
      <c r="AU55" s="180"/>
      <c r="AV55" s="180"/>
      <c r="AW55" s="180" t="s">
        <v>220</v>
      </c>
      <c r="AX55" s="180"/>
      <c r="AY55" s="180"/>
      <c r="AZ55" s="180"/>
      <c r="BA55" s="180"/>
      <c r="BB55" s="180"/>
      <c r="BC55" s="180"/>
      <c r="BD55" s="180"/>
      <c r="BE55" s="180"/>
      <c r="BF55" s="180"/>
      <c r="BG55" s="180"/>
      <c r="BH55" s="180"/>
      <c r="BI55" s="180"/>
      <c r="BJ55" s="180"/>
      <c r="BK55" s="180"/>
      <c r="BL55" s="180"/>
      <c r="BM55" s="180"/>
      <c r="BN55" s="180"/>
      <c r="BO55" s="180" t="s">
        <v>220</v>
      </c>
      <c r="BP55" s="180"/>
      <c r="BQ55" s="180"/>
      <c r="BR55" s="180"/>
      <c r="BS55" s="180"/>
      <c r="BT55" s="180"/>
      <c r="BU55" s="180"/>
      <c r="BV55" s="180"/>
      <c r="BW55" s="180"/>
      <c r="BX55" s="180"/>
      <c r="BY55" s="180"/>
    </row>
    <row r="56" spans="2:77">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c r="BF56" s="180"/>
      <c r="BG56" s="180"/>
      <c r="BH56" s="180"/>
      <c r="BI56" s="180"/>
      <c r="BJ56" s="180"/>
      <c r="BK56" s="180"/>
      <c r="BL56" s="180"/>
      <c r="BM56" s="180"/>
      <c r="BN56" s="180"/>
      <c r="BO56" s="180"/>
      <c r="BP56" s="180"/>
      <c r="BQ56" s="180"/>
      <c r="BR56" s="180"/>
      <c r="BS56" s="180"/>
      <c r="BT56" s="180"/>
      <c r="BU56" s="180"/>
      <c r="BV56" s="180"/>
      <c r="BW56" s="180"/>
      <c r="BX56" s="180"/>
      <c r="BY56" s="180"/>
    </row>
    <row r="57" spans="2:77">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c r="BF57" s="180"/>
      <c r="BG57" s="180"/>
      <c r="BH57" s="180"/>
      <c r="BI57" s="180"/>
      <c r="BJ57" s="180"/>
      <c r="BK57" s="180"/>
      <c r="BL57" s="180"/>
      <c r="BM57" s="180"/>
      <c r="BN57" s="180"/>
      <c r="BO57" s="180"/>
      <c r="BP57" s="180"/>
      <c r="BQ57" s="180"/>
      <c r="BR57" s="180"/>
      <c r="BS57" s="180"/>
      <c r="BT57" s="180"/>
      <c r="BU57" s="180"/>
      <c r="BV57" s="180"/>
      <c r="BW57" s="180"/>
      <c r="BX57" s="180"/>
      <c r="BY57" s="180"/>
    </row>
    <row r="58" spans="2:77">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c r="BF58" s="180"/>
      <c r="BG58" s="180"/>
      <c r="BH58" s="180"/>
      <c r="BI58" s="180"/>
      <c r="BJ58" s="180"/>
      <c r="BK58" s="180"/>
      <c r="BL58" s="180"/>
      <c r="BM58" s="180"/>
      <c r="BN58" s="180"/>
      <c r="BO58" s="180"/>
      <c r="BP58" s="180"/>
      <c r="BQ58" s="180"/>
      <c r="BR58" s="180"/>
      <c r="BS58" s="180"/>
      <c r="BT58" s="180"/>
      <c r="BU58" s="180"/>
      <c r="BV58" s="180"/>
      <c r="BW58" s="180"/>
      <c r="BX58" s="180"/>
      <c r="BY58" s="180"/>
    </row>
  </sheetData>
  <sheetProtection algorithmName="SHA-512" hashValue="626lz26pNIIU5nxp5hohrh6UpVe00WD24fevgTIYFCbXOk+5YZB0ckWbVGKU8WGlPx19tp6KlYsvAXPMbm+qAw==" saltValue="8XhuHl4zSVqhR85YXNeKFw==" spinCount="100000" sheet="1" selectLockedCells="1"/>
  <mergeCells count="604">
    <mergeCell ref="B32:N32"/>
    <mergeCell ref="F50:T50"/>
    <mergeCell ref="F51:T51"/>
    <mergeCell ref="F52:T52"/>
    <mergeCell ref="P5:R5"/>
    <mergeCell ref="S5:U5"/>
    <mergeCell ref="P3:U4"/>
    <mergeCell ref="P6:R6"/>
    <mergeCell ref="S6:U6"/>
    <mergeCell ref="Q39:R39"/>
    <mergeCell ref="Q40:R40"/>
    <mergeCell ref="C39:N39"/>
    <mergeCell ref="O39:P39"/>
    <mergeCell ref="S39:T39"/>
    <mergeCell ref="U39:V39"/>
    <mergeCell ref="C33:N33"/>
    <mergeCell ref="O33:P33"/>
    <mergeCell ref="S33:T33"/>
    <mergeCell ref="U33:V33"/>
    <mergeCell ref="C30:D30"/>
    <mergeCell ref="E30:N30"/>
    <mergeCell ref="O30:P30"/>
    <mergeCell ref="S30:T30"/>
    <mergeCell ref="U30:V30"/>
    <mergeCell ref="AQ41:AR41"/>
    <mergeCell ref="AS41:AT41"/>
    <mergeCell ref="AU41:AV41"/>
    <mergeCell ref="AW41:AX41"/>
    <mergeCell ref="AY41:AZ41"/>
    <mergeCell ref="BA41:BC41"/>
    <mergeCell ref="BD41:BF41"/>
    <mergeCell ref="BG41:BH41"/>
    <mergeCell ref="BI41:BJ41"/>
    <mergeCell ref="BQ31:BR31"/>
    <mergeCell ref="BM30:BN30"/>
    <mergeCell ref="BO30:BP30"/>
    <mergeCell ref="BQ30:BR30"/>
    <mergeCell ref="BG30:BH30"/>
    <mergeCell ref="BI30:BJ30"/>
    <mergeCell ref="BK30:BL30"/>
    <mergeCell ref="BM41:BN41"/>
    <mergeCell ref="BO41:BP41"/>
    <mergeCell ref="BQ41:BR41"/>
    <mergeCell ref="BK41:BL41"/>
    <mergeCell ref="BO29:BP29"/>
    <mergeCell ref="BQ29:BR29"/>
    <mergeCell ref="BM28:BN28"/>
    <mergeCell ref="BO28:BP28"/>
    <mergeCell ref="BQ28:BR28"/>
    <mergeCell ref="AQ31:AR31"/>
    <mergeCell ref="AS31:AT31"/>
    <mergeCell ref="AU31:AV31"/>
    <mergeCell ref="AW31:AX31"/>
    <mergeCell ref="AY31:AZ31"/>
    <mergeCell ref="BA31:BC31"/>
    <mergeCell ref="BD31:BF31"/>
    <mergeCell ref="AY30:AZ30"/>
    <mergeCell ref="BA30:BC30"/>
    <mergeCell ref="BD30:BF30"/>
    <mergeCell ref="AQ30:AR30"/>
    <mergeCell ref="AS30:AT30"/>
    <mergeCell ref="AU30:AV30"/>
    <mergeCell ref="AW30:AX30"/>
    <mergeCell ref="BG31:BH31"/>
    <mergeCell ref="BI31:BJ31"/>
    <mergeCell ref="BK31:BL31"/>
    <mergeCell ref="BM31:BN31"/>
    <mergeCell ref="BO31:BP31"/>
    <mergeCell ref="AQ29:AR29"/>
    <mergeCell ref="AS29:AT29"/>
    <mergeCell ref="AU29:AV29"/>
    <mergeCell ref="AW29:AX29"/>
    <mergeCell ref="AY29:AZ29"/>
    <mergeCell ref="BA29:BC29"/>
    <mergeCell ref="BD29:BF29"/>
    <mergeCell ref="BK27:BL27"/>
    <mergeCell ref="BM27:BN27"/>
    <mergeCell ref="BD28:BF28"/>
    <mergeCell ref="BG28:BH28"/>
    <mergeCell ref="BI28:BJ28"/>
    <mergeCell ref="BK28:BL28"/>
    <mergeCell ref="BG29:BH29"/>
    <mergeCell ref="BI29:BJ29"/>
    <mergeCell ref="BK29:BL29"/>
    <mergeCell ref="BM29:BN29"/>
    <mergeCell ref="BO27:BP27"/>
    <mergeCell ref="BQ27:BR27"/>
    <mergeCell ref="AQ28:AR28"/>
    <mergeCell ref="AS28:AT28"/>
    <mergeCell ref="AU28:AV28"/>
    <mergeCell ref="AW28:AX28"/>
    <mergeCell ref="AY28:AZ28"/>
    <mergeCell ref="BA28:BC28"/>
    <mergeCell ref="BQ26:BR26"/>
    <mergeCell ref="AQ27:AR27"/>
    <mergeCell ref="AS27:AT27"/>
    <mergeCell ref="AU27:AV27"/>
    <mergeCell ref="AW27:AX27"/>
    <mergeCell ref="AY27:AZ27"/>
    <mergeCell ref="BA27:BC27"/>
    <mergeCell ref="BD27:BF27"/>
    <mergeCell ref="BG27:BH27"/>
    <mergeCell ref="BI27:BJ27"/>
    <mergeCell ref="BD26:BF26"/>
    <mergeCell ref="BG26:BH26"/>
    <mergeCell ref="BI26:BJ26"/>
    <mergeCell ref="BK26:BL26"/>
    <mergeCell ref="BM26:BN26"/>
    <mergeCell ref="BO26:BP26"/>
    <mergeCell ref="AQ26:AR26"/>
    <mergeCell ref="AS26:AT26"/>
    <mergeCell ref="AU26:AV26"/>
    <mergeCell ref="AW26:AX26"/>
    <mergeCell ref="AY26:AZ26"/>
    <mergeCell ref="BA26:BC26"/>
    <mergeCell ref="BG25:BH25"/>
    <mergeCell ref="BI25:BJ25"/>
    <mergeCell ref="BK25:BL25"/>
    <mergeCell ref="BM25:BN25"/>
    <mergeCell ref="BO25:BP25"/>
    <mergeCell ref="BQ25:BR25"/>
    <mergeCell ref="BM24:BN24"/>
    <mergeCell ref="BO24:BP24"/>
    <mergeCell ref="BQ24:BR24"/>
    <mergeCell ref="AQ25:AR25"/>
    <mergeCell ref="AS25:AT25"/>
    <mergeCell ref="AU25:AV25"/>
    <mergeCell ref="AW25:AX25"/>
    <mergeCell ref="AY25:AZ25"/>
    <mergeCell ref="BA25:BC25"/>
    <mergeCell ref="BD25:BF25"/>
    <mergeCell ref="BO23:BP23"/>
    <mergeCell ref="BQ23:BR23"/>
    <mergeCell ref="AQ24:AR24"/>
    <mergeCell ref="AS24:AT24"/>
    <mergeCell ref="AU24:AV24"/>
    <mergeCell ref="AW24:AX24"/>
    <mergeCell ref="AY24:AZ24"/>
    <mergeCell ref="BA24:BC24"/>
    <mergeCell ref="BD24:BF24"/>
    <mergeCell ref="BG24:BH24"/>
    <mergeCell ref="BI24:BJ24"/>
    <mergeCell ref="BK24:BL24"/>
    <mergeCell ref="AQ22:AR22"/>
    <mergeCell ref="AS22:AT22"/>
    <mergeCell ref="AU22:AV22"/>
    <mergeCell ref="AW22:AX22"/>
    <mergeCell ref="AY22:AZ22"/>
    <mergeCell ref="BA22:BC22"/>
    <mergeCell ref="BQ22:BR22"/>
    <mergeCell ref="AQ23:AR23"/>
    <mergeCell ref="AS23:AT23"/>
    <mergeCell ref="AU23:AV23"/>
    <mergeCell ref="AW23:AX23"/>
    <mergeCell ref="AY23:AZ23"/>
    <mergeCell ref="BA23:BC23"/>
    <mergeCell ref="BD23:BF23"/>
    <mergeCell ref="BG23:BH23"/>
    <mergeCell ref="BI23:BJ23"/>
    <mergeCell ref="BD22:BF22"/>
    <mergeCell ref="BG22:BH22"/>
    <mergeCell ref="BI22:BJ22"/>
    <mergeCell ref="BK22:BL22"/>
    <mergeCell ref="BM22:BN22"/>
    <mergeCell ref="BO22:BP22"/>
    <mergeCell ref="BK23:BL23"/>
    <mergeCell ref="BM23:BN23"/>
    <mergeCell ref="BQ20:BR20"/>
    <mergeCell ref="AQ21:AR21"/>
    <mergeCell ref="AS21:AT21"/>
    <mergeCell ref="AU21:AV21"/>
    <mergeCell ref="AW21:AX21"/>
    <mergeCell ref="AY21:AZ21"/>
    <mergeCell ref="BA21:BC21"/>
    <mergeCell ref="BD21:BF21"/>
    <mergeCell ref="BG21:BH21"/>
    <mergeCell ref="BI21:BJ21"/>
    <mergeCell ref="BK21:BL21"/>
    <mergeCell ref="BM21:BN21"/>
    <mergeCell ref="BO21:BP21"/>
    <mergeCell ref="BQ21:BR21"/>
    <mergeCell ref="AW20:AX20"/>
    <mergeCell ref="AY20:AZ20"/>
    <mergeCell ref="BA20:BC20"/>
    <mergeCell ref="BD20:BF20"/>
    <mergeCell ref="BG20:BH20"/>
    <mergeCell ref="BI20:BJ20"/>
    <mergeCell ref="BK20:BL20"/>
    <mergeCell ref="BM20:BN20"/>
    <mergeCell ref="BO20:BP20"/>
    <mergeCell ref="AE40:AF40"/>
    <mergeCell ref="AE35:AF35"/>
    <mergeCell ref="AE30:AF30"/>
    <mergeCell ref="AB28:AD28"/>
    <mergeCell ref="AE28:AF28"/>
    <mergeCell ref="AB27:AD27"/>
    <mergeCell ref="AE27:AF27"/>
    <mergeCell ref="AI40:AJ40"/>
    <mergeCell ref="AK40:AL40"/>
    <mergeCell ref="AI36:AJ36"/>
    <mergeCell ref="AK36:AL36"/>
    <mergeCell ref="AI31:AJ31"/>
    <mergeCell ref="AK31:AL31"/>
    <mergeCell ref="AG27:AH27"/>
    <mergeCell ref="AI27:AJ27"/>
    <mergeCell ref="AK27:AL27"/>
    <mergeCell ref="AE36:AF36"/>
    <mergeCell ref="AE33:AF33"/>
    <mergeCell ref="AI37:AJ37"/>
    <mergeCell ref="AK37:AL37"/>
    <mergeCell ref="AB35:AD35"/>
    <mergeCell ref="AM40:AN40"/>
    <mergeCell ref="AO40:AP40"/>
    <mergeCell ref="AG41:AH41"/>
    <mergeCell ref="AI41:AJ41"/>
    <mergeCell ref="AK41:AL41"/>
    <mergeCell ref="AM41:AN41"/>
    <mergeCell ref="AO41:AP41"/>
    <mergeCell ref="AG40:AH40"/>
    <mergeCell ref="AI38:AJ38"/>
    <mergeCell ref="AK38:AL38"/>
    <mergeCell ref="AM38:AN38"/>
    <mergeCell ref="AO38:AP38"/>
    <mergeCell ref="AG39:AH39"/>
    <mergeCell ref="AI39:AJ39"/>
    <mergeCell ref="AK39:AL39"/>
    <mergeCell ref="AM39:AN39"/>
    <mergeCell ref="AO39:AP39"/>
    <mergeCell ref="AG38:AH38"/>
    <mergeCell ref="AM37:AN37"/>
    <mergeCell ref="AO37:AP37"/>
    <mergeCell ref="AG36:AH36"/>
    <mergeCell ref="AI34:AJ34"/>
    <mergeCell ref="AK34:AL34"/>
    <mergeCell ref="AM34:AN34"/>
    <mergeCell ref="AO34:AP34"/>
    <mergeCell ref="AG35:AH35"/>
    <mergeCell ref="AI35:AJ35"/>
    <mergeCell ref="AK35:AL35"/>
    <mergeCell ref="AM35:AN35"/>
    <mergeCell ref="AO35:AP35"/>
    <mergeCell ref="AG34:AH34"/>
    <mergeCell ref="AM31:AN31"/>
    <mergeCell ref="AO31:AP31"/>
    <mergeCell ref="AG33:AH33"/>
    <mergeCell ref="AI33:AJ33"/>
    <mergeCell ref="AK33:AL33"/>
    <mergeCell ref="AM33:AN33"/>
    <mergeCell ref="AO33:AP33"/>
    <mergeCell ref="AG31:AH31"/>
    <mergeCell ref="AO29:AP29"/>
    <mergeCell ref="AG30:AH30"/>
    <mergeCell ref="AI30:AJ30"/>
    <mergeCell ref="AK30:AL30"/>
    <mergeCell ref="AM30:AN30"/>
    <mergeCell ref="AO30:AP30"/>
    <mergeCell ref="O32:BR32"/>
    <mergeCell ref="AQ33:BR40"/>
    <mergeCell ref="AE34:AF34"/>
    <mergeCell ref="W30:X30"/>
    <mergeCell ref="Y30:AA30"/>
    <mergeCell ref="AB30:AD30"/>
    <mergeCell ref="AE29:AF29"/>
    <mergeCell ref="AM36:AN36"/>
    <mergeCell ref="AO36:AP36"/>
    <mergeCell ref="AG37:AH37"/>
    <mergeCell ref="AM27:AN27"/>
    <mergeCell ref="AO27:AP27"/>
    <mergeCell ref="AG28:AH28"/>
    <mergeCell ref="AI28:AJ28"/>
    <mergeCell ref="AK28:AL28"/>
    <mergeCell ref="AM28:AN28"/>
    <mergeCell ref="AO28:AP28"/>
    <mergeCell ref="AG29:AH29"/>
    <mergeCell ref="AI29:AJ29"/>
    <mergeCell ref="AK29:AL29"/>
    <mergeCell ref="AM29:AN29"/>
    <mergeCell ref="AO25:AP25"/>
    <mergeCell ref="AG26:AH26"/>
    <mergeCell ref="AI26:AJ26"/>
    <mergeCell ref="AK26:AL26"/>
    <mergeCell ref="AM26:AN26"/>
    <mergeCell ref="AO26:AP26"/>
    <mergeCell ref="AG23:AH23"/>
    <mergeCell ref="AI23:AJ23"/>
    <mergeCell ref="AK23:AL23"/>
    <mergeCell ref="AM23:AN23"/>
    <mergeCell ref="AO23:AP23"/>
    <mergeCell ref="AG24:AH24"/>
    <mergeCell ref="AI24:AJ24"/>
    <mergeCell ref="AK24:AL24"/>
    <mergeCell ref="AM24:AN24"/>
    <mergeCell ref="AO24:AP24"/>
    <mergeCell ref="AG25:AH25"/>
    <mergeCell ref="AI25:AJ25"/>
    <mergeCell ref="AK25:AL25"/>
    <mergeCell ref="AM25:AN25"/>
    <mergeCell ref="AI22:AJ22"/>
    <mergeCell ref="AK22:AL22"/>
    <mergeCell ref="AM22:AN22"/>
    <mergeCell ref="AO22:AP22"/>
    <mergeCell ref="AG20:AH20"/>
    <mergeCell ref="AI20:AJ20"/>
    <mergeCell ref="AK20:AL20"/>
    <mergeCell ref="AM20:AN20"/>
    <mergeCell ref="AO20:AP20"/>
    <mergeCell ref="AG21:AH21"/>
    <mergeCell ref="AI21:AJ21"/>
    <mergeCell ref="AK21:AL21"/>
    <mergeCell ref="AM21:AN21"/>
    <mergeCell ref="AB24:AD24"/>
    <mergeCell ref="AE24:AF24"/>
    <mergeCell ref="AB23:AD23"/>
    <mergeCell ref="AE23:AF23"/>
    <mergeCell ref="AB20:AD20"/>
    <mergeCell ref="AE20:AF20"/>
    <mergeCell ref="AB41:AD41"/>
    <mergeCell ref="AE41:AF41"/>
    <mergeCell ref="B41:N41"/>
    <mergeCell ref="O41:P41"/>
    <mergeCell ref="S41:T41"/>
    <mergeCell ref="U41:V41"/>
    <mergeCell ref="W41:X41"/>
    <mergeCell ref="Y41:AA41"/>
    <mergeCell ref="AB39:AD39"/>
    <mergeCell ref="AE39:AF39"/>
    <mergeCell ref="C40:N40"/>
    <mergeCell ref="O40:P40"/>
    <mergeCell ref="S40:T40"/>
    <mergeCell ref="U40:V40"/>
    <mergeCell ref="W40:X40"/>
    <mergeCell ref="Y40:AA40"/>
    <mergeCell ref="AB40:AD40"/>
    <mergeCell ref="Q41:R41"/>
    <mergeCell ref="Q35:R35"/>
    <mergeCell ref="Q36:R36"/>
    <mergeCell ref="C35:N35"/>
    <mergeCell ref="W39:X39"/>
    <mergeCell ref="Y39:AA39"/>
    <mergeCell ref="AB37:AD37"/>
    <mergeCell ref="AE37:AF37"/>
    <mergeCell ref="C38:N38"/>
    <mergeCell ref="O38:P38"/>
    <mergeCell ref="S38:T38"/>
    <mergeCell ref="U38:V38"/>
    <mergeCell ref="W38:X38"/>
    <mergeCell ref="Y38:AA38"/>
    <mergeCell ref="AB38:AD38"/>
    <mergeCell ref="AE38:AF38"/>
    <mergeCell ref="C37:N37"/>
    <mergeCell ref="O37:P37"/>
    <mergeCell ref="S37:T37"/>
    <mergeCell ref="U37:V37"/>
    <mergeCell ref="W37:X37"/>
    <mergeCell ref="Y37:AA37"/>
    <mergeCell ref="Q37:R37"/>
    <mergeCell ref="Q38:R38"/>
    <mergeCell ref="Q34:R34"/>
    <mergeCell ref="C36:N36"/>
    <mergeCell ref="O36:P36"/>
    <mergeCell ref="S36:T36"/>
    <mergeCell ref="U36:V36"/>
    <mergeCell ref="W36:X36"/>
    <mergeCell ref="Y36:AA36"/>
    <mergeCell ref="AB36:AD36"/>
    <mergeCell ref="W33:X33"/>
    <mergeCell ref="Y33:AA33"/>
    <mergeCell ref="AB33:AD33"/>
    <mergeCell ref="Q33:R33"/>
    <mergeCell ref="C34:N34"/>
    <mergeCell ref="O34:P34"/>
    <mergeCell ref="S34:T34"/>
    <mergeCell ref="U34:V34"/>
    <mergeCell ref="W34:X34"/>
    <mergeCell ref="Y34:AA34"/>
    <mergeCell ref="AB34:AD34"/>
    <mergeCell ref="O35:P35"/>
    <mergeCell ref="S35:T35"/>
    <mergeCell ref="U35:V35"/>
    <mergeCell ref="W35:X35"/>
    <mergeCell ref="Y35:AA35"/>
    <mergeCell ref="C31:N31"/>
    <mergeCell ref="O31:P31"/>
    <mergeCell ref="S31:T31"/>
    <mergeCell ref="U31:V31"/>
    <mergeCell ref="W31:X31"/>
    <mergeCell ref="Y31:AA31"/>
    <mergeCell ref="AB31:AD31"/>
    <mergeCell ref="AE31:AF31"/>
    <mergeCell ref="Q31:R31"/>
    <mergeCell ref="C29:N29"/>
    <mergeCell ref="O29:P29"/>
    <mergeCell ref="S29:T29"/>
    <mergeCell ref="U29:V29"/>
    <mergeCell ref="W29:X29"/>
    <mergeCell ref="Y29:AA29"/>
    <mergeCell ref="AB29:AD29"/>
    <mergeCell ref="Q29:R29"/>
    <mergeCell ref="Q30:R30"/>
    <mergeCell ref="C28:N28"/>
    <mergeCell ref="O28:P28"/>
    <mergeCell ref="S28:T28"/>
    <mergeCell ref="U28:V28"/>
    <mergeCell ref="W28:X28"/>
    <mergeCell ref="Y28:AA28"/>
    <mergeCell ref="C27:N27"/>
    <mergeCell ref="O27:P27"/>
    <mergeCell ref="S27:T27"/>
    <mergeCell ref="U27:V27"/>
    <mergeCell ref="W27:X27"/>
    <mergeCell ref="Y27:AA27"/>
    <mergeCell ref="Q27:R27"/>
    <mergeCell ref="Q28:R28"/>
    <mergeCell ref="C26:N26"/>
    <mergeCell ref="O26:P26"/>
    <mergeCell ref="S26:T26"/>
    <mergeCell ref="U26:V26"/>
    <mergeCell ref="W26:X26"/>
    <mergeCell ref="Y26:AA26"/>
    <mergeCell ref="AB26:AD26"/>
    <mergeCell ref="AE26:AF26"/>
    <mergeCell ref="AE25:AF25"/>
    <mergeCell ref="C25:N25"/>
    <mergeCell ref="O25:P25"/>
    <mergeCell ref="S25:T25"/>
    <mergeCell ref="U25:V25"/>
    <mergeCell ref="W25:X25"/>
    <mergeCell ref="Y25:AA25"/>
    <mergeCell ref="AB25:AD25"/>
    <mergeCell ref="Q25:R25"/>
    <mergeCell ref="Q26:R26"/>
    <mergeCell ref="C24:N24"/>
    <mergeCell ref="O24:P24"/>
    <mergeCell ref="S24:T24"/>
    <mergeCell ref="U24:V24"/>
    <mergeCell ref="W24:X24"/>
    <mergeCell ref="Y24:AA24"/>
    <mergeCell ref="C23:N23"/>
    <mergeCell ref="O23:P23"/>
    <mergeCell ref="S23:T23"/>
    <mergeCell ref="U23:V23"/>
    <mergeCell ref="W23:X23"/>
    <mergeCell ref="Y23:AA23"/>
    <mergeCell ref="Q23:R23"/>
    <mergeCell ref="Q24:R24"/>
    <mergeCell ref="BM18:BN18"/>
    <mergeCell ref="BO18:BP18"/>
    <mergeCell ref="BQ18:BR18"/>
    <mergeCell ref="O16:AP16"/>
    <mergeCell ref="C22:N22"/>
    <mergeCell ref="O22:P22"/>
    <mergeCell ref="S22:T22"/>
    <mergeCell ref="U22:V22"/>
    <mergeCell ref="W22:X22"/>
    <mergeCell ref="Y22:AA22"/>
    <mergeCell ref="AB22:AD22"/>
    <mergeCell ref="AE22:AF22"/>
    <mergeCell ref="AE21:AF21"/>
    <mergeCell ref="C21:N21"/>
    <mergeCell ref="O21:P21"/>
    <mergeCell ref="S21:T21"/>
    <mergeCell ref="U21:V21"/>
    <mergeCell ref="W21:X21"/>
    <mergeCell ref="Y21:AA21"/>
    <mergeCell ref="AB21:AD21"/>
    <mergeCell ref="Q21:R21"/>
    <mergeCell ref="Q22:R22"/>
    <mergeCell ref="AO21:AP21"/>
    <mergeCell ref="AG22:AH22"/>
    <mergeCell ref="Y20:AA20"/>
    <mergeCell ref="AE18:AF18"/>
    <mergeCell ref="B19:N19"/>
    <mergeCell ref="Q20:R20"/>
    <mergeCell ref="AY18:AZ18"/>
    <mergeCell ref="BA18:BC18"/>
    <mergeCell ref="O18:P18"/>
    <mergeCell ref="S18:T18"/>
    <mergeCell ref="U18:V18"/>
    <mergeCell ref="W18:X18"/>
    <mergeCell ref="Y18:AA18"/>
    <mergeCell ref="AB18:AD18"/>
    <mergeCell ref="B16:N18"/>
    <mergeCell ref="O17:X17"/>
    <mergeCell ref="Y17:AF17"/>
    <mergeCell ref="Q18:R18"/>
    <mergeCell ref="AQ16:BR16"/>
    <mergeCell ref="AQ17:AZ17"/>
    <mergeCell ref="BA17:BH17"/>
    <mergeCell ref="BI17:BR17"/>
    <mergeCell ref="BD18:BF18"/>
    <mergeCell ref="BG18:BH18"/>
    <mergeCell ref="BI18:BJ18"/>
    <mergeCell ref="BK18:BL18"/>
    <mergeCell ref="B7:O7"/>
    <mergeCell ref="B8:O8"/>
    <mergeCell ref="B6:O6"/>
    <mergeCell ref="B3:O5"/>
    <mergeCell ref="C20:N20"/>
    <mergeCell ref="O20:P20"/>
    <mergeCell ref="S20:T20"/>
    <mergeCell ref="U20:V20"/>
    <mergeCell ref="W20:X20"/>
    <mergeCell ref="O19:BR19"/>
    <mergeCell ref="B9:O9"/>
    <mergeCell ref="AQ18:AR18"/>
    <mergeCell ref="AS18:AT18"/>
    <mergeCell ref="AU18:AV18"/>
    <mergeCell ref="AW18:AX18"/>
    <mergeCell ref="AG17:AP17"/>
    <mergeCell ref="AG18:AH18"/>
    <mergeCell ref="AI18:AJ18"/>
    <mergeCell ref="AK18:AL18"/>
    <mergeCell ref="AM18:AN18"/>
    <mergeCell ref="AO18:AP18"/>
    <mergeCell ref="AQ20:AR20"/>
    <mergeCell ref="AS20:AT20"/>
    <mergeCell ref="AU20:AV20"/>
    <mergeCell ref="P7:R7"/>
    <mergeCell ref="S7:U7"/>
    <mergeCell ref="P8:R8"/>
    <mergeCell ref="S8:U8"/>
    <mergeCell ref="P9:U9"/>
    <mergeCell ref="V5:X5"/>
    <mergeCell ref="Y5:AA5"/>
    <mergeCell ref="V3:AA4"/>
    <mergeCell ref="V6:X6"/>
    <mergeCell ref="Y6:AA6"/>
    <mergeCell ref="V7:X7"/>
    <mergeCell ref="Y7:AA7"/>
    <mergeCell ref="V8:X8"/>
    <mergeCell ref="Y8:AA8"/>
    <mergeCell ref="V9:X9"/>
    <mergeCell ref="Y9:AA9"/>
    <mergeCell ref="AB7:AD7"/>
    <mergeCell ref="AE7:AG7"/>
    <mergeCell ref="AB8:AD8"/>
    <mergeCell ref="AE8:AG8"/>
    <mergeCell ref="AB9:AD9"/>
    <mergeCell ref="AE9:AG9"/>
    <mergeCell ref="AH3:AM4"/>
    <mergeCell ref="AH5:AJ5"/>
    <mergeCell ref="AK5:AM5"/>
    <mergeCell ref="AH6:AJ6"/>
    <mergeCell ref="AK6:AM6"/>
    <mergeCell ref="AH7:AJ7"/>
    <mergeCell ref="AK7:AM7"/>
    <mergeCell ref="AH8:AJ8"/>
    <mergeCell ref="AK8:AM8"/>
    <mergeCell ref="AH9:AJ9"/>
    <mergeCell ref="AK9:AM9"/>
    <mergeCell ref="AB3:AG4"/>
    <mergeCell ref="AB5:AD5"/>
    <mergeCell ref="AE5:AG5"/>
    <mergeCell ref="AB6:AD6"/>
    <mergeCell ref="AE6:AG6"/>
    <mergeCell ref="AN9:AP9"/>
    <mergeCell ref="AQ9:AS9"/>
    <mergeCell ref="AT3:AY4"/>
    <mergeCell ref="AT5:AV5"/>
    <mergeCell ref="AW5:AY5"/>
    <mergeCell ref="AT6:AV6"/>
    <mergeCell ref="AW6:AY6"/>
    <mergeCell ref="AT7:AV7"/>
    <mergeCell ref="AW7:AY7"/>
    <mergeCell ref="AT8:AV8"/>
    <mergeCell ref="AW8:AY8"/>
    <mergeCell ref="AT9:AV9"/>
    <mergeCell ref="AW9:AY9"/>
    <mergeCell ref="AN3:AS4"/>
    <mergeCell ref="AN5:AP5"/>
    <mergeCell ref="AQ5:AS5"/>
    <mergeCell ref="BC7:BE7"/>
    <mergeCell ref="AZ8:BB8"/>
    <mergeCell ref="BC8:BE8"/>
    <mergeCell ref="AN6:AP6"/>
    <mergeCell ref="AQ6:AS6"/>
    <mergeCell ref="AN7:AP7"/>
    <mergeCell ref="AQ7:AS7"/>
    <mergeCell ref="AN8:AP8"/>
    <mergeCell ref="AQ8:AS8"/>
    <mergeCell ref="AA50:AS50"/>
    <mergeCell ref="AE52:AS52"/>
    <mergeCell ref="AA51:AS51"/>
    <mergeCell ref="AZ50:BR51"/>
    <mergeCell ref="AZ52:BR52"/>
    <mergeCell ref="AZ9:BB9"/>
    <mergeCell ref="BC9:BE9"/>
    <mergeCell ref="BF3:BK4"/>
    <mergeCell ref="BF5:BH5"/>
    <mergeCell ref="BI5:BK5"/>
    <mergeCell ref="BF6:BH6"/>
    <mergeCell ref="BI6:BK6"/>
    <mergeCell ref="BF7:BH7"/>
    <mergeCell ref="BI7:BK7"/>
    <mergeCell ref="BF8:BH8"/>
    <mergeCell ref="BI8:BK8"/>
    <mergeCell ref="BF9:BH9"/>
    <mergeCell ref="BI9:BK9"/>
    <mergeCell ref="AZ3:BE4"/>
    <mergeCell ref="AZ5:BB5"/>
    <mergeCell ref="BC5:BE5"/>
    <mergeCell ref="AZ6:BB6"/>
    <mergeCell ref="BC6:BE6"/>
    <mergeCell ref="AZ7:BB7"/>
  </mergeCells>
  <dataValidations count="1">
    <dataValidation type="whole" allowBlank="1" showInputMessage="1" showErrorMessage="1" errorTitle="GESP SY 2022-2023" error="Please enter valid number between 0-20,000." sqref="P7:BE8 V9:BE9 O20:V31 O33:V40 Y33:AD40 Y20:AD31 AG20:AN31 AG33:AN40 AQ20:AX30 AQ31:AX31 BA20:BF31 BI20:BP31" xr:uid="{00000000-0002-0000-0500-000000000000}">
      <formula1>0</formula1>
      <formula2>20000</formula2>
    </dataValidation>
  </dataValidations>
  <printOptions horizontalCentered="1" verticalCentered="1"/>
  <pageMargins left="0.25" right="0.25" top="0.2" bottom="0.2" header="0" footer="0.1"/>
  <pageSetup paperSize="9" scale="41" orientation="landscape" r:id="rId1"/>
  <headerFooter alignWithMargins="0">
    <oddFooter>&amp;L&amp;10&amp;F &amp;A&amp;R&amp;11Page 2 of 60</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B1:BN39"/>
  <sheetViews>
    <sheetView showGridLines="0" zoomScaleNormal="100" zoomScaleSheetLayoutView="100" workbookViewId="0">
      <selection activeCell="B2" sqref="B2"/>
    </sheetView>
  </sheetViews>
  <sheetFormatPr defaultRowHeight="15.5"/>
  <cols>
    <col min="1" max="1" width="2.08203125" style="180" customWidth="1"/>
    <col min="2" max="51" width="3.58203125" style="180" customWidth="1"/>
    <col min="52" max="52" width="2.08203125" style="180" customWidth="1"/>
    <col min="53" max="163" width="3.58203125" style="180" customWidth="1"/>
    <col min="164" max="194" width="8.58203125" style="180"/>
    <col min="195" max="195" width="1.08203125" style="180" customWidth="1"/>
    <col min="196" max="243" width="3.33203125" style="180" customWidth="1"/>
    <col min="244" max="247" width="7.08203125" style="180" customWidth="1"/>
    <col min="248" max="419" width="3.58203125" style="180" customWidth="1"/>
    <col min="420" max="450" width="8.58203125" style="180"/>
    <col min="451" max="451" width="1.08203125" style="180" customWidth="1"/>
    <col min="452" max="499" width="3.33203125" style="180" customWidth="1"/>
    <col min="500" max="503" width="7.08203125" style="180" customWidth="1"/>
    <col min="504" max="675" width="3.58203125" style="180" customWidth="1"/>
    <col min="676" max="706" width="8.58203125" style="180"/>
    <col min="707" max="707" width="1.08203125" style="180" customWidth="1"/>
    <col min="708" max="755" width="3.33203125" style="180" customWidth="1"/>
    <col min="756" max="759" width="7.08203125" style="180" customWidth="1"/>
    <col min="760" max="931" width="3.58203125" style="180" customWidth="1"/>
    <col min="932" max="962" width="8.58203125" style="180"/>
    <col min="963" max="963" width="1.08203125" style="180" customWidth="1"/>
    <col min="964" max="1011" width="3.33203125" style="180" customWidth="1"/>
    <col min="1012" max="1015" width="7.08203125" style="180" customWidth="1"/>
    <col min="1016" max="1187" width="3.58203125" style="180" customWidth="1"/>
    <col min="1188" max="1218" width="8.58203125" style="180"/>
    <col min="1219" max="1219" width="1.08203125" style="180" customWidth="1"/>
    <col min="1220" max="1267" width="3.33203125" style="180" customWidth="1"/>
    <col min="1268" max="1271" width="7.08203125" style="180" customWidth="1"/>
    <col min="1272" max="1443" width="3.58203125" style="180" customWidth="1"/>
    <col min="1444" max="1474" width="8.58203125" style="180"/>
    <col min="1475" max="1475" width="1.08203125" style="180" customWidth="1"/>
    <col min="1476" max="1523" width="3.33203125" style="180" customWidth="1"/>
    <col min="1524" max="1527" width="7.08203125" style="180" customWidth="1"/>
    <col min="1528" max="1699" width="3.58203125" style="180" customWidth="1"/>
    <col min="1700" max="1730" width="8.58203125" style="180"/>
    <col min="1731" max="1731" width="1.08203125" style="180" customWidth="1"/>
    <col min="1732" max="1779" width="3.33203125" style="180" customWidth="1"/>
    <col min="1780" max="1783" width="7.08203125" style="180" customWidth="1"/>
    <col min="1784" max="1955" width="3.58203125" style="180" customWidth="1"/>
    <col min="1956" max="1986" width="8.58203125" style="180"/>
    <col min="1987" max="1987" width="1.08203125" style="180" customWidth="1"/>
    <col min="1988" max="2035" width="3.33203125" style="180" customWidth="1"/>
    <col min="2036" max="2039" width="7.08203125" style="180" customWidth="1"/>
    <col min="2040" max="2211" width="3.58203125" style="180" customWidth="1"/>
    <col min="2212" max="2242" width="8.58203125" style="180"/>
    <col min="2243" max="2243" width="1.08203125" style="180" customWidth="1"/>
    <col min="2244" max="2291" width="3.33203125" style="180" customWidth="1"/>
    <col min="2292" max="2295" width="7.08203125" style="180" customWidth="1"/>
    <col min="2296" max="2467" width="3.58203125" style="180" customWidth="1"/>
    <col min="2468" max="2498" width="8.58203125" style="180"/>
    <col min="2499" max="2499" width="1.08203125" style="180" customWidth="1"/>
    <col min="2500" max="2547" width="3.33203125" style="180" customWidth="1"/>
    <col min="2548" max="2551" width="7.08203125" style="180" customWidth="1"/>
    <col min="2552" max="2723" width="3.58203125" style="180" customWidth="1"/>
    <col min="2724" max="2754" width="8.58203125" style="180"/>
    <col min="2755" max="2755" width="1.08203125" style="180" customWidth="1"/>
    <col min="2756" max="2803" width="3.33203125" style="180" customWidth="1"/>
    <col min="2804" max="2807" width="7.08203125" style="180" customWidth="1"/>
    <col min="2808" max="2979" width="3.58203125" style="180" customWidth="1"/>
    <col min="2980" max="3010" width="8.58203125" style="180"/>
    <col min="3011" max="3011" width="1.08203125" style="180" customWidth="1"/>
    <col min="3012" max="3059" width="3.33203125" style="180" customWidth="1"/>
    <col min="3060" max="3063" width="7.08203125" style="180" customWidth="1"/>
    <col min="3064" max="3235" width="3.58203125" style="180" customWidth="1"/>
    <col min="3236" max="3266" width="8.58203125" style="180"/>
    <col min="3267" max="3267" width="1.08203125" style="180" customWidth="1"/>
    <col min="3268" max="3315" width="3.33203125" style="180" customWidth="1"/>
    <col min="3316" max="3319" width="7.08203125" style="180" customWidth="1"/>
    <col min="3320" max="3491" width="3.58203125" style="180" customWidth="1"/>
    <col min="3492" max="3522" width="8.58203125" style="180"/>
    <col min="3523" max="3523" width="1.08203125" style="180" customWidth="1"/>
    <col min="3524" max="3571" width="3.33203125" style="180" customWidth="1"/>
    <col min="3572" max="3575" width="7.08203125" style="180" customWidth="1"/>
    <col min="3576" max="3747" width="3.58203125" style="180" customWidth="1"/>
    <col min="3748" max="3778" width="8.58203125" style="180"/>
    <col min="3779" max="3779" width="1.08203125" style="180" customWidth="1"/>
    <col min="3780" max="3827" width="3.33203125" style="180" customWidth="1"/>
    <col min="3828" max="3831" width="7.08203125" style="180" customWidth="1"/>
    <col min="3832" max="4003" width="3.58203125" style="180" customWidth="1"/>
    <col min="4004" max="4034" width="8.58203125" style="180"/>
    <col min="4035" max="4035" width="1.08203125" style="180" customWidth="1"/>
    <col min="4036" max="4083" width="3.33203125" style="180" customWidth="1"/>
    <col min="4084" max="4087" width="7.08203125" style="180" customWidth="1"/>
    <col min="4088" max="4259" width="3.58203125" style="180" customWidth="1"/>
    <col min="4260" max="4290" width="8.58203125" style="180"/>
    <col min="4291" max="4291" width="1.08203125" style="180" customWidth="1"/>
    <col min="4292" max="4339" width="3.33203125" style="180" customWidth="1"/>
    <col min="4340" max="4343" width="7.08203125" style="180" customWidth="1"/>
    <col min="4344" max="4515" width="3.58203125" style="180" customWidth="1"/>
    <col min="4516" max="4546" width="8.58203125" style="180"/>
    <col min="4547" max="4547" width="1.08203125" style="180" customWidth="1"/>
    <col min="4548" max="4595" width="3.33203125" style="180" customWidth="1"/>
    <col min="4596" max="4599" width="7.08203125" style="180" customWidth="1"/>
    <col min="4600" max="4771" width="3.58203125" style="180" customWidth="1"/>
    <col min="4772" max="4802" width="8.58203125" style="180"/>
    <col min="4803" max="4803" width="1.08203125" style="180" customWidth="1"/>
    <col min="4804" max="4851" width="3.33203125" style="180" customWidth="1"/>
    <col min="4852" max="4855" width="7.08203125" style="180" customWidth="1"/>
    <col min="4856" max="5027" width="3.58203125" style="180" customWidth="1"/>
    <col min="5028" max="5058" width="8.58203125" style="180"/>
    <col min="5059" max="5059" width="1.08203125" style="180" customWidth="1"/>
    <col min="5060" max="5107" width="3.33203125" style="180" customWidth="1"/>
    <col min="5108" max="5111" width="7.08203125" style="180" customWidth="1"/>
    <col min="5112" max="5283" width="3.58203125" style="180" customWidth="1"/>
    <col min="5284" max="5314" width="8.58203125" style="180"/>
    <col min="5315" max="5315" width="1.08203125" style="180" customWidth="1"/>
    <col min="5316" max="5363" width="3.33203125" style="180" customWidth="1"/>
    <col min="5364" max="5367" width="7.08203125" style="180" customWidth="1"/>
    <col min="5368" max="5539" width="3.58203125" style="180" customWidth="1"/>
    <col min="5540" max="5570" width="8.58203125" style="180"/>
    <col min="5571" max="5571" width="1.08203125" style="180" customWidth="1"/>
    <col min="5572" max="5619" width="3.33203125" style="180" customWidth="1"/>
    <col min="5620" max="5623" width="7.08203125" style="180" customWidth="1"/>
    <col min="5624" max="5795" width="3.58203125" style="180" customWidth="1"/>
    <col min="5796" max="5826" width="8.58203125" style="180"/>
    <col min="5827" max="5827" width="1.08203125" style="180" customWidth="1"/>
    <col min="5828" max="5875" width="3.33203125" style="180" customWidth="1"/>
    <col min="5876" max="5879" width="7.08203125" style="180" customWidth="1"/>
    <col min="5880" max="6051" width="3.58203125" style="180" customWidth="1"/>
    <col min="6052" max="6082" width="8.58203125" style="180"/>
    <col min="6083" max="6083" width="1.08203125" style="180" customWidth="1"/>
    <col min="6084" max="6131" width="3.33203125" style="180" customWidth="1"/>
    <col min="6132" max="6135" width="7.08203125" style="180" customWidth="1"/>
    <col min="6136" max="6307" width="3.58203125" style="180" customWidth="1"/>
    <col min="6308" max="6338" width="8.58203125" style="180"/>
    <col min="6339" max="6339" width="1.08203125" style="180" customWidth="1"/>
    <col min="6340" max="6387" width="3.33203125" style="180" customWidth="1"/>
    <col min="6388" max="6391" width="7.08203125" style="180" customWidth="1"/>
    <col min="6392" max="6563" width="3.58203125" style="180" customWidth="1"/>
    <col min="6564" max="6594" width="8.58203125" style="180"/>
    <col min="6595" max="6595" width="1.08203125" style="180" customWidth="1"/>
    <col min="6596" max="6643" width="3.33203125" style="180" customWidth="1"/>
    <col min="6644" max="6647" width="7.08203125" style="180" customWidth="1"/>
    <col min="6648" max="6819" width="3.58203125" style="180" customWidth="1"/>
    <col min="6820" max="6850" width="8.58203125" style="180"/>
    <col min="6851" max="6851" width="1.08203125" style="180" customWidth="1"/>
    <col min="6852" max="6899" width="3.33203125" style="180" customWidth="1"/>
    <col min="6900" max="6903" width="7.08203125" style="180" customWidth="1"/>
    <col min="6904" max="7075" width="3.58203125" style="180" customWidth="1"/>
    <col min="7076" max="7106" width="8.58203125" style="180"/>
    <col min="7107" max="7107" width="1.08203125" style="180" customWidth="1"/>
    <col min="7108" max="7155" width="3.33203125" style="180" customWidth="1"/>
    <col min="7156" max="7159" width="7.08203125" style="180" customWidth="1"/>
    <col min="7160" max="7331" width="3.58203125" style="180" customWidth="1"/>
    <col min="7332" max="7362" width="8.58203125" style="180"/>
    <col min="7363" max="7363" width="1.08203125" style="180" customWidth="1"/>
    <col min="7364" max="7411" width="3.33203125" style="180" customWidth="1"/>
    <col min="7412" max="7415" width="7.08203125" style="180" customWidth="1"/>
    <col min="7416" max="7587" width="3.58203125" style="180" customWidth="1"/>
    <col min="7588" max="7618" width="8.58203125" style="180"/>
    <col min="7619" max="7619" width="1.08203125" style="180" customWidth="1"/>
    <col min="7620" max="7667" width="3.33203125" style="180" customWidth="1"/>
    <col min="7668" max="7671" width="7.08203125" style="180" customWidth="1"/>
    <col min="7672" max="7843" width="3.58203125" style="180" customWidth="1"/>
    <col min="7844" max="7874" width="8.58203125" style="180"/>
    <col min="7875" max="7875" width="1.08203125" style="180" customWidth="1"/>
    <col min="7876" max="7923" width="3.33203125" style="180" customWidth="1"/>
    <col min="7924" max="7927" width="7.08203125" style="180" customWidth="1"/>
    <col min="7928" max="8099" width="3.58203125" style="180" customWidth="1"/>
    <col min="8100" max="8130" width="8.58203125" style="180"/>
    <col min="8131" max="8131" width="1.08203125" style="180" customWidth="1"/>
    <col min="8132" max="8179" width="3.33203125" style="180" customWidth="1"/>
    <col min="8180" max="8183" width="7.08203125" style="180" customWidth="1"/>
    <col min="8184" max="8355" width="3.58203125" style="180" customWidth="1"/>
    <col min="8356" max="8386" width="8.58203125" style="180"/>
    <col min="8387" max="8387" width="1.08203125" style="180" customWidth="1"/>
    <col min="8388" max="8435" width="3.33203125" style="180" customWidth="1"/>
    <col min="8436" max="8439" width="7.08203125" style="180" customWidth="1"/>
    <col min="8440" max="8611" width="3.58203125" style="180" customWidth="1"/>
    <col min="8612" max="8642" width="8.58203125" style="180"/>
    <col min="8643" max="8643" width="1.08203125" style="180" customWidth="1"/>
    <col min="8644" max="8691" width="3.33203125" style="180" customWidth="1"/>
    <col min="8692" max="8695" width="7.08203125" style="180" customWidth="1"/>
    <col min="8696" max="8867" width="3.58203125" style="180" customWidth="1"/>
    <col min="8868" max="8898" width="8.58203125" style="180"/>
    <col min="8899" max="8899" width="1.08203125" style="180" customWidth="1"/>
    <col min="8900" max="8947" width="3.33203125" style="180" customWidth="1"/>
    <col min="8948" max="8951" width="7.08203125" style="180" customWidth="1"/>
    <col min="8952" max="9123" width="3.58203125" style="180" customWidth="1"/>
    <col min="9124" max="9154" width="8.58203125" style="180"/>
    <col min="9155" max="9155" width="1.08203125" style="180" customWidth="1"/>
    <col min="9156" max="9203" width="3.33203125" style="180" customWidth="1"/>
    <col min="9204" max="9207" width="7.08203125" style="180" customWidth="1"/>
    <col min="9208" max="9379" width="3.58203125" style="180" customWidth="1"/>
    <col min="9380" max="9410" width="8.58203125" style="180"/>
    <col min="9411" max="9411" width="1.08203125" style="180" customWidth="1"/>
    <col min="9412" max="9459" width="3.33203125" style="180" customWidth="1"/>
    <col min="9460" max="9463" width="7.08203125" style="180" customWidth="1"/>
    <col min="9464" max="9635" width="3.58203125" style="180" customWidth="1"/>
    <col min="9636" max="9666" width="8.58203125" style="180"/>
    <col min="9667" max="9667" width="1.08203125" style="180" customWidth="1"/>
    <col min="9668" max="9715" width="3.33203125" style="180" customWidth="1"/>
    <col min="9716" max="9719" width="7.08203125" style="180" customWidth="1"/>
    <col min="9720" max="9891" width="3.58203125" style="180" customWidth="1"/>
    <col min="9892" max="9922" width="8.58203125" style="180"/>
    <col min="9923" max="9923" width="1.08203125" style="180" customWidth="1"/>
    <col min="9924" max="9971" width="3.33203125" style="180" customWidth="1"/>
    <col min="9972" max="9975" width="7.08203125" style="180" customWidth="1"/>
    <col min="9976" max="10147" width="3.58203125" style="180" customWidth="1"/>
    <col min="10148" max="10178" width="8.58203125" style="180"/>
    <col min="10179" max="10179" width="1.08203125" style="180" customWidth="1"/>
    <col min="10180" max="10227" width="3.33203125" style="180" customWidth="1"/>
    <col min="10228" max="10231" width="7.08203125" style="180" customWidth="1"/>
    <col min="10232" max="10403" width="3.58203125" style="180" customWidth="1"/>
    <col min="10404" max="10434" width="8.58203125" style="180"/>
    <col min="10435" max="10435" width="1.08203125" style="180" customWidth="1"/>
    <col min="10436" max="10483" width="3.33203125" style="180" customWidth="1"/>
    <col min="10484" max="10487" width="7.08203125" style="180" customWidth="1"/>
    <col min="10488" max="10659" width="3.58203125" style="180" customWidth="1"/>
    <col min="10660" max="10690" width="8.58203125" style="180"/>
    <col min="10691" max="10691" width="1.08203125" style="180" customWidth="1"/>
    <col min="10692" max="10739" width="3.33203125" style="180" customWidth="1"/>
    <col min="10740" max="10743" width="7.08203125" style="180" customWidth="1"/>
    <col min="10744" max="10915" width="3.58203125" style="180" customWidth="1"/>
    <col min="10916" max="10946" width="8.58203125" style="180"/>
    <col min="10947" max="10947" width="1.08203125" style="180" customWidth="1"/>
    <col min="10948" max="10995" width="3.33203125" style="180" customWidth="1"/>
    <col min="10996" max="10999" width="7.08203125" style="180" customWidth="1"/>
    <col min="11000" max="11171" width="3.58203125" style="180" customWidth="1"/>
    <col min="11172" max="11202" width="8.58203125" style="180"/>
    <col min="11203" max="11203" width="1.08203125" style="180" customWidth="1"/>
    <col min="11204" max="11251" width="3.33203125" style="180" customWidth="1"/>
    <col min="11252" max="11255" width="7.08203125" style="180" customWidth="1"/>
    <col min="11256" max="11427" width="3.58203125" style="180" customWidth="1"/>
    <col min="11428" max="11458" width="8.58203125" style="180"/>
    <col min="11459" max="11459" width="1.08203125" style="180" customWidth="1"/>
    <col min="11460" max="11507" width="3.33203125" style="180" customWidth="1"/>
    <col min="11508" max="11511" width="7.08203125" style="180" customWidth="1"/>
    <col min="11512" max="11683" width="3.58203125" style="180" customWidth="1"/>
    <col min="11684" max="11714" width="8.58203125" style="180"/>
    <col min="11715" max="11715" width="1.08203125" style="180" customWidth="1"/>
    <col min="11716" max="11763" width="3.33203125" style="180" customWidth="1"/>
    <col min="11764" max="11767" width="7.08203125" style="180" customWidth="1"/>
    <col min="11768" max="11939" width="3.58203125" style="180" customWidth="1"/>
    <col min="11940" max="11970" width="8.58203125" style="180"/>
    <col min="11971" max="11971" width="1.08203125" style="180" customWidth="1"/>
    <col min="11972" max="12019" width="3.33203125" style="180" customWidth="1"/>
    <col min="12020" max="12023" width="7.08203125" style="180" customWidth="1"/>
    <col min="12024" max="12195" width="3.58203125" style="180" customWidth="1"/>
    <col min="12196" max="12226" width="8.58203125" style="180"/>
    <col min="12227" max="12227" width="1.08203125" style="180" customWidth="1"/>
    <col min="12228" max="12275" width="3.33203125" style="180" customWidth="1"/>
    <col min="12276" max="12279" width="7.08203125" style="180" customWidth="1"/>
    <col min="12280" max="12451" width="3.58203125" style="180" customWidth="1"/>
    <col min="12452" max="12482" width="8.58203125" style="180"/>
    <col min="12483" max="12483" width="1.08203125" style="180" customWidth="1"/>
    <col min="12484" max="12531" width="3.33203125" style="180" customWidth="1"/>
    <col min="12532" max="12535" width="7.08203125" style="180" customWidth="1"/>
    <col min="12536" max="12707" width="3.58203125" style="180" customWidth="1"/>
    <col min="12708" max="12738" width="8.58203125" style="180"/>
    <col min="12739" max="12739" width="1.08203125" style="180" customWidth="1"/>
    <col min="12740" max="12787" width="3.33203125" style="180" customWidth="1"/>
    <col min="12788" max="12791" width="7.08203125" style="180" customWidth="1"/>
    <col min="12792" max="12963" width="3.58203125" style="180" customWidth="1"/>
    <col min="12964" max="12994" width="8.58203125" style="180"/>
    <col min="12995" max="12995" width="1.08203125" style="180" customWidth="1"/>
    <col min="12996" max="13043" width="3.33203125" style="180" customWidth="1"/>
    <col min="13044" max="13047" width="7.08203125" style="180" customWidth="1"/>
    <col min="13048" max="13219" width="3.58203125" style="180" customWidth="1"/>
    <col min="13220" max="13250" width="8.58203125" style="180"/>
    <col min="13251" max="13251" width="1.08203125" style="180" customWidth="1"/>
    <col min="13252" max="13299" width="3.33203125" style="180" customWidth="1"/>
    <col min="13300" max="13303" width="7.08203125" style="180" customWidth="1"/>
    <col min="13304" max="13475" width="3.58203125" style="180" customWidth="1"/>
    <col min="13476" max="13506" width="8.58203125" style="180"/>
    <col min="13507" max="13507" width="1.08203125" style="180" customWidth="1"/>
    <col min="13508" max="13555" width="3.33203125" style="180" customWidth="1"/>
    <col min="13556" max="13559" width="7.08203125" style="180" customWidth="1"/>
    <col min="13560" max="13731" width="3.58203125" style="180" customWidth="1"/>
    <col min="13732" max="13762" width="8.58203125" style="180"/>
    <col min="13763" max="13763" width="1.08203125" style="180" customWidth="1"/>
    <col min="13764" max="13811" width="3.33203125" style="180" customWidth="1"/>
    <col min="13812" max="13815" width="7.08203125" style="180" customWidth="1"/>
    <col min="13816" max="13987" width="3.58203125" style="180" customWidth="1"/>
    <col min="13988" max="14018" width="8.58203125" style="180"/>
    <col min="14019" max="14019" width="1.08203125" style="180" customWidth="1"/>
    <col min="14020" max="14067" width="3.33203125" style="180" customWidth="1"/>
    <col min="14068" max="14071" width="7.08203125" style="180" customWidth="1"/>
    <col min="14072" max="14243" width="3.58203125" style="180" customWidth="1"/>
    <col min="14244" max="14274" width="8.58203125" style="180"/>
    <col min="14275" max="14275" width="1.08203125" style="180" customWidth="1"/>
    <col min="14276" max="14323" width="3.33203125" style="180" customWidth="1"/>
    <col min="14324" max="14327" width="7.08203125" style="180" customWidth="1"/>
    <col min="14328" max="14499" width="3.58203125" style="180" customWidth="1"/>
    <col min="14500" max="14530" width="8.58203125" style="180"/>
    <col min="14531" max="14531" width="1.08203125" style="180" customWidth="1"/>
    <col min="14532" max="14579" width="3.33203125" style="180" customWidth="1"/>
    <col min="14580" max="14583" width="7.08203125" style="180" customWidth="1"/>
    <col min="14584" max="14755" width="3.58203125" style="180" customWidth="1"/>
    <col min="14756" max="14786" width="8.58203125" style="180"/>
    <col min="14787" max="14787" width="1.08203125" style="180" customWidth="1"/>
    <col min="14788" max="14835" width="3.33203125" style="180" customWidth="1"/>
    <col min="14836" max="14839" width="7.08203125" style="180" customWidth="1"/>
    <col min="14840" max="15011" width="3.58203125" style="180" customWidth="1"/>
    <col min="15012" max="15042" width="8.58203125" style="180"/>
    <col min="15043" max="15043" width="1.08203125" style="180" customWidth="1"/>
    <col min="15044" max="15091" width="3.33203125" style="180" customWidth="1"/>
    <col min="15092" max="15095" width="7.08203125" style="180" customWidth="1"/>
    <col min="15096" max="15267" width="3.58203125" style="180" customWidth="1"/>
    <col min="15268" max="15298" width="8.58203125" style="180"/>
    <col min="15299" max="15299" width="1.08203125" style="180" customWidth="1"/>
    <col min="15300" max="15347" width="3.33203125" style="180" customWidth="1"/>
    <col min="15348" max="15351" width="7.08203125" style="180" customWidth="1"/>
    <col min="15352" max="15523" width="3.58203125" style="180" customWidth="1"/>
    <col min="15524" max="15554" width="8.58203125" style="180"/>
    <col min="15555" max="15555" width="1.08203125" style="180" customWidth="1"/>
    <col min="15556" max="15603" width="3.33203125" style="180" customWidth="1"/>
    <col min="15604" max="15607" width="7.08203125" style="180" customWidth="1"/>
    <col min="15608" max="15779" width="3.58203125" style="180" customWidth="1"/>
    <col min="15780" max="15810" width="8.58203125" style="180"/>
    <col min="15811" max="15811" width="1.08203125" style="180" customWidth="1"/>
    <col min="15812" max="15859" width="3.33203125" style="180" customWidth="1"/>
    <col min="15860" max="15863" width="7.08203125" style="180" customWidth="1"/>
    <col min="15864" max="16035" width="3.58203125" style="180" customWidth="1"/>
    <col min="16036" max="16066" width="8.58203125" style="180"/>
    <col min="16067" max="16067" width="1.08203125" style="180" customWidth="1"/>
    <col min="16068" max="16115" width="3.33203125" style="180" customWidth="1"/>
    <col min="16116" max="16119" width="7.08203125" style="180" customWidth="1"/>
    <col min="16120" max="16291" width="3.58203125" style="180" customWidth="1"/>
    <col min="16292" max="16384" width="8.58203125" style="180"/>
  </cols>
  <sheetData>
    <row r="1" spans="2:66" ht="12" customHeight="1"/>
    <row r="2" spans="2:66" s="225" customFormat="1" ht="17.149999999999999" customHeight="1">
      <c r="B2" s="222" t="s">
        <v>913</v>
      </c>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4"/>
      <c r="AX2" s="224"/>
      <c r="AY2" s="224"/>
    </row>
    <row r="3" spans="2:66" s="225" customFormat="1" ht="10" customHeight="1">
      <c r="B3" s="222"/>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4"/>
      <c r="AX3" s="224"/>
      <c r="AY3" s="224"/>
    </row>
    <row r="4" spans="2:66" s="225" customFormat="1" ht="17.5" customHeight="1">
      <c r="B4" s="188" t="s">
        <v>1524</v>
      </c>
      <c r="C4" s="223"/>
      <c r="D4" s="223"/>
      <c r="E4" s="223"/>
      <c r="F4" s="223"/>
      <c r="G4" s="223"/>
      <c r="H4" s="223"/>
      <c r="I4" s="223"/>
      <c r="J4" s="223"/>
      <c r="K4" s="223"/>
      <c r="L4" s="223"/>
      <c r="M4" s="223"/>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3"/>
      <c r="AR4" s="223"/>
      <c r="AS4" s="223"/>
      <c r="AT4" s="223"/>
      <c r="AU4" s="223"/>
      <c r="AV4" s="223"/>
      <c r="AW4" s="224"/>
      <c r="AX4" s="224"/>
      <c r="AY4" s="224"/>
    </row>
    <row r="5" spans="2:66">
      <c r="B5" s="188" t="s">
        <v>784</v>
      </c>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row>
    <row r="6" spans="2:66" ht="33" customHeight="1">
      <c r="B6" s="226" t="s">
        <v>151</v>
      </c>
      <c r="C6" s="1952" t="s">
        <v>1761</v>
      </c>
      <c r="D6" s="1952"/>
      <c r="E6" s="1952"/>
      <c r="F6" s="1952"/>
      <c r="G6" s="1952"/>
      <c r="H6" s="1952"/>
      <c r="I6" s="1952"/>
      <c r="J6" s="1952"/>
      <c r="K6" s="1952"/>
      <c r="L6" s="1952"/>
      <c r="M6" s="1952"/>
      <c r="N6" s="1952"/>
      <c r="O6" s="1952"/>
      <c r="P6" s="1952"/>
      <c r="Q6" s="1952"/>
      <c r="R6" s="1952"/>
      <c r="S6" s="1952"/>
      <c r="T6" s="1952"/>
      <c r="U6" s="1952"/>
      <c r="V6" s="1952"/>
      <c r="W6" s="1952"/>
      <c r="X6" s="1952"/>
      <c r="Y6" s="1952"/>
      <c r="Z6" s="1952"/>
      <c r="AA6" s="1952"/>
      <c r="AB6" s="1952"/>
      <c r="AC6" s="1952"/>
      <c r="AD6" s="1952"/>
      <c r="AE6" s="1952"/>
      <c r="AF6" s="1952"/>
      <c r="AG6" s="1952"/>
      <c r="AH6" s="1952"/>
      <c r="AI6" s="1952"/>
      <c r="AJ6" s="1952"/>
      <c r="AK6" s="1952"/>
      <c r="AL6" s="1952"/>
      <c r="AM6" s="1952"/>
      <c r="AN6" s="1952"/>
      <c r="AO6" s="1952"/>
      <c r="AP6" s="1952"/>
      <c r="AQ6" s="1952"/>
      <c r="AR6" s="1952"/>
      <c r="AS6" s="1952"/>
      <c r="AT6" s="1952"/>
      <c r="AU6" s="1952"/>
      <c r="AV6" s="1952"/>
      <c r="AW6" s="1952"/>
      <c r="AX6" s="1952"/>
      <c r="AY6" s="1952"/>
    </row>
    <row r="7" spans="2:66" ht="33" customHeight="1">
      <c r="B7" s="226" t="s">
        <v>152</v>
      </c>
      <c r="C7" s="1952" t="s">
        <v>993</v>
      </c>
      <c r="D7" s="1952"/>
      <c r="E7" s="1952"/>
      <c r="F7" s="1952"/>
      <c r="G7" s="1952"/>
      <c r="H7" s="1952"/>
      <c r="I7" s="1952"/>
      <c r="J7" s="1952"/>
      <c r="K7" s="1952"/>
      <c r="L7" s="1952"/>
      <c r="M7" s="1952"/>
      <c r="N7" s="1952"/>
      <c r="O7" s="1952"/>
      <c r="P7" s="1952"/>
      <c r="Q7" s="1952"/>
      <c r="R7" s="1952"/>
      <c r="S7" s="1952"/>
      <c r="T7" s="1952"/>
      <c r="U7" s="1952"/>
      <c r="V7" s="1952"/>
      <c r="W7" s="1952"/>
      <c r="X7" s="1952"/>
      <c r="Y7" s="1952"/>
      <c r="Z7" s="1952"/>
      <c r="AA7" s="1952"/>
      <c r="AB7" s="1952"/>
      <c r="AC7" s="1952"/>
      <c r="AD7" s="1952"/>
      <c r="AE7" s="1952"/>
      <c r="AF7" s="1952"/>
      <c r="AG7" s="1952"/>
      <c r="AH7" s="1952"/>
      <c r="AI7" s="1952"/>
      <c r="AJ7" s="1952"/>
      <c r="AK7" s="1952"/>
      <c r="AL7" s="1952"/>
      <c r="AM7" s="1952"/>
      <c r="AN7" s="1952"/>
      <c r="AO7" s="1952"/>
      <c r="AP7" s="1952"/>
      <c r="AQ7" s="1952"/>
      <c r="AR7" s="1952"/>
      <c r="AS7" s="1952"/>
      <c r="AT7" s="1952"/>
      <c r="AU7" s="1952"/>
      <c r="AV7" s="1952"/>
      <c r="AW7" s="1952"/>
      <c r="AX7" s="1952"/>
      <c r="AY7" s="1952"/>
    </row>
    <row r="8" spans="2:66" s="225" customFormat="1" ht="10" customHeight="1">
      <c r="B8" s="222"/>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3"/>
      <c r="AR8" s="223"/>
      <c r="AS8" s="223"/>
      <c r="AT8" s="223"/>
      <c r="AU8" s="223"/>
      <c r="AV8" s="223"/>
      <c r="AW8" s="224"/>
      <c r="AX8" s="224"/>
      <c r="AY8" s="224"/>
    </row>
    <row r="9" spans="2:66">
      <c r="B9" s="227" t="s">
        <v>1351</v>
      </c>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9"/>
      <c r="AK9" s="229"/>
      <c r="AL9" s="229"/>
      <c r="AM9" s="229"/>
      <c r="AN9" s="230"/>
      <c r="AO9" s="230"/>
      <c r="AP9" s="230"/>
      <c r="AQ9" s="230"/>
      <c r="AR9" s="230"/>
      <c r="AS9" s="230"/>
      <c r="AT9" s="230"/>
      <c r="AU9" s="230"/>
      <c r="AV9" s="230"/>
    </row>
    <row r="10" spans="2:66" s="218" customFormat="1" ht="33" customHeight="1">
      <c r="B10" s="231" t="s">
        <v>151</v>
      </c>
      <c r="C10" s="1948" t="s">
        <v>1350</v>
      </c>
      <c r="D10" s="1948"/>
      <c r="E10" s="1948"/>
      <c r="F10" s="1948"/>
      <c r="G10" s="1948"/>
      <c r="H10" s="1948"/>
      <c r="I10" s="1948"/>
      <c r="J10" s="1948"/>
      <c r="K10" s="1948"/>
      <c r="L10" s="1948"/>
      <c r="M10" s="1948"/>
      <c r="N10" s="1948"/>
      <c r="O10" s="1948"/>
      <c r="P10" s="1948"/>
      <c r="Q10" s="1948"/>
      <c r="R10" s="1948"/>
      <c r="S10" s="1948"/>
      <c r="T10" s="1948"/>
      <c r="U10" s="1948"/>
      <c r="V10" s="1948"/>
      <c r="W10" s="1948"/>
      <c r="X10" s="1948"/>
      <c r="Y10" s="1948"/>
      <c r="Z10" s="1948"/>
      <c r="AA10" s="1948"/>
      <c r="AB10" s="1948"/>
      <c r="AC10" s="1948"/>
      <c r="AD10" s="1948"/>
      <c r="AE10" s="1948"/>
      <c r="AF10" s="1948"/>
      <c r="AG10" s="1948"/>
      <c r="AH10" s="1948"/>
      <c r="AI10" s="1948"/>
      <c r="AJ10" s="1948"/>
      <c r="AK10" s="1948"/>
      <c r="AL10" s="1948"/>
      <c r="AM10" s="1948"/>
      <c r="AN10" s="1948"/>
      <c r="AO10" s="1948"/>
      <c r="AP10" s="1948"/>
      <c r="AQ10" s="1948"/>
      <c r="AR10" s="1948"/>
      <c r="AS10" s="1948"/>
      <c r="AT10" s="1948"/>
      <c r="AU10" s="1948"/>
      <c r="AV10" s="1948"/>
      <c r="AW10" s="1948"/>
      <c r="AX10" s="1948"/>
      <c r="AY10" s="1948"/>
      <c r="AZ10" s="232"/>
      <c r="BA10" s="232"/>
      <c r="BB10" s="232"/>
      <c r="BC10" s="232"/>
      <c r="BD10" s="232"/>
      <c r="BE10" s="232"/>
      <c r="BF10" s="232"/>
      <c r="BG10" s="232"/>
      <c r="BH10" s="232"/>
      <c r="BI10" s="232"/>
      <c r="BJ10" s="232"/>
      <c r="BK10" s="232"/>
      <c r="BL10" s="232"/>
      <c r="BM10" s="232"/>
      <c r="BN10" s="232"/>
    </row>
    <row r="11" spans="2:66" s="233" customFormat="1" ht="33" customHeight="1">
      <c r="B11" s="231" t="s">
        <v>152</v>
      </c>
      <c r="C11" s="1948" t="s">
        <v>994</v>
      </c>
      <c r="D11" s="1948"/>
      <c r="E11" s="1948"/>
      <c r="F11" s="1948"/>
      <c r="G11" s="1948"/>
      <c r="H11" s="1948"/>
      <c r="I11" s="1948"/>
      <c r="J11" s="1948"/>
      <c r="K11" s="1948"/>
      <c r="L11" s="1948"/>
      <c r="M11" s="1948"/>
      <c r="N11" s="1948"/>
      <c r="O11" s="1948"/>
      <c r="P11" s="1948"/>
      <c r="Q11" s="1948"/>
      <c r="R11" s="1948"/>
      <c r="S11" s="1948"/>
      <c r="T11" s="1948"/>
      <c r="U11" s="1948"/>
      <c r="V11" s="1948"/>
      <c r="W11" s="1948"/>
      <c r="X11" s="1948"/>
      <c r="Y11" s="1948"/>
      <c r="Z11" s="1948"/>
      <c r="AA11" s="1948"/>
      <c r="AB11" s="1948"/>
      <c r="AC11" s="1948"/>
      <c r="AD11" s="1948"/>
      <c r="AE11" s="1948"/>
      <c r="AF11" s="1948"/>
      <c r="AG11" s="1948"/>
      <c r="AH11" s="1948"/>
      <c r="AI11" s="1948"/>
      <c r="AJ11" s="1948"/>
      <c r="AK11" s="1948"/>
      <c r="AL11" s="1948"/>
      <c r="AM11" s="1948"/>
      <c r="AN11" s="1948"/>
      <c r="AO11" s="1948"/>
      <c r="AP11" s="1948"/>
      <c r="AQ11" s="1948"/>
      <c r="AR11" s="1948"/>
      <c r="AS11" s="1948"/>
      <c r="AT11" s="1948"/>
      <c r="AU11" s="1948"/>
      <c r="AV11" s="1948"/>
      <c r="AW11" s="1948"/>
      <c r="AX11" s="1948"/>
      <c r="AY11" s="1948"/>
      <c r="AZ11" s="232"/>
      <c r="BA11" s="232"/>
      <c r="BB11" s="232"/>
      <c r="BC11" s="232"/>
      <c r="BD11" s="232"/>
      <c r="BE11" s="232"/>
      <c r="BF11" s="232"/>
      <c r="BG11" s="232"/>
      <c r="BH11" s="232"/>
      <c r="BI11" s="232"/>
      <c r="BJ11" s="232"/>
      <c r="BK11" s="232"/>
      <c r="BL11" s="232"/>
      <c r="BM11" s="232"/>
      <c r="BN11" s="232"/>
    </row>
    <row r="12" spans="2:66" s="218" customFormat="1" ht="15.65" customHeight="1">
      <c r="B12" s="231" t="s">
        <v>153</v>
      </c>
      <c r="C12" s="1948" t="s">
        <v>995</v>
      </c>
      <c r="D12" s="1948"/>
      <c r="E12" s="1948"/>
      <c r="F12" s="1948"/>
      <c r="G12" s="1948"/>
      <c r="H12" s="1948"/>
      <c r="I12" s="1948"/>
      <c r="J12" s="1948"/>
      <c r="K12" s="1948"/>
      <c r="L12" s="1948"/>
      <c r="M12" s="1948"/>
      <c r="N12" s="1948"/>
      <c r="O12" s="1948"/>
      <c r="P12" s="1948"/>
      <c r="Q12" s="1948"/>
      <c r="R12" s="1948"/>
      <c r="S12" s="1948"/>
      <c r="T12" s="1948"/>
      <c r="U12" s="1948"/>
      <c r="V12" s="1948"/>
      <c r="W12" s="1948"/>
      <c r="X12" s="1948"/>
      <c r="Y12" s="1948"/>
      <c r="Z12" s="1948"/>
      <c r="AA12" s="1948"/>
      <c r="AB12" s="1948"/>
      <c r="AC12" s="1948"/>
      <c r="AD12" s="1948"/>
      <c r="AE12" s="1948"/>
      <c r="AF12" s="1948"/>
      <c r="AG12" s="1948"/>
      <c r="AH12" s="1948"/>
      <c r="AI12" s="1948"/>
      <c r="AJ12" s="1948"/>
      <c r="AK12" s="1948"/>
      <c r="AL12" s="1948"/>
      <c r="AM12" s="1948"/>
      <c r="AN12" s="1948"/>
      <c r="AO12" s="1948"/>
      <c r="AP12" s="1948"/>
      <c r="AQ12" s="1948"/>
      <c r="AR12" s="1948"/>
      <c r="AS12" s="1948"/>
      <c r="AT12" s="1948"/>
      <c r="AU12" s="1948"/>
      <c r="AV12" s="1948"/>
      <c r="AW12" s="1948"/>
      <c r="AX12" s="1948"/>
      <c r="AY12" s="1948"/>
      <c r="AZ12" s="232"/>
      <c r="BA12" s="232"/>
      <c r="BB12" s="232"/>
      <c r="BC12" s="232"/>
      <c r="BD12" s="232"/>
      <c r="BE12" s="232"/>
      <c r="BF12" s="232"/>
      <c r="BG12" s="232"/>
      <c r="BH12" s="232"/>
      <c r="BI12" s="232"/>
      <c r="BJ12" s="232"/>
      <c r="BK12" s="232"/>
      <c r="BL12" s="232"/>
      <c r="BM12" s="232"/>
      <c r="BN12" s="232"/>
    </row>
    <row r="13" spans="2:66" s="218" customFormat="1" ht="15.65" customHeight="1">
      <c r="B13" s="231" t="s">
        <v>154</v>
      </c>
      <c r="C13" s="1948" t="s">
        <v>1274</v>
      </c>
      <c r="D13" s="1948"/>
      <c r="E13" s="1948"/>
      <c r="F13" s="1948"/>
      <c r="G13" s="1948"/>
      <c r="H13" s="1948"/>
      <c r="I13" s="1948"/>
      <c r="J13" s="1948"/>
      <c r="K13" s="1948"/>
      <c r="L13" s="1948"/>
      <c r="M13" s="1948"/>
      <c r="N13" s="1948"/>
      <c r="O13" s="1948"/>
      <c r="P13" s="1948"/>
      <c r="Q13" s="1948"/>
      <c r="R13" s="1948"/>
      <c r="S13" s="1948"/>
      <c r="T13" s="1948"/>
      <c r="U13" s="1948"/>
      <c r="V13" s="1948"/>
      <c r="W13" s="1948"/>
      <c r="X13" s="1948"/>
      <c r="Y13" s="1948"/>
      <c r="Z13" s="1948"/>
      <c r="AA13" s="1948"/>
      <c r="AB13" s="1948"/>
      <c r="AC13" s="1948"/>
      <c r="AD13" s="1948"/>
      <c r="AE13" s="1948"/>
      <c r="AF13" s="1948"/>
      <c r="AG13" s="1948"/>
      <c r="AH13" s="1948"/>
      <c r="AI13" s="1948"/>
      <c r="AJ13" s="1948"/>
      <c r="AK13" s="1948"/>
      <c r="AL13" s="1948"/>
      <c r="AM13" s="1948"/>
      <c r="AN13" s="1948"/>
      <c r="AO13" s="1948"/>
      <c r="AP13" s="1948"/>
      <c r="AQ13" s="1948"/>
      <c r="AR13" s="1948"/>
      <c r="AS13" s="1948"/>
      <c r="AT13" s="1948"/>
      <c r="AU13" s="1948"/>
      <c r="AV13" s="1948"/>
      <c r="AW13" s="1948"/>
      <c r="AX13" s="1948"/>
      <c r="AY13" s="1948"/>
      <c r="AZ13" s="232"/>
      <c r="BA13" s="232"/>
      <c r="BB13" s="232"/>
      <c r="BC13" s="232"/>
      <c r="BD13" s="232"/>
      <c r="BE13" s="232"/>
      <c r="BF13" s="232"/>
      <c r="BG13" s="232"/>
      <c r="BH13" s="232"/>
      <c r="BI13" s="232"/>
      <c r="BJ13" s="232"/>
      <c r="BK13" s="232"/>
      <c r="BL13" s="232"/>
      <c r="BM13" s="232"/>
      <c r="BN13" s="232"/>
    </row>
    <row r="14" spans="2:66" s="218" customFormat="1" ht="15.65" customHeight="1">
      <c r="B14" s="231" t="s">
        <v>155</v>
      </c>
      <c r="C14" s="1948" t="s">
        <v>1273</v>
      </c>
      <c r="D14" s="1948"/>
      <c r="E14" s="1948"/>
      <c r="F14" s="1948"/>
      <c r="G14" s="1948"/>
      <c r="H14" s="1948"/>
      <c r="I14" s="1948"/>
      <c r="J14" s="1948"/>
      <c r="K14" s="1948"/>
      <c r="L14" s="1948"/>
      <c r="M14" s="1948"/>
      <c r="N14" s="1948"/>
      <c r="O14" s="1948"/>
      <c r="P14" s="1948"/>
      <c r="Q14" s="1948"/>
      <c r="R14" s="1948"/>
      <c r="S14" s="1948"/>
      <c r="T14" s="1948"/>
      <c r="U14" s="1948"/>
      <c r="V14" s="1948"/>
      <c r="W14" s="1948"/>
      <c r="X14" s="1948"/>
      <c r="Y14" s="1948"/>
      <c r="Z14" s="1948"/>
      <c r="AA14" s="1948"/>
      <c r="AB14" s="1948"/>
      <c r="AC14" s="1948"/>
      <c r="AD14" s="1948"/>
      <c r="AE14" s="1948"/>
      <c r="AF14" s="1948"/>
      <c r="AG14" s="1948"/>
      <c r="AH14" s="1948"/>
      <c r="AI14" s="1948"/>
      <c r="AJ14" s="1948"/>
      <c r="AK14" s="1948"/>
      <c r="AL14" s="1948"/>
      <c r="AM14" s="1948"/>
      <c r="AN14" s="1948"/>
      <c r="AO14" s="1948"/>
      <c r="AP14" s="1948"/>
      <c r="AQ14" s="1948"/>
      <c r="AR14" s="1948"/>
      <c r="AS14" s="1948"/>
      <c r="AT14" s="1948"/>
      <c r="AU14" s="1948"/>
      <c r="AV14" s="1948"/>
      <c r="AW14" s="1948"/>
      <c r="AX14" s="1948"/>
      <c r="AY14" s="1948"/>
      <c r="AZ14" s="232"/>
      <c r="BA14" s="232"/>
      <c r="BB14" s="232"/>
      <c r="BC14" s="232"/>
      <c r="BD14" s="232"/>
      <c r="BE14" s="232"/>
      <c r="BF14" s="232"/>
      <c r="BG14" s="232"/>
      <c r="BH14" s="232"/>
      <c r="BI14" s="232"/>
      <c r="BJ14" s="232"/>
      <c r="BK14" s="232"/>
      <c r="BL14" s="232"/>
      <c r="BM14" s="232"/>
      <c r="BN14" s="232"/>
    </row>
    <row r="15" spans="2:66" s="225" customFormat="1" ht="53.15" customHeight="1">
      <c r="B15" s="226" t="s">
        <v>156</v>
      </c>
      <c r="C15" s="1953" t="s">
        <v>1325</v>
      </c>
      <c r="D15" s="1953"/>
      <c r="E15" s="1953"/>
      <c r="F15" s="1953"/>
      <c r="G15" s="1953"/>
      <c r="H15" s="1953"/>
      <c r="I15" s="1953"/>
      <c r="J15" s="1953"/>
      <c r="K15" s="1953"/>
      <c r="L15" s="1953"/>
      <c r="M15" s="1953"/>
      <c r="N15" s="1953"/>
      <c r="O15" s="1953"/>
      <c r="P15" s="1953"/>
      <c r="Q15" s="1953"/>
      <c r="R15" s="1953"/>
      <c r="S15" s="1953"/>
      <c r="T15" s="1953"/>
      <c r="U15" s="1953"/>
      <c r="V15" s="1953"/>
      <c r="W15" s="1953"/>
      <c r="X15" s="1953"/>
      <c r="Y15" s="1953"/>
      <c r="Z15" s="1953"/>
      <c r="AA15" s="1953"/>
      <c r="AB15" s="1953"/>
      <c r="AC15" s="1953"/>
      <c r="AD15" s="1953"/>
      <c r="AE15" s="1953"/>
      <c r="AF15" s="1953"/>
      <c r="AG15" s="1953"/>
      <c r="AH15" s="1953"/>
      <c r="AI15" s="1953"/>
      <c r="AJ15" s="1953"/>
      <c r="AK15" s="1953"/>
      <c r="AL15" s="1953"/>
      <c r="AM15" s="1953"/>
      <c r="AN15" s="1953"/>
      <c r="AO15" s="1953"/>
      <c r="AP15" s="1953"/>
      <c r="AQ15" s="1953"/>
      <c r="AR15" s="1953"/>
      <c r="AS15" s="1953"/>
      <c r="AT15" s="1953"/>
      <c r="AU15" s="1953"/>
      <c r="AV15" s="1953"/>
      <c r="AW15" s="1953"/>
      <c r="AX15" s="1953"/>
      <c r="AY15" s="1953"/>
      <c r="AZ15" s="234"/>
      <c r="BA15" s="234"/>
      <c r="BB15" s="234"/>
      <c r="BC15" s="234"/>
      <c r="BD15" s="234"/>
    </row>
    <row r="16" spans="2:66" s="225" customFormat="1" ht="10" customHeight="1">
      <c r="B16" s="222"/>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c r="AD16" s="223"/>
      <c r="AE16" s="223"/>
      <c r="AF16" s="223"/>
      <c r="AG16" s="223"/>
      <c r="AH16" s="223"/>
      <c r="AI16" s="223"/>
      <c r="AJ16" s="223"/>
      <c r="AK16" s="223"/>
      <c r="AL16" s="223"/>
      <c r="AM16" s="223"/>
      <c r="AN16" s="223"/>
      <c r="AO16" s="223"/>
      <c r="AP16" s="223"/>
      <c r="AQ16" s="223"/>
      <c r="AR16" s="223"/>
      <c r="AS16" s="223"/>
      <c r="AT16" s="223"/>
      <c r="AU16" s="223"/>
      <c r="AV16" s="223"/>
      <c r="AW16" s="224"/>
      <c r="AX16" s="224"/>
      <c r="AY16" s="224"/>
    </row>
    <row r="17" spans="2:51" s="225" customFormat="1" ht="15">
      <c r="B17" s="188" t="s">
        <v>940</v>
      </c>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row>
    <row r="18" spans="2:51">
      <c r="B18" s="226" t="s">
        <v>151</v>
      </c>
      <c r="C18" s="1948" t="s">
        <v>1281</v>
      </c>
      <c r="D18" s="1948"/>
      <c r="E18" s="1948"/>
      <c r="F18" s="1948"/>
      <c r="G18" s="1948"/>
      <c r="H18" s="1948"/>
      <c r="I18" s="1948"/>
      <c r="J18" s="1948"/>
      <c r="K18" s="1948"/>
      <c r="L18" s="1948"/>
      <c r="M18" s="1948"/>
      <c r="N18" s="1948"/>
      <c r="O18" s="1948"/>
      <c r="P18" s="1948"/>
      <c r="Q18" s="1948"/>
      <c r="R18" s="1948"/>
      <c r="S18" s="1948"/>
      <c r="T18" s="1948"/>
      <c r="U18" s="1948"/>
      <c r="V18" s="1948"/>
      <c r="W18" s="1948"/>
      <c r="X18" s="1948"/>
      <c r="Y18" s="1948"/>
      <c r="Z18" s="1948"/>
      <c r="AA18" s="1948"/>
      <c r="AB18" s="1948"/>
      <c r="AC18" s="1948"/>
      <c r="AD18" s="1948"/>
      <c r="AE18" s="1948"/>
      <c r="AF18" s="1948"/>
      <c r="AG18" s="1948"/>
      <c r="AH18" s="1948"/>
      <c r="AI18" s="1948"/>
      <c r="AJ18" s="1948"/>
      <c r="AK18" s="1948"/>
      <c r="AL18" s="1948"/>
      <c r="AM18" s="1948"/>
      <c r="AN18" s="1948"/>
      <c r="AO18" s="1948"/>
      <c r="AP18" s="1948"/>
      <c r="AQ18" s="1948"/>
      <c r="AR18" s="1948"/>
      <c r="AS18" s="1948"/>
      <c r="AT18" s="1948"/>
      <c r="AU18" s="1948"/>
      <c r="AV18" s="1948"/>
      <c r="AW18" s="1948"/>
      <c r="AX18" s="1948"/>
      <c r="AY18" s="1948"/>
    </row>
    <row r="19" spans="2:51">
      <c r="B19" s="226" t="s">
        <v>152</v>
      </c>
      <c r="C19" s="1948" t="s">
        <v>996</v>
      </c>
      <c r="D19" s="1948"/>
      <c r="E19" s="1948"/>
      <c r="F19" s="1948"/>
      <c r="G19" s="1948"/>
      <c r="H19" s="1948"/>
      <c r="I19" s="1948"/>
      <c r="J19" s="1948"/>
      <c r="K19" s="1948"/>
      <c r="L19" s="1948"/>
      <c r="M19" s="1948"/>
      <c r="N19" s="1948"/>
      <c r="O19" s="1948"/>
      <c r="P19" s="1948"/>
      <c r="Q19" s="1948"/>
      <c r="R19" s="1948"/>
      <c r="S19" s="1948"/>
      <c r="T19" s="1948"/>
      <c r="U19" s="1948"/>
      <c r="V19" s="1948"/>
      <c r="W19" s="1948"/>
      <c r="X19" s="1948"/>
      <c r="Y19" s="1948"/>
      <c r="Z19" s="1948"/>
      <c r="AA19" s="1948"/>
      <c r="AB19" s="1948"/>
      <c r="AC19" s="1948"/>
      <c r="AD19" s="1948"/>
      <c r="AE19" s="1948"/>
      <c r="AF19" s="1948"/>
      <c r="AG19" s="1948"/>
      <c r="AH19" s="1948"/>
      <c r="AI19" s="1948"/>
      <c r="AJ19" s="1948"/>
      <c r="AK19" s="1948"/>
      <c r="AL19" s="1948"/>
      <c r="AM19" s="1948"/>
      <c r="AN19" s="1948"/>
      <c r="AO19" s="1948"/>
      <c r="AP19" s="1948"/>
      <c r="AQ19" s="1948"/>
      <c r="AR19" s="1948"/>
      <c r="AS19" s="1948"/>
      <c r="AT19" s="1948"/>
      <c r="AU19" s="1948"/>
      <c r="AV19" s="1948"/>
      <c r="AW19" s="1948"/>
      <c r="AX19" s="1948"/>
      <c r="AY19" s="1948"/>
    </row>
    <row r="20" spans="2:51">
      <c r="B20" s="226" t="s">
        <v>153</v>
      </c>
      <c r="C20" s="1948" t="s">
        <v>997</v>
      </c>
      <c r="D20" s="1948"/>
      <c r="E20" s="1948"/>
      <c r="F20" s="1948"/>
      <c r="G20" s="1948"/>
      <c r="H20" s="1948"/>
      <c r="I20" s="1948"/>
      <c r="J20" s="1948"/>
      <c r="K20" s="1948"/>
      <c r="L20" s="1948"/>
      <c r="M20" s="1948"/>
      <c r="N20" s="1948"/>
      <c r="O20" s="1948"/>
      <c r="P20" s="1948"/>
      <c r="Q20" s="1948"/>
      <c r="R20" s="1948"/>
      <c r="S20" s="1948"/>
      <c r="T20" s="1948"/>
      <c r="U20" s="1948"/>
      <c r="V20" s="1948"/>
      <c r="W20" s="1948"/>
      <c r="X20" s="1948"/>
      <c r="Y20" s="1948"/>
      <c r="Z20" s="1948"/>
      <c r="AA20" s="1948"/>
      <c r="AB20" s="1948"/>
      <c r="AC20" s="1948"/>
      <c r="AD20" s="1948"/>
      <c r="AE20" s="1948"/>
      <c r="AF20" s="1948"/>
      <c r="AG20" s="1948"/>
      <c r="AH20" s="1948"/>
      <c r="AI20" s="1948"/>
      <c r="AJ20" s="1948"/>
      <c r="AK20" s="1948"/>
      <c r="AL20" s="1948"/>
      <c r="AM20" s="1948"/>
      <c r="AN20" s="1948"/>
      <c r="AO20" s="1948"/>
      <c r="AP20" s="1948"/>
      <c r="AQ20" s="1948"/>
      <c r="AR20" s="1948"/>
      <c r="AS20" s="1948"/>
      <c r="AT20" s="1948"/>
      <c r="AU20" s="1948"/>
      <c r="AV20" s="1948"/>
      <c r="AW20" s="1948"/>
      <c r="AX20" s="1948"/>
      <c r="AY20" s="1948"/>
    </row>
    <row r="21" spans="2:51" ht="33" customHeight="1">
      <c r="B21" s="226" t="s">
        <v>154</v>
      </c>
      <c r="C21" s="1948" t="s">
        <v>998</v>
      </c>
      <c r="D21" s="1948"/>
      <c r="E21" s="1948"/>
      <c r="F21" s="1948"/>
      <c r="G21" s="1948"/>
      <c r="H21" s="1948"/>
      <c r="I21" s="1948"/>
      <c r="J21" s="1948"/>
      <c r="K21" s="1948"/>
      <c r="L21" s="1948"/>
      <c r="M21" s="1948"/>
      <c r="N21" s="1948"/>
      <c r="O21" s="1948"/>
      <c r="P21" s="1948"/>
      <c r="Q21" s="1948"/>
      <c r="R21" s="1948"/>
      <c r="S21" s="1948"/>
      <c r="T21" s="1948"/>
      <c r="U21" s="1948"/>
      <c r="V21" s="1948"/>
      <c r="W21" s="1948"/>
      <c r="X21" s="1948"/>
      <c r="Y21" s="1948"/>
      <c r="Z21" s="1948"/>
      <c r="AA21" s="1948"/>
      <c r="AB21" s="1948"/>
      <c r="AC21" s="1948"/>
      <c r="AD21" s="1948"/>
      <c r="AE21" s="1948"/>
      <c r="AF21" s="1948"/>
      <c r="AG21" s="1948"/>
      <c r="AH21" s="1948"/>
      <c r="AI21" s="1948"/>
      <c r="AJ21" s="1948"/>
      <c r="AK21" s="1948"/>
      <c r="AL21" s="1948"/>
      <c r="AM21" s="1948"/>
      <c r="AN21" s="1948"/>
      <c r="AO21" s="1948"/>
      <c r="AP21" s="1948"/>
      <c r="AQ21" s="1948"/>
      <c r="AR21" s="1948"/>
      <c r="AS21" s="1948"/>
      <c r="AT21" s="1948"/>
      <c r="AU21" s="1948"/>
      <c r="AV21" s="1948"/>
      <c r="AW21" s="1948"/>
      <c r="AX21" s="1948"/>
      <c r="AY21" s="1948"/>
    </row>
    <row r="22" spans="2:51">
      <c r="B22" s="226" t="s">
        <v>155</v>
      </c>
      <c r="C22" s="1948" t="s">
        <v>999</v>
      </c>
      <c r="D22" s="1948"/>
      <c r="E22" s="1948"/>
      <c r="F22" s="1948"/>
      <c r="G22" s="1948"/>
      <c r="H22" s="1948"/>
      <c r="I22" s="1948"/>
      <c r="J22" s="1948"/>
      <c r="K22" s="1948"/>
      <c r="L22" s="1948"/>
      <c r="M22" s="1948"/>
      <c r="N22" s="1948"/>
      <c r="O22" s="1948"/>
      <c r="P22" s="1948"/>
      <c r="Q22" s="1948"/>
      <c r="R22" s="1948"/>
      <c r="S22" s="1948"/>
      <c r="T22" s="1948"/>
      <c r="U22" s="1948"/>
      <c r="V22" s="1948"/>
      <c r="W22" s="1948"/>
      <c r="X22" s="1948"/>
      <c r="Y22" s="1948"/>
      <c r="Z22" s="1948"/>
      <c r="AA22" s="1948"/>
      <c r="AB22" s="1948"/>
      <c r="AC22" s="1948"/>
      <c r="AD22" s="1948"/>
      <c r="AE22" s="1948"/>
      <c r="AF22" s="1948"/>
      <c r="AG22" s="1948"/>
      <c r="AH22" s="1948"/>
      <c r="AI22" s="1948"/>
      <c r="AJ22" s="1948"/>
      <c r="AK22" s="1948"/>
      <c r="AL22" s="1948"/>
      <c r="AM22" s="1948"/>
      <c r="AN22" s="1948"/>
      <c r="AO22" s="1948"/>
      <c r="AP22" s="1948"/>
      <c r="AQ22" s="1948"/>
      <c r="AR22" s="1948"/>
      <c r="AS22" s="1948"/>
      <c r="AT22" s="1948"/>
      <c r="AU22" s="1948"/>
      <c r="AV22" s="1948"/>
      <c r="AW22" s="1948"/>
      <c r="AX22" s="1948"/>
      <c r="AY22" s="1948"/>
    </row>
    <row r="23" spans="2:51" ht="50.15" customHeight="1">
      <c r="B23" s="226" t="s">
        <v>156</v>
      </c>
      <c r="C23" s="1948" t="s">
        <v>1000</v>
      </c>
      <c r="D23" s="1948"/>
      <c r="E23" s="1948"/>
      <c r="F23" s="1948"/>
      <c r="G23" s="1948"/>
      <c r="H23" s="1948"/>
      <c r="I23" s="1948"/>
      <c r="J23" s="1948"/>
      <c r="K23" s="1948"/>
      <c r="L23" s="1948"/>
      <c r="M23" s="1948"/>
      <c r="N23" s="1948"/>
      <c r="O23" s="1948"/>
      <c r="P23" s="1948"/>
      <c r="Q23" s="1948"/>
      <c r="R23" s="1948"/>
      <c r="S23" s="1948"/>
      <c r="T23" s="1948"/>
      <c r="U23" s="1948"/>
      <c r="V23" s="1948"/>
      <c r="W23" s="1948"/>
      <c r="X23" s="1948"/>
      <c r="Y23" s="1948"/>
      <c r="Z23" s="1948"/>
      <c r="AA23" s="1948"/>
      <c r="AB23" s="1948"/>
      <c r="AC23" s="1948"/>
      <c r="AD23" s="1948"/>
      <c r="AE23" s="1948"/>
      <c r="AF23" s="1948"/>
      <c r="AG23" s="1948"/>
      <c r="AH23" s="1948"/>
      <c r="AI23" s="1948"/>
      <c r="AJ23" s="1948"/>
      <c r="AK23" s="1948"/>
      <c r="AL23" s="1948"/>
      <c r="AM23" s="1948"/>
      <c r="AN23" s="1948"/>
      <c r="AO23" s="1948"/>
      <c r="AP23" s="1948"/>
      <c r="AQ23" s="1948"/>
      <c r="AR23" s="1948"/>
      <c r="AS23" s="1948"/>
      <c r="AT23" s="1948"/>
      <c r="AU23" s="1948"/>
      <c r="AV23" s="1948"/>
      <c r="AW23" s="1948"/>
      <c r="AX23" s="1948"/>
      <c r="AY23" s="1948"/>
    </row>
    <row r="24" spans="2:51">
      <c r="B24" s="226" t="s">
        <v>157</v>
      </c>
      <c r="C24" s="1948" t="s">
        <v>1284</v>
      </c>
      <c r="D24" s="1948"/>
      <c r="E24" s="1948"/>
      <c r="F24" s="1948"/>
      <c r="G24" s="1948"/>
      <c r="H24" s="1948"/>
      <c r="I24" s="1948"/>
      <c r="J24" s="1948"/>
      <c r="K24" s="1948"/>
      <c r="L24" s="1948"/>
      <c r="M24" s="1948"/>
      <c r="N24" s="1948"/>
      <c r="O24" s="1948"/>
      <c r="P24" s="1948"/>
      <c r="Q24" s="1948"/>
      <c r="R24" s="1948"/>
      <c r="S24" s="1948"/>
      <c r="T24" s="1948"/>
      <c r="U24" s="1948"/>
      <c r="V24" s="1948"/>
      <c r="W24" s="1948"/>
      <c r="X24" s="1948"/>
      <c r="Y24" s="1948"/>
      <c r="Z24" s="1948"/>
      <c r="AA24" s="1948"/>
      <c r="AB24" s="1948"/>
      <c r="AC24" s="1948"/>
      <c r="AD24" s="1948"/>
      <c r="AE24" s="1948"/>
      <c r="AF24" s="1948"/>
      <c r="AG24" s="1948"/>
      <c r="AH24" s="1948"/>
      <c r="AI24" s="1948"/>
      <c r="AJ24" s="1948"/>
      <c r="AK24" s="1948"/>
      <c r="AL24" s="1948"/>
      <c r="AM24" s="1948"/>
      <c r="AN24" s="1948"/>
      <c r="AO24" s="1948"/>
      <c r="AP24" s="1948"/>
      <c r="AQ24" s="1948"/>
      <c r="AR24" s="1948"/>
      <c r="AS24" s="1948"/>
      <c r="AT24" s="1948"/>
      <c r="AU24" s="1948"/>
      <c r="AV24" s="1948"/>
      <c r="AW24" s="1948"/>
      <c r="AX24" s="1948"/>
      <c r="AY24" s="1948"/>
    </row>
    <row r="25" spans="2:51" ht="31" customHeight="1">
      <c r="B25" s="226" t="s">
        <v>158</v>
      </c>
      <c r="C25" s="1948" t="s">
        <v>1285</v>
      </c>
      <c r="D25" s="1948"/>
      <c r="E25" s="1948"/>
      <c r="F25" s="1948"/>
      <c r="G25" s="1948"/>
      <c r="H25" s="1948"/>
      <c r="I25" s="1948"/>
      <c r="J25" s="1948"/>
      <c r="K25" s="1948"/>
      <c r="L25" s="1948"/>
      <c r="M25" s="1948"/>
      <c r="N25" s="1948"/>
      <c r="O25" s="1948"/>
      <c r="P25" s="1948"/>
      <c r="Q25" s="1948"/>
      <c r="R25" s="1948"/>
      <c r="S25" s="1948"/>
      <c r="T25" s="1948"/>
      <c r="U25" s="1948"/>
      <c r="V25" s="1948"/>
      <c r="W25" s="1948"/>
      <c r="X25" s="1948"/>
      <c r="Y25" s="1948"/>
      <c r="Z25" s="1948"/>
      <c r="AA25" s="1948"/>
      <c r="AB25" s="1948"/>
      <c r="AC25" s="1948"/>
      <c r="AD25" s="1948"/>
      <c r="AE25" s="1948"/>
      <c r="AF25" s="1948"/>
      <c r="AG25" s="1948"/>
      <c r="AH25" s="1948"/>
      <c r="AI25" s="1948"/>
      <c r="AJ25" s="1948"/>
      <c r="AK25" s="1948"/>
      <c r="AL25" s="1948"/>
      <c r="AM25" s="1948"/>
      <c r="AN25" s="1948"/>
      <c r="AO25" s="1948"/>
      <c r="AP25" s="1948"/>
      <c r="AQ25" s="1948"/>
      <c r="AR25" s="1948"/>
      <c r="AS25" s="1948"/>
      <c r="AT25" s="1948"/>
      <c r="AU25" s="1948"/>
      <c r="AV25" s="1948"/>
      <c r="AW25" s="1948"/>
      <c r="AX25" s="1948"/>
      <c r="AY25" s="1948"/>
    </row>
    <row r="26" spans="2:51">
      <c r="B26" s="226" t="s">
        <v>159</v>
      </c>
      <c r="C26" s="1948" t="s">
        <v>1282</v>
      </c>
      <c r="D26" s="1948"/>
      <c r="E26" s="1948"/>
      <c r="F26" s="1948"/>
      <c r="G26" s="1948"/>
      <c r="H26" s="1948"/>
      <c r="I26" s="1948"/>
      <c r="J26" s="1948"/>
      <c r="K26" s="1948"/>
      <c r="L26" s="1948"/>
      <c r="M26" s="1948"/>
      <c r="N26" s="1948"/>
      <c r="O26" s="1948"/>
      <c r="P26" s="1948"/>
      <c r="Q26" s="1948"/>
      <c r="R26" s="1948"/>
      <c r="S26" s="1948"/>
      <c r="T26" s="1948"/>
      <c r="U26" s="1948"/>
      <c r="V26" s="1948"/>
      <c r="W26" s="1948"/>
      <c r="X26" s="1948"/>
      <c r="Y26" s="1948"/>
      <c r="Z26" s="1948"/>
      <c r="AA26" s="1948"/>
      <c r="AB26" s="1948"/>
      <c r="AC26" s="1948"/>
      <c r="AD26" s="1948"/>
      <c r="AE26" s="1948"/>
      <c r="AF26" s="1948"/>
      <c r="AG26" s="1948"/>
      <c r="AH26" s="1948"/>
      <c r="AI26" s="1948"/>
      <c r="AJ26" s="1948"/>
      <c r="AK26" s="1948"/>
      <c r="AL26" s="1948"/>
      <c r="AM26" s="1948"/>
      <c r="AN26" s="1948"/>
      <c r="AO26" s="1948"/>
      <c r="AP26" s="1948"/>
      <c r="AQ26" s="1948"/>
      <c r="AR26" s="1948"/>
      <c r="AS26" s="1948"/>
      <c r="AT26" s="1948"/>
      <c r="AU26" s="1948"/>
      <c r="AV26" s="1948"/>
      <c r="AW26" s="1948"/>
      <c r="AX26" s="1948"/>
      <c r="AY26" s="1948"/>
    </row>
    <row r="27" spans="2:51" ht="33" customHeight="1">
      <c r="B27" s="226" t="s">
        <v>160</v>
      </c>
      <c r="C27" s="1948" t="s">
        <v>1001</v>
      </c>
      <c r="D27" s="1948"/>
      <c r="E27" s="1948"/>
      <c r="F27" s="1948"/>
      <c r="G27" s="1948"/>
      <c r="H27" s="1948"/>
      <c r="I27" s="1948"/>
      <c r="J27" s="1948"/>
      <c r="K27" s="1948"/>
      <c r="L27" s="1948"/>
      <c r="M27" s="1948"/>
      <c r="N27" s="1948"/>
      <c r="O27" s="1948"/>
      <c r="P27" s="1948"/>
      <c r="Q27" s="1948"/>
      <c r="R27" s="1948"/>
      <c r="S27" s="1948"/>
      <c r="T27" s="1948"/>
      <c r="U27" s="1948"/>
      <c r="V27" s="1948"/>
      <c r="W27" s="1948"/>
      <c r="X27" s="1948"/>
      <c r="Y27" s="1948"/>
      <c r="Z27" s="1948"/>
      <c r="AA27" s="1948"/>
      <c r="AB27" s="1948"/>
      <c r="AC27" s="1948"/>
      <c r="AD27" s="1948"/>
      <c r="AE27" s="1948"/>
      <c r="AF27" s="1948"/>
      <c r="AG27" s="1948"/>
      <c r="AH27" s="1948"/>
      <c r="AI27" s="1948"/>
      <c r="AJ27" s="1948"/>
      <c r="AK27" s="1948"/>
      <c r="AL27" s="1948"/>
      <c r="AM27" s="1948"/>
      <c r="AN27" s="1948"/>
      <c r="AO27" s="1948"/>
      <c r="AP27" s="1948"/>
      <c r="AQ27" s="1948"/>
      <c r="AR27" s="1948"/>
      <c r="AS27" s="1948"/>
      <c r="AT27" s="1948"/>
      <c r="AU27" s="1948"/>
      <c r="AV27" s="1948"/>
      <c r="AW27" s="1948"/>
      <c r="AX27" s="1948"/>
      <c r="AY27" s="1948"/>
    </row>
    <row r="28" spans="2:51">
      <c r="B28" s="226"/>
      <c r="C28" s="1950" t="s">
        <v>978</v>
      </c>
      <c r="D28" s="1950"/>
      <c r="E28" s="1951" t="s">
        <v>1261</v>
      </c>
      <c r="F28" s="1951"/>
      <c r="G28" s="1951"/>
      <c r="H28" s="1951"/>
      <c r="I28" s="1951"/>
      <c r="J28" s="1951"/>
      <c r="K28" s="1951"/>
      <c r="L28" s="1951"/>
      <c r="M28" s="1951"/>
      <c r="N28" s="1951"/>
      <c r="O28" s="1951"/>
      <c r="P28" s="1951"/>
      <c r="Q28" s="1951"/>
      <c r="R28" s="1951"/>
      <c r="S28" s="1951"/>
      <c r="T28" s="1951"/>
      <c r="U28" s="1951"/>
      <c r="V28" s="1951"/>
      <c r="W28" s="1951"/>
      <c r="X28" s="1951"/>
      <c r="Y28" s="1951"/>
      <c r="Z28" s="1951"/>
      <c r="AA28" s="1951"/>
      <c r="AB28" s="1951"/>
      <c r="AC28" s="1951"/>
      <c r="AD28" s="1951"/>
      <c r="AE28" s="1951"/>
      <c r="AF28" s="1951"/>
      <c r="AG28" s="1951"/>
      <c r="AH28" s="1951"/>
      <c r="AI28" s="1951"/>
      <c r="AJ28" s="1951"/>
      <c r="AK28" s="1951"/>
      <c r="AL28" s="1951"/>
      <c r="AM28" s="1951"/>
      <c r="AN28" s="1951"/>
      <c r="AO28" s="1951"/>
      <c r="AP28" s="1951"/>
      <c r="AQ28" s="1951"/>
      <c r="AR28" s="1951"/>
      <c r="AS28" s="1951"/>
      <c r="AT28" s="1951"/>
      <c r="AU28" s="1951"/>
      <c r="AV28" s="1951"/>
      <c r="AW28" s="1951"/>
      <c r="AX28" s="1951"/>
      <c r="AY28" s="1951"/>
    </row>
    <row r="29" spans="2:51" ht="33" customHeight="1">
      <c r="B29" s="226" t="s">
        <v>161</v>
      </c>
      <c r="C29" s="1948" t="s">
        <v>1002</v>
      </c>
      <c r="D29" s="1948"/>
      <c r="E29" s="1948"/>
      <c r="F29" s="1948"/>
      <c r="G29" s="1948"/>
      <c r="H29" s="1948"/>
      <c r="I29" s="1948"/>
      <c r="J29" s="1948"/>
      <c r="K29" s="1948"/>
      <c r="L29" s="1948"/>
      <c r="M29" s="1948"/>
      <c r="N29" s="1948"/>
      <c r="O29" s="1948"/>
      <c r="P29" s="1948"/>
      <c r="Q29" s="1948"/>
      <c r="R29" s="1948"/>
      <c r="S29" s="1948"/>
      <c r="T29" s="1948"/>
      <c r="U29" s="1948"/>
      <c r="V29" s="1948"/>
      <c r="W29" s="1948"/>
      <c r="X29" s="1948"/>
      <c r="Y29" s="1948"/>
      <c r="Z29" s="1948"/>
      <c r="AA29" s="1948"/>
      <c r="AB29" s="1948"/>
      <c r="AC29" s="1948"/>
      <c r="AD29" s="1948"/>
      <c r="AE29" s="1948"/>
      <c r="AF29" s="1948"/>
      <c r="AG29" s="1948"/>
      <c r="AH29" s="1948"/>
      <c r="AI29" s="1948"/>
      <c r="AJ29" s="1948"/>
      <c r="AK29" s="1948"/>
      <c r="AL29" s="1948"/>
      <c r="AM29" s="1948"/>
      <c r="AN29" s="1948"/>
      <c r="AO29" s="1948"/>
      <c r="AP29" s="1948"/>
      <c r="AQ29" s="1948"/>
      <c r="AR29" s="1948"/>
      <c r="AS29" s="1948"/>
      <c r="AT29" s="1948"/>
      <c r="AU29" s="1948"/>
      <c r="AV29" s="1948"/>
      <c r="AW29" s="1948"/>
      <c r="AX29" s="1948"/>
      <c r="AY29" s="1948"/>
    </row>
    <row r="30" spans="2:51" ht="10" customHeight="1">
      <c r="B30" s="236"/>
      <c r="C30" s="1949"/>
      <c r="D30" s="1949"/>
      <c r="E30" s="1949"/>
      <c r="F30" s="1949"/>
      <c r="G30" s="1949"/>
      <c r="H30" s="1949"/>
      <c r="I30" s="1949"/>
      <c r="J30" s="1949"/>
      <c r="K30" s="1949"/>
      <c r="L30" s="1949"/>
      <c r="M30" s="1949"/>
      <c r="N30" s="1949"/>
      <c r="O30" s="1949"/>
      <c r="P30" s="1949"/>
      <c r="Q30" s="1949"/>
      <c r="R30" s="1949"/>
      <c r="S30" s="1949"/>
      <c r="T30" s="1949"/>
      <c r="U30" s="1949"/>
      <c r="V30" s="1949"/>
      <c r="W30" s="1949"/>
      <c r="X30" s="1949"/>
      <c r="Y30" s="1949"/>
      <c r="Z30" s="1949"/>
      <c r="AA30" s="1949"/>
      <c r="AB30" s="1949"/>
      <c r="AC30" s="1949"/>
      <c r="AD30" s="1949"/>
      <c r="AE30" s="1949"/>
      <c r="AF30" s="1949"/>
      <c r="AG30" s="1949"/>
      <c r="AH30" s="1949"/>
      <c r="AI30" s="1949"/>
      <c r="AJ30" s="1949"/>
      <c r="AK30" s="1949"/>
      <c r="AL30" s="1949"/>
      <c r="AM30" s="1949"/>
      <c r="AN30" s="1949"/>
      <c r="AO30" s="1949"/>
      <c r="AP30" s="1949"/>
      <c r="AQ30" s="1949"/>
      <c r="AR30" s="1949"/>
      <c r="AS30" s="1949"/>
      <c r="AT30" s="1949"/>
      <c r="AU30" s="1949"/>
      <c r="AV30" s="1949"/>
    </row>
    <row r="31" spans="2:51" s="237" customFormat="1" ht="15">
      <c r="B31" s="188" t="s">
        <v>941</v>
      </c>
      <c r="D31" s="235"/>
      <c r="E31" s="235"/>
      <c r="F31" s="235"/>
      <c r="G31" s="235"/>
      <c r="H31" s="235"/>
      <c r="I31" s="235"/>
      <c r="J31" s="235"/>
      <c r="K31" s="235"/>
      <c r="L31" s="235"/>
      <c r="M31" s="235"/>
      <c r="N31" s="235"/>
      <c r="O31" s="235"/>
      <c r="P31" s="235"/>
      <c r="Q31" s="235"/>
      <c r="R31" s="235"/>
      <c r="S31" s="235"/>
      <c r="T31" s="235"/>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row>
    <row r="32" spans="2:51" ht="33" customHeight="1">
      <c r="B32" s="226" t="s">
        <v>151</v>
      </c>
      <c r="C32" s="1948" t="s">
        <v>1003</v>
      </c>
      <c r="D32" s="1948"/>
      <c r="E32" s="1948"/>
      <c r="F32" s="1948"/>
      <c r="G32" s="1948"/>
      <c r="H32" s="1948"/>
      <c r="I32" s="1948"/>
      <c r="J32" s="1948"/>
      <c r="K32" s="1948"/>
      <c r="L32" s="1948"/>
      <c r="M32" s="1948"/>
      <c r="N32" s="1948"/>
      <c r="O32" s="1948"/>
      <c r="P32" s="1948"/>
      <c r="Q32" s="1948"/>
      <c r="R32" s="1948"/>
      <c r="S32" s="1948"/>
      <c r="T32" s="1948"/>
      <c r="U32" s="1948"/>
      <c r="V32" s="1948"/>
      <c r="W32" s="1948"/>
      <c r="X32" s="1948"/>
      <c r="Y32" s="1948"/>
      <c r="Z32" s="1948"/>
      <c r="AA32" s="1948"/>
      <c r="AB32" s="1948"/>
      <c r="AC32" s="1948"/>
      <c r="AD32" s="1948"/>
      <c r="AE32" s="1948"/>
      <c r="AF32" s="1948"/>
      <c r="AG32" s="1948"/>
      <c r="AH32" s="1948"/>
      <c r="AI32" s="1948"/>
      <c r="AJ32" s="1948"/>
      <c r="AK32" s="1948"/>
      <c r="AL32" s="1948"/>
      <c r="AM32" s="1948"/>
      <c r="AN32" s="1948"/>
      <c r="AO32" s="1948"/>
      <c r="AP32" s="1948"/>
      <c r="AQ32" s="1948"/>
      <c r="AR32" s="1948"/>
      <c r="AS32" s="1948"/>
      <c r="AT32" s="1948"/>
      <c r="AU32" s="1948"/>
      <c r="AV32" s="1948"/>
      <c r="AW32" s="1948"/>
      <c r="AX32" s="1948"/>
      <c r="AY32" s="1948"/>
    </row>
    <row r="33" spans="2:51">
      <c r="B33" s="226" t="s">
        <v>152</v>
      </c>
      <c r="C33" s="1948" t="s">
        <v>1004</v>
      </c>
      <c r="D33" s="1948"/>
      <c r="E33" s="1948"/>
      <c r="F33" s="1948"/>
      <c r="G33" s="1948"/>
      <c r="H33" s="1948"/>
      <c r="I33" s="1948"/>
      <c r="J33" s="1948"/>
      <c r="K33" s="1948"/>
      <c r="L33" s="1948"/>
      <c r="M33" s="1948"/>
      <c r="N33" s="1948"/>
      <c r="O33" s="1948"/>
      <c r="P33" s="1948"/>
      <c r="Q33" s="1948"/>
      <c r="R33" s="1948"/>
      <c r="S33" s="1948"/>
      <c r="T33" s="1948"/>
      <c r="U33" s="1948"/>
      <c r="V33" s="1948"/>
      <c r="W33" s="1948"/>
      <c r="X33" s="1948"/>
      <c r="Y33" s="1948"/>
      <c r="Z33" s="1948"/>
      <c r="AA33" s="1948"/>
      <c r="AB33" s="1948"/>
      <c r="AC33" s="1948"/>
      <c r="AD33" s="1948"/>
      <c r="AE33" s="1948"/>
      <c r="AF33" s="1948"/>
      <c r="AG33" s="1948"/>
      <c r="AH33" s="1948"/>
      <c r="AI33" s="1948"/>
      <c r="AJ33" s="1948"/>
      <c r="AK33" s="1948"/>
      <c r="AL33" s="1948"/>
      <c r="AM33" s="1948"/>
      <c r="AN33" s="1948"/>
      <c r="AO33" s="1948"/>
      <c r="AP33" s="1948"/>
      <c r="AQ33" s="1948"/>
      <c r="AR33" s="1948"/>
      <c r="AS33" s="1948"/>
      <c r="AT33" s="1948"/>
      <c r="AU33" s="1948"/>
      <c r="AV33" s="1948"/>
      <c r="AW33" s="1948"/>
      <c r="AX33" s="1948"/>
      <c r="AY33" s="1948"/>
    </row>
    <row r="34" spans="2:51" ht="33" customHeight="1">
      <c r="B34" s="226" t="s">
        <v>153</v>
      </c>
      <c r="C34" s="1948" t="s">
        <v>1280</v>
      </c>
      <c r="D34" s="1948"/>
      <c r="E34" s="1948"/>
      <c r="F34" s="1948"/>
      <c r="G34" s="1948"/>
      <c r="H34" s="1948"/>
      <c r="I34" s="1948"/>
      <c r="J34" s="1948"/>
      <c r="K34" s="1948"/>
      <c r="L34" s="1948"/>
      <c r="M34" s="1948"/>
      <c r="N34" s="1948"/>
      <c r="O34" s="1948"/>
      <c r="P34" s="1948"/>
      <c r="Q34" s="1948"/>
      <c r="R34" s="1948"/>
      <c r="S34" s="1948"/>
      <c r="T34" s="1948"/>
      <c r="U34" s="1948"/>
      <c r="V34" s="1948"/>
      <c r="W34" s="1948"/>
      <c r="X34" s="1948"/>
      <c r="Y34" s="1948"/>
      <c r="Z34" s="1948"/>
      <c r="AA34" s="1948"/>
      <c r="AB34" s="1948"/>
      <c r="AC34" s="1948"/>
      <c r="AD34" s="1948"/>
      <c r="AE34" s="1948"/>
      <c r="AF34" s="1948"/>
      <c r="AG34" s="1948"/>
      <c r="AH34" s="1948"/>
      <c r="AI34" s="1948"/>
      <c r="AJ34" s="1948"/>
      <c r="AK34" s="1948"/>
      <c r="AL34" s="1948"/>
      <c r="AM34" s="1948"/>
      <c r="AN34" s="1948"/>
      <c r="AO34" s="1948"/>
      <c r="AP34" s="1948"/>
      <c r="AQ34" s="1948"/>
      <c r="AR34" s="1948"/>
      <c r="AS34" s="1948"/>
      <c r="AT34" s="1948"/>
      <c r="AU34" s="1948"/>
      <c r="AV34" s="1948"/>
      <c r="AW34" s="1948"/>
      <c r="AX34" s="1948"/>
      <c r="AY34" s="1948"/>
    </row>
    <row r="35" spans="2:51" ht="50.15" customHeight="1">
      <c r="B35" s="226" t="s">
        <v>154</v>
      </c>
      <c r="C35" s="1948" t="s">
        <v>1283</v>
      </c>
      <c r="D35" s="1948"/>
      <c r="E35" s="1948"/>
      <c r="F35" s="1948"/>
      <c r="G35" s="1948"/>
      <c r="H35" s="1948"/>
      <c r="I35" s="1948"/>
      <c r="J35" s="1948"/>
      <c r="K35" s="1948"/>
      <c r="L35" s="1948"/>
      <c r="M35" s="1948"/>
      <c r="N35" s="1948"/>
      <c r="O35" s="1948"/>
      <c r="P35" s="1948"/>
      <c r="Q35" s="1948"/>
      <c r="R35" s="1948"/>
      <c r="S35" s="1948"/>
      <c r="T35" s="1948"/>
      <c r="U35" s="1948"/>
      <c r="V35" s="1948"/>
      <c r="W35" s="1948"/>
      <c r="X35" s="1948"/>
      <c r="Y35" s="1948"/>
      <c r="Z35" s="1948"/>
      <c r="AA35" s="1948"/>
      <c r="AB35" s="1948"/>
      <c r="AC35" s="1948"/>
      <c r="AD35" s="1948"/>
      <c r="AE35" s="1948"/>
      <c r="AF35" s="1948"/>
      <c r="AG35" s="1948"/>
      <c r="AH35" s="1948"/>
      <c r="AI35" s="1948"/>
      <c r="AJ35" s="1948"/>
      <c r="AK35" s="1948"/>
      <c r="AL35" s="1948"/>
      <c r="AM35" s="1948"/>
      <c r="AN35" s="1948"/>
      <c r="AO35" s="1948"/>
      <c r="AP35" s="1948"/>
      <c r="AQ35" s="1948"/>
      <c r="AR35" s="1948"/>
      <c r="AS35" s="1948"/>
      <c r="AT35" s="1948"/>
      <c r="AU35" s="1948"/>
      <c r="AV35" s="1948"/>
      <c r="AW35" s="1948"/>
      <c r="AX35" s="1948"/>
      <c r="AY35" s="1948"/>
    </row>
    <row r="36" spans="2:51">
      <c r="B36" s="226" t="s">
        <v>155</v>
      </c>
      <c r="C36" s="1948" t="s">
        <v>1005</v>
      </c>
      <c r="D36" s="1948"/>
      <c r="E36" s="1948"/>
      <c r="F36" s="1948"/>
      <c r="G36" s="1948"/>
      <c r="H36" s="1948"/>
      <c r="I36" s="1948"/>
      <c r="J36" s="1948"/>
      <c r="K36" s="1948"/>
      <c r="L36" s="1948"/>
      <c r="M36" s="1948"/>
      <c r="N36" s="1948"/>
      <c r="O36" s="1948"/>
      <c r="P36" s="1948"/>
      <c r="Q36" s="1948"/>
      <c r="R36" s="1948"/>
      <c r="S36" s="1948"/>
      <c r="T36" s="1948"/>
      <c r="U36" s="1948"/>
      <c r="V36" s="1948"/>
      <c r="W36" s="1948"/>
      <c r="X36" s="1948"/>
      <c r="Y36" s="1948"/>
      <c r="Z36" s="1948"/>
      <c r="AA36" s="1948"/>
      <c r="AB36" s="1948"/>
      <c r="AC36" s="1948"/>
      <c r="AD36" s="1948"/>
      <c r="AE36" s="1948"/>
      <c r="AF36" s="1948"/>
      <c r="AG36" s="1948"/>
      <c r="AH36" s="1948"/>
      <c r="AI36" s="1948"/>
      <c r="AJ36" s="1948"/>
      <c r="AK36" s="1948"/>
      <c r="AL36" s="1948"/>
      <c r="AM36" s="1948"/>
      <c r="AN36" s="1948"/>
      <c r="AO36" s="1948"/>
      <c r="AP36" s="1948"/>
      <c r="AQ36" s="1948"/>
      <c r="AR36" s="1948"/>
      <c r="AS36" s="1948"/>
      <c r="AT36" s="1948"/>
      <c r="AU36" s="1948"/>
      <c r="AV36" s="1948"/>
      <c r="AW36" s="1948"/>
      <c r="AX36" s="1948"/>
      <c r="AY36" s="1948"/>
    </row>
    <row r="37" spans="2:51" ht="50.15" customHeight="1">
      <c r="B37" s="226" t="s">
        <v>156</v>
      </c>
      <c r="C37" s="1948" t="s">
        <v>1006</v>
      </c>
      <c r="D37" s="1948"/>
      <c r="E37" s="1948"/>
      <c r="F37" s="1948"/>
      <c r="G37" s="1948"/>
      <c r="H37" s="1948"/>
      <c r="I37" s="1948"/>
      <c r="J37" s="1948"/>
      <c r="K37" s="1948"/>
      <c r="L37" s="1948"/>
      <c r="M37" s="1948"/>
      <c r="N37" s="1948"/>
      <c r="O37" s="1948"/>
      <c r="P37" s="1948"/>
      <c r="Q37" s="1948"/>
      <c r="R37" s="1948"/>
      <c r="S37" s="1948"/>
      <c r="T37" s="1948"/>
      <c r="U37" s="1948"/>
      <c r="V37" s="1948"/>
      <c r="W37" s="1948"/>
      <c r="X37" s="1948"/>
      <c r="Y37" s="1948"/>
      <c r="Z37" s="1948"/>
      <c r="AA37" s="1948"/>
      <c r="AB37" s="1948"/>
      <c r="AC37" s="1948"/>
      <c r="AD37" s="1948"/>
      <c r="AE37" s="1948"/>
      <c r="AF37" s="1948"/>
      <c r="AG37" s="1948"/>
      <c r="AH37" s="1948"/>
      <c r="AI37" s="1948"/>
      <c r="AJ37" s="1948"/>
      <c r="AK37" s="1948"/>
      <c r="AL37" s="1948"/>
      <c r="AM37" s="1948"/>
      <c r="AN37" s="1948"/>
      <c r="AO37" s="1948"/>
      <c r="AP37" s="1948"/>
      <c r="AQ37" s="1948"/>
      <c r="AR37" s="1948"/>
      <c r="AS37" s="1948"/>
      <c r="AT37" s="1948"/>
      <c r="AU37" s="1948"/>
      <c r="AV37" s="1948"/>
      <c r="AW37" s="1948"/>
      <c r="AX37" s="1948"/>
      <c r="AY37" s="1948"/>
    </row>
    <row r="38" spans="2:51" ht="33" customHeight="1">
      <c r="B38" s="226" t="s">
        <v>157</v>
      </c>
      <c r="C38" s="1948" t="s">
        <v>1007</v>
      </c>
      <c r="D38" s="1948"/>
      <c r="E38" s="1948"/>
      <c r="F38" s="1948"/>
      <c r="G38" s="1948"/>
      <c r="H38" s="1948"/>
      <c r="I38" s="1948"/>
      <c r="J38" s="1948"/>
      <c r="K38" s="1948"/>
      <c r="L38" s="1948"/>
      <c r="M38" s="1948"/>
      <c r="N38" s="1948"/>
      <c r="O38" s="1948"/>
      <c r="P38" s="1948"/>
      <c r="Q38" s="1948"/>
      <c r="R38" s="1948"/>
      <c r="S38" s="1948"/>
      <c r="T38" s="1948"/>
      <c r="U38" s="1948"/>
      <c r="V38" s="1948"/>
      <c r="W38" s="1948"/>
      <c r="X38" s="1948"/>
      <c r="Y38" s="1948"/>
      <c r="Z38" s="1948"/>
      <c r="AA38" s="1948"/>
      <c r="AB38" s="1948"/>
      <c r="AC38" s="1948"/>
      <c r="AD38" s="1948"/>
      <c r="AE38" s="1948"/>
      <c r="AF38" s="1948"/>
      <c r="AG38" s="1948"/>
      <c r="AH38" s="1948"/>
      <c r="AI38" s="1948"/>
      <c r="AJ38" s="1948"/>
      <c r="AK38" s="1948"/>
      <c r="AL38" s="1948"/>
      <c r="AM38" s="1948"/>
      <c r="AN38" s="1948"/>
      <c r="AO38" s="1948"/>
      <c r="AP38" s="1948"/>
      <c r="AQ38" s="1948"/>
      <c r="AR38" s="1948"/>
      <c r="AS38" s="1948"/>
      <c r="AT38" s="1948"/>
      <c r="AU38" s="1948"/>
      <c r="AV38" s="1948"/>
      <c r="AW38" s="1948"/>
      <c r="AX38" s="1948"/>
      <c r="AY38" s="1948"/>
    </row>
    <row r="39" spans="2:51" ht="33" customHeight="1">
      <c r="B39" s="226" t="s">
        <v>158</v>
      </c>
      <c r="C39" s="1948" t="s">
        <v>1279</v>
      </c>
      <c r="D39" s="1948"/>
      <c r="E39" s="1948"/>
      <c r="F39" s="1948"/>
      <c r="G39" s="1948"/>
      <c r="H39" s="1948"/>
      <c r="I39" s="1948"/>
      <c r="J39" s="1948"/>
      <c r="K39" s="1948"/>
      <c r="L39" s="1948"/>
      <c r="M39" s="1948"/>
      <c r="N39" s="1948"/>
      <c r="O39" s="1948"/>
      <c r="P39" s="1948"/>
      <c r="Q39" s="1948"/>
      <c r="R39" s="1948"/>
      <c r="S39" s="1948"/>
      <c r="T39" s="1948"/>
      <c r="U39" s="1948"/>
      <c r="V39" s="1948"/>
      <c r="W39" s="1948"/>
      <c r="X39" s="1948"/>
      <c r="Y39" s="1948"/>
      <c r="Z39" s="1948"/>
      <c r="AA39" s="1948"/>
      <c r="AB39" s="1948"/>
      <c r="AC39" s="1948"/>
      <c r="AD39" s="1948"/>
      <c r="AE39" s="1948"/>
      <c r="AF39" s="1948"/>
      <c r="AG39" s="1948"/>
      <c r="AH39" s="1948"/>
      <c r="AI39" s="1948"/>
      <c r="AJ39" s="1948"/>
      <c r="AK39" s="1948"/>
      <c r="AL39" s="1948"/>
      <c r="AM39" s="1948"/>
      <c r="AN39" s="1948"/>
      <c r="AO39" s="1948"/>
      <c r="AP39" s="1948"/>
      <c r="AQ39" s="1948"/>
      <c r="AR39" s="1948"/>
      <c r="AS39" s="1948"/>
      <c r="AT39" s="1948"/>
      <c r="AU39" s="1948"/>
      <c r="AV39" s="1948"/>
      <c r="AW39" s="1948"/>
      <c r="AX39" s="1948"/>
      <c r="AY39" s="1948"/>
    </row>
  </sheetData>
  <sheetProtection algorithmName="SHA-512" hashValue="vB0oaPDS/nLuhMbOE8fz8ISR+QmkZ1vbhHuMYrRQP1SlmAXi9LpLMQ3jz+NMR4k4X+k8OY5qjcoBqv8wNyYsKw==" saltValue="7lrLSGiOhoreqrbKqnhymQ==" spinCount="100000" sheet="1" objects="1" scenarios="1" selectLockedCells="1"/>
  <mergeCells count="30">
    <mergeCell ref="C13:AY13"/>
    <mergeCell ref="C18:AY18"/>
    <mergeCell ref="C6:AY6"/>
    <mergeCell ref="C7:AY7"/>
    <mergeCell ref="C10:AY10"/>
    <mergeCell ref="C11:AY11"/>
    <mergeCell ref="C12:AY12"/>
    <mergeCell ref="C14:AY14"/>
    <mergeCell ref="C15:AY15"/>
    <mergeCell ref="C29:AY29"/>
    <mergeCell ref="C19:AY19"/>
    <mergeCell ref="C20:AY20"/>
    <mergeCell ref="C21:AY21"/>
    <mergeCell ref="C22:AY22"/>
    <mergeCell ref="C23:AY23"/>
    <mergeCell ref="C24:AY24"/>
    <mergeCell ref="C25:AY25"/>
    <mergeCell ref="C26:AY26"/>
    <mergeCell ref="C27:AY27"/>
    <mergeCell ref="C28:D28"/>
    <mergeCell ref="E28:AY28"/>
    <mergeCell ref="C37:AY37"/>
    <mergeCell ref="C38:AY38"/>
    <mergeCell ref="C39:AY39"/>
    <mergeCell ref="C30:AV30"/>
    <mergeCell ref="C32:AY32"/>
    <mergeCell ref="C33:AY33"/>
    <mergeCell ref="C34:AY34"/>
    <mergeCell ref="C35:AY35"/>
    <mergeCell ref="C36:AY36"/>
  </mergeCells>
  <printOptions horizontalCentered="1" verticalCentered="1"/>
  <pageMargins left="0.25" right="0.25" top="0.2" bottom="0.2" header="0" footer="0.1"/>
  <pageSetup paperSize="9" scale="57" orientation="landscape" r:id="rId1"/>
  <headerFooter alignWithMargins="0">
    <oddFooter>&amp;L&amp;10&amp;F &amp;A&amp;R&amp;11Page 3 of 60</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AM68"/>
  <sheetViews>
    <sheetView showGridLines="0" zoomScaleNormal="100" zoomScalePageLayoutView="63" workbookViewId="0">
      <selection activeCell="R42" sqref="R42:W42"/>
    </sheetView>
  </sheetViews>
  <sheetFormatPr defaultColWidth="9" defaultRowHeight="15.5"/>
  <cols>
    <col min="1" max="1" width="2.08203125" style="238" customWidth="1"/>
    <col min="2" max="10" width="3.58203125" style="239" customWidth="1"/>
    <col min="11" max="23" width="3.58203125" style="240" customWidth="1"/>
    <col min="24" max="38" width="3.58203125" style="238" customWidth="1"/>
    <col min="39" max="39" width="2.08203125" style="238" customWidth="1"/>
    <col min="40" max="16384" width="9" style="238"/>
  </cols>
  <sheetData>
    <row r="1" spans="2:38" ht="12" customHeight="1"/>
    <row r="2" spans="2:38" ht="16.5">
      <c r="B2" s="1954" t="s">
        <v>1286</v>
      </c>
      <c r="C2" s="1954"/>
      <c r="D2" s="1954"/>
      <c r="E2" s="1954"/>
      <c r="F2" s="1954"/>
      <c r="G2" s="1954"/>
      <c r="H2" s="1954"/>
      <c r="I2" s="1954"/>
      <c r="J2" s="1954"/>
      <c r="K2" s="1954"/>
      <c r="L2" s="1954"/>
      <c r="M2" s="1954"/>
      <c r="N2" s="1954"/>
      <c r="O2" s="1954"/>
      <c r="P2" s="1954"/>
      <c r="Q2" s="1954"/>
      <c r="R2" s="1954"/>
      <c r="S2" s="1954"/>
      <c r="T2" s="1954"/>
      <c r="U2" s="1954"/>
      <c r="V2" s="1954"/>
      <c r="W2" s="1954"/>
      <c r="X2" s="1954"/>
      <c r="Y2" s="1954"/>
      <c r="Z2" s="1954"/>
      <c r="AA2" s="1954"/>
      <c r="AB2" s="1954"/>
      <c r="AC2" s="1954"/>
    </row>
    <row r="3" spans="2:38" ht="17" thickBot="1">
      <c r="B3" s="1954" t="s">
        <v>11748</v>
      </c>
      <c r="C3" s="1954"/>
      <c r="D3" s="1954"/>
      <c r="E3" s="1954"/>
      <c r="F3" s="1954"/>
      <c r="G3" s="1954"/>
      <c r="H3" s="1954"/>
      <c r="I3" s="1954"/>
      <c r="J3" s="1954"/>
      <c r="K3" s="1954"/>
      <c r="L3" s="1954"/>
      <c r="M3" s="1954"/>
      <c r="N3" s="1954"/>
      <c r="O3" s="1954"/>
      <c r="P3" s="1954"/>
      <c r="Q3" s="1954"/>
      <c r="R3" s="1954"/>
      <c r="S3" s="1954"/>
      <c r="T3" s="1954"/>
      <c r="U3" s="1954"/>
      <c r="V3" s="1954"/>
      <c r="W3" s="1954"/>
      <c r="X3" s="1954"/>
      <c r="Y3" s="1954"/>
      <c r="Z3" s="1954"/>
      <c r="AA3" s="1954"/>
      <c r="AB3" s="1954"/>
      <c r="AC3" s="1954"/>
    </row>
    <row r="4" spans="2:38" ht="38.15" customHeight="1" thickBot="1">
      <c r="B4" s="1982" t="s">
        <v>509</v>
      </c>
      <c r="C4" s="1983"/>
      <c r="D4" s="1983"/>
      <c r="E4" s="1983"/>
      <c r="F4" s="1983"/>
      <c r="G4" s="1983"/>
      <c r="H4" s="1983"/>
      <c r="I4" s="1983"/>
      <c r="J4" s="1983"/>
      <c r="K4" s="1983"/>
      <c r="L4" s="1983"/>
      <c r="M4" s="1983"/>
      <c r="N4" s="1983"/>
      <c r="O4" s="1983"/>
      <c r="P4" s="1983"/>
      <c r="Q4" s="1984"/>
      <c r="R4" s="1982" t="s">
        <v>506</v>
      </c>
      <c r="S4" s="1983"/>
      <c r="T4" s="1983"/>
      <c r="U4" s="1983"/>
      <c r="V4" s="1983"/>
      <c r="W4" s="1984"/>
      <c r="X4" s="255"/>
      <c r="Y4" s="255"/>
      <c r="Z4" s="255"/>
      <c r="AA4" s="255"/>
      <c r="AB4" s="256"/>
      <c r="AC4" s="256"/>
    </row>
    <row r="5" spans="2:38" ht="25" customHeight="1">
      <c r="B5" s="1979" t="s">
        <v>510</v>
      </c>
      <c r="C5" s="1980"/>
      <c r="D5" s="1980"/>
      <c r="E5" s="1980"/>
      <c r="F5" s="1980"/>
      <c r="G5" s="1980"/>
      <c r="H5" s="1980"/>
      <c r="I5" s="1980"/>
      <c r="J5" s="1980"/>
      <c r="K5" s="1980"/>
      <c r="L5" s="1980"/>
      <c r="M5" s="1980"/>
      <c r="N5" s="1980"/>
      <c r="O5" s="1980"/>
      <c r="P5" s="1980"/>
      <c r="Q5" s="1981"/>
      <c r="R5" s="4"/>
      <c r="S5" s="5"/>
      <c r="T5" s="5"/>
      <c r="U5" s="5"/>
      <c r="V5" s="5"/>
      <c r="W5" s="6"/>
      <c r="X5" s="248"/>
      <c r="Y5" s="248"/>
      <c r="Z5" s="249" t="s">
        <v>508</v>
      </c>
      <c r="AA5" s="250"/>
      <c r="AB5" s="251"/>
      <c r="AC5" s="251"/>
      <c r="AD5" s="251"/>
      <c r="AE5" s="251"/>
      <c r="AF5" s="251"/>
      <c r="AG5" s="251"/>
      <c r="AH5" s="251"/>
      <c r="AI5" s="251"/>
      <c r="AJ5" s="251"/>
      <c r="AK5" s="251"/>
    </row>
    <row r="6" spans="2:38" s="247" customFormat="1" ht="25" customHeight="1">
      <c r="B6" s="1966">
        <v>1</v>
      </c>
      <c r="C6" s="1967"/>
      <c r="D6" s="1977" t="s">
        <v>456</v>
      </c>
      <c r="E6" s="1977"/>
      <c r="F6" s="1977"/>
      <c r="G6" s="1977"/>
      <c r="H6" s="1977"/>
      <c r="I6" s="1977"/>
      <c r="J6" s="1977"/>
      <c r="K6" s="1977"/>
      <c r="L6" s="1977"/>
      <c r="M6" s="1977"/>
      <c r="N6" s="1977"/>
      <c r="O6" s="1977"/>
      <c r="P6" s="1977"/>
      <c r="Q6" s="1978"/>
      <c r="R6" s="1960">
        <v>0</v>
      </c>
      <c r="S6" s="1961"/>
      <c r="T6" s="1961"/>
      <c r="U6" s="1961"/>
      <c r="V6" s="1961"/>
      <c r="W6" s="1962"/>
      <c r="X6" s="252"/>
      <c r="Y6" s="252"/>
      <c r="AA6" s="1955" t="s">
        <v>1324</v>
      </c>
      <c r="AB6" s="1955"/>
      <c r="AC6" s="1955"/>
      <c r="AD6" s="1955"/>
      <c r="AE6" s="1955"/>
      <c r="AF6" s="1955"/>
      <c r="AG6" s="1955"/>
      <c r="AH6" s="1955"/>
      <c r="AI6" s="1955"/>
      <c r="AJ6" s="1955"/>
      <c r="AK6" s="1955"/>
      <c r="AL6" s="1955"/>
    </row>
    <row r="7" spans="2:38" s="247" customFormat="1" ht="25" customHeight="1">
      <c r="B7" s="1966">
        <v>2</v>
      </c>
      <c r="C7" s="1967"/>
      <c r="D7" s="1977" t="s">
        <v>462</v>
      </c>
      <c r="E7" s="1977"/>
      <c r="F7" s="1977"/>
      <c r="G7" s="1977"/>
      <c r="H7" s="1977"/>
      <c r="I7" s="1977"/>
      <c r="J7" s="1977"/>
      <c r="K7" s="1977"/>
      <c r="L7" s="1977"/>
      <c r="M7" s="1977"/>
      <c r="N7" s="1977"/>
      <c r="O7" s="1977"/>
      <c r="P7" s="1977"/>
      <c r="Q7" s="1978"/>
      <c r="R7" s="1960">
        <v>0</v>
      </c>
      <c r="S7" s="1961"/>
      <c r="T7" s="1961"/>
      <c r="U7" s="1961"/>
      <c r="V7" s="1961"/>
      <c r="W7" s="1962"/>
      <c r="X7" s="252"/>
      <c r="Y7" s="252"/>
      <c r="AA7" s="1955"/>
      <c r="AB7" s="1955"/>
      <c r="AC7" s="1955"/>
      <c r="AD7" s="1955"/>
      <c r="AE7" s="1955"/>
      <c r="AF7" s="1955"/>
      <c r="AG7" s="1955"/>
      <c r="AH7" s="1955"/>
      <c r="AI7" s="1955"/>
      <c r="AJ7" s="1955"/>
      <c r="AK7" s="1955"/>
      <c r="AL7" s="1955"/>
    </row>
    <row r="8" spans="2:38" s="247" customFormat="1" ht="25" customHeight="1">
      <c r="B8" s="1966">
        <v>3</v>
      </c>
      <c r="C8" s="1967"/>
      <c r="D8" s="1977" t="s">
        <v>804</v>
      </c>
      <c r="E8" s="1977"/>
      <c r="F8" s="1977"/>
      <c r="G8" s="1977"/>
      <c r="H8" s="1977"/>
      <c r="I8" s="1977"/>
      <c r="J8" s="1977"/>
      <c r="K8" s="1977"/>
      <c r="L8" s="1977"/>
      <c r="M8" s="1977"/>
      <c r="N8" s="1977"/>
      <c r="O8" s="1977"/>
      <c r="P8" s="1977"/>
      <c r="Q8" s="1978"/>
      <c r="R8" s="1960">
        <v>0</v>
      </c>
      <c r="S8" s="1961"/>
      <c r="T8" s="1961"/>
      <c r="U8" s="1961"/>
      <c r="V8" s="1961"/>
      <c r="W8" s="1962"/>
      <c r="X8" s="252"/>
      <c r="Y8" s="252"/>
      <c r="AA8" s="1955"/>
      <c r="AB8" s="1955"/>
      <c r="AC8" s="1955"/>
      <c r="AD8" s="1955"/>
      <c r="AE8" s="1955"/>
      <c r="AF8" s="1955"/>
      <c r="AG8" s="1955"/>
      <c r="AH8" s="1955"/>
      <c r="AI8" s="1955"/>
      <c r="AJ8" s="1955"/>
      <c r="AK8" s="1955"/>
      <c r="AL8" s="1955"/>
    </row>
    <row r="9" spans="2:38" s="247" customFormat="1" ht="25" customHeight="1">
      <c r="B9" s="1966">
        <v>4</v>
      </c>
      <c r="C9" s="1967"/>
      <c r="D9" s="1977" t="s">
        <v>450</v>
      </c>
      <c r="E9" s="1977"/>
      <c r="F9" s="1977"/>
      <c r="G9" s="1977"/>
      <c r="H9" s="1977"/>
      <c r="I9" s="1977"/>
      <c r="J9" s="1977"/>
      <c r="K9" s="1977"/>
      <c r="L9" s="1977"/>
      <c r="M9" s="1977"/>
      <c r="N9" s="1977"/>
      <c r="O9" s="1977"/>
      <c r="P9" s="1977"/>
      <c r="Q9" s="1978"/>
      <c r="R9" s="1960">
        <v>0</v>
      </c>
      <c r="S9" s="1961"/>
      <c r="T9" s="1961"/>
      <c r="U9" s="1961"/>
      <c r="V9" s="1961"/>
      <c r="W9" s="1962"/>
      <c r="X9" s="252"/>
      <c r="Y9" s="252"/>
      <c r="AA9" s="1955"/>
      <c r="AB9" s="1955"/>
      <c r="AC9" s="1955"/>
      <c r="AD9" s="1955"/>
      <c r="AE9" s="1955"/>
      <c r="AF9" s="1955"/>
      <c r="AG9" s="1955"/>
      <c r="AH9" s="1955"/>
      <c r="AI9" s="1955"/>
      <c r="AJ9" s="1955"/>
      <c r="AK9" s="1955"/>
      <c r="AL9" s="1955"/>
    </row>
    <row r="10" spans="2:38" s="247" customFormat="1" ht="25" customHeight="1">
      <c r="B10" s="1966">
        <v>5</v>
      </c>
      <c r="C10" s="1967"/>
      <c r="D10" s="1977" t="s">
        <v>511</v>
      </c>
      <c r="E10" s="1977"/>
      <c r="F10" s="1977"/>
      <c r="G10" s="1977"/>
      <c r="H10" s="1977"/>
      <c r="I10" s="1977"/>
      <c r="J10" s="1977"/>
      <c r="K10" s="1977"/>
      <c r="L10" s="1977"/>
      <c r="M10" s="1977"/>
      <c r="N10" s="1977"/>
      <c r="O10" s="1977"/>
      <c r="P10" s="1977"/>
      <c r="Q10" s="1978"/>
      <c r="R10" s="1960">
        <v>0</v>
      </c>
      <c r="S10" s="1961"/>
      <c r="T10" s="1961"/>
      <c r="U10" s="1961"/>
      <c r="V10" s="1961"/>
      <c r="W10" s="1962"/>
      <c r="X10" s="252"/>
      <c r="Y10" s="252"/>
      <c r="AA10" s="253"/>
      <c r="AB10" s="253"/>
      <c r="AC10" s="253"/>
      <c r="AD10" s="253"/>
      <c r="AE10" s="253"/>
      <c r="AF10" s="253"/>
      <c r="AG10" s="253"/>
      <c r="AH10" s="253"/>
      <c r="AI10" s="253"/>
      <c r="AJ10" s="253"/>
      <c r="AK10" s="253"/>
      <c r="AL10" s="253"/>
    </row>
    <row r="11" spans="2:38" s="247" customFormat="1" ht="25" customHeight="1">
      <c r="B11" s="1966">
        <v>6</v>
      </c>
      <c r="C11" s="1967"/>
      <c r="D11" s="1968" t="s">
        <v>455</v>
      </c>
      <c r="E11" s="1968"/>
      <c r="F11" s="1968"/>
      <c r="G11" s="1968"/>
      <c r="H11" s="1968"/>
      <c r="I11" s="1968"/>
      <c r="J11" s="1968"/>
      <c r="K11" s="1968"/>
      <c r="L11" s="1968"/>
      <c r="M11" s="1968"/>
      <c r="N11" s="1968"/>
      <c r="O11" s="1968"/>
      <c r="P11" s="1968"/>
      <c r="Q11" s="1969"/>
      <c r="R11" s="1960">
        <v>0</v>
      </c>
      <c r="S11" s="1961"/>
      <c r="T11" s="1961"/>
      <c r="U11" s="1961"/>
      <c r="V11" s="1961"/>
      <c r="W11" s="1962"/>
      <c r="X11" s="252"/>
      <c r="Y11" s="252"/>
      <c r="AA11" s="1955" t="s">
        <v>1323</v>
      </c>
      <c r="AB11" s="1955"/>
      <c r="AC11" s="1955"/>
      <c r="AD11" s="1955"/>
      <c r="AE11" s="1955"/>
      <c r="AF11" s="1955"/>
      <c r="AG11" s="1955"/>
      <c r="AH11" s="1955"/>
      <c r="AI11" s="1955"/>
      <c r="AJ11" s="1955"/>
      <c r="AK11" s="1955"/>
      <c r="AL11" s="1955"/>
    </row>
    <row r="12" spans="2:38" s="247" customFormat="1" ht="25" customHeight="1">
      <c r="B12" s="1966">
        <v>7</v>
      </c>
      <c r="C12" s="1967"/>
      <c r="D12" s="1968" t="s">
        <v>591</v>
      </c>
      <c r="E12" s="1968"/>
      <c r="F12" s="1968"/>
      <c r="G12" s="1968"/>
      <c r="H12" s="1968"/>
      <c r="I12" s="1968"/>
      <c r="J12" s="1968"/>
      <c r="K12" s="1968"/>
      <c r="L12" s="1968"/>
      <c r="M12" s="1968"/>
      <c r="N12" s="1968"/>
      <c r="O12" s="1968"/>
      <c r="P12" s="1968"/>
      <c r="Q12" s="1969"/>
      <c r="R12" s="1960">
        <v>0</v>
      </c>
      <c r="S12" s="1961"/>
      <c r="T12" s="1961"/>
      <c r="U12" s="1961"/>
      <c r="V12" s="1961"/>
      <c r="W12" s="1962"/>
      <c r="X12" s="252"/>
      <c r="Y12" s="252"/>
      <c r="AA12" s="1955"/>
      <c r="AB12" s="1955"/>
      <c r="AC12" s="1955"/>
      <c r="AD12" s="1955"/>
      <c r="AE12" s="1955"/>
      <c r="AF12" s="1955"/>
      <c r="AG12" s="1955"/>
      <c r="AH12" s="1955"/>
      <c r="AI12" s="1955"/>
      <c r="AJ12" s="1955"/>
      <c r="AK12" s="1955"/>
      <c r="AL12" s="1955"/>
    </row>
    <row r="13" spans="2:38" s="247" customFormat="1" ht="25" customHeight="1">
      <c r="B13" s="1966">
        <v>8</v>
      </c>
      <c r="C13" s="1967"/>
      <c r="D13" s="1977" t="s">
        <v>441</v>
      </c>
      <c r="E13" s="1977"/>
      <c r="F13" s="1977"/>
      <c r="G13" s="1977"/>
      <c r="H13" s="1977"/>
      <c r="I13" s="1977"/>
      <c r="J13" s="1977"/>
      <c r="K13" s="1977"/>
      <c r="L13" s="1977"/>
      <c r="M13" s="1977"/>
      <c r="N13" s="1977"/>
      <c r="O13" s="1977"/>
      <c r="P13" s="1977"/>
      <c r="Q13" s="1978"/>
      <c r="R13" s="1960">
        <v>0</v>
      </c>
      <c r="S13" s="1961"/>
      <c r="T13" s="1961"/>
      <c r="U13" s="1961"/>
      <c r="V13" s="1961"/>
      <c r="W13" s="1962"/>
      <c r="X13" s="252"/>
      <c r="Y13" s="252"/>
      <c r="AA13" s="253"/>
      <c r="AB13" s="253"/>
      <c r="AC13" s="253"/>
      <c r="AD13" s="253"/>
      <c r="AE13" s="253"/>
      <c r="AF13" s="253"/>
      <c r="AG13" s="253"/>
      <c r="AH13" s="253"/>
      <c r="AI13" s="253"/>
      <c r="AJ13" s="253"/>
      <c r="AK13" s="253"/>
      <c r="AL13" s="253"/>
    </row>
    <row r="14" spans="2:38" s="247" customFormat="1" ht="25" customHeight="1">
      <c r="B14" s="1966">
        <v>9</v>
      </c>
      <c r="C14" s="1967"/>
      <c r="D14" s="1977" t="s">
        <v>446</v>
      </c>
      <c r="E14" s="1977"/>
      <c r="F14" s="1977"/>
      <c r="G14" s="1977"/>
      <c r="H14" s="1977"/>
      <c r="I14" s="1977"/>
      <c r="J14" s="1977"/>
      <c r="K14" s="1977"/>
      <c r="L14" s="1977"/>
      <c r="M14" s="1977"/>
      <c r="N14" s="1977"/>
      <c r="O14" s="1977"/>
      <c r="P14" s="1977"/>
      <c r="Q14" s="1978"/>
      <c r="R14" s="1960">
        <v>0</v>
      </c>
      <c r="S14" s="1961"/>
      <c r="T14" s="1961"/>
      <c r="U14" s="1961"/>
      <c r="V14" s="1961"/>
      <c r="W14" s="1962"/>
      <c r="X14" s="252"/>
      <c r="Y14" s="252"/>
      <c r="AA14" s="253"/>
      <c r="AB14" s="253"/>
      <c r="AC14" s="253"/>
      <c r="AD14" s="253"/>
      <c r="AE14" s="253"/>
      <c r="AF14" s="253"/>
      <c r="AG14" s="253"/>
      <c r="AH14" s="253"/>
      <c r="AI14" s="253"/>
      <c r="AJ14" s="253"/>
    </row>
    <row r="15" spans="2:38" s="247" customFormat="1" ht="25" customHeight="1">
      <c r="B15" s="1966">
        <v>10</v>
      </c>
      <c r="C15" s="1967"/>
      <c r="D15" s="1977" t="s">
        <v>454</v>
      </c>
      <c r="E15" s="1977"/>
      <c r="F15" s="1977"/>
      <c r="G15" s="1977"/>
      <c r="H15" s="1977"/>
      <c r="I15" s="1977"/>
      <c r="J15" s="1977"/>
      <c r="K15" s="1977"/>
      <c r="L15" s="1977"/>
      <c r="M15" s="1977"/>
      <c r="N15" s="1977"/>
      <c r="O15" s="1977"/>
      <c r="P15" s="1977"/>
      <c r="Q15" s="1978"/>
      <c r="R15" s="1960">
        <v>0</v>
      </c>
      <c r="S15" s="1961"/>
      <c r="T15" s="1961"/>
      <c r="U15" s="1961"/>
      <c r="V15" s="1961"/>
      <c r="W15" s="1962"/>
      <c r="X15" s="252"/>
      <c r="Y15" s="252"/>
      <c r="AA15" s="253"/>
      <c r="AB15" s="253"/>
      <c r="AC15" s="253"/>
      <c r="AD15" s="253"/>
      <c r="AE15" s="253"/>
      <c r="AF15" s="253"/>
      <c r="AG15" s="253"/>
      <c r="AH15" s="253"/>
      <c r="AI15" s="253"/>
      <c r="AJ15" s="253"/>
    </row>
    <row r="16" spans="2:38" s="247" customFormat="1" ht="25" customHeight="1">
      <c r="B16" s="1966">
        <v>11</v>
      </c>
      <c r="C16" s="1967"/>
      <c r="D16" s="1977" t="s">
        <v>512</v>
      </c>
      <c r="E16" s="1977"/>
      <c r="F16" s="1977"/>
      <c r="G16" s="1977"/>
      <c r="H16" s="1977"/>
      <c r="I16" s="1977"/>
      <c r="J16" s="1977"/>
      <c r="K16" s="1977"/>
      <c r="L16" s="1977"/>
      <c r="M16" s="1977"/>
      <c r="N16" s="1977"/>
      <c r="O16" s="1977"/>
      <c r="P16" s="1977"/>
      <c r="Q16" s="1978"/>
      <c r="R16" s="1960">
        <v>0</v>
      </c>
      <c r="S16" s="1961"/>
      <c r="T16" s="1961"/>
      <c r="U16" s="1961"/>
      <c r="V16" s="1961"/>
      <c r="W16" s="1962"/>
      <c r="X16" s="252"/>
      <c r="Y16" s="252"/>
    </row>
    <row r="17" spans="2:33" s="247" customFormat="1" ht="25" customHeight="1">
      <c r="B17" s="1966">
        <v>12</v>
      </c>
      <c r="C17" s="1967"/>
      <c r="D17" s="1977" t="s">
        <v>465</v>
      </c>
      <c r="E17" s="1977"/>
      <c r="F17" s="1977"/>
      <c r="G17" s="1977"/>
      <c r="H17" s="1977"/>
      <c r="I17" s="1977"/>
      <c r="J17" s="1977"/>
      <c r="K17" s="1977"/>
      <c r="L17" s="1977"/>
      <c r="M17" s="1977"/>
      <c r="N17" s="1977"/>
      <c r="O17" s="1977"/>
      <c r="P17" s="1977"/>
      <c r="Q17" s="1978"/>
      <c r="R17" s="1960">
        <v>0</v>
      </c>
      <c r="S17" s="1961"/>
      <c r="T17" s="1961"/>
      <c r="U17" s="1961"/>
      <c r="V17" s="1961"/>
      <c r="W17" s="1962"/>
      <c r="X17" s="252"/>
      <c r="Y17" s="252"/>
    </row>
    <row r="18" spans="2:33" s="247" customFormat="1" ht="25" customHeight="1">
      <c r="B18" s="1966">
        <v>13</v>
      </c>
      <c r="C18" s="1967"/>
      <c r="D18" s="1977" t="s">
        <v>444</v>
      </c>
      <c r="E18" s="1977"/>
      <c r="F18" s="1977"/>
      <c r="G18" s="1977"/>
      <c r="H18" s="1977"/>
      <c r="I18" s="1977"/>
      <c r="J18" s="1977"/>
      <c r="K18" s="1977"/>
      <c r="L18" s="1977"/>
      <c r="M18" s="1977"/>
      <c r="N18" s="1977"/>
      <c r="O18" s="1977"/>
      <c r="P18" s="1977"/>
      <c r="Q18" s="1978"/>
      <c r="R18" s="1960">
        <v>2</v>
      </c>
      <c r="S18" s="1961"/>
      <c r="T18" s="1961"/>
      <c r="U18" s="1961"/>
      <c r="V18" s="1961"/>
      <c r="W18" s="1962"/>
      <c r="X18" s="252"/>
      <c r="Y18" s="252"/>
    </row>
    <row r="19" spans="2:33" s="247" customFormat="1" ht="25" customHeight="1">
      <c r="B19" s="1966">
        <v>14</v>
      </c>
      <c r="C19" s="1967"/>
      <c r="D19" s="1977" t="s">
        <v>514</v>
      </c>
      <c r="E19" s="1977"/>
      <c r="F19" s="1977"/>
      <c r="G19" s="1977"/>
      <c r="H19" s="1977"/>
      <c r="I19" s="1977"/>
      <c r="J19" s="1977"/>
      <c r="K19" s="1977"/>
      <c r="L19" s="1977"/>
      <c r="M19" s="1977"/>
      <c r="N19" s="1977"/>
      <c r="O19" s="1977"/>
      <c r="P19" s="1977"/>
      <c r="Q19" s="1978"/>
      <c r="R19" s="1960">
        <v>0</v>
      </c>
      <c r="S19" s="1961"/>
      <c r="T19" s="1961"/>
      <c r="U19" s="1961"/>
      <c r="V19" s="1961"/>
      <c r="W19" s="1962"/>
      <c r="X19" s="252"/>
      <c r="Y19" s="252"/>
      <c r="AA19" s="254"/>
      <c r="AB19" s="254"/>
      <c r="AC19" s="254"/>
      <c r="AD19" s="254"/>
      <c r="AE19" s="254"/>
    </row>
    <row r="20" spans="2:33" s="247" customFormat="1" ht="25" customHeight="1">
      <c r="B20" s="1966">
        <v>15</v>
      </c>
      <c r="C20" s="1967"/>
      <c r="D20" s="1977" t="s">
        <v>459</v>
      </c>
      <c r="E20" s="1977"/>
      <c r="F20" s="1977"/>
      <c r="G20" s="1977"/>
      <c r="H20" s="1977"/>
      <c r="I20" s="1977"/>
      <c r="J20" s="1977"/>
      <c r="K20" s="1977"/>
      <c r="L20" s="1977"/>
      <c r="M20" s="1977"/>
      <c r="N20" s="1977"/>
      <c r="O20" s="1977"/>
      <c r="P20" s="1977"/>
      <c r="Q20" s="1978"/>
      <c r="R20" s="1960">
        <v>0</v>
      </c>
      <c r="S20" s="1961"/>
      <c r="T20" s="1961"/>
      <c r="U20" s="1961"/>
      <c r="V20" s="1961"/>
      <c r="W20" s="1962"/>
      <c r="X20" s="252"/>
      <c r="Y20" s="252"/>
      <c r="Z20" s="252"/>
      <c r="AA20" s="252"/>
      <c r="AD20" s="254"/>
      <c r="AE20" s="254"/>
      <c r="AF20" s="254"/>
      <c r="AG20" s="254"/>
    </row>
    <row r="21" spans="2:33" s="247" customFormat="1" ht="25" customHeight="1">
      <c r="B21" s="1966">
        <v>16</v>
      </c>
      <c r="C21" s="1967"/>
      <c r="D21" s="1977" t="s">
        <v>457</v>
      </c>
      <c r="E21" s="1977"/>
      <c r="F21" s="1977"/>
      <c r="G21" s="1977"/>
      <c r="H21" s="1977"/>
      <c r="I21" s="1977"/>
      <c r="J21" s="1977"/>
      <c r="K21" s="1977"/>
      <c r="L21" s="1977"/>
      <c r="M21" s="1977"/>
      <c r="N21" s="1977"/>
      <c r="O21" s="1977"/>
      <c r="P21" s="1977"/>
      <c r="Q21" s="1978"/>
      <c r="R21" s="1960">
        <v>0</v>
      </c>
      <c r="S21" s="1961"/>
      <c r="T21" s="1961"/>
      <c r="U21" s="1961"/>
      <c r="V21" s="1961"/>
      <c r="W21" s="1962"/>
      <c r="X21" s="252"/>
      <c r="Y21" s="252"/>
      <c r="Z21" s="252"/>
      <c r="AA21" s="252"/>
      <c r="AD21" s="254"/>
      <c r="AE21" s="254"/>
      <c r="AF21" s="254"/>
      <c r="AG21" s="254"/>
    </row>
    <row r="22" spans="2:33" s="247" customFormat="1" ht="25" customHeight="1">
      <c r="B22" s="1966">
        <v>17</v>
      </c>
      <c r="C22" s="1967"/>
      <c r="D22" s="1977" t="s">
        <v>458</v>
      </c>
      <c r="E22" s="1977"/>
      <c r="F22" s="1977"/>
      <c r="G22" s="1977"/>
      <c r="H22" s="1977"/>
      <c r="I22" s="1977"/>
      <c r="J22" s="1977"/>
      <c r="K22" s="1977"/>
      <c r="L22" s="1977"/>
      <c r="M22" s="1977"/>
      <c r="N22" s="1977"/>
      <c r="O22" s="1977"/>
      <c r="P22" s="1977"/>
      <c r="Q22" s="1978"/>
      <c r="R22" s="1960">
        <v>0</v>
      </c>
      <c r="S22" s="1961"/>
      <c r="T22" s="1961"/>
      <c r="U22" s="1961"/>
      <c r="V22" s="1961"/>
      <c r="W22" s="1962"/>
    </row>
    <row r="23" spans="2:33" s="247" customFormat="1" ht="25" customHeight="1">
      <c r="B23" s="1966">
        <v>18</v>
      </c>
      <c r="C23" s="1967"/>
      <c r="D23" s="1977" t="s">
        <v>1287</v>
      </c>
      <c r="E23" s="1977"/>
      <c r="F23" s="1977"/>
      <c r="G23" s="1977"/>
      <c r="H23" s="1977"/>
      <c r="I23" s="1977"/>
      <c r="J23" s="1977"/>
      <c r="K23" s="1977"/>
      <c r="L23" s="1977"/>
      <c r="M23" s="1977"/>
      <c r="N23" s="1977"/>
      <c r="O23" s="1977"/>
      <c r="P23" s="1977"/>
      <c r="Q23" s="1978"/>
      <c r="R23" s="1960">
        <v>0</v>
      </c>
      <c r="S23" s="1961"/>
      <c r="T23" s="1961"/>
      <c r="U23" s="1961"/>
      <c r="V23" s="1961"/>
      <c r="W23" s="1962"/>
    </row>
    <row r="24" spans="2:33" s="247" customFormat="1" ht="25" customHeight="1">
      <c r="B24" s="1966">
        <v>19</v>
      </c>
      <c r="C24" s="1967"/>
      <c r="D24" s="1977" t="s">
        <v>464</v>
      </c>
      <c r="E24" s="1977"/>
      <c r="F24" s="1977"/>
      <c r="G24" s="1977"/>
      <c r="H24" s="1977"/>
      <c r="I24" s="1977"/>
      <c r="J24" s="1977"/>
      <c r="K24" s="1977"/>
      <c r="L24" s="1977"/>
      <c r="M24" s="1977"/>
      <c r="N24" s="1977"/>
      <c r="O24" s="1977"/>
      <c r="P24" s="1977"/>
      <c r="Q24" s="1978"/>
      <c r="R24" s="1960">
        <v>0</v>
      </c>
      <c r="S24" s="1961"/>
      <c r="T24" s="1961"/>
      <c r="U24" s="1961"/>
      <c r="V24" s="1961"/>
      <c r="W24" s="1962"/>
    </row>
    <row r="25" spans="2:33" s="247" customFormat="1" ht="25" customHeight="1">
      <c r="B25" s="1966">
        <v>20</v>
      </c>
      <c r="C25" s="1967"/>
      <c r="D25" s="1977" t="s">
        <v>442</v>
      </c>
      <c r="E25" s="1977"/>
      <c r="F25" s="1977"/>
      <c r="G25" s="1977"/>
      <c r="H25" s="1977"/>
      <c r="I25" s="1977"/>
      <c r="J25" s="1977"/>
      <c r="K25" s="1977"/>
      <c r="L25" s="1977"/>
      <c r="M25" s="1977"/>
      <c r="N25" s="1977"/>
      <c r="O25" s="1977"/>
      <c r="P25" s="1977"/>
      <c r="Q25" s="1978"/>
      <c r="R25" s="1960">
        <v>0</v>
      </c>
      <c r="S25" s="1961"/>
      <c r="T25" s="1961"/>
      <c r="U25" s="1961"/>
      <c r="V25" s="1961"/>
      <c r="W25" s="1962"/>
    </row>
    <row r="26" spans="2:33" s="247" customFormat="1" ht="25" customHeight="1">
      <c r="B26" s="1966">
        <v>21</v>
      </c>
      <c r="C26" s="1967"/>
      <c r="D26" s="1977" t="s">
        <v>443</v>
      </c>
      <c r="E26" s="1977"/>
      <c r="F26" s="1977"/>
      <c r="G26" s="1977"/>
      <c r="H26" s="1977"/>
      <c r="I26" s="1977"/>
      <c r="J26" s="1977"/>
      <c r="K26" s="1977"/>
      <c r="L26" s="1977"/>
      <c r="M26" s="1977"/>
      <c r="N26" s="1977"/>
      <c r="O26" s="1977"/>
      <c r="P26" s="1977"/>
      <c r="Q26" s="1978"/>
      <c r="R26" s="1960">
        <v>0</v>
      </c>
      <c r="S26" s="1961"/>
      <c r="T26" s="1961"/>
      <c r="U26" s="1961"/>
      <c r="V26" s="1961"/>
      <c r="W26" s="1962"/>
    </row>
    <row r="27" spans="2:33" s="247" customFormat="1" ht="25" customHeight="1">
      <c r="B27" s="1966">
        <v>22</v>
      </c>
      <c r="C27" s="1967"/>
      <c r="D27" s="1977" t="s">
        <v>513</v>
      </c>
      <c r="E27" s="1977"/>
      <c r="F27" s="1977"/>
      <c r="G27" s="1977"/>
      <c r="H27" s="1977"/>
      <c r="I27" s="1977"/>
      <c r="J27" s="1977"/>
      <c r="K27" s="1977"/>
      <c r="L27" s="1977"/>
      <c r="M27" s="1977"/>
      <c r="N27" s="1977"/>
      <c r="O27" s="1977"/>
      <c r="P27" s="1977"/>
      <c r="Q27" s="1978"/>
      <c r="R27" s="1960">
        <v>0</v>
      </c>
      <c r="S27" s="1961"/>
      <c r="T27" s="1961"/>
      <c r="U27" s="1961"/>
      <c r="V27" s="1961"/>
      <c r="W27" s="1962"/>
    </row>
    <row r="28" spans="2:33" s="247" customFormat="1" ht="25" customHeight="1">
      <c r="B28" s="1966">
        <v>23</v>
      </c>
      <c r="C28" s="1967"/>
      <c r="D28" s="1977" t="s">
        <v>452</v>
      </c>
      <c r="E28" s="1977"/>
      <c r="F28" s="1977"/>
      <c r="G28" s="1977"/>
      <c r="H28" s="1977"/>
      <c r="I28" s="1977"/>
      <c r="J28" s="1977"/>
      <c r="K28" s="1977"/>
      <c r="L28" s="1977"/>
      <c r="M28" s="1977"/>
      <c r="N28" s="1977"/>
      <c r="O28" s="1977"/>
      <c r="P28" s="1977"/>
      <c r="Q28" s="1978"/>
      <c r="R28" s="1960">
        <v>1</v>
      </c>
      <c r="S28" s="1961"/>
      <c r="T28" s="1961"/>
      <c r="U28" s="1961"/>
      <c r="V28" s="1961"/>
      <c r="W28" s="1962"/>
    </row>
    <row r="29" spans="2:33" s="247" customFormat="1" ht="25" customHeight="1">
      <c r="B29" s="1966">
        <v>24</v>
      </c>
      <c r="C29" s="1967"/>
      <c r="D29" s="1977" t="s">
        <v>445</v>
      </c>
      <c r="E29" s="1977"/>
      <c r="F29" s="1977"/>
      <c r="G29" s="1977"/>
      <c r="H29" s="1977"/>
      <c r="I29" s="1977"/>
      <c r="J29" s="1977"/>
      <c r="K29" s="1977"/>
      <c r="L29" s="1977"/>
      <c r="M29" s="1977"/>
      <c r="N29" s="1977"/>
      <c r="O29" s="1977"/>
      <c r="P29" s="1977"/>
      <c r="Q29" s="1978"/>
      <c r="R29" s="1960">
        <v>0</v>
      </c>
      <c r="S29" s="1961"/>
      <c r="T29" s="1961"/>
      <c r="U29" s="1961"/>
      <c r="V29" s="1961"/>
      <c r="W29" s="1962"/>
    </row>
    <row r="30" spans="2:33" s="247" customFormat="1" ht="25" customHeight="1">
      <c r="B30" s="1966">
        <v>25</v>
      </c>
      <c r="C30" s="1967"/>
      <c r="D30" s="1977" t="s">
        <v>451</v>
      </c>
      <c r="E30" s="1977"/>
      <c r="F30" s="1977"/>
      <c r="G30" s="1977"/>
      <c r="H30" s="1977"/>
      <c r="I30" s="1977"/>
      <c r="J30" s="1977"/>
      <c r="K30" s="1977"/>
      <c r="L30" s="1977"/>
      <c r="M30" s="1977"/>
      <c r="N30" s="1977"/>
      <c r="O30" s="1977"/>
      <c r="P30" s="1977"/>
      <c r="Q30" s="1978"/>
      <c r="R30" s="1960">
        <v>0</v>
      </c>
      <c r="S30" s="1961"/>
      <c r="T30" s="1961"/>
      <c r="U30" s="1961"/>
      <c r="V30" s="1961"/>
      <c r="W30" s="1962"/>
    </row>
    <row r="31" spans="2:33" s="247" customFormat="1" ht="25" customHeight="1">
      <c r="B31" s="1966">
        <v>26</v>
      </c>
      <c r="C31" s="1967"/>
      <c r="D31" s="1977" t="s">
        <v>449</v>
      </c>
      <c r="E31" s="1977"/>
      <c r="F31" s="1977"/>
      <c r="G31" s="1977"/>
      <c r="H31" s="1977"/>
      <c r="I31" s="1977"/>
      <c r="J31" s="1977"/>
      <c r="K31" s="1977"/>
      <c r="L31" s="1977"/>
      <c r="M31" s="1977"/>
      <c r="N31" s="1977"/>
      <c r="O31" s="1977"/>
      <c r="P31" s="1977"/>
      <c r="Q31" s="1978"/>
      <c r="R31" s="1960">
        <v>0</v>
      </c>
      <c r="S31" s="1961"/>
      <c r="T31" s="1961"/>
      <c r="U31" s="1961"/>
      <c r="V31" s="1961"/>
      <c r="W31" s="1962"/>
    </row>
    <row r="32" spans="2:33" s="247" customFormat="1" ht="25" customHeight="1">
      <c r="B32" s="1966">
        <v>27</v>
      </c>
      <c r="C32" s="1967"/>
      <c r="D32" s="1977" t="s">
        <v>453</v>
      </c>
      <c r="E32" s="1977"/>
      <c r="F32" s="1977"/>
      <c r="G32" s="1977"/>
      <c r="H32" s="1977"/>
      <c r="I32" s="1977"/>
      <c r="J32" s="1977"/>
      <c r="K32" s="1977"/>
      <c r="L32" s="1977"/>
      <c r="M32" s="1977"/>
      <c r="N32" s="1977"/>
      <c r="O32" s="1977"/>
      <c r="P32" s="1977"/>
      <c r="Q32" s="1978"/>
      <c r="R32" s="1960">
        <v>1</v>
      </c>
      <c r="S32" s="1961"/>
      <c r="T32" s="1961"/>
      <c r="U32" s="1961"/>
      <c r="V32" s="1961"/>
      <c r="W32" s="1962"/>
    </row>
    <row r="33" spans="2:23" s="247" customFormat="1" ht="25" customHeight="1">
      <c r="B33" s="1966">
        <v>28</v>
      </c>
      <c r="C33" s="1967"/>
      <c r="D33" s="1977" t="s">
        <v>410</v>
      </c>
      <c r="E33" s="1977"/>
      <c r="F33" s="1977"/>
      <c r="G33" s="1977"/>
      <c r="H33" s="1977"/>
      <c r="I33" s="1977"/>
      <c r="J33" s="1977"/>
      <c r="K33" s="1977"/>
      <c r="L33" s="1977"/>
      <c r="M33" s="1977"/>
      <c r="N33" s="1977"/>
      <c r="O33" s="1977"/>
      <c r="P33" s="1977"/>
      <c r="Q33" s="1978"/>
      <c r="R33" s="1960">
        <v>0</v>
      </c>
      <c r="S33" s="1961"/>
      <c r="T33" s="1961"/>
      <c r="U33" s="1961"/>
      <c r="V33" s="1961"/>
      <c r="W33" s="1962"/>
    </row>
    <row r="34" spans="2:23" s="247" customFormat="1" ht="25" customHeight="1">
      <c r="B34" s="1966">
        <v>29</v>
      </c>
      <c r="C34" s="1967"/>
      <c r="D34" s="1977" t="s">
        <v>448</v>
      </c>
      <c r="E34" s="1977"/>
      <c r="F34" s="1977"/>
      <c r="G34" s="1977"/>
      <c r="H34" s="1977"/>
      <c r="I34" s="1977"/>
      <c r="J34" s="1977"/>
      <c r="K34" s="1977"/>
      <c r="L34" s="1977"/>
      <c r="M34" s="1977"/>
      <c r="N34" s="1977"/>
      <c r="O34" s="1977"/>
      <c r="P34" s="1977"/>
      <c r="Q34" s="1978"/>
      <c r="R34" s="1960">
        <v>0</v>
      </c>
      <c r="S34" s="1961"/>
      <c r="T34" s="1961"/>
      <c r="U34" s="1961"/>
      <c r="V34" s="1961"/>
      <c r="W34" s="1962"/>
    </row>
    <row r="35" spans="2:23" s="247" customFormat="1" ht="25" customHeight="1">
      <c r="B35" s="1966">
        <v>30</v>
      </c>
      <c r="C35" s="1967"/>
      <c r="D35" s="1977" t="s">
        <v>461</v>
      </c>
      <c r="E35" s="1977"/>
      <c r="F35" s="1977"/>
      <c r="G35" s="1977"/>
      <c r="H35" s="1977"/>
      <c r="I35" s="1977"/>
      <c r="J35" s="1977"/>
      <c r="K35" s="1977"/>
      <c r="L35" s="1977"/>
      <c r="M35" s="1977"/>
      <c r="N35" s="1977"/>
      <c r="O35" s="1977"/>
      <c r="P35" s="1977"/>
      <c r="Q35" s="1978"/>
      <c r="R35" s="1960">
        <v>0</v>
      </c>
      <c r="S35" s="1961"/>
      <c r="T35" s="1961"/>
      <c r="U35" s="1961"/>
      <c r="V35" s="1961"/>
      <c r="W35" s="1962"/>
    </row>
    <row r="36" spans="2:23" s="247" customFormat="1" ht="25" customHeight="1">
      <c r="B36" s="1966">
        <v>31</v>
      </c>
      <c r="C36" s="1967"/>
      <c r="D36" s="1977" t="s">
        <v>463</v>
      </c>
      <c r="E36" s="1977"/>
      <c r="F36" s="1977"/>
      <c r="G36" s="1977"/>
      <c r="H36" s="1977"/>
      <c r="I36" s="1977"/>
      <c r="J36" s="1977"/>
      <c r="K36" s="1977"/>
      <c r="L36" s="1977"/>
      <c r="M36" s="1977"/>
      <c r="N36" s="1977"/>
      <c r="O36" s="1977"/>
      <c r="P36" s="1977"/>
      <c r="Q36" s="1978"/>
      <c r="R36" s="1960">
        <v>0</v>
      </c>
      <c r="S36" s="1961"/>
      <c r="T36" s="1961"/>
      <c r="U36" s="1961"/>
      <c r="V36" s="1961"/>
      <c r="W36" s="1962"/>
    </row>
    <row r="37" spans="2:23" s="247" customFormat="1" ht="25" customHeight="1">
      <c r="B37" s="1966">
        <v>32</v>
      </c>
      <c r="C37" s="1967"/>
      <c r="D37" s="1977" t="s">
        <v>447</v>
      </c>
      <c r="E37" s="1977"/>
      <c r="F37" s="1977"/>
      <c r="G37" s="1977"/>
      <c r="H37" s="1977"/>
      <c r="I37" s="1977"/>
      <c r="J37" s="1977"/>
      <c r="K37" s="1977"/>
      <c r="L37" s="1977"/>
      <c r="M37" s="1977"/>
      <c r="N37" s="1977"/>
      <c r="O37" s="1977"/>
      <c r="P37" s="1977"/>
      <c r="Q37" s="1978"/>
      <c r="R37" s="1960">
        <v>0</v>
      </c>
      <c r="S37" s="1961"/>
      <c r="T37" s="1961"/>
      <c r="U37" s="1961"/>
      <c r="V37" s="1961"/>
      <c r="W37" s="1962"/>
    </row>
    <row r="38" spans="2:23" s="247" customFormat="1" ht="25" customHeight="1" thickBot="1">
      <c r="B38" s="1966">
        <v>33</v>
      </c>
      <c r="C38" s="1967"/>
      <c r="D38" s="1977" t="s">
        <v>460</v>
      </c>
      <c r="E38" s="1977"/>
      <c r="F38" s="1977"/>
      <c r="G38" s="1977"/>
      <c r="H38" s="1977"/>
      <c r="I38" s="1977"/>
      <c r="J38" s="1977"/>
      <c r="K38" s="1977"/>
      <c r="L38" s="1977"/>
      <c r="M38" s="1977"/>
      <c r="N38" s="1977"/>
      <c r="O38" s="1977"/>
      <c r="P38" s="1977"/>
      <c r="Q38" s="1978"/>
      <c r="R38" s="1960">
        <v>1</v>
      </c>
      <c r="S38" s="1961"/>
      <c r="T38" s="1961"/>
      <c r="U38" s="1961"/>
      <c r="V38" s="1961"/>
      <c r="W38" s="1962"/>
    </row>
    <row r="39" spans="2:23" ht="25" customHeight="1" thickTop="1" thickBot="1">
      <c r="B39" s="1974" t="s">
        <v>531</v>
      </c>
      <c r="C39" s="1975"/>
      <c r="D39" s="1975"/>
      <c r="E39" s="1975"/>
      <c r="F39" s="1975"/>
      <c r="G39" s="1975"/>
      <c r="H39" s="1975"/>
      <c r="I39" s="1975"/>
      <c r="J39" s="1975"/>
      <c r="K39" s="1975"/>
      <c r="L39" s="1975"/>
      <c r="M39" s="1975"/>
      <c r="N39" s="1975"/>
      <c r="O39" s="1975"/>
      <c r="P39" s="1975"/>
      <c r="Q39" s="1976"/>
      <c r="R39" s="1963">
        <f>SUM(R6:W38)</f>
        <v>5</v>
      </c>
      <c r="S39" s="1964"/>
      <c r="T39" s="1964"/>
      <c r="U39" s="1964"/>
      <c r="V39" s="1964"/>
      <c r="W39" s="1965"/>
    </row>
    <row r="40" spans="2:23" ht="25" customHeight="1">
      <c r="B40" s="1979" t="s">
        <v>590</v>
      </c>
      <c r="C40" s="1980"/>
      <c r="D40" s="1980"/>
      <c r="E40" s="1980"/>
      <c r="F40" s="1980"/>
      <c r="G40" s="1980"/>
      <c r="H40" s="1980"/>
      <c r="I40" s="1980"/>
      <c r="J40" s="1980"/>
      <c r="K40" s="1980"/>
      <c r="L40" s="1980"/>
      <c r="M40" s="1980"/>
      <c r="N40" s="1980"/>
      <c r="O40" s="1980"/>
      <c r="P40" s="1980"/>
      <c r="Q40" s="1981"/>
      <c r="R40" s="7"/>
      <c r="S40" s="8"/>
      <c r="T40" s="8"/>
      <c r="U40" s="8"/>
      <c r="V40" s="8"/>
      <c r="W40" s="9"/>
    </row>
    <row r="41" spans="2:23" s="247" customFormat="1" ht="25" customHeight="1">
      <c r="B41" s="1970">
        <v>1</v>
      </c>
      <c r="C41" s="1971"/>
      <c r="D41" s="1972" t="s">
        <v>505</v>
      </c>
      <c r="E41" s="1972"/>
      <c r="F41" s="1972"/>
      <c r="G41" s="1972"/>
      <c r="H41" s="1972"/>
      <c r="I41" s="1972"/>
      <c r="J41" s="1972"/>
      <c r="K41" s="1972"/>
      <c r="L41" s="1972"/>
      <c r="M41" s="1972"/>
      <c r="N41" s="1972"/>
      <c r="O41" s="1972"/>
      <c r="P41" s="1972"/>
      <c r="Q41" s="1973"/>
      <c r="R41" s="1960">
        <v>0</v>
      </c>
      <c r="S41" s="1961"/>
      <c r="T41" s="1961"/>
      <c r="U41" s="1961"/>
      <c r="V41" s="1961"/>
      <c r="W41" s="1962"/>
    </row>
    <row r="42" spans="2:23" s="247" customFormat="1" ht="25" customHeight="1">
      <c r="B42" s="1966">
        <v>2</v>
      </c>
      <c r="C42" s="1967"/>
      <c r="D42" s="1977" t="s">
        <v>500</v>
      </c>
      <c r="E42" s="1977"/>
      <c r="F42" s="1977"/>
      <c r="G42" s="1977"/>
      <c r="H42" s="1977"/>
      <c r="I42" s="1977"/>
      <c r="J42" s="1977"/>
      <c r="K42" s="1977"/>
      <c r="L42" s="1977"/>
      <c r="M42" s="1977"/>
      <c r="N42" s="1977"/>
      <c r="O42" s="1977"/>
      <c r="P42" s="1977"/>
      <c r="Q42" s="1978"/>
      <c r="R42" s="1960">
        <v>0</v>
      </c>
      <c r="S42" s="1961"/>
      <c r="T42" s="1961"/>
      <c r="U42" s="1961"/>
      <c r="V42" s="1961"/>
      <c r="W42" s="1962"/>
    </row>
    <row r="43" spans="2:23" s="247" customFormat="1" ht="25" customHeight="1">
      <c r="B43" s="1966">
        <v>3</v>
      </c>
      <c r="C43" s="1967"/>
      <c r="D43" s="1977" t="s">
        <v>495</v>
      </c>
      <c r="E43" s="1977"/>
      <c r="F43" s="1977"/>
      <c r="G43" s="1977"/>
      <c r="H43" s="1977"/>
      <c r="I43" s="1977"/>
      <c r="J43" s="1977"/>
      <c r="K43" s="1977"/>
      <c r="L43" s="1977"/>
      <c r="M43" s="1977"/>
      <c r="N43" s="1977"/>
      <c r="O43" s="1977"/>
      <c r="P43" s="1977"/>
      <c r="Q43" s="1978"/>
      <c r="R43" s="1960">
        <v>4</v>
      </c>
      <c r="S43" s="1961"/>
      <c r="T43" s="1961"/>
      <c r="U43" s="1961"/>
      <c r="V43" s="1961"/>
      <c r="W43" s="1962"/>
    </row>
    <row r="44" spans="2:23" s="247" customFormat="1" ht="25" customHeight="1">
      <c r="B44" s="1966">
        <v>4</v>
      </c>
      <c r="C44" s="1967"/>
      <c r="D44" s="1977" t="s">
        <v>496</v>
      </c>
      <c r="E44" s="1977"/>
      <c r="F44" s="1977"/>
      <c r="G44" s="1977"/>
      <c r="H44" s="1977"/>
      <c r="I44" s="1977"/>
      <c r="J44" s="1977"/>
      <c r="K44" s="1977"/>
      <c r="L44" s="1977"/>
      <c r="M44" s="1977"/>
      <c r="N44" s="1977"/>
      <c r="O44" s="1977"/>
      <c r="P44" s="1977"/>
      <c r="Q44" s="1978"/>
      <c r="R44" s="1960">
        <v>0</v>
      </c>
      <c r="S44" s="1961"/>
      <c r="T44" s="1961"/>
      <c r="U44" s="1961"/>
      <c r="V44" s="1961"/>
      <c r="W44" s="1962"/>
    </row>
    <row r="45" spans="2:23" s="247" customFormat="1" ht="25" customHeight="1">
      <c r="B45" s="1966">
        <v>5</v>
      </c>
      <c r="C45" s="1967"/>
      <c r="D45" s="1977" t="s">
        <v>503</v>
      </c>
      <c r="E45" s="1977"/>
      <c r="F45" s="1977"/>
      <c r="G45" s="1977"/>
      <c r="H45" s="1977"/>
      <c r="I45" s="1977"/>
      <c r="J45" s="1977"/>
      <c r="K45" s="1977"/>
      <c r="L45" s="1977"/>
      <c r="M45" s="1977"/>
      <c r="N45" s="1977"/>
      <c r="O45" s="1977"/>
      <c r="P45" s="1977"/>
      <c r="Q45" s="1978"/>
      <c r="R45" s="1960">
        <v>4</v>
      </c>
      <c r="S45" s="1961"/>
      <c r="T45" s="1961"/>
      <c r="U45" s="1961"/>
      <c r="V45" s="1961"/>
      <c r="W45" s="1962"/>
    </row>
    <row r="46" spans="2:23" s="247" customFormat="1" ht="25" customHeight="1">
      <c r="B46" s="1966">
        <v>6</v>
      </c>
      <c r="C46" s="1967"/>
      <c r="D46" s="1977" t="s">
        <v>501</v>
      </c>
      <c r="E46" s="1977"/>
      <c r="F46" s="1977"/>
      <c r="G46" s="1977"/>
      <c r="H46" s="1977"/>
      <c r="I46" s="1977"/>
      <c r="J46" s="1977"/>
      <c r="K46" s="1977"/>
      <c r="L46" s="1977"/>
      <c r="M46" s="1977"/>
      <c r="N46" s="1977"/>
      <c r="O46" s="1977"/>
      <c r="P46" s="1977"/>
      <c r="Q46" s="1978"/>
      <c r="R46" s="1960">
        <v>0</v>
      </c>
      <c r="S46" s="1961"/>
      <c r="T46" s="1961"/>
      <c r="U46" s="1961"/>
      <c r="V46" s="1961"/>
      <c r="W46" s="1962"/>
    </row>
    <row r="47" spans="2:23" s="247" customFormat="1" ht="25" customHeight="1">
      <c r="B47" s="1966">
        <v>7</v>
      </c>
      <c r="C47" s="1967"/>
      <c r="D47" s="1977" t="s">
        <v>504</v>
      </c>
      <c r="E47" s="1977"/>
      <c r="F47" s="1977"/>
      <c r="G47" s="1977"/>
      <c r="H47" s="1977"/>
      <c r="I47" s="1977"/>
      <c r="J47" s="1977"/>
      <c r="K47" s="1977"/>
      <c r="L47" s="1977"/>
      <c r="M47" s="1977"/>
      <c r="N47" s="1977"/>
      <c r="O47" s="1977"/>
      <c r="P47" s="1977"/>
      <c r="Q47" s="1978"/>
      <c r="R47" s="1960">
        <v>0</v>
      </c>
      <c r="S47" s="1961"/>
      <c r="T47" s="1961"/>
      <c r="U47" s="1961"/>
      <c r="V47" s="1961"/>
      <c r="W47" s="1962"/>
    </row>
    <row r="48" spans="2:23" s="247" customFormat="1" ht="25" customHeight="1">
      <c r="B48" s="1966">
        <v>8</v>
      </c>
      <c r="C48" s="1967"/>
      <c r="D48" s="1977" t="s">
        <v>499</v>
      </c>
      <c r="E48" s="1977"/>
      <c r="F48" s="1977"/>
      <c r="G48" s="1977"/>
      <c r="H48" s="1977"/>
      <c r="I48" s="1977"/>
      <c r="J48" s="1977"/>
      <c r="K48" s="1977"/>
      <c r="L48" s="1977"/>
      <c r="M48" s="1977"/>
      <c r="N48" s="1977"/>
      <c r="O48" s="1977"/>
      <c r="P48" s="1977"/>
      <c r="Q48" s="1978"/>
      <c r="R48" s="1960">
        <v>0</v>
      </c>
      <c r="S48" s="1961"/>
      <c r="T48" s="1961"/>
      <c r="U48" s="1961"/>
      <c r="V48" s="1961"/>
      <c r="W48" s="1962"/>
    </row>
    <row r="49" spans="2:39" s="247" customFormat="1" ht="25" customHeight="1">
      <c r="B49" s="1966">
        <v>9</v>
      </c>
      <c r="C49" s="1967"/>
      <c r="D49" s="1977" t="s">
        <v>502</v>
      </c>
      <c r="E49" s="1977"/>
      <c r="F49" s="1977"/>
      <c r="G49" s="1977"/>
      <c r="H49" s="1977"/>
      <c r="I49" s="1977"/>
      <c r="J49" s="1977"/>
      <c r="K49" s="1977"/>
      <c r="L49" s="1977"/>
      <c r="M49" s="1977"/>
      <c r="N49" s="1977"/>
      <c r="O49" s="1977"/>
      <c r="P49" s="1977"/>
      <c r="Q49" s="1978"/>
      <c r="R49" s="1960">
        <v>0</v>
      </c>
      <c r="S49" s="1961"/>
      <c r="T49" s="1961"/>
      <c r="U49" s="1961"/>
      <c r="V49" s="1961"/>
      <c r="W49" s="1962"/>
    </row>
    <row r="50" spans="2:39" s="247" customFormat="1" ht="25" customHeight="1">
      <c r="B50" s="1966">
        <v>10</v>
      </c>
      <c r="C50" s="1967"/>
      <c r="D50" s="1968" t="s">
        <v>497</v>
      </c>
      <c r="E50" s="1968"/>
      <c r="F50" s="1968"/>
      <c r="G50" s="1968"/>
      <c r="H50" s="1968"/>
      <c r="I50" s="1968"/>
      <c r="J50" s="1968"/>
      <c r="K50" s="1968"/>
      <c r="L50" s="1968"/>
      <c r="M50" s="1968"/>
      <c r="N50" s="1968"/>
      <c r="O50" s="1968"/>
      <c r="P50" s="1968"/>
      <c r="Q50" s="1969"/>
      <c r="R50" s="1960">
        <v>0</v>
      </c>
      <c r="S50" s="1961"/>
      <c r="T50" s="1961"/>
      <c r="U50" s="1961"/>
      <c r="V50" s="1961"/>
      <c r="W50" s="1962"/>
    </row>
    <row r="51" spans="2:39" s="247" customFormat="1" ht="25" customHeight="1" thickBot="1">
      <c r="B51" s="1970">
        <v>11</v>
      </c>
      <c r="C51" s="1971"/>
      <c r="D51" s="1972" t="s">
        <v>498</v>
      </c>
      <c r="E51" s="1972"/>
      <c r="F51" s="1972"/>
      <c r="G51" s="1972"/>
      <c r="H51" s="1972"/>
      <c r="I51" s="1972"/>
      <c r="J51" s="1972"/>
      <c r="K51" s="1972"/>
      <c r="L51" s="1972"/>
      <c r="M51" s="1972"/>
      <c r="N51" s="1972"/>
      <c r="O51" s="1972"/>
      <c r="P51" s="1972"/>
      <c r="Q51" s="1973"/>
      <c r="R51" s="1960">
        <v>0</v>
      </c>
      <c r="S51" s="1961"/>
      <c r="T51" s="1961"/>
      <c r="U51" s="1961"/>
      <c r="V51" s="1961"/>
      <c r="W51" s="1962"/>
    </row>
    <row r="52" spans="2:39" ht="25" customHeight="1" thickTop="1" thickBot="1">
      <c r="B52" s="1974" t="s">
        <v>532</v>
      </c>
      <c r="C52" s="1975"/>
      <c r="D52" s="1975"/>
      <c r="E52" s="1975"/>
      <c r="F52" s="1975"/>
      <c r="G52" s="1975"/>
      <c r="H52" s="1975"/>
      <c r="I52" s="1975"/>
      <c r="J52" s="1975"/>
      <c r="K52" s="1975"/>
      <c r="L52" s="1975"/>
      <c r="M52" s="1975"/>
      <c r="N52" s="1975"/>
      <c r="O52" s="1975"/>
      <c r="P52" s="1975"/>
      <c r="Q52" s="1976"/>
      <c r="R52" s="1963">
        <f>SUM(R41:W51)</f>
        <v>8</v>
      </c>
      <c r="S52" s="1964"/>
      <c r="T52" s="1964"/>
      <c r="U52" s="1964"/>
      <c r="V52" s="1964"/>
      <c r="W52" s="1965"/>
    </row>
    <row r="53" spans="2:39" ht="11.5" customHeight="1"/>
    <row r="54" spans="2:39">
      <c r="B54" s="222" t="s">
        <v>1326</v>
      </c>
      <c r="C54" s="222"/>
      <c r="D54" s="222"/>
      <c r="E54" s="222"/>
      <c r="F54" s="222"/>
      <c r="G54" s="222"/>
      <c r="H54" s="222"/>
      <c r="I54" s="222"/>
      <c r="J54" s="222"/>
    </row>
    <row r="55" spans="2:39" ht="31.5" customHeight="1">
      <c r="K55" s="239"/>
      <c r="L55" s="239"/>
      <c r="M55" s="239"/>
      <c r="N55" s="239"/>
      <c r="O55" s="239"/>
      <c r="P55" s="239"/>
      <c r="Q55" s="239"/>
      <c r="R55" s="239"/>
      <c r="S55" s="239"/>
      <c r="T55" s="239"/>
      <c r="U55" s="239"/>
      <c r="V55" s="239"/>
      <c r="W55" s="239"/>
      <c r="X55" s="239"/>
      <c r="Y55" s="239"/>
      <c r="Z55" s="239"/>
      <c r="AA55" s="239"/>
      <c r="AB55" s="239"/>
      <c r="AC55" s="239"/>
      <c r="AD55" s="239"/>
      <c r="AE55" s="239"/>
      <c r="AF55" s="239"/>
      <c r="AG55" s="239"/>
      <c r="AH55" s="239"/>
      <c r="AI55" s="239"/>
      <c r="AJ55" s="239"/>
      <c r="AK55" s="239"/>
      <c r="AL55" s="239"/>
      <c r="AM55" s="239"/>
    </row>
    <row r="56" spans="2:39" s="242" customFormat="1" ht="14">
      <c r="B56" s="241" t="s">
        <v>847</v>
      </c>
      <c r="O56" s="241" t="s">
        <v>760</v>
      </c>
      <c r="P56" s="241"/>
      <c r="AB56" s="241" t="s">
        <v>783</v>
      </c>
    </row>
    <row r="57" spans="2:39" s="242" customFormat="1" ht="21.75" customHeight="1">
      <c r="B57" s="241" t="s">
        <v>756</v>
      </c>
      <c r="F57" s="1959" t="str">
        <f>activesheet!E29</f>
        <v>RICO S. MISPEROS</v>
      </c>
      <c r="G57" s="1959"/>
      <c r="H57" s="1959"/>
      <c r="I57" s="1959"/>
      <c r="J57" s="1959"/>
      <c r="K57" s="1959"/>
      <c r="L57" s="1959"/>
      <c r="O57" s="1959" t="str">
        <f>activesheet!E394</f>
        <v>RONE RAY M. PORTACION</v>
      </c>
      <c r="P57" s="1959"/>
      <c r="Q57" s="1959"/>
      <c r="R57" s="1959"/>
      <c r="S57" s="1959"/>
      <c r="T57" s="1959"/>
      <c r="U57" s="1959"/>
      <c r="V57" s="1959"/>
      <c r="W57" s="1959"/>
      <c r="X57" s="1959"/>
      <c r="Y57" s="1959"/>
      <c r="AB57" s="1956" t="str">
        <f>activesheet!E31</f>
        <v>MICHAEL T. JAMIS</v>
      </c>
      <c r="AC57" s="1956"/>
      <c r="AD57" s="1956"/>
      <c r="AE57" s="1956"/>
      <c r="AF57" s="1956"/>
      <c r="AG57" s="1956"/>
      <c r="AH57" s="1956"/>
      <c r="AI57" s="1956"/>
      <c r="AJ57" s="1956"/>
      <c r="AK57" s="1956"/>
      <c r="AL57" s="1956"/>
    </row>
    <row r="58" spans="2:39" s="243" customFormat="1" ht="14">
      <c r="B58" s="241"/>
      <c r="F58" s="1958" t="s">
        <v>741</v>
      </c>
      <c r="G58" s="1958"/>
      <c r="H58" s="1958"/>
      <c r="I58" s="1958"/>
      <c r="J58" s="1958"/>
      <c r="K58" s="1958"/>
      <c r="L58" s="1958"/>
      <c r="M58" s="245"/>
      <c r="N58" s="245"/>
      <c r="O58" s="1958" t="s">
        <v>741</v>
      </c>
      <c r="P58" s="1958"/>
      <c r="Q58" s="1958"/>
      <c r="R58" s="1958"/>
      <c r="S58" s="1958"/>
      <c r="T58" s="1958"/>
      <c r="U58" s="1958"/>
      <c r="V58" s="1958"/>
      <c r="W58" s="1958"/>
      <c r="X58" s="1958"/>
      <c r="Y58" s="1958"/>
      <c r="Z58" s="245"/>
      <c r="AA58" s="245"/>
      <c r="AB58" s="1957"/>
      <c r="AC58" s="1957"/>
      <c r="AD58" s="1957"/>
      <c r="AE58" s="1957"/>
      <c r="AF58" s="1957"/>
      <c r="AG58" s="1957"/>
      <c r="AH58" s="1957"/>
      <c r="AI58" s="1957"/>
      <c r="AJ58" s="1957"/>
      <c r="AK58" s="1957"/>
      <c r="AL58" s="1957"/>
    </row>
    <row r="59" spans="2:39" s="242" customFormat="1" ht="21.75" customHeight="1">
      <c r="B59" s="241" t="s">
        <v>71</v>
      </c>
      <c r="F59" s="1959" t="str">
        <f>activesheet!E30</f>
        <v>SCHOOL PRINCIPAL II</v>
      </c>
      <c r="G59" s="1959"/>
      <c r="H59" s="1959"/>
      <c r="I59" s="1959"/>
      <c r="J59" s="1959"/>
      <c r="K59" s="1959"/>
      <c r="L59" s="1959"/>
      <c r="O59" s="241" t="s">
        <v>71</v>
      </c>
      <c r="P59" s="241"/>
      <c r="S59" s="1959" t="str">
        <f>activesheet!E395</f>
        <v>Education Program Supervisor</v>
      </c>
      <c r="T59" s="1959"/>
      <c r="U59" s="1959"/>
      <c r="V59" s="1959"/>
      <c r="W59" s="1959"/>
      <c r="X59" s="1959"/>
      <c r="Y59" s="1959"/>
      <c r="AB59" s="1958" t="s">
        <v>741</v>
      </c>
      <c r="AC59" s="1958"/>
      <c r="AD59" s="1958"/>
      <c r="AE59" s="1958"/>
      <c r="AF59" s="1958"/>
      <c r="AG59" s="1958"/>
      <c r="AH59" s="1958"/>
      <c r="AI59" s="1958"/>
      <c r="AJ59" s="1958"/>
      <c r="AK59" s="1958"/>
      <c r="AL59" s="1958"/>
    </row>
    <row r="60" spans="2:39" ht="15.65" customHeight="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row>
    <row r="61" spans="2:39" ht="15.65" customHeight="1"/>
    <row r="62" spans="2:39" ht="15.65" customHeight="1">
      <c r="K62" s="240" t="s">
        <v>220</v>
      </c>
    </row>
    <row r="63" spans="2:39" ht="15.65" customHeight="1"/>
    <row r="64" spans="2:39" ht="15.65" customHeight="1"/>
    <row r="65" ht="15.65" customHeight="1"/>
    <row r="66" ht="15.65" customHeight="1"/>
    <row r="67" ht="15.65" customHeight="1"/>
    <row r="68" ht="15.65" customHeight="1"/>
  </sheetData>
  <sheetProtection algorithmName="SHA-512" hashValue="GlavJSoeH+wXnAOpJrHvv0eNv3BqKa/AholDp0MucuXh7aJs/+NVMgwC1I6Mj1kbiJoT4mri2NbqJbeCOdEUoA==" saltValue="sQPYJNk5QWrSRdr75z2itg==" spinCount="100000" sheet="1" objects="1" scenarios="1" selectLockedCells="1"/>
  <mergeCells count="152">
    <mergeCell ref="B7:C7"/>
    <mergeCell ref="D7:Q7"/>
    <mergeCell ref="B8:C8"/>
    <mergeCell ref="D8:Q8"/>
    <mergeCell ref="B9:C9"/>
    <mergeCell ref="D9:Q9"/>
    <mergeCell ref="B4:Q4"/>
    <mergeCell ref="R4:W4"/>
    <mergeCell ref="D6:Q6"/>
    <mergeCell ref="B6:C6"/>
    <mergeCell ref="B13:C13"/>
    <mergeCell ref="D13:Q13"/>
    <mergeCell ref="B14:C14"/>
    <mergeCell ref="D14:Q14"/>
    <mergeCell ref="B15:C15"/>
    <mergeCell ref="D15:Q15"/>
    <mergeCell ref="B10:C10"/>
    <mergeCell ref="D10:Q10"/>
    <mergeCell ref="B11:C11"/>
    <mergeCell ref="D11:Q11"/>
    <mergeCell ref="B12:C12"/>
    <mergeCell ref="D12:Q12"/>
    <mergeCell ref="B19:C19"/>
    <mergeCell ref="D19:Q19"/>
    <mergeCell ref="B20:C20"/>
    <mergeCell ref="D20:Q20"/>
    <mergeCell ref="B21:C21"/>
    <mergeCell ref="D21:Q21"/>
    <mergeCell ref="B16:C16"/>
    <mergeCell ref="D16:Q16"/>
    <mergeCell ref="B17:C17"/>
    <mergeCell ref="D17:Q17"/>
    <mergeCell ref="B18:C18"/>
    <mergeCell ref="D18:Q18"/>
    <mergeCell ref="B25:C25"/>
    <mergeCell ref="D25:Q25"/>
    <mergeCell ref="B26:C26"/>
    <mergeCell ref="D26:Q26"/>
    <mergeCell ref="B27:C27"/>
    <mergeCell ref="D27:Q27"/>
    <mergeCell ref="B22:C22"/>
    <mergeCell ref="D22:Q22"/>
    <mergeCell ref="B23:C23"/>
    <mergeCell ref="D23:Q23"/>
    <mergeCell ref="B24:C24"/>
    <mergeCell ref="D24:Q24"/>
    <mergeCell ref="B37:C37"/>
    <mergeCell ref="D37:Q37"/>
    <mergeCell ref="B38:C38"/>
    <mergeCell ref="D38:Q38"/>
    <mergeCell ref="B5:Q5"/>
    <mergeCell ref="B39:Q39"/>
    <mergeCell ref="B34:C34"/>
    <mergeCell ref="D34:Q34"/>
    <mergeCell ref="B35:C35"/>
    <mergeCell ref="D35:Q35"/>
    <mergeCell ref="B36:C36"/>
    <mergeCell ref="D36:Q36"/>
    <mergeCell ref="B31:C31"/>
    <mergeCell ref="D31:Q31"/>
    <mergeCell ref="B32:C32"/>
    <mergeCell ref="D32:Q32"/>
    <mergeCell ref="B33:C33"/>
    <mergeCell ref="D33:Q33"/>
    <mergeCell ref="B28:C28"/>
    <mergeCell ref="D28:Q28"/>
    <mergeCell ref="B29:C29"/>
    <mergeCell ref="D29:Q29"/>
    <mergeCell ref="B30:C30"/>
    <mergeCell ref="D30:Q30"/>
    <mergeCell ref="B44:C44"/>
    <mergeCell ref="D44:Q44"/>
    <mergeCell ref="B45:C45"/>
    <mergeCell ref="D45:Q45"/>
    <mergeCell ref="B46:C46"/>
    <mergeCell ref="D46:Q46"/>
    <mergeCell ref="B40:Q40"/>
    <mergeCell ref="B41:C41"/>
    <mergeCell ref="D41:Q41"/>
    <mergeCell ref="B42:C42"/>
    <mergeCell ref="D42:Q42"/>
    <mergeCell ref="B43:C43"/>
    <mergeCell ref="D43:Q43"/>
    <mergeCell ref="B50:C50"/>
    <mergeCell ref="D50:Q50"/>
    <mergeCell ref="B51:C51"/>
    <mergeCell ref="D51:Q51"/>
    <mergeCell ref="B52:Q52"/>
    <mergeCell ref="R52:W52"/>
    <mergeCell ref="B47:C47"/>
    <mergeCell ref="D47:Q47"/>
    <mergeCell ref="B48:C48"/>
    <mergeCell ref="D48:Q48"/>
    <mergeCell ref="B49:C49"/>
    <mergeCell ref="D49:Q49"/>
    <mergeCell ref="R15:W15"/>
    <mergeCell ref="R16:W16"/>
    <mergeCell ref="R17:W17"/>
    <mergeCell ref="R6:W6"/>
    <mergeCell ref="R7:W7"/>
    <mergeCell ref="R8:W8"/>
    <mergeCell ref="R9:W9"/>
    <mergeCell ref="R10:W10"/>
    <mergeCell ref="R11:W11"/>
    <mergeCell ref="R45:W45"/>
    <mergeCell ref="R46:W46"/>
    <mergeCell ref="B2:AC2"/>
    <mergeCell ref="R30:W30"/>
    <mergeCell ref="R31:W31"/>
    <mergeCell ref="R32:W32"/>
    <mergeCell ref="R33:W33"/>
    <mergeCell ref="R34:W34"/>
    <mergeCell ref="R35:W35"/>
    <mergeCell ref="R24:W24"/>
    <mergeCell ref="R25:W25"/>
    <mergeCell ref="R26:W26"/>
    <mergeCell ref="R27:W27"/>
    <mergeCell ref="R28:W28"/>
    <mergeCell ref="R29:W29"/>
    <mergeCell ref="R18:W18"/>
    <mergeCell ref="R19:W19"/>
    <mergeCell ref="R20:W20"/>
    <mergeCell ref="R21:W21"/>
    <mergeCell ref="R22:W22"/>
    <mergeCell ref="R23:W23"/>
    <mergeCell ref="R12:W12"/>
    <mergeCell ref="R13:W13"/>
    <mergeCell ref="R14:W14"/>
    <mergeCell ref="B3:AC3"/>
    <mergeCell ref="AA6:AL9"/>
    <mergeCell ref="AA11:AL12"/>
    <mergeCell ref="AB57:AL58"/>
    <mergeCell ref="F58:L58"/>
    <mergeCell ref="F59:L59"/>
    <mergeCell ref="O58:Y58"/>
    <mergeCell ref="S59:Y59"/>
    <mergeCell ref="AB59:AL59"/>
    <mergeCell ref="F57:L57"/>
    <mergeCell ref="O57:Y57"/>
    <mergeCell ref="R36:W36"/>
    <mergeCell ref="R37:W37"/>
    <mergeCell ref="R38:W38"/>
    <mergeCell ref="R47:W47"/>
    <mergeCell ref="R48:W48"/>
    <mergeCell ref="R49:W49"/>
    <mergeCell ref="R50:W50"/>
    <mergeCell ref="R51:W51"/>
    <mergeCell ref="R39:W39"/>
    <mergeCell ref="R41:W41"/>
    <mergeCell ref="R42:W42"/>
    <mergeCell ref="R43:W43"/>
    <mergeCell ref="R44:W44"/>
  </mergeCells>
  <dataValidations count="1">
    <dataValidation type="whole" allowBlank="1" showInputMessage="1" showErrorMessage="1" errorTitle="GESP SY 2022-2023" error="Please enter valid number between 0-999." sqref="R6:W38 R41:W51" xr:uid="{00000000-0002-0000-0700-000000000000}">
      <formula1>0</formula1>
      <formula2>999</formula2>
    </dataValidation>
  </dataValidations>
  <printOptions horizontalCentered="1" verticalCentered="1"/>
  <pageMargins left="0.25" right="0.25" top="0.2" bottom="0.2" header="0" footer="0.1"/>
  <pageSetup paperSize="9" scale="56" orientation="portrait" r:id="rId1"/>
  <headerFooter alignWithMargins="0">
    <oddFooter>&amp;L&amp;10&amp;F &amp;A&amp;R&amp;11Page 4 of 60</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B1:AJ58"/>
  <sheetViews>
    <sheetView showGridLines="0" zoomScaleNormal="100" workbookViewId="0">
      <selection activeCell="S34" sqref="S34:X34"/>
    </sheetView>
  </sheetViews>
  <sheetFormatPr defaultColWidth="9" defaultRowHeight="14.5"/>
  <cols>
    <col min="1" max="1" width="2.08203125" style="257" customWidth="1"/>
    <col min="2" max="3" width="3.58203125" style="257" customWidth="1"/>
    <col min="4" max="4" width="3.58203125" style="263" customWidth="1"/>
    <col min="5" max="8" width="3.58203125" style="264" customWidth="1"/>
    <col min="9" max="26" width="3.58203125" style="257" customWidth="1"/>
    <col min="27" max="27" width="2.08203125" style="257" customWidth="1"/>
    <col min="28" max="40" width="3.58203125" style="257" customWidth="1"/>
    <col min="41" max="41" width="2.08203125" style="257" customWidth="1"/>
    <col min="42" max="43" width="3.58203125" style="257" customWidth="1"/>
    <col min="44" max="16384" width="9" style="257"/>
  </cols>
  <sheetData>
    <row r="1" spans="4:30" ht="12" customHeight="1"/>
    <row r="2" spans="4:30" s="266" customFormat="1" ht="16.5">
      <c r="D2" s="267" t="s">
        <v>1262</v>
      </c>
      <c r="E2" s="268"/>
      <c r="F2" s="268"/>
      <c r="G2" s="268"/>
      <c r="H2" s="268"/>
    </row>
    <row r="3" spans="4:30" s="266" customFormat="1" ht="17" thickBot="1">
      <c r="D3" s="269" t="s">
        <v>11749</v>
      </c>
      <c r="E3" s="270"/>
      <c r="F3" s="270"/>
      <c r="G3" s="268"/>
      <c r="H3" s="268"/>
    </row>
    <row r="4" spans="4:30" s="238" customFormat="1" ht="38.15" customHeight="1" thickBot="1">
      <c r="D4" s="1982" t="s">
        <v>533</v>
      </c>
      <c r="E4" s="1983"/>
      <c r="F4" s="1983"/>
      <c r="G4" s="1983"/>
      <c r="H4" s="1983"/>
      <c r="I4" s="1983"/>
      <c r="J4" s="1983"/>
      <c r="K4" s="1983"/>
      <c r="L4" s="1983"/>
      <c r="M4" s="1983"/>
      <c r="N4" s="1983"/>
      <c r="O4" s="1983"/>
      <c r="P4" s="1983"/>
      <c r="Q4" s="1983"/>
      <c r="R4" s="1984"/>
      <c r="S4" s="1982" t="s">
        <v>864</v>
      </c>
      <c r="T4" s="1983"/>
      <c r="U4" s="1983"/>
      <c r="V4" s="1983"/>
      <c r="W4" s="1983"/>
      <c r="X4" s="1984"/>
      <c r="Y4" s="255"/>
      <c r="Z4" s="255"/>
      <c r="AB4" s="255"/>
      <c r="AC4" s="255"/>
    </row>
    <row r="5" spans="4:30" s="247" customFormat="1" ht="25" customHeight="1">
      <c r="D5" s="1966">
        <v>1</v>
      </c>
      <c r="E5" s="1967"/>
      <c r="F5" s="1990" t="s">
        <v>479</v>
      </c>
      <c r="G5" s="1990"/>
      <c r="H5" s="1990"/>
      <c r="I5" s="1990"/>
      <c r="J5" s="1990"/>
      <c r="K5" s="1990"/>
      <c r="L5" s="1990"/>
      <c r="M5" s="1990"/>
      <c r="N5" s="1990"/>
      <c r="O5" s="1990"/>
      <c r="P5" s="1990"/>
      <c r="Q5" s="1990"/>
      <c r="R5" s="1991"/>
      <c r="S5" s="1987">
        <v>0</v>
      </c>
      <c r="T5" s="1988"/>
      <c r="U5" s="1988"/>
      <c r="V5" s="1988"/>
      <c r="W5" s="1988"/>
      <c r="X5" s="1989"/>
      <c r="Y5" s="252"/>
      <c r="Z5" s="252"/>
      <c r="AA5" s="254"/>
      <c r="AB5" s="252"/>
      <c r="AD5" s="254"/>
    </row>
    <row r="6" spans="4:30" s="247" customFormat="1" ht="25" customHeight="1">
      <c r="D6" s="1966">
        <v>2</v>
      </c>
      <c r="E6" s="1967"/>
      <c r="F6" s="1968" t="s">
        <v>466</v>
      </c>
      <c r="G6" s="1968"/>
      <c r="H6" s="1968"/>
      <c r="I6" s="1968"/>
      <c r="J6" s="1968"/>
      <c r="K6" s="1968"/>
      <c r="L6" s="1968"/>
      <c r="M6" s="1968"/>
      <c r="N6" s="1968"/>
      <c r="O6" s="1968"/>
      <c r="P6" s="1968"/>
      <c r="Q6" s="1968"/>
      <c r="R6" s="1969"/>
      <c r="S6" s="1987">
        <v>0</v>
      </c>
      <c r="T6" s="1988"/>
      <c r="U6" s="1988"/>
      <c r="V6" s="1988"/>
      <c r="W6" s="1988"/>
      <c r="X6" s="1989"/>
      <c r="Y6" s="252"/>
      <c r="Z6" s="252"/>
      <c r="AA6" s="254"/>
      <c r="AB6" s="252"/>
      <c r="AD6" s="254"/>
    </row>
    <row r="7" spans="4:30" s="247" customFormat="1" ht="25" customHeight="1">
      <c r="D7" s="1966">
        <v>3</v>
      </c>
      <c r="E7" s="1967"/>
      <c r="F7" s="1968" t="s">
        <v>486</v>
      </c>
      <c r="G7" s="1968"/>
      <c r="H7" s="1968"/>
      <c r="I7" s="1968"/>
      <c r="J7" s="1968"/>
      <c r="K7" s="1968"/>
      <c r="L7" s="1968"/>
      <c r="M7" s="1968"/>
      <c r="N7" s="1968"/>
      <c r="O7" s="1968"/>
      <c r="P7" s="1968"/>
      <c r="Q7" s="1968"/>
      <c r="R7" s="1969"/>
      <c r="S7" s="1987">
        <v>0</v>
      </c>
      <c r="T7" s="1988"/>
      <c r="U7" s="1988"/>
      <c r="V7" s="1988"/>
      <c r="W7" s="1988"/>
      <c r="X7" s="1989"/>
      <c r="Y7" s="252"/>
      <c r="Z7" s="252"/>
      <c r="AA7" s="254"/>
      <c r="AB7" s="252"/>
      <c r="AD7" s="254"/>
    </row>
    <row r="8" spans="4:30" s="247" customFormat="1" ht="25" customHeight="1">
      <c r="D8" s="1966">
        <v>4</v>
      </c>
      <c r="E8" s="1967"/>
      <c r="F8" s="1968" t="s">
        <v>487</v>
      </c>
      <c r="G8" s="1968"/>
      <c r="H8" s="1968"/>
      <c r="I8" s="1968"/>
      <c r="J8" s="1968"/>
      <c r="K8" s="1968"/>
      <c r="L8" s="1968"/>
      <c r="M8" s="1968"/>
      <c r="N8" s="1968"/>
      <c r="O8" s="1968"/>
      <c r="P8" s="1968"/>
      <c r="Q8" s="1968"/>
      <c r="R8" s="1969"/>
      <c r="S8" s="1987">
        <v>0</v>
      </c>
      <c r="T8" s="1988"/>
      <c r="U8" s="1988"/>
      <c r="V8" s="1988"/>
      <c r="W8" s="1988"/>
      <c r="X8" s="1989"/>
      <c r="Y8" s="252"/>
      <c r="Z8" s="252"/>
      <c r="AA8" s="254"/>
      <c r="AB8" s="252"/>
      <c r="AD8" s="254"/>
    </row>
    <row r="9" spans="4:30" s="247" customFormat="1" ht="25" customHeight="1">
      <c r="D9" s="1966">
        <v>5</v>
      </c>
      <c r="E9" s="1967"/>
      <c r="F9" s="1968" t="s">
        <v>494</v>
      </c>
      <c r="G9" s="1968"/>
      <c r="H9" s="1968"/>
      <c r="I9" s="1968"/>
      <c r="J9" s="1968"/>
      <c r="K9" s="1968"/>
      <c r="L9" s="1968"/>
      <c r="M9" s="1968"/>
      <c r="N9" s="1968"/>
      <c r="O9" s="1968"/>
      <c r="P9" s="1968"/>
      <c r="Q9" s="1968"/>
      <c r="R9" s="1969"/>
      <c r="S9" s="1987">
        <v>0</v>
      </c>
      <c r="T9" s="1988"/>
      <c r="U9" s="1988"/>
      <c r="V9" s="1988"/>
      <c r="W9" s="1988"/>
      <c r="X9" s="1989"/>
      <c r="Y9" s="252"/>
      <c r="Z9" s="252"/>
      <c r="AA9" s="265"/>
      <c r="AB9" s="252"/>
      <c r="AD9" s="265"/>
    </row>
    <row r="10" spans="4:30" s="247" customFormat="1" ht="25" customHeight="1">
      <c r="D10" s="1966">
        <v>6</v>
      </c>
      <c r="E10" s="1967"/>
      <c r="F10" s="1968" t="s">
        <v>470</v>
      </c>
      <c r="G10" s="1968"/>
      <c r="H10" s="1968"/>
      <c r="I10" s="1968"/>
      <c r="J10" s="1968"/>
      <c r="K10" s="1968"/>
      <c r="L10" s="1968"/>
      <c r="M10" s="1968"/>
      <c r="N10" s="1968"/>
      <c r="O10" s="1968"/>
      <c r="P10" s="1968"/>
      <c r="Q10" s="1968"/>
      <c r="R10" s="1969"/>
      <c r="S10" s="1987">
        <v>0</v>
      </c>
      <c r="T10" s="1988"/>
      <c r="U10" s="1988"/>
      <c r="V10" s="1988"/>
      <c r="W10" s="1988"/>
      <c r="X10" s="1989"/>
      <c r="Y10" s="252"/>
      <c r="Z10" s="252"/>
      <c r="AA10" s="265"/>
      <c r="AB10" s="252"/>
      <c r="AD10" s="265"/>
    </row>
    <row r="11" spans="4:30" s="247" customFormat="1" ht="25" customHeight="1">
      <c r="D11" s="1966">
        <v>7</v>
      </c>
      <c r="E11" s="1967"/>
      <c r="F11" s="1968" t="s">
        <v>515</v>
      </c>
      <c r="G11" s="1968"/>
      <c r="H11" s="1968"/>
      <c r="I11" s="1968"/>
      <c r="J11" s="1968"/>
      <c r="K11" s="1968"/>
      <c r="L11" s="1968"/>
      <c r="M11" s="1968"/>
      <c r="N11" s="1968"/>
      <c r="O11" s="1968"/>
      <c r="P11" s="1968"/>
      <c r="Q11" s="1968"/>
      <c r="R11" s="1969"/>
      <c r="S11" s="1987">
        <v>1</v>
      </c>
      <c r="T11" s="1988"/>
      <c r="U11" s="1988"/>
      <c r="V11" s="1988"/>
      <c r="W11" s="1988"/>
      <c r="X11" s="1989"/>
      <c r="Y11" s="252"/>
      <c r="Z11" s="252"/>
      <c r="AB11" s="252"/>
    </row>
    <row r="12" spans="4:30" s="247" customFormat="1" ht="25" customHeight="1">
      <c r="D12" s="1966">
        <v>8</v>
      </c>
      <c r="E12" s="1967"/>
      <c r="F12" s="1968" t="s">
        <v>480</v>
      </c>
      <c r="G12" s="1968"/>
      <c r="H12" s="1968"/>
      <c r="I12" s="1968"/>
      <c r="J12" s="1968"/>
      <c r="K12" s="1968"/>
      <c r="L12" s="1968"/>
      <c r="M12" s="1968"/>
      <c r="N12" s="1968"/>
      <c r="O12" s="1968"/>
      <c r="P12" s="1968"/>
      <c r="Q12" s="1968"/>
      <c r="R12" s="1969"/>
      <c r="S12" s="1987">
        <v>0</v>
      </c>
      <c r="T12" s="1988"/>
      <c r="U12" s="1988"/>
      <c r="V12" s="1988"/>
      <c r="W12" s="1988"/>
      <c r="X12" s="1989"/>
      <c r="Y12" s="252"/>
      <c r="Z12" s="252"/>
      <c r="AB12" s="252"/>
    </row>
    <row r="13" spans="4:30" s="247" customFormat="1" ht="25" customHeight="1">
      <c r="D13" s="1966">
        <v>9</v>
      </c>
      <c r="E13" s="1967"/>
      <c r="F13" s="1968" t="s">
        <v>493</v>
      </c>
      <c r="G13" s="1968"/>
      <c r="H13" s="1968"/>
      <c r="I13" s="1968"/>
      <c r="J13" s="1968"/>
      <c r="K13" s="1968"/>
      <c r="L13" s="1968"/>
      <c r="M13" s="1968"/>
      <c r="N13" s="1968"/>
      <c r="O13" s="1968"/>
      <c r="P13" s="1968"/>
      <c r="Q13" s="1968"/>
      <c r="R13" s="1969"/>
      <c r="S13" s="1987">
        <v>0</v>
      </c>
      <c r="T13" s="1988"/>
      <c r="U13" s="1988"/>
      <c r="V13" s="1988"/>
      <c r="W13" s="1988"/>
      <c r="X13" s="1989"/>
      <c r="Y13" s="252"/>
      <c r="Z13" s="252"/>
      <c r="AB13" s="252"/>
    </row>
    <row r="14" spans="4:30" s="247" customFormat="1" ht="25" customHeight="1">
      <c r="D14" s="1966">
        <v>10</v>
      </c>
      <c r="E14" s="1967"/>
      <c r="F14" s="1968" t="s">
        <v>472</v>
      </c>
      <c r="G14" s="1968"/>
      <c r="H14" s="1968"/>
      <c r="I14" s="1968"/>
      <c r="J14" s="1968"/>
      <c r="K14" s="1968"/>
      <c r="L14" s="1968"/>
      <c r="M14" s="1968"/>
      <c r="N14" s="1968"/>
      <c r="O14" s="1968"/>
      <c r="P14" s="1968"/>
      <c r="Q14" s="1968"/>
      <c r="R14" s="1969"/>
      <c r="S14" s="1987">
        <v>1</v>
      </c>
      <c r="T14" s="1988"/>
      <c r="U14" s="1988"/>
      <c r="V14" s="1988"/>
      <c r="W14" s="1988"/>
      <c r="X14" s="1989"/>
      <c r="Y14" s="252"/>
      <c r="Z14" s="252"/>
      <c r="AB14" s="252"/>
    </row>
    <row r="15" spans="4:30" s="247" customFormat="1" ht="25" customHeight="1">
      <c r="D15" s="1966">
        <v>11</v>
      </c>
      <c r="E15" s="1967"/>
      <c r="F15" s="1968" t="s">
        <v>488</v>
      </c>
      <c r="G15" s="1968"/>
      <c r="H15" s="1968"/>
      <c r="I15" s="1968"/>
      <c r="J15" s="1968"/>
      <c r="K15" s="1968"/>
      <c r="L15" s="1968"/>
      <c r="M15" s="1968"/>
      <c r="N15" s="1968"/>
      <c r="O15" s="1968"/>
      <c r="P15" s="1968"/>
      <c r="Q15" s="1968"/>
      <c r="R15" s="1969"/>
      <c r="S15" s="1987">
        <v>0</v>
      </c>
      <c r="T15" s="1988"/>
      <c r="U15" s="1988"/>
      <c r="V15" s="1988"/>
      <c r="W15" s="1988"/>
      <c r="X15" s="1989"/>
      <c r="Y15" s="252"/>
      <c r="Z15" s="252"/>
      <c r="AB15" s="252"/>
    </row>
    <row r="16" spans="4:30" s="247" customFormat="1" ht="25" customHeight="1">
      <c r="D16" s="1966">
        <v>12</v>
      </c>
      <c r="E16" s="1967"/>
      <c r="F16" s="1968" t="s">
        <v>476</v>
      </c>
      <c r="G16" s="1968"/>
      <c r="H16" s="1968"/>
      <c r="I16" s="1968"/>
      <c r="J16" s="1968"/>
      <c r="K16" s="1968"/>
      <c r="L16" s="1968"/>
      <c r="M16" s="1968"/>
      <c r="N16" s="1968"/>
      <c r="O16" s="1968"/>
      <c r="P16" s="1968"/>
      <c r="Q16" s="1968"/>
      <c r="R16" s="1969"/>
      <c r="S16" s="1987">
        <v>0</v>
      </c>
      <c r="T16" s="1988"/>
      <c r="U16" s="1988"/>
      <c r="V16" s="1988"/>
      <c r="W16" s="1988"/>
      <c r="X16" s="1989"/>
      <c r="Y16" s="252"/>
      <c r="Z16" s="252"/>
      <c r="AB16" s="252"/>
    </row>
    <row r="17" spans="4:34" s="247" customFormat="1" ht="25" customHeight="1">
      <c r="D17" s="1966">
        <v>13</v>
      </c>
      <c r="E17" s="1967"/>
      <c r="F17" s="1968" t="s">
        <v>474</v>
      </c>
      <c r="G17" s="1968"/>
      <c r="H17" s="1968"/>
      <c r="I17" s="1968"/>
      <c r="J17" s="1968"/>
      <c r="K17" s="1968"/>
      <c r="L17" s="1968"/>
      <c r="M17" s="1968"/>
      <c r="N17" s="1968"/>
      <c r="O17" s="1968"/>
      <c r="P17" s="1968"/>
      <c r="Q17" s="1968"/>
      <c r="R17" s="1969"/>
      <c r="S17" s="1987">
        <v>1</v>
      </c>
      <c r="T17" s="1988"/>
      <c r="U17" s="1988"/>
      <c r="V17" s="1988"/>
      <c r="W17" s="1988"/>
      <c r="X17" s="1989"/>
      <c r="Y17" s="252"/>
      <c r="Z17" s="252"/>
      <c r="AB17" s="252"/>
    </row>
    <row r="18" spans="4:34" s="247" customFormat="1" ht="25" customHeight="1">
      <c r="D18" s="1966">
        <v>14</v>
      </c>
      <c r="E18" s="1967"/>
      <c r="F18" s="1968" t="s">
        <v>475</v>
      </c>
      <c r="G18" s="1968"/>
      <c r="H18" s="1968"/>
      <c r="I18" s="1968"/>
      <c r="J18" s="1968"/>
      <c r="K18" s="1968"/>
      <c r="L18" s="1968"/>
      <c r="M18" s="1968"/>
      <c r="N18" s="1968"/>
      <c r="O18" s="1968"/>
      <c r="P18" s="1968"/>
      <c r="Q18" s="1968"/>
      <c r="R18" s="1969"/>
      <c r="S18" s="1987">
        <v>0</v>
      </c>
      <c r="T18" s="1988"/>
      <c r="U18" s="1988"/>
      <c r="V18" s="1988"/>
      <c r="W18" s="1988"/>
      <c r="X18" s="1989"/>
      <c r="Y18" s="252"/>
      <c r="Z18" s="252"/>
      <c r="AA18" s="254"/>
      <c r="AC18" s="254"/>
      <c r="AD18" s="254"/>
      <c r="AE18" s="254"/>
      <c r="AF18" s="254"/>
    </row>
    <row r="19" spans="4:34" s="247" customFormat="1" ht="25" customHeight="1">
      <c r="D19" s="1966">
        <v>15</v>
      </c>
      <c r="E19" s="1967"/>
      <c r="F19" s="1968" t="s">
        <v>469</v>
      </c>
      <c r="G19" s="1968"/>
      <c r="H19" s="1968"/>
      <c r="I19" s="1968"/>
      <c r="J19" s="1968"/>
      <c r="K19" s="1968"/>
      <c r="L19" s="1968"/>
      <c r="M19" s="1968"/>
      <c r="N19" s="1968"/>
      <c r="O19" s="1968"/>
      <c r="P19" s="1968"/>
      <c r="Q19" s="1968"/>
      <c r="R19" s="1969"/>
      <c r="S19" s="1987">
        <v>1</v>
      </c>
      <c r="T19" s="1988"/>
      <c r="U19" s="1988"/>
      <c r="V19" s="1988"/>
      <c r="W19" s="1988"/>
      <c r="X19" s="1989"/>
      <c r="Y19" s="252"/>
      <c r="Z19" s="252"/>
      <c r="AB19" s="252"/>
      <c r="AC19" s="252"/>
      <c r="AE19" s="254"/>
      <c r="AF19" s="254"/>
      <c r="AG19" s="254"/>
      <c r="AH19" s="254"/>
    </row>
    <row r="20" spans="4:34" s="247" customFormat="1" ht="25" customHeight="1">
      <c r="D20" s="1966">
        <v>16</v>
      </c>
      <c r="E20" s="1967"/>
      <c r="F20" s="1968" t="s">
        <v>471</v>
      </c>
      <c r="G20" s="1968"/>
      <c r="H20" s="1968"/>
      <c r="I20" s="1968"/>
      <c r="J20" s="1968"/>
      <c r="K20" s="1968"/>
      <c r="L20" s="1968"/>
      <c r="M20" s="1968"/>
      <c r="N20" s="1968"/>
      <c r="O20" s="1968"/>
      <c r="P20" s="1968"/>
      <c r="Q20" s="1968"/>
      <c r="R20" s="1969"/>
      <c r="S20" s="1987">
        <v>0</v>
      </c>
      <c r="T20" s="1988"/>
      <c r="U20" s="1988"/>
      <c r="V20" s="1988"/>
      <c r="W20" s="1988"/>
      <c r="X20" s="1989"/>
      <c r="Y20" s="252"/>
      <c r="Z20" s="252"/>
      <c r="AB20" s="252"/>
      <c r="AC20" s="252"/>
      <c r="AE20" s="254"/>
      <c r="AF20" s="254"/>
      <c r="AG20" s="254"/>
      <c r="AH20" s="254"/>
    </row>
    <row r="21" spans="4:34" s="247" customFormat="1" ht="25" customHeight="1">
      <c r="D21" s="1966">
        <v>17</v>
      </c>
      <c r="E21" s="1967"/>
      <c r="F21" s="1968" t="s">
        <v>481</v>
      </c>
      <c r="G21" s="1968"/>
      <c r="H21" s="1968"/>
      <c r="I21" s="1968"/>
      <c r="J21" s="1968"/>
      <c r="K21" s="1968"/>
      <c r="L21" s="1968"/>
      <c r="M21" s="1968"/>
      <c r="N21" s="1968"/>
      <c r="O21" s="1968"/>
      <c r="P21" s="1968"/>
      <c r="Q21" s="1968"/>
      <c r="R21" s="1969"/>
      <c r="S21" s="1987">
        <v>0</v>
      </c>
      <c r="T21" s="1988"/>
      <c r="U21" s="1988"/>
      <c r="V21" s="1988"/>
      <c r="W21" s="1988"/>
      <c r="X21" s="1989"/>
    </row>
    <row r="22" spans="4:34" s="247" customFormat="1" ht="25" customHeight="1">
      <c r="D22" s="1966">
        <v>18</v>
      </c>
      <c r="E22" s="1967"/>
      <c r="F22" s="1968" t="s">
        <v>467</v>
      </c>
      <c r="G22" s="1968"/>
      <c r="H22" s="1968"/>
      <c r="I22" s="1968"/>
      <c r="J22" s="1968"/>
      <c r="K22" s="1968"/>
      <c r="L22" s="1968"/>
      <c r="M22" s="1968"/>
      <c r="N22" s="1968"/>
      <c r="O22" s="1968"/>
      <c r="P22" s="1968"/>
      <c r="Q22" s="1968"/>
      <c r="R22" s="1969"/>
      <c r="S22" s="1987">
        <v>0</v>
      </c>
      <c r="T22" s="1988"/>
      <c r="U22" s="1988"/>
      <c r="V22" s="1988"/>
      <c r="W22" s="1988"/>
      <c r="X22" s="1989"/>
    </row>
    <row r="23" spans="4:34" s="247" customFormat="1" ht="25" customHeight="1">
      <c r="D23" s="1966">
        <v>19</v>
      </c>
      <c r="E23" s="1967"/>
      <c r="F23" s="1968" t="s">
        <v>485</v>
      </c>
      <c r="G23" s="1968"/>
      <c r="H23" s="1968"/>
      <c r="I23" s="1968"/>
      <c r="J23" s="1968"/>
      <c r="K23" s="1968"/>
      <c r="L23" s="1968"/>
      <c r="M23" s="1968"/>
      <c r="N23" s="1968"/>
      <c r="O23" s="1968"/>
      <c r="P23" s="1968"/>
      <c r="Q23" s="1968"/>
      <c r="R23" s="1969"/>
      <c r="S23" s="1987">
        <v>0</v>
      </c>
      <c r="T23" s="1988"/>
      <c r="U23" s="1988"/>
      <c r="V23" s="1988"/>
      <c r="W23" s="1988"/>
      <c r="X23" s="1989"/>
    </row>
    <row r="24" spans="4:34" s="247" customFormat="1" ht="25" customHeight="1">
      <c r="D24" s="1966">
        <v>20</v>
      </c>
      <c r="E24" s="1967"/>
      <c r="F24" s="1968" t="s">
        <v>491</v>
      </c>
      <c r="G24" s="1968"/>
      <c r="H24" s="1968"/>
      <c r="I24" s="1968"/>
      <c r="J24" s="1968"/>
      <c r="K24" s="1968"/>
      <c r="L24" s="1968"/>
      <c r="M24" s="1968"/>
      <c r="N24" s="1968"/>
      <c r="O24" s="1968"/>
      <c r="P24" s="1968"/>
      <c r="Q24" s="1968"/>
      <c r="R24" s="1969"/>
      <c r="S24" s="1987">
        <v>0</v>
      </c>
      <c r="T24" s="1988"/>
      <c r="U24" s="1988"/>
      <c r="V24" s="1988"/>
      <c r="W24" s="1988"/>
      <c r="X24" s="1989"/>
    </row>
    <row r="25" spans="4:34" s="247" customFormat="1" ht="25" customHeight="1">
      <c r="D25" s="1966">
        <v>21</v>
      </c>
      <c r="E25" s="1967"/>
      <c r="F25" s="1968" t="s">
        <v>473</v>
      </c>
      <c r="G25" s="1968"/>
      <c r="H25" s="1968"/>
      <c r="I25" s="1968"/>
      <c r="J25" s="1968"/>
      <c r="K25" s="1968"/>
      <c r="L25" s="1968"/>
      <c r="M25" s="1968"/>
      <c r="N25" s="1968"/>
      <c r="O25" s="1968"/>
      <c r="P25" s="1968"/>
      <c r="Q25" s="1968"/>
      <c r="R25" s="1969"/>
      <c r="S25" s="1987">
        <v>1</v>
      </c>
      <c r="T25" s="1988"/>
      <c r="U25" s="1988"/>
      <c r="V25" s="1988"/>
      <c r="W25" s="1988"/>
      <c r="X25" s="1989"/>
    </row>
    <row r="26" spans="4:34" s="247" customFormat="1" ht="25" customHeight="1">
      <c r="D26" s="1966">
        <v>22</v>
      </c>
      <c r="E26" s="1967"/>
      <c r="F26" s="1968" t="s">
        <v>482</v>
      </c>
      <c r="G26" s="1968"/>
      <c r="H26" s="1968"/>
      <c r="I26" s="1968"/>
      <c r="J26" s="1968"/>
      <c r="K26" s="1968"/>
      <c r="L26" s="1968"/>
      <c r="M26" s="1968"/>
      <c r="N26" s="1968"/>
      <c r="O26" s="1968"/>
      <c r="P26" s="1968"/>
      <c r="Q26" s="1968"/>
      <c r="R26" s="1969"/>
      <c r="S26" s="1987">
        <v>0</v>
      </c>
      <c r="T26" s="1988"/>
      <c r="U26" s="1988"/>
      <c r="V26" s="1988"/>
      <c r="W26" s="1988"/>
      <c r="X26" s="1989"/>
    </row>
    <row r="27" spans="4:34" s="247" customFormat="1" ht="25" customHeight="1">
      <c r="D27" s="1966">
        <v>23</v>
      </c>
      <c r="E27" s="1967"/>
      <c r="F27" s="1968" t="s">
        <v>489</v>
      </c>
      <c r="G27" s="1968"/>
      <c r="H27" s="1968"/>
      <c r="I27" s="1968"/>
      <c r="J27" s="1968"/>
      <c r="K27" s="1968"/>
      <c r="L27" s="1968"/>
      <c r="M27" s="1968"/>
      <c r="N27" s="1968"/>
      <c r="O27" s="1968"/>
      <c r="P27" s="1968"/>
      <c r="Q27" s="1968"/>
      <c r="R27" s="1969"/>
      <c r="S27" s="1987">
        <v>0</v>
      </c>
      <c r="T27" s="1988"/>
      <c r="U27" s="1988"/>
      <c r="V27" s="1988"/>
      <c r="W27" s="1988"/>
      <c r="X27" s="1989"/>
    </row>
    <row r="28" spans="4:34" s="247" customFormat="1" ht="25" customHeight="1">
      <c r="D28" s="1966">
        <v>24</v>
      </c>
      <c r="E28" s="1967"/>
      <c r="F28" s="1968" t="s">
        <v>468</v>
      </c>
      <c r="G28" s="1968"/>
      <c r="H28" s="1968"/>
      <c r="I28" s="1968"/>
      <c r="J28" s="1968"/>
      <c r="K28" s="1968"/>
      <c r="L28" s="1968"/>
      <c r="M28" s="1968"/>
      <c r="N28" s="1968"/>
      <c r="O28" s="1968"/>
      <c r="P28" s="1968"/>
      <c r="Q28" s="1968"/>
      <c r="R28" s="1969"/>
      <c r="S28" s="1987">
        <v>0</v>
      </c>
      <c r="T28" s="1988"/>
      <c r="U28" s="1988"/>
      <c r="V28" s="1988"/>
      <c r="W28" s="1988"/>
      <c r="X28" s="1989"/>
    </row>
    <row r="29" spans="4:34" s="247" customFormat="1" ht="25" customHeight="1">
      <c r="D29" s="1966">
        <v>25</v>
      </c>
      <c r="E29" s="1967"/>
      <c r="F29" s="1968" t="s">
        <v>492</v>
      </c>
      <c r="G29" s="1968"/>
      <c r="H29" s="1968"/>
      <c r="I29" s="1968"/>
      <c r="J29" s="1968"/>
      <c r="K29" s="1968"/>
      <c r="L29" s="1968"/>
      <c r="M29" s="1968"/>
      <c r="N29" s="1968"/>
      <c r="O29" s="1968"/>
      <c r="P29" s="1968"/>
      <c r="Q29" s="1968"/>
      <c r="R29" s="1969"/>
      <c r="S29" s="1987">
        <v>0</v>
      </c>
      <c r="T29" s="1988"/>
      <c r="U29" s="1988"/>
      <c r="V29" s="1988"/>
      <c r="W29" s="1988"/>
      <c r="X29" s="1989"/>
    </row>
    <row r="30" spans="4:34" s="247" customFormat="1" ht="25" customHeight="1">
      <c r="D30" s="1966">
        <v>26</v>
      </c>
      <c r="E30" s="1967"/>
      <c r="F30" s="1968" t="s">
        <v>483</v>
      </c>
      <c r="G30" s="1968"/>
      <c r="H30" s="1968"/>
      <c r="I30" s="1968"/>
      <c r="J30" s="1968"/>
      <c r="K30" s="1968"/>
      <c r="L30" s="1968"/>
      <c r="M30" s="1968"/>
      <c r="N30" s="1968"/>
      <c r="O30" s="1968"/>
      <c r="P30" s="1968"/>
      <c r="Q30" s="1968"/>
      <c r="R30" s="1969"/>
      <c r="S30" s="1987">
        <v>1</v>
      </c>
      <c r="T30" s="1988"/>
      <c r="U30" s="1988"/>
      <c r="V30" s="1988"/>
      <c r="W30" s="1988"/>
      <c r="X30" s="1989"/>
    </row>
    <row r="31" spans="4:34" s="247" customFormat="1" ht="25" customHeight="1">
      <c r="D31" s="1966">
        <v>27</v>
      </c>
      <c r="E31" s="1967"/>
      <c r="F31" s="1968" t="s">
        <v>490</v>
      </c>
      <c r="G31" s="1968"/>
      <c r="H31" s="1968"/>
      <c r="I31" s="1968"/>
      <c r="J31" s="1968"/>
      <c r="K31" s="1968"/>
      <c r="L31" s="1968"/>
      <c r="M31" s="1968"/>
      <c r="N31" s="1968"/>
      <c r="O31" s="1968"/>
      <c r="P31" s="1968"/>
      <c r="Q31" s="1968"/>
      <c r="R31" s="1969"/>
      <c r="S31" s="1987">
        <v>0</v>
      </c>
      <c r="T31" s="1988"/>
      <c r="U31" s="1988"/>
      <c r="V31" s="1988"/>
      <c r="W31" s="1988"/>
      <c r="X31" s="1989"/>
    </row>
    <row r="32" spans="4:34" s="247" customFormat="1" ht="25" customHeight="1">
      <c r="D32" s="1966">
        <v>28</v>
      </c>
      <c r="E32" s="1967"/>
      <c r="F32" s="1968" t="s">
        <v>477</v>
      </c>
      <c r="G32" s="1968"/>
      <c r="H32" s="1968"/>
      <c r="I32" s="1968"/>
      <c r="J32" s="1968"/>
      <c r="K32" s="1968"/>
      <c r="L32" s="1968"/>
      <c r="M32" s="1968"/>
      <c r="N32" s="1968"/>
      <c r="O32" s="1968"/>
      <c r="P32" s="1968"/>
      <c r="Q32" s="1968"/>
      <c r="R32" s="1969"/>
      <c r="S32" s="1987">
        <v>0</v>
      </c>
      <c r="T32" s="1988"/>
      <c r="U32" s="1988"/>
      <c r="V32" s="1988"/>
      <c r="W32" s="1988"/>
      <c r="X32" s="1989"/>
    </row>
    <row r="33" spans="2:36" s="247" customFormat="1" ht="25" customHeight="1">
      <c r="D33" s="1966">
        <v>29</v>
      </c>
      <c r="E33" s="1967"/>
      <c r="F33" s="1968" t="s">
        <v>484</v>
      </c>
      <c r="G33" s="1968"/>
      <c r="H33" s="1968"/>
      <c r="I33" s="1968"/>
      <c r="J33" s="1968"/>
      <c r="K33" s="1968"/>
      <c r="L33" s="1968"/>
      <c r="M33" s="1968"/>
      <c r="N33" s="1968"/>
      <c r="O33" s="1968"/>
      <c r="P33" s="1968"/>
      <c r="Q33" s="1968"/>
      <c r="R33" s="1969"/>
      <c r="S33" s="1987">
        <v>0</v>
      </c>
      <c r="T33" s="1988"/>
      <c r="U33" s="1988"/>
      <c r="V33" s="1988"/>
      <c r="W33" s="1988"/>
      <c r="X33" s="1989"/>
    </row>
    <row r="34" spans="2:36" s="247" customFormat="1" ht="25" customHeight="1" thickBot="1">
      <c r="D34" s="1966">
        <v>30</v>
      </c>
      <c r="E34" s="1967"/>
      <c r="F34" s="1968" t="s">
        <v>478</v>
      </c>
      <c r="G34" s="1968"/>
      <c r="H34" s="1968"/>
      <c r="I34" s="1968"/>
      <c r="J34" s="1968"/>
      <c r="K34" s="1968"/>
      <c r="L34" s="1968"/>
      <c r="M34" s="1968"/>
      <c r="N34" s="1968"/>
      <c r="O34" s="1968"/>
      <c r="P34" s="1968"/>
      <c r="Q34" s="1968"/>
      <c r="R34" s="1969"/>
      <c r="S34" s="1987">
        <v>0</v>
      </c>
      <c r="T34" s="1988"/>
      <c r="U34" s="1988"/>
      <c r="V34" s="1988"/>
      <c r="W34" s="1988"/>
      <c r="X34" s="1989"/>
    </row>
    <row r="35" spans="2:36" s="238" customFormat="1" ht="25" customHeight="1" thickTop="1" thickBot="1">
      <c r="D35" s="1974" t="s">
        <v>532</v>
      </c>
      <c r="E35" s="1975"/>
      <c r="F35" s="1975"/>
      <c r="G35" s="1975"/>
      <c r="H35" s="1975"/>
      <c r="I35" s="1975"/>
      <c r="J35" s="1975"/>
      <c r="K35" s="1975"/>
      <c r="L35" s="1975"/>
      <c r="M35" s="1975"/>
      <c r="N35" s="1975"/>
      <c r="O35" s="1975"/>
      <c r="P35" s="1975"/>
      <c r="Q35" s="1975"/>
      <c r="R35" s="1976"/>
      <c r="S35" s="1963">
        <f>SUM(S5:X34)</f>
        <v>6</v>
      </c>
      <c r="T35" s="1964"/>
      <c r="U35" s="1964"/>
      <c r="V35" s="1964"/>
      <c r="W35" s="1964"/>
      <c r="X35" s="1965"/>
    </row>
    <row r="36" spans="2:36" ht="11.5" customHeight="1">
      <c r="D36" s="258"/>
      <c r="E36" s="258"/>
      <c r="F36" s="259"/>
      <c r="G36" s="259"/>
      <c r="H36" s="259"/>
    </row>
    <row r="37" spans="2:36" ht="15.75" customHeight="1">
      <c r="D37" s="1985" t="s">
        <v>785</v>
      </c>
      <c r="E37" s="1985"/>
      <c r="F37" s="1985"/>
      <c r="G37" s="1985"/>
      <c r="H37" s="1985"/>
      <c r="I37" s="1985"/>
      <c r="J37" s="1985"/>
      <c r="K37" s="1985"/>
      <c r="L37" s="1985"/>
      <c r="M37" s="1985"/>
      <c r="N37" s="1985"/>
      <c r="O37" s="1985"/>
      <c r="P37" s="1985"/>
      <c r="Q37" s="1985"/>
      <c r="R37" s="1985"/>
      <c r="S37" s="1985"/>
      <c r="T37" s="1985"/>
      <c r="U37" s="1985"/>
      <c r="V37" s="1985"/>
      <c r="W37" s="1985"/>
      <c r="X37" s="1985"/>
      <c r="Y37" s="260"/>
      <c r="Z37" s="260"/>
      <c r="AA37" s="260"/>
      <c r="AB37" s="260"/>
      <c r="AC37" s="260"/>
      <c r="AD37" s="260"/>
      <c r="AE37" s="260"/>
      <c r="AF37" s="260"/>
      <c r="AG37" s="260"/>
      <c r="AH37" s="260"/>
    </row>
    <row r="38" spans="2:36" ht="15.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260"/>
      <c r="Z38" s="260"/>
      <c r="AA38" s="260"/>
      <c r="AB38" s="260"/>
      <c r="AC38" s="260"/>
      <c r="AD38" s="260"/>
      <c r="AE38" s="260"/>
      <c r="AF38" s="260"/>
      <c r="AG38" s="260"/>
      <c r="AH38" s="260"/>
    </row>
    <row r="39" spans="2:36" ht="15.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260"/>
      <c r="Z39" s="260"/>
      <c r="AA39" s="260"/>
      <c r="AB39" s="260"/>
      <c r="AC39" s="260"/>
      <c r="AD39" s="260"/>
      <c r="AE39" s="260"/>
      <c r="AF39" s="260"/>
      <c r="AG39" s="260"/>
      <c r="AH39" s="260"/>
    </row>
    <row r="40" spans="2:36" ht="15.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260"/>
      <c r="Z40" s="260"/>
      <c r="AA40" s="260"/>
      <c r="AB40" s="260"/>
      <c r="AC40" s="260"/>
      <c r="AD40" s="260"/>
      <c r="AE40" s="260"/>
      <c r="AF40" s="260"/>
      <c r="AG40" s="260"/>
      <c r="AH40" s="260"/>
      <c r="AI40" s="260"/>
      <c r="AJ40" s="260"/>
    </row>
    <row r="41" spans="2:36" ht="15.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260"/>
      <c r="Z41" s="260"/>
      <c r="AA41" s="260"/>
      <c r="AB41" s="260"/>
      <c r="AC41" s="260"/>
      <c r="AD41" s="260"/>
      <c r="AE41" s="260"/>
      <c r="AF41" s="260"/>
      <c r="AG41" s="260"/>
      <c r="AH41" s="260"/>
      <c r="AI41" s="260"/>
      <c r="AJ41" s="260"/>
    </row>
    <row r="42" spans="2:36" ht="15.5">
      <c r="D42" s="261"/>
      <c r="E42" s="262"/>
      <c r="F42" s="262"/>
      <c r="G42" s="262"/>
      <c r="H42" s="262"/>
    </row>
    <row r="43" spans="2:36" ht="37" customHeight="1">
      <c r="D43" s="1986" t="s">
        <v>1327</v>
      </c>
      <c r="E43" s="1986"/>
      <c r="F43" s="1986"/>
      <c r="G43" s="1986"/>
      <c r="H43" s="1986"/>
      <c r="I43" s="1986"/>
      <c r="J43" s="1986"/>
      <c r="K43" s="1986"/>
      <c r="L43" s="1986"/>
      <c r="M43" s="1986"/>
      <c r="N43" s="1986"/>
      <c r="O43" s="1986"/>
      <c r="P43" s="1986"/>
      <c r="Q43" s="1986"/>
      <c r="R43" s="1986"/>
      <c r="S43" s="1986"/>
      <c r="T43" s="1986"/>
      <c r="U43" s="1986"/>
      <c r="V43" s="1986"/>
      <c r="W43" s="1986"/>
      <c r="X43" s="1986"/>
    </row>
    <row r="44" spans="2:36" s="238" customFormat="1" ht="31.5" customHeight="1">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row>
    <row r="45" spans="2:36" s="242" customFormat="1" ht="14">
      <c r="B45" s="241" t="s">
        <v>847</v>
      </c>
      <c r="P45" s="241" t="s">
        <v>760</v>
      </c>
      <c r="Q45" s="241"/>
    </row>
    <row r="46" spans="2:36" s="242" customFormat="1" ht="21.75" customHeight="1">
      <c r="B46" s="241" t="s">
        <v>756</v>
      </c>
      <c r="F46" s="1959" t="str">
        <f>activesheet!E29</f>
        <v>RICO S. MISPEROS</v>
      </c>
      <c r="G46" s="1959"/>
      <c r="H46" s="1959"/>
      <c r="I46" s="1959"/>
      <c r="J46" s="1959"/>
      <c r="K46" s="1959"/>
      <c r="L46" s="1959"/>
      <c r="P46" s="1959" t="str">
        <f>activesheet!E394</f>
        <v>RONE RAY M. PORTACION</v>
      </c>
      <c r="Q46" s="1959"/>
      <c r="R46" s="1959"/>
      <c r="S46" s="1959"/>
      <c r="T46" s="1959"/>
      <c r="U46" s="1959"/>
      <c r="V46" s="1959"/>
      <c r="W46" s="1959"/>
      <c r="X46" s="1959"/>
      <c r="Y46" s="1959"/>
      <c r="Z46" s="1959"/>
    </row>
    <row r="47" spans="2:36" s="243" customFormat="1" ht="14">
      <c r="B47" s="241"/>
      <c r="F47" s="1958" t="s">
        <v>741</v>
      </c>
      <c r="G47" s="1958"/>
      <c r="H47" s="1958"/>
      <c r="I47" s="1958"/>
      <c r="J47" s="1958"/>
      <c r="K47" s="1958"/>
      <c r="L47" s="1958"/>
      <c r="M47" s="245"/>
      <c r="N47" s="245"/>
      <c r="O47" s="245"/>
      <c r="P47" s="1958" t="s">
        <v>741</v>
      </c>
      <c r="Q47" s="1958"/>
      <c r="R47" s="1958"/>
      <c r="S47" s="1958"/>
      <c r="T47" s="1958"/>
      <c r="U47" s="1958"/>
      <c r="V47" s="1958"/>
      <c r="W47" s="1958"/>
      <c r="X47" s="1958"/>
      <c r="Y47" s="1958"/>
      <c r="Z47" s="1958"/>
    </row>
    <row r="48" spans="2:36" s="242" customFormat="1" ht="21.75" customHeight="1">
      <c r="B48" s="241" t="s">
        <v>71</v>
      </c>
      <c r="F48" s="1959" t="str">
        <f>activesheet!E30</f>
        <v>SCHOOL PRINCIPAL II</v>
      </c>
      <c r="G48" s="1959"/>
      <c r="H48" s="1959"/>
      <c r="I48" s="1959"/>
      <c r="J48" s="1959"/>
      <c r="K48" s="1959"/>
      <c r="L48" s="1959"/>
      <c r="P48" s="241" t="s">
        <v>71</v>
      </c>
      <c r="Q48" s="241"/>
      <c r="T48" s="1959" t="str">
        <f>activesheet!E395</f>
        <v>Education Program Supervisor</v>
      </c>
      <c r="U48" s="1959"/>
      <c r="V48" s="1959"/>
      <c r="W48" s="1959"/>
      <c r="X48" s="1959"/>
      <c r="Y48" s="1959"/>
      <c r="Z48" s="1959"/>
    </row>
    <row r="49" spans="7:21" s="238" customFormat="1" ht="31.5" customHeight="1">
      <c r="G49" s="239"/>
      <c r="H49" s="239"/>
      <c r="I49" s="239"/>
      <c r="J49" s="239"/>
      <c r="K49" s="239"/>
      <c r="L49" s="239"/>
      <c r="M49" s="239"/>
      <c r="N49" s="239"/>
      <c r="O49" s="239"/>
      <c r="P49" s="239"/>
      <c r="Q49" s="239"/>
      <c r="R49" s="239"/>
      <c r="S49" s="239"/>
      <c r="T49" s="239"/>
      <c r="U49" s="239"/>
    </row>
    <row r="50" spans="7:21" s="242" customFormat="1" ht="14">
      <c r="I50" s="241" t="s">
        <v>783</v>
      </c>
    </row>
    <row r="51" spans="7:21" s="242" customFormat="1" ht="21.75" customHeight="1">
      <c r="I51" s="1956" t="str">
        <f>activesheet!E31</f>
        <v>MICHAEL T. JAMIS</v>
      </c>
      <c r="J51" s="1956"/>
      <c r="K51" s="1956"/>
      <c r="L51" s="1956"/>
      <c r="M51" s="1956"/>
      <c r="N51" s="1956"/>
      <c r="O51" s="1956"/>
      <c r="P51" s="1956"/>
      <c r="Q51" s="1956"/>
      <c r="R51" s="1956"/>
      <c r="S51" s="1956"/>
    </row>
    <row r="52" spans="7:21" s="243" customFormat="1" ht="14">
      <c r="G52" s="245"/>
      <c r="H52" s="245"/>
      <c r="I52" s="1957"/>
      <c r="J52" s="1957"/>
      <c r="K52" s="1957"/>
      <c r="L52" s="1957"/>
      <c r="M52" s="1957"/>
      <c r="N52" s="1957"/>
      <c r="O52" s="1957"/>
      <c r="P52" s="1957"/>
      <c r="Q52" s="1957"/>
      <c r="R52" s="1957"/>
      <c r="S52" s="1957"/>
    </row>
    <row r="53" spans="7:21" s="242" customFormat="1" ht="21.75" customHeight="1">
      <c r="I53" s="1958" t="s">
        <v>741</v>
      </c>
      <c r="J53" s="1958"/>
      <c r="K53" s="1958"/>
      <c r="L53" s="1958"/>
      <c r="M53" s="1958"/>
      <c r="N53" s="1958"/>
      <c r="O53" s="1958"/>
      <c r="P53" s="1958"/>
      <c r="Q53" s="1958"/>
      <c r="R53" s="1958"/>
      <c r="S53" s="1958"/>
    </row>
    <row r="54" spans="7:21" ht="15.65" customHeight="1"/>
    <row r="55" spans="7:21" ht="15.65" customHeight="1"/>
    <row r="56" spans="7:21" ht="15.65" customHeight="1"/>
    <row r="57" spans="7:21" ht="15.65" customHeight="1"/>
    <row r="58" spans="7:21" ht="15.65" customHeight="1"/>
  </sheetData>
  <sheetProtection algorithmName="SHA-512" hashValue="3CP3iqqYbu8QIKf4TA7y3rdknawhd7W7vLczLzyDMT0ulwHEd7koQFa4CNTNT+iHk06+De03wN01SiKv8zP8AQ==" saltValue="hqJa8N+Dxj7M22pRjrROUw==" spinCount="100000" sheet="1" objects="1" scenarios="1" selectLockedCells="1"/>
  <mergeCells count="104">
    <mergeCell ref="S4:X4"/>
    <mergeCell ref="D5:E5"/>
    <mergeCell ref="F5:R5"/>
    <mergeCell ref="S5:X5"/>
    <mergeCell ref="D6:E6"/>
    <mergeCell ref="F6:R6"/>
    <mergeCell ref="S6:X6"/>
    <mergeCell ref="D7:E7"/>
    <mergeCell ref="D4:R4"/>
    <mergeCell ref="F7:R7"/>
    <mergeCell ref="S10:X10"/>
    <mergeCell ref="D11:E11"/>
    <mergeCell ref="F11:R11"/>
    <mergeCell ref="S11:X11"/>
    <mergeCell ref="D12:E12"/>
    <mergeCell ref="F12:R12"/>
    <mergeCell ref="S12:X12"/>
    <mergeCell ref="S7:X7"/>
    <mergeCell ref="D8:E8"/>
    <mergeCell ref="F8:R8"/>
    <mergeCell ref="S8:X8"/>
    <mergeCell ref="D9:E9"/>
    <mergeCell ref="F9:R9"/>
    <mergeCell ref="S9:X9"/>
    <mergeCell ref="D10:E10"/>
    <mergeCell ref="F10:R10"/>
    <mergeCell ref="F16:R16"/>
    <mergeCell ref="S16:X16"/>
    <mergeCell ref="D17:E17"/>
    <mergeCell ref="F17:R17"/>
    <mergeCell ref="S17:X17"/>
    <mergeCell ref="D18:E18"/>
    <mergeCell ref="F18:R18"/>
    <mergeCell ref="S18:X18"/>
    <mergeCell ref="F13:R13"/>
    <mergeCell ref="S13:X13"/>
    <mergeCell ref="D14:E14"/>
    <mergeCell ref="F14:R14"/>
    <mergeCell ref="S14:X14"/>
    <mergeCell ref="D15:E15"/>
    <mergeCell ref="F15:R15"/>
    <mergeCell ref="S15:X15"/>
    <mergeCell ref="D16:E16"/>
    <mergeCell ref="D13:E13"/>
    <mergeCell ref="D21:E21"/>
    <mergeCell ref="F21:R21"/>
    <mergeCell ref="S21:X21"/>
    <mergeCell ref="D22:E22"/>
    <mergeCell ref="F22:R22"/>
    <mergeCell ref="S22:X22"/>
    <mergeCell ref="D19:E19"/>
    <mergeCell ref="F19:R19"/>
    <mergeCell ref="S19:X19"/>
    <mergeCell ref="D20:E20"/>
    <mergeCell ref="F20:R20"/>
    <mergeCell ref="S20:X20"/>
    <mergeCell ref="D25:E25"/>
    <mergeCell ref="F25:R25"/>
    <mergeCell ref="S25:X25"/>
    <mergeCell ref="D26:E26"/>
    <mergeCell ref="F26:R26"/>
    <mergeCell ref="S26:X26"/>
    <mergeCell ref="D23:E23"/>
    <mergeCell ref="F23:R23"/>
    <mergeCell ref="S23:X23"/>
    <mergeCell ref="D24:E24"/>
    <mergeCell ref="F24:R24"/>
    <mergeCell ref="S24:X24"/>
    <mergeCell ref="D29:E29"/>
    <mergeCell ref="F29:R29"/>
    <mergeCell ref="S29:X29"/>
    <mergeCell ref="D30:E30"/>
    <mergeCell ref="F30:R30"/>
    <mergeCell ref="S30:X30"/>
    <mergeCell ref="D27:E27"/>
    <mergeCell ref="F27:R27"/>
    <mergeCell ref="S27:X27"/>
    <mergeCell ref="D28:E28"/>
    <mergeCell ref="F28:R28"/>
    <mergeCell ref="S28:X28"/>
    <mergeCell ref="D34:E34"/>
    <mergeCell ref="F34:R34"/>
    <mergeCell ref="S34:X34"/>
    <mergeCell ref="D33:E33"/>
    <mergeCell ref="F33:R33"/>
    <mergeCell ref="S33:X33"/>
    <mergeCell ref="D31:E31"/>
    <mergeCell ref="F31:R31"/>
    <mergeCell ref="S31:X31"/>
    <mergeCell ref="D32:E32"/>
    <mergeCell ref="F32:R32"/>
    <mergeCell ref="S32:X32"/>
    <mergeCell ref="I51:S52"/>
    <mergeCell ref="I53:S53"/>
    <mergeCell ref="F47:L47"/>
    <mergeCell ref="P47:Z47"/>
    <mergeCell ref="F48:L48"/>
    <mergeCell ref="T48:Z48"/>
    <mergeCell ref="D35:R35"/>
    <mergeCell ref="S35:X35"/>
    <mergeCell ref="F46:L46"/>
    <mergeCell ref="P46:Z46"/>
    <mergeCell ref="D37:X41"/>
    <mergeCell ref="D43:X43"/>
  </mergeCells>
  <dataValidations count="1">
    <dataValidation type="whole" allowBlank="1" showInputMessage="1" showErrorMessage="1" errorTitle="GESP SY 2022-2023" error="Please enter valid number between 0-999." sqref="S5:X34" xr:uid="{00000000-0002-0000-0800-000000000000}">
      <formula1>0</formula1>
      <formula2>999</formula2>
    </dataValidation>
  </dataValidations>
  <printOptions horizontalCentered="1" verticalCentered="1"/>
  <pageMargins left="0.25" right="0.25" top="0.2" bottom="0.2" header="0" footer="0.1"/>
  <pageSetup paperSize="9" scale="65" orientation="portrait" r:id="rId1"/>
  <headerFooter alignWithMargins="0">
    <oddFooter>&amp;L&amp;10&amp;F &amp;A&amp;R&amp;11Page 5 of 60</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B1:AS57"/>
  <sheetViews>
    <sheetView showGridLines="0" zoomScaleNormal="100" workbookViewId="0">
      <selection activeCell="N5" sqref="N5:P5"/>
    </sheetView>
  </sheetViews>
  <sheetFormatPr defaultColWidth="8" defaultRowHeight="13"/>
  <cols>
    <col min="1" max="1" width="2.08203125" style="274" customWidth="1"/>
    <col min="2" max="41" width="3.58203125" style="274" customWidth="1"/>
    <col min="42" max="42" width="2.08203125" style="274" customWidth="1"/>
    <col min="43" max="64" width="3.58203125" style="274" customWidth="1"/>
    <col min="65" max="16384" width="8" style="274"/>
  </cols>
  <sheetData>
    <row r="1" spans="2:41" ht="12" customHeight="1"/>
    <row r="2" spans="2:41" ht="36.65" customHeight="1" thickBot="1">
      <c r="B2" s="1993" t="s">
        <v>11750</v>
      </c>
      <c r="C2" s="1994"/>
      <c r="D2" s="1994"/>
      <c r="E2" s="1994"/>
      <c r="F2" s="1994"/>
      <c r="G2" s="1994"/>
      <c r="H2" s="1994"/>
      <c r="I2" s="1994"/>
      <c r="J2" s="1994"/>
      <c r="K2" s="1994"/>
      <c r="L2" s="1994"/>
      <c r="M2" s="1994"/>
      <c r="N2" s="1994"/>
      <c r="O2" s="1994"/>
      <c r="P2" s="1994"/>
      <c r="Q2" s="1994"/>
      <c r="R2" s="1994"/>
      <c r="S2" s="1994"/>
      <c r="T2" s="1994"/>
      <c r="U2" s="1994"/>
      <c r="V2" s="1994"/>
      <c r="W2" s="1994"/>
      <c r="X2" s="1994"/>
      <c r="Y2" s="1994"/>
      <c r="Z2" s="1994"/>
      <c r="AA2" s="1994"/>
      <c r="AB2" s="1994"/>
      <c r="AC2" s="1994"/>
      <c r="AD2" s="1994"/>
      <c r="AE2" s="1994"/>
      <c r="AF2" s="1994"/>
      <c r="AG2" s="1994"/>
      <c r="AH2" s="1994"/>
      <c r="AI2" s="1994"/>
      <c r="AJ2" s="1994"/>
      <c r="AK2" s="1994"/>
      <c r="AL2" s="1994"/>
      <c r="AM2" s="1994"/>
      <c r="AN2" s="1994"/>
      <c r="AO2" s="1994"/>
    </row>
    <row r="3" spans="2:41" ht="102" customHeight="1" thickBot="1">
      <c r="B3" s="2022" t="s">
        <v>865</v>
      </c>
      <c r="C3" s="2023"/>
      <c r="D3" s="2023"/>
      <c r="E3" s="2023"/>
      <c r="F3" s="2023"/>
      <c r="G3" s="2023"/>
      <c r="H3" s="2023"/>
      <c r="I3" s="2023"/>
      <c r="J3" s="2023"/>
      <c r="K3" s="2023"/>
      <c r="L3" s="2023"/>
      <c r="M3" s="2024"/>
      <c r="N3" s="2020" t="s">
        <v>723</v>
      </c>
      <c r="O3" s="2020"/>
      <c r="P3" s="2021"/>
      <c r="Q3" s="150"/>
      <c r="R3" s="288"/>
      <c r="S3" s="273"/>
      <c r="T3" s="273"/>
      <c r="U3" s="273"/>
      <c r="V3" s="273"/>
      <c r="W3" s="273"/>
      <c r="X3" s="273"/>
      <c r="Y3" s="273"/>
      <c r="Z3" s="273"/>
      <c r="AA3" s="273"/>
      <c r="AB3" s="273"/>
      <c r="AC3" s="273"/>
      <c r="AD3" s="273"/>
      <c r="AE3" s="273"/>
      <c r="AF3" s="273"/>
      <c r="AG3" s="273"/>
    </row>
    <row r="4" spans="2:41" s="276" customFormat="1" ht="25" customHeight="1">
      <c r="B4" s="2004" t="s">
        <v>521</v>
      </c>
      <c r="C4" s="2005"/>
      <c r="D4" s="2005"/>
      <c r="E4" s="2005"/>
      <c r="F4" s="2005"/>
      <c r="G4" s="2005"/>
      <c r="H4" s="2005"/>
      <c r="I4" s="2005"/>
      <c r="J4" s="2005"/>
      <c r="K4" s="2005"/>
      <c r="L4" s="2005"/>
      <c r="M4" s="2006"/>
      <c r="N4" s="2002"/>
      <c r="O4" s="2002"/>
      <c r="P4" s="2003"/>
      <c r="Q4" s="285"/>
      <c r="R4" s="271"/>
      <c r="S4" s="271"/>
      <c r="T4" s="271"/>
      <c r="U4" s="271"/>
      <c r="V4" s="271"/>
      <c r="W4" s="271"/>
      <c r="X4" s="271"/>
      <c r="Y4" s="271"/>
      <c r="Z4" s="271"/>
      <c r="AA4" s="271"/>
      <c r="AB4" s="271"/>
      <c r="AC4" s="271"/>
      <c r="AD4" s="271"/>
      <c r="AE4" s="271"/>
      <c r="AF4" s="271"/>
      <c r="AG4" s="271"/>
      <c r="AH4" s="271"/>
      <c r="AI4" s="271"/>
      <c r="AJ4" s="271"/>
      <c r="AK4" s="271"/>
      <c r="AL4" s="271"/>
      <c r="AM4" s="271"/>
      <c r="AN4" s="271"/>
      <c r="AO4" s="271"/>
    </row>
    <row r="5" spans="2:41" s="276" customFormat="1" ht="25" customHeight="1">
      <c r="B5" s="2009" t="s">
        <v>607</v>
      </c>
      <c r="C5" s="2010"/>
      <c r="D5" s="2010"/>
      <c r="E5" s="2010"/>
      <c r="F5" s="2010"/>
      <c r="G5" s="2010"/>
      <c r="H5" s="2010"/>
      <c r="I5" s="2010"/>
      <c r="J5" s="2010"/>
      <c r="K5" s="2010"/>
      <c r="L5" s="2010"/>
      <c r="M5" s="2011"/>
      <c r="N5" s="2012">
        <v>0</v>
      </c>
      <c r="O5" s="2012"/>
      <c r="P5" s="2013"/>
      <c r="Q5" s="285"/>
      <c r="R5" s="1992" t="s">
        <v>1328</v>
      </c>
      <c r="S5" s="1992"/>
      <c r="T5" s="1992"/>
      <c r="U5" s="1992"/>
      <c r="V5" s="1992"/>
      <c r="W5" s="1992"/>
      <c r="X5" s="1992"/>
      <c r="Y5" s="1992"/>
      <c r="Z5" s="1992"/>
      <c r="AA5" s="1992"/>
      <c r="AB5" s="1992"/>
      <c r="AC5" s="1992"/>
      <c r="AD5" s="1992"/>
      <c r="AE5" s="1992"/>
      <c r="AF5" s="1992"/>
      <c r="AG5" s="1992"/>
      <c r="AH5" s="1992"/>
      <c r="AI5" s="1992"/>
      <c r="AJ5" s="1992"/>
      <c r="AK5" s="1992"/>
      <c r="AL5" s="1992"/>
      <c r="AM5" s="1992"/>
      <c r="AN5" s="1992"/>
      <c r="AO5" s="1992"/>
    </row>
    <row r="6" spans="2:41" s="276" customFormat="1" ht="25" customHeight="1">
      <c r="B6" s="2009" t="s">
        <v>609</v>
      </c>
      <c r="C6" s="2010"/>
      <c r="D6" s="2010"/>
      <c r="E6" s="2010"/>
      <c r="F6" s="2010"/>
      <c r="G6" s="2010"/>
      <c r="H6" s="2010"/>
      <c r="I6" s="2010"/>
      <c r="J6" s="2010"/>
      <c r="K6" s="2010"/>
      <c r="L6" s="2010"/>
      <c r="M6" s="2011"/>
      <c r="N6" s="2012">
        <v>0</v>
      </c>
      <c r="O6" s="2012"/>
      <c r="P6" s="2013"/>
      <c r="Q6" s="285"/>
      <c r="R6" s="1992"/>
      <c r="S6" s="1992"/>
      <c r="T6" s="1992"/>
      <c r="U6" s="1992"/>
      <c r="V6" s="1992"/>
      <c r="W6" s="1992"/>
      <c r="X6" s="1992"/>
      <c r="Y6" s="1992"/>
      <c r="Z6" s="1992"/>
      <c r="AA6" s="1992"/>
      <c r="AB6" s="1992"/>
      <c r="AC6" s="1992"/>
      <c r="AD6" s="1992"/>
      <c r="AE6" s="1992"/>
      <c r="AF6" s="1992"/>
      <c r="AG6" s="1992"/>
      <c r="AH6" s="1992"/>
      <c r="AI6" s="1992"/>
      <c r="AJ6" s="1992"/>
      <c r="AK6" s="1992"/>
      <c r="AL6" s="1992"/>
      <c r="AM6" s="1992"/>
      <c r="AN6" s="1992"/>
      <c r="AO6" s="1992"/>
    </row>
    <row r="7" spans="2:41" s="276" customFormat="1" ht="25" customHeight="1">
      <c r="B7" s="2009" t="s">
        <v>611</v>
      </c>
      <c r="C7" s="2010"/>
      <c r="D7" s="2010"/>
      <c r="E7" s="2010"/>
      <c r="F7" s="2010"/>
      <c r="G7" s="2010"/>
      <c r="H7" s="2010"/>
      <c r="I7" s="2010"/>
      <c r="J7" s="2010"/>
      <c r="K7" s="2010"/>
      <c r="L7" s="2010"/>
      <c r="M7" s="2011"/>
      <c r="N7" s="2012">
        <v>0</v>
      </c>
      <c r="O7" s="2012"/>
      <c r="P7" s="2013"/>
      <c r="Q7" s="285"/>
      <c r="R7" s="286"/>
      <c r="S7" s="287"/>
      <c r="T7" s="287"/>
      <c r="U7" s="287"/>
      <c r="V7" s="287"/>
      <c r="W7" s="287"/>
      <c r="X7" s="287"/>
      <c r="Y7" s="279"/>
      <c r="Z7" s="279"/>
      <c r="AA7" s="279"/>
      <c r="AB7" s="279"/>
      <c r="AC7" s="279"/>
      <c r="AD7" s="279"/>
      <c r="AE7" s="279"/>
      <c r="AF7" s="279"/>
      <c r="AG7" s="279"/>
      <c r="AH7" s="280"/>
      <c r="AI7" s="280"/>
      <c r="AJ7" s="280"/>
      <c r="AK7" s="280"/>
      <c r="AL7" s="280"/>
      <c r="AM7" s="280"/>
      <c r="AN7" s="280"/>
      <c r="AO7" s="280"/>
    </row>
    <row r="8" spans="2:41" s="276" customFormat="1" ht="25" customHeight="1">
      <c r="B8" s="2009" t="s">
        <v>613</v>
      </c>
      <c r="C8" s="2010"/>
      <c r="D8" s="2010"/>
      <c r="E8" s="2010"/>
      <c r="F8" s="2010"/>
      <c r="G8" s="2010"/>
      <c r="H8" s="2010"/>
      <c r="I8" s="2010"/>
      <c r="J8" s="2010"/>
      <c r="K8" s="2010"/>
      <c r="L8" s="2010"/>
      <c r="M8" s="2011"/>
      <c r="N8" s="2012">
        <v>0</v>
      </c>
      <c r="O8" s="2012"/>
      <c r="P8" s="2013"/>
      <c r="Q8" s="285"/>
      <c r="R8" s="286"/>
      <c r="S8" s="287"/>
      <c r="T8" s="287"/>
      <c r="U8" s="287"/>
      <c r="V8" s="287"/>
      <c r="W8" s="287"/>
      <c r="X8" s="287"/>
      <c r="Y8" s="279"/>
      <c r="Z8" s="279"/>
      <c r="AA8" s="279"/>
      <c r="AB8" s="279"/>
      <c r="AC8" s="279"/>
      <c r="AD8" s="279"/>
      <c r="AE8" s="279"/>
      <c r="AF8" s="279"/>
      <c r="AG8" s="279"/>
      <c r="AH8" s="280"/>
      <c r="AI8" s="280"/>
      <c r="AJ8" s="280"/>
      <c r="AK8" s="280"/>
      <c r="AL8" s="280"/>
      <c r="AM8" s="280"/>
      <c r="AN8" s="280"/>
      <c r="AO8" s="280"/>
    </row>
    <row r="9" spans="2:41" s="276" customFormat="1" ht="25" customHeight="1">
      <c r="B9" s="2009" t="s">
        <v>11742</v>
      </c>
      <c r="C9" s="2010"/>
      <c r="D9" s="2010"/>
      <c r="E9" s="2010"/>
      <c r="F9" s="2010"/>
      <c r="G9" s="2010"/>
      <c r="H9" s="2010"/>
      <c r="I9" s="2010"/>
      <c r="J9" s="2010"/>
      <c r="K9" s="2010"/>
      <c r="L9" s="2010"/>
      <c r="M9" s="2011"/>
      <c r="N9" s="2012">
        <v>0</v>
      </c>
      <c r="O9" s="2012"/>
      <c r="P9" s="2013"/>
      <c r="Q9" s="285"/>
      <c r="R9" s="286"/>
      <c r="S9" s="287"/>
      <c r="T9" s="287"/>
      <c r="U9" s="287"/>
      <c r="V9" s="287"/>
      <c r="W9" s="287"/>
      <c r="X9" s="287"/>
      <c r="Y9" s="287"/>
      <c r="Z9" s="287"/>
      <c r="AA9" s="279"/>
      <c r="AB9" s="279"/>
      <c r="AC9" s="279"/>
      <c r="AD9" s="279"/>
      <c r="AE9" s="279"/>
      <c r="AF9" s="279"/>
      <c r="AG9" s="279"/>
      <c r="AH9" s="280"/>
      <c r="AI9" s="280"/>
      <c r="AJ9" s="280"/>
      <c r="AK9" s="280"/>
      <c r="AL9" s="280"/>
      <c r="AM9" s="280"/>
      <c r="AN9" s="280"/>
      <c r="AO9" s="280"/>
    </row>
    <row r="10" spans="2:41" s="276" customFormat="1" ht="25" customHeight="1">
      <c r="B10" s="2009" t="s">
        <v>616</v>
      </c>
      <c r="C10" s="2010"/>
      <c r="D10" s="2010"/>
      <c r="E10" s="2010"/>
      <c r="F10" s="2010"/>
      <c r="G10" s="2010"/>
      <c r="H10" s="2010"/>
      <c r="I10" s="2010"/>
      <c r="J10" s="2010"/>
      <c r="K10" s="2010"/>
      <c r="L10" s="2010"/>
      <c r="M10" s="2011"/>
      <c r="N10" s="2012">
        <v>0</v>
      </c>
      <c r="O10" s="2012"/>
      <c r="P10" s="2013"/>
      <c r="Q10" s="285"/>
      <c r="R10" s="286"/>
      <c r="S10" s="287"/>
      <c r="T10" s="287"/>
      <c r="U10" s="287"/>
      <c r="V10" s="287"/>
      <c r="W10" s="287"/>
      <c r="X10" s="287"/>
      <c r="Y10" s="279"/>
      <c r="Z10" s="279"/>
      <c r="AA10" s="279"/>
      <c r="AB10" s="279"/>
      <c r="AC10" s="279"/>
      <c r="AD10" s="279"/>
      <c r="AE10" s="279"/>
      <c r="AF10" s="279"/>
      <c r="AG10" s="279"/>
      <c r="AH10" s="280"/>
      <c r="AI10" s="280"/>
      <c r="AJ10" s="280"/>
      <c r="AK10" s="280"/>
      <c r="AL10" s="280"/>
      <c r="AM10" s="280"/>
      <c r="AN10" s="280"/>
      <c r="AO10" s="280"/>
    </row>
    <row r="11" spans="2:41" s="276" customFormat="1" ht="25" customHeight="1">
      <c r="B11" s="2009" t="s">
        <v>618</v>
      </c>
      <c r="C11" s="2010"/>
      <c r="D11" s="2010"/>
      <c r="E11" s="2010"/>
      <c r="F11" s="2010"/>
      <c r="G11" s="2010"/>
      <c r="H11" s="2010"/>
      <c r="I11" s="2010"/>
      <c r="J11" s="2010"/>
      <c r="K11" s="2010"/>
      <c r="L11" s="2010"/>
      <c r="M11" s="2011"/>
      <c r="N11" s="2012">
        <v>0</v>
      </c>
      <c r="O11" s="2012"/>
      <c r="P11" s="2013"/>
      <c r="Q11" s="285"/>
      <c r="R11" s="277"/>
      <c r="S11" s="279"/>
      <c r="T11" s="279"/>
      <c r="U11" s="279"/>
      <c r="V11" s="279"/>
      <c r="W11" s="279"/>
      <c r="X11" s="279"/>
      <c r="Y11" s="279"/>
      <c r="Z11" s="279"/>
      <c r="AA11" s="279"/>
      <c r="AB11" s="279"/>
      <c r="AC11" s="279"/>
      <c r="AD11" s="279"/>
      <c r="AE11" s="279"/>
      <c r="AF11" s="279"/>
      <c r="AG11" s="279"/>
      <c r="AH11" s="280"/>
      <c r="AI11" s="280"/>
      <c r="AJ11" s="280"/>
      <c r="AK11" s="280"/>
      <c r="AL11" s="280"/>
      <c r="AM11" s="280"/>
      <c r="AN11" s="280"/>
      <c r="AO11" s="280"/>
    </row>
    <row r="12" spans="2:41" s="276" customFormat="1" ht="25" customHeight="1">
      <c r="B12" s="2009" t="s">
        <v>620</v>
      </c>
      <c r="C12" s="2010"/>
      <c r="D12" s="2010"/>
      <c r="E12" s="2010"/>
      <c r="F12" s="2010"/>
      <c r="G12" s="2010"/>
      <c r="H12" s="2010"/>
      <c r="I12" s="2010"/>
      <c r="J12" s="2010"/>
      <c r="K12" s="2010"/>
      <c r="L12" s="2010"/>
      <c r="M12" s="2011"/>
      <c r="N12" s="2012">
        <v>0</v>
      </c>
      <c r="O12" s="2012"/>
      <c r="P12" s="2013"/>
      <c r="Q12" s="285"/>
      <c r="R12" s="277"/>
      <c r="S12" s="279"/>
      <c r="T12" s="279"/>
      <c r="U12" s="279"/>
      <c r="V12" s="279"/>
      <c r="W12" s="279"/>
      <c r="X12" s="279"/>
      <c r="Y12" s="279"/>
      <c r="Z12" s="279"/>
      <c r="AA12" s="279"/>
      <c r="AB12" s="279"/>
      <c r="AC12" s="279"/>
      <c r="AD12" s="279"/>
      <c r="AE12" s="279"/>
      <c r="AF12" s="279"/>
      <c r="AG12" s="279"/>
      <c r="AH12" s="280"/>
      <c r="AI12" s="280"/>
      <c r="AJ12" s="280"/>
      <c r="AK12" s="280"/>
      <c r="AL12" s="280"/>
      <c r="AM12" s="280"/>
      <c r="AN12" s="280"/>
      <c r="AO12" s="280"/>
    </row>
    <row r="13" spans="2:41" s="276" customFormat="1" ht="25" customHeight="1">
      <c r="B13" s="2009" t="s">
        <v>622</v>
      </c>
      <c r="C13" s="2010"/>
      <c r="D13" s="2010"/>
      <c r="E13" s="2010"/>
      <c r="F13" s="2010"/>
      <c r="G13" s="2010"/>
      <c r="H13" s="2010"/>
      <c r="I13" s="2010"/>
      <c r="J13" s="2010"/>
      <c r="K13" s="2010"/>
      <c r="L13" s="2010"/>
      <c r="M13" s="2011"/>
      <c r="N13" s="2012">
        <v>0</v>
      </c>
      <c r="O13" s="2012"/>
      <c r="P13" s="2013"/>
      <c r="Q13" s="285"/>
      <c r="R13" s="277"/>
      <c r="S13" s="279"/>
      <c r="T13" s="279"/>
      <c r="U13" s="279"/>
      <c r="V13" s="279"/>
      <c r="W13" s="279"/>
      <c r="X13" s="279"/>
      <c r="Y13" s="279"/>
      <c r="Z13" s="279"/>
      <c r="AA13" s="279"/>
      <c r="AB13" s="279"/>
      <c r="AC13" s="279"/>
      <c r="AD13" s="279"/>
      <c r="AE13" s="279"/>
      <c r="AF13" s="279"/>
      <c r="AG13" s="279"/>
      <c r="AH13" s="280"/>
      <c r="AI13" s="280"/>
      <c r="AJ13" s="280"/>
      <c r="AK13" s="280"/>
      <c r="AL13" s="280"/>
      <c r="AM13" s="280"/>
      <c r="AN13" s="280"/>
      <c r="AO13" s="280"/>
    </row>
    <row r="14" spans="2:41" s="276" customFormat="1" ht="25" customHeight="1">
      <c r="B14" s="2009" t="s">
        <v>624</v>
      </c>
      <c r="C14" s="2010"/>
      <c r="D14" s="2010"/>
      <c r="E14" s="2010"/>
      <c r="F14" s="2010"/>
      <c r="G14" s="2010"/>
      <c r="H14" s="2010"/>
      <c r="I14" s="2010"/>
      <c r="J14" s="2010"/>
      <c r="K14" s="2010"/>
      <c r="L14" s="2010"/>
      <c r="M14" s="2011"/>
      <c r="N14" s="2012">
        <v>0</v>
      </c>
      <c r="O14" s="2012"/>
      <c r="P14" s="2013"/>
      <c r="Q14" s="285"/>
      <c r="R14" s="277"/>
      <c r="S14" s="279"/>
      <c r="T14" s="279"/>
      <c r="U14" s="279"/>
      <c r="V14" s="279"/>
      <c r="W14" s="279"/>
      <c r="X14" s="279"/>
      <c r="Y14" s="279"/>
      <c r="Z14" s="279"/>
      <c r="AA14" s="279"/>
      <c r="AB14" s="279"/>
      <c r="AC14" s="279"/>
      <c r="AD14" s="279"/>
      <c r="AE14" s="279"/>
      <c r="AF14" s="279"/>
      <c r="AG14" s="279"/>
      <c r="AH14" s="280"/>
      <c r="AI14" s="280"/>
      <c r="AJ14" s="280"/>
      <c r="AK14" s="280"/>
      <c r="AL14" s="280"/>
      <c r="AM14" s="280"/>
      <c r="AN14" s="280"/>
      <c r="AO14" s="280"/>
    </row>
    <row r="15" spans="2:41" s="276" customFormat="1" ht="25" customHeight="1">
      <c r="B15" s="2009" t="s">
        <v>863</v>
      </c>
      <c r="C15" s="2010"/>
      <c r="D15" s="2010"/>
      <c r="E15" s="2010"/>
      <c r="F15" s="2010"/>
      <c r="G15" s="2010"/>
      <c r="H15" s="2010"/>
      <c r="I15" s="2010"/>
      <c r="J15" s="2010"/>
      <c r="K15" s="2010"/>
      <c r="L15" s="2010"/>
      <c r="M15" s="2011"/>
      <c r="N15" s="2012">
        <v>0</v>
      </c>
      <c r="O15" s="2012"/>
      <c r="P15" s="2013"/>
      <c r="Q15" s="285"/>
      <c r="R15" s="277"/>
      <c r="S15" s="279"/>
      <c r="T15" s="279"/>
      <c r="U15" s="279"/>
      <c r="V15" s="279"/>
      <c r="W15" s="279"/>
      <c r="X15" s="279"/>
      <c r="Y15" s="279"/>
      <c r="Z15" s="279"/>
      <c r="AA15" s="279"/>
      <c r="AB15" s="279"/>
      <c r="AC15" s="279"/>
      <c r="AD15" s="279"/>
      <c r="AE15" s="279"/>
      <c r="AF15" s="279"/>
      <c r="AG15" s="279"/>
      <c r="AH15" s="280"/>
      <c r="AI15" s="280"/>
      <c r="AJ15" s="280"/>
      <c r="AK15" s="280"/>
      <c r="AL15" s="280"/>
      <c r="AM15" s="280"/>
      <c r="AN15" s="280"/>
      <c r="AO15" s="280"/>
    </row>
    <row r="16" spans="2:41" s="276" customFormat="1" ht="25" customHeight="1" thickBot="1">
      <c r="B16" s="2028" t="s">
        <v>626</v>
      </c>
      <c r="C16" s="2029"/>
      <c r="D16" s="2029"/>
      <c r="E16" s="2029"/>
      <c r="F16" s="2029"/>
      <c r="G16" s="2029"/>
      <c r="H16" s="2029"/>
      <c r="I16" s="2029"/>
      <c r="J16" s="2029"/>
      <c r="K16" s="2029"/>
      <c r="L16" s="2029"/>
      <c r="M16" s="2030"/>
      <c r="N16" s="2012">
        <v>0</v>
      </c>
      <c r="O16" s="2012"/>
      <c r="P16" s="2013"/>
      <c r="Q16" s="285"/>
      <c r="R16" s="277"/>
      <c r="S16" s="279"/>
      <c r="T16" s="279"/>
      <c r="U16" s="279"/>
      <c r="V16" s="279"/>
      <c r="W16" s="279"/>
      <c r="X16" s="279"/>
      <c r="Y16" s="279"/>
      <c r="Z16" s="279"/>
      <c r="AA16" s="279"/>
      <c r="AB16" s="279"/>
      <c r="AC16" s="279"/>
      <c r="AD16" s="279"/>
      <c r="AE16" s="279"/>
      <c r="AF16" s="279"/>
      <c r="AG16" s="279"/>
      <c r="AH16" s="280"/>
      <c r="AI16" s="280"/>
      <c r="AJ16" s="280"/>
      <c r="AK16" s="280"/>
      <c r="AL16" s="280"/>
      <c r="AM16" s="280"/>
      <c r="AN16" s="280"/>
      <c r="AO16" s="280"/>
    </row>
    <row r="17" spans="2:41" s="283" customFormat="1" ht="34" customHeight="1" thickTop="1" thickBot="1">
      <c r="B17" s="2031" t="s">
        <v>722</v>
      </c>
      <c r="C17" s="2032"/>
      <c r="D17" s="2032"/>
      <c r="E17" s="2032"/>
      <c r="F17" s="2032"/>
      <c r="G17" s="2032"/>
      <c r="H17" s="2032"/>
      <c r="I17" s="2032"/>
      <c r="J17" s="2032"/>
      <c r="K17" s="2032"/>
      <c r="L17" s="2032"/>
      <c r="M17" s="2033"/>
      <c r="N17" s="2034" t="s">
        <v>724</v>
      </c>
      <c r="O17" s="2034"/>
      <c r="P17" s="2035"/>
      <c r="Q17" s="284"/>
      <c r="R17" s="2007" t="s">
        <v>725</v>
      </c>
      <c r="S17" s="2007"/>
      <c r="T17" s="2007"/>
      <c r="U17" s="2007"/>
      <c r="V17" s="2007"/>
      <c r="W17" s="2007"/>
      <c r="X17" s="2007"/>
      <c r="Y17" s="2007"/>
      <c r="Z17" s="2007"/>
      <c r="AA17" s="2007"/>
      <c r="AB17" s="2007"/>
      <c r="AC17" s="2007"/>
      <c r="AD17" s="2007"/>
      <c r="AE17" s="2007"/>
      <c r="AF17" s="2007"/>
      <c r="AG17" s="2007"/>
      <c r="AH17" s="2007"/>
      <c r="AI17" s="2007"/>
      <c r="AJ17" s="2007"/>
      <c r="AK17" s="2007"/>
      <c r="AL17" s="2007"/>
      <c r="AM17" s="2007"/>
      <c r="AN17" s="2007"/>
      <c r="AO17" s="2007"/>
    </row>
    <row r="18" spans="2:41" s="276" customFormat="1" ht="25" customHeight="1" thickTop="1">
      <c r="B18" s="2017" t="s">
        <v>604</v>
      </c>
      <c r="C18" s="2018"/>
      <c r="D18" s="2018"/>
      <c r="E18" s="2018"/>
      <c r="F18" s="2018"/>
      <c r="G18" s="2018"/>
      <c r="H18" s="2018"/>
      <c r="I18" s="2018"/>
      <c r="J18" s="2018"/>
      <c r="K18" s="2018"/>
      <c r="L18" s="2018"/>
      <c r="M18" s="2019"/>
      <c r="N18" s="2012">
        <v>0</v>
      </c>
      <c r="O18" s="2012"/>
      <c r="P18" s="2013"/>
      <c r="Q18" s="275"/>
      <c r="R18" s="2008" t="s">
        <v>786</v>
      </c>
      <c r="S18" s="2008"/>
      <c r="T18" s="2008"/>
      <c r="U18" s="2008"/>
      <c r="V18" s="2008"/>
      <c r="W18" s="2008"/>
      <c r="X18" s="2008"/>
      <c r="Y18" s="2008"/>
      <c r="Z18" s="2008"/>
      <c r="AA18" s="2008"/>
      <c r="AB18" s="2008"/>
      <c r="AC18" s="2008"/>
      <c r="AD18" s="2008"/>
      <c r="AE18" s="2008"/>
      <c r="AF18" s="2008"/>
      <c r="AG18" s="2008"/>
      <c r="AH18" s="2008"/>
      <c r="AI18" s="2008"/>
      <c r="AJ18" s="2008"/>
      <c r="AK18" s="2008"/>
      <c r="AL18" s="2008"/>
      <c r="AM18" s="2008"/>
      <c r="AN18" s="2008"/>
      <c r="AO18" s="2008"/>
    </row>
    <row r="19" spans="2:41" s="276" customFormat="1" ht="25" customHeight="1">
      <c r="B19" s="2009" t="s">
        <v>605</v>
      </c>
      <c r="C19" s="2010"/>
      <c r="D19" s="2010"/>
      <c r="E19" s="2010"/>
      <c r="F19" s="2010"/>
      <c r="G19" s="2010"/>
      <c r="H19" s="2010"/>
      <c r="I19" s="2010"/>
      <c r="J19" s="2010"/>
      <c r="K19" s="2010"/>
      <c r="L19" s="2010"/>
      <c r="M19" s="2011"/>
      <c r="N19" s="2012">
        <v>0</v>
      </c>
      <c r="O19" s="2012"/>
      <c r="P19" s="2013"/>
      <c r="Q19" s="275"/>
      <c r="R19" s="2008"/>
      <c r="S19" s="2008"/>
      <c r="T19" s="2008"/>
      <c r="U19" s="2008"/>
      <c r="V19" s="2008"/>
      <c r="W19" s="2008"/>
      <c r="X19" s="2008"/>
      <c r="Y19" s="2008"/>
      <c r="Z19" s="2008"/>
      <c r="AA19" s="2008"/>
      <c r="AB19" s="2008"/>
      <c r="AC19" s="2008"/>
      <c r="AD19" s="2008"/>
      <c r="AE19" s="2008"/>
      <c r="AF19" s="2008"/>
      <c r="AG19" s="2008"/>
      <c r="AH19" s="2008"/>
      <c r="AI19" s="2008"/>
      <c r="AJ19" s="2008"/>
      <c r="AK19" s="2008"/>
      <c r="AL19" s="2008"/>
      <c r="AM19" s="2008"/>
      <c r="AN19" s="2008"/>
      <c r="AO19" s="2008"/>
    </row>
    <row r="20" spans="2:41" s="276" customFormat="1" ht="25" customHeight="1">
      <c r="B20" s="2009" t="s">
        <v>606</v>
      </c>
      <c r="C20" s="2010"/>
      <c r="D20" s="2010"/>
      <c r="E20" s="2010"/>
      <c r="F20" s="2010"/>
      <c r="G20" s="2010"/>
      <c r="H20" s="2010"/>
      <c r="I20" s="2010"/>
      <c r="J20" s="2010"/>
      <c r="K20" s="2010"/>
      <c r="L20" s="2010"/>
      <c r="M20" s="2011"/>
      <c r="N20" s="2012">
        <v>0</v>
      </c>
      <c r="O20" s="2012"/>
      <c r="P20" s="2013"/>
      <c r="Q20" s="275"/>
      <c r="R20" s="2008"/>
      <c r="S20" s="2008"/>
      <c r="T20" s="2008"/>
      <c r="U20" s="2008"/>
      <c r="V20" s="2008"/>
      <c r="W20" s="2008"/>
      <c r="X20" s="2008"/>
      <c r="Y20" s="2008"/>
      <c r="Z20" s="2008"/>
      <c r="AA20" s="2008"/>
      <c r="AB20" s="2008"/>
      <c r="AC20" s="2008"/>
      <c r="AD20" s="2008"/>
      <c r="AE20" s="2008"/>
      <c r="AF20" s="2008"/>
      <c r="AG20" s="2008"/>
      <c r="AH20" s="2008"/>
      <c r="AI20" s="2008"/>
      <c r="AJ20" s="2008"/>
      <c r="AK20" s="2008"/>
      <c r="AL20" s="2008"/>
      <c r="AM20" s="2008"/>
      <c r="AN20" s="2008"/>
      <c r="AO20" s="2008"/>
    </row>
    <row r="21" spans="2:41" s="276" customFormat="1" ht="25" customHeight="1">
      <c r="B21" s="2009" t="s">
        <v>608</v>
      </c>
      <c r="C21" s="2010"/>
      <c r="D21" s="2010"/>
      <c r="E21" s="2010"/>
      <c r="F21" s="2010"/>
      <c r="G21" s="2010"/>
      <c r="H21" s="2010"/>
      <c r="I21" s="2010"/>
      <c r="J21" s="2010"/>
      <c r="K21" s="2010"/>
      <c r="L21" s="2010"/>
      <c r="M21" s="2011"/>
      <c r="N21" s="2012">
        <v>0</v>
      </c>
      <c r="O21" s="2012"/>
      <c r="P21" s="2013"/>
      <c r="Q21" s="275"/>
      <c r="R21" s="2008"/>
      <c r="S21" s="2008"/>
      <c r="T21" s="2008"/>
      <c r="U21" s="2008"/>
      <c r="V21" s="2008"/>
      <c r="W21" s="2008"/>
      <c r="X21" s="2008"/>
      <c r="Y21" s="2008"/>
      <c r="Z21" s="2008"/>
      <c r="AA21" s="2008"/>
      <c r="AB21" s="2008"/>
      <c r="AC21" s="2008"/>
      <c r="AD21" s="2008"/>
      <c r="AE21" s="2008"/>
      <c r="AF21" s="2008"/>
      <c r="AG21" s="2008"/>
      <c r="AH21" s="2008"/>
      <c r="AI21" s="2008"/>
      <c r="AJ21" s="2008"/>
      <c r="AK21" s="2008"/>
      <c r="AL21" s="2008"/>
      <c r="AM21" s="2008"/>
      <c r="AN21" s="2008"/>
      <c r="AO21" s="2008"/>
    </row>
    <row r="22" spans="2:41" s="276" customFormat="1" ht="25" customHeight="1">
      <c r="B22" s="2009" t="s">
        <v>610</v>
      </c>
      <c r="C22" s="2010"/>
      <c r="D22" s="2010"/>
      <c r="E22" s="2010"/>
      <c r="F22" s="2010"/>
      <c r="G22" s="2010"/>
      <c r="H22" s="2010"/>
      <c r="I22" s="2010"/>
      <c r="J22" s="2010"/>
      <c r="K22" s="2010"/>
      <c r="L22" s="2010"/>
      <c r="M22" s="2011"/>
      <c r="N22" s="2012">
        <v>0</v>
      </c>
      <c r="O22" s="2012"/>
      <c r="P22" s="2013"/>
      <c r="Q22" s="275"/>
      <c r="R22" s="2008" t="s">
        <v>787</v>
      </c>
      <c r="S22" s="2008"/>
      <c r="T22" s="2008"/>
      <c r="U22" s="2008"/>
      <c r="V22" s="2008"/>
      <c r="W22" s="2008"/>
      <c r="X22" s="2008"/>
      <c r="Y22" s="2008"/>
      <c r="Z22" s="2008"/>
      <c r="AA22" s="2008"/>
      <c r="AB22" s="2008"/>
      <c r="AC22" s="2008"/>
      <c r="AD22" s="2008"/>
      <c r="AE22" s="2008"/>
      <c r="AF22" s="2008"/>
      <c r="AG22" s="2008"/>
      <c r="AH22" s="2008"/>
      <c r="AI22" s="2008"/>
      <c r="AJ22" s="2008"/>
      <c r="AK22" s="2008"/>
      <c r="AL22" s="2008"/>
      <c r="AM22" s="2008"/>
      <c r="AN22" s="2008"/>
      <c r="AO22" s="2008"/>
    </row>
    <row r="23" spans="2:41" s="276" customFormat="1" ht="25" customHeight="1">
      <c r="B23" s="2009" t="s">
        <v>612</v>
      </c>
      <c r="C23" s="2010"/>
      <c r="D23" s="2010"/>
      <c r="E23" s="2010"/>
      <c r="F23" s="2010"/>
      <c r="G23" s="2010"/>
      <c r="H23" s="2010"/>
      <c r="I23" s="2010"/>
      <c r="J23" s="2010"/>
      <c r="K23" s="2010"/>
      <c r="L23" s="2010"/>
      <c r="M23" s="2011"/>
      <c r="N23" s="2012">
        <v>0</v>
      </c>
      <c r="O23" s="2012"/>
      <c r="P23" s="2013"/>
      <c r="Q23" s="275"/>
      <c r="R23" s="2008"/>
      <c r="S23" s="2008"/>
      <c r="T23" s="2008"/>
      <c r="U23" s="2008"/>
      <c r="V23" s="2008"/>
      <c r="W23" s="2008"/>
      <c r="X23" s="2008"/>
      <c r="Y23" s="2008"/>
      <c r="Z23" s="2008"/>
      <c r="AA23" s="2008"/>
      <c r="AB23" s="2008"/>
      <c r="AC23" s="2008"/>
      <c r="AD23" s="2008"/>
      <c r="AE23" s="2008"/>
      <c r="AF23" s="2008"/>
      <c r="AG23" s="2008"/>
      <c r="AH23" s="2008"/>
      <c r="AI23" s="2008"/>
      <c r="AJ23" s="2008"/>
      <c r="AK23" s="2008"/>
      <c r="AL23" s="2008"/>
      <c r="AM23" s="2008"/>
      <c r="AN23" s="2008"/>
      <c r="AO23" s="2008"/>
    </row>
    <row r="24" spans="2:41" s="276" customFormat="1" ht="25" customHeight="1">
      <c r="B24" s="2009" t="s">
        <v>614</v>
      </c>
      <c r="C24" s="2010"/>
      <c r="D24" s="2010"/>
      <c r="E24" s="2010"/>
      <c r="F24" s="2010"/>
      <c r="G24" s="2010"/>
      <c r="H24" s="2010"/>
      <c r="I24" s="2010"/>
      <c r="J24" s="2010"/>
      <c r="K24" s="2010"/>
      <c r="L24" s="2010"/>
      <c r="M24" s="2011"/>
      <c r="N24" s="2012">
        <v>0</v>
      </c>
      <c r="O24" s="2012"/>
      <c r="P24" s="2013"/>
      <c r="Q24" s="275"/>
      <c r="R24" s="2008"/>
      <c r="S24" s="2008"/>
      <c r="T24" s="2008"/>
      <c r="U24" s="2008"/>
      <c r="V24" s="2008"/>
      <c r="W24" s="2008"/>
      <c r="X24" s="2008"/>
      <c r="Y24" s="2008"/>
      <c r="Z24" s="2008"/>
      <c r="AA24" s="2008"/>
      <c r="AB24" s="2008"/>
      <c r="AC24" s="2008"/>
      <c r="AD24" s="2008"/>
      <c r="AE24" s="2008"/>
      <c r="AF24" s="2008"/>
      <c r="AG24" s="2008"/>
      <c r="AH24" s="2008"/>
      <c r="AI24" s="2008"/>
      <c r="AJ24" s="2008"/>
      <c r="AK24" s="2008"/>
      <c r="AL24" s="2008"/>
      <c r="AM24" s="2008"/>
      <c r="AN24" s="2008"/>
      <c r="AO24" s="2008"/>
    </row>
    <row r="25" spans="2:41" s="276" customFormat="1" ht="25" customHeight="1">
      <c r="B25" s="2009" t="s">
        <v>615</v>
      </c>
      <c r="C25" s="2010"/>
      <c r="D25" s="2010"/>
      <c r="E25" s="2010"/>
      <c r="F25" s="2010"/>
      <c r="G25" s="2010"/>
      <c r="H25" s="2010"/>
      <c r="I25" s="2010"/>
      <c r="J25" s="2010"/>
      <c r="K25" s="2010"/>
      <c r="L25" s="2010"/>
      <c r="M25" s="2011"/>
      <c r="N25" s="2012">
        <v>0</v>
      </c>
      <c r="O25" s="2012"/>
      <c r="P25" s="2013"/>
      <c r="Q25" s="275"/>
      <c r="R25" s="2008"/>
      <c r="S25" s="2008"/>
      <c r="T25" s="2008"/>
      <c r="U25" s="2008"/>
      <c r="V25" s="2008"/>
      <c r="W25" s="2008"/>
      <c r="X25" s="2008"/>
      <c r="Y25" s="2008"/>
      <c r="Z25" s="2008"/>
      <c r="AA25" s="2008"/>
      <c r="AB25" s="2008"/>
      <c r="AC25" s="2008"/>
      <c r="AD25" s="2008"/>
      <c r="AE25" s="2008"/>
      <c r="AF25" s="2008"/>
      <c r="AG25" s="2008"/>
      <c r="AH25" s="2008"/>
      <c r="AI25" s="2008"/>
      <c r="AJ25" s="2008"/>
      <c r="AK25" s="2008"/>
      <c r="AL25" s="2008"/>
      <c r="AM25" s="2008"/>
      <c r="AN25" s="2008"/>
      <c r="AO25" s="2008"/>
    </row>
    <row r="26" spans="2:41" s="276" customFormat="1" ht="25" customHeight="1">
      <c r="B26" s="2009" t="s">
        <v>617</v>
      </c>
      <c r="C26" s="2010"/>
      <c r="D26" s="2010"/>
      <c r="E26" s="2010"/>
      <c r="F26" s="2010"/>
      <c r="G26" s="2010"/>
      <c r="H26" s="2010"/>
      <c r="I26" s="2010"/>
      <c r="J26" s="2010"/>
      <c r="K26" s="2010"/>
      <c r="L26" s="2010"/>
      <c r="M26" s="2011"/>
      <c r="N26" s="2012">
        <v>0</v>
      </c>
      <c r="O26" s="2012"/>
      <c r="P26" s="2013"/>
      <c r="Q26" s="282"/>
      <c r="R26" s="2008" t="s">
        <v>788</v>
      </c>
      <c r="S26" s="2008"/>
      <c r="T26" s="2008"/>
      <c r="U26" s="2008"/>
      <c r="V26" s="2008"/>
      <c r="W26" s="2008"/>
      <c r="X26" s="2008"/>
      <c r="Y26" s="2008"/>
      <c r="Z26" s="2008"/>
      <c r="AA26" s="2008"/>
      <c r="AB26" s="2008"/>
      <c r="AC26" s="2008"/>
      <c r="AD26" s="2008"/>
      <c r="AE26" s="2008"/>
      <c r="AF26" s="2008"/>
      <c r="AG26" s="2008"/>
      <c r="AH26" s="2008"/>
      <c r="AI26" s="2008"/>
      <c r="AJ26" s="2008"/>
      <c r="AK26" s="2008"/>
      <c r="AL26" s="2008"/>
      <c r="AM26" s="2008"/>
      <c r="AN26" s="2008"/>
      <c r="AO26" s="2008"/>
    </row>
    <row r="27" spans="2:41" s="276" customFormat="1" ht="25" customHeight="1">
      <c r="B27" s="2009" t="s">
        <v>619</v>
      </c>
      <c r="C27" s="2010"/>
      <c r="D27" s="2010"/>
      <c r="E27" s="2010"/>
      <c r="F27" s="2010"/>
      <c r="G27" s="2010"/>
      <c r="H27" s="2010"/>
      <c r="I27" s="2010"/>
      <c r="J27" s="2010"/>
      <c r="K27" s="2010"/>
      <c r="L27" s="2010"/>
      <c r="M27" s="2011"/>
      <c r="N27" s="2012">
        <v>0</v>
      </c>
      <c r="O27" s="2012"/>
      <c r="P27" s="2013"/>
      <c r="Q27" s="282"/>
      <c r="R27" s="2008"/>
      <c r="S27" s="2008"/>
      <c r="T27" s="2008"/>
      <c r="U27" s="2008"/>
      <c r="V27" s="2008"/>
      <c r="W27" s="2008"/>
      <c r="X27" s="2008"/>
      <c r="Y27" s="2008"/>
      <c r="Z27" s="2008"/>
      <c r="AA27" s="2008"/>
      <c r="AB27" s="2008"/>
      <c r="AC27" s="2008"/>
      <c r="AD27" s="2008"/>
      <c r="AE27" s="2008"/>
      <c r="AF27" s="2008"/>
      <c r="AG27" s="2008"/>
      <c r="AH27" s="2008"/>
      <c r="AI27" s="2008"/>
      <c r="AJ27" s="2008"/>
      <c r="AK27" s="2008"/>
      <c r="AL27" s="2008"/>
      <c r="AM27" s="2008"/>
      <c r="AN27" s="2008"/>
      <c r="AO27" s="2008"/>
    </row>
    <row r="28" spans="2:41" s="276" customFormat="1" ht="25" customHeight="1">
      <c r="B28" s="2009" t="s">
        <v>621</v>
      </c>
      <c r="C28" s="2010"/>
      <c r="D28" s="2010"/>
      <c r="E28" s="2010"/>
      <c r="F28" s="2010"/>
      <c r="G28" s="2010"/>
      <c r="H28" s="2010"/>
      <c r="I28" s="2010"/>
      <c r="J28" s="2010"/>
      <c r="K28" s="2010"/>
      <c r="L28" s="2010"/>
      <c r="M28" s="2011"/>
      <c r="N28" s="2012">
        <v>0</v>
      </c>
      <c r="O28" s="2012"/>
      <c r="P28" s="2013"/>
      <c r="Q28" s="275"/>
      <c r="R28" s="2008"/>
      <c r="S28" s="2008"/>
      <c r="T28" s="2008"/>
      <c r="U28" s="2008"/>
      <c r="V28" s="2008"/>
      <c r="W28" s="2008"/>
      <c r="X28" s="2008"/>
      <c r="Y28" s="2008"/>
      <c r="Z28" s="2008"/>
      <c r="AA28" s="2008"/>
      <c r="AB28" s="2008"/>
      <c r="AC28" s="2008"/>
      <c r="AD28" s="2008"/>
      <c r="AE28" s="2008"/>
      <c r="AF28" s="2008"/>
      <c r="AG28" s="2008"/>
      <c r="AH28" s="2008"/>
      <c r="AI28" s="2008"/>
      <c r="AJ28" s="2008"/>
      <c r="AK28" s="2008"/>
      <c r="AL28" s="2008"/>
      <c r="AM28" s="2008"/>
      <c r="AN28" s="2008"/>
      <c r="AO28" s="2008"/>
    </row>
    <row r="29" spans="2:41" s="276" customFormat="1" ht="25" customHeight="1">
      <c r="B29" s="2009" t="s">
        <v>623</v>
      </c>
      <c r="C29" s="2010"/>
      <c r="D29" s="2010"/>
      <c r="E29" s="2010"/>
      <c r="F29" s="2010"/>
      <c r="G29" s="2010"/>
      <c r="H29" s="2010"/>
      <c r="I29" s="2010"/>
      <c r="J29" s="2010"/>
      <c r="K29" s="2010"/>
      <c r="L29" s="2010"/>
      <c r="M29" s="2011"/>
      <c r="N29" s="2012">
        <v>0</v>
      </c>
      <c r="O29" s="2012"/>
      <c r="P29" s="2013"/>
      <c r="Q29" s="275"/>
      <c r="R29" s="1995" t="s">
        <v>1334</v>
      </c>
      <c r="S29" s="1995"/>
      <c r="T29" s="1995"/>
      <c r="U29" s="1995"/>
      <c r="V29" s="1995"/>
      <c r="W29" s="1995"/>
      <c r="X29" s="1995"/>
      <c r="Y29" s="1995"/>
      <c r="Z29" s="1995"/>
      <c r="AA29" s="1995"/>
      <c r="AB29" s="1995"/>
      <c r="AC29" s="1995"/>
      <c r="AD29" s="1995"/>
      <c r="AE29" s="1995"/>
      <c r="AF29" s="1995"/>
      <c r="AG29" s="1995"/>
      <c r="AH29" s="1995"/>
      <c r="AI29" s="1995"/>
      <c r="AJ29" s="1995"/>
      <c r="AK29" s="1995"/>
      <c r="AL29" s="1995"/>
      <c r="AM29" s="1995"/>
      <c r="AN29" s="1995"/>
      <c r="AO29" s="1995"/>
    </row>
    <row r="30" spans="2:41" s="276" customFormat="1" ht="25" customHeight="1">
      <c r="B30" s="2009" t="s">
        <v>625</v>
      </c>
      <c r="C30" s="2010"/>
      <c r="D30" s="2010"/>
      <c r="E30" s="2010"/>
      <c r="F30" s="2010"/>
      <c r="G30" s="2010"/>
      <c r="H30" s="2010"/>
      <c r="I30" s="2010"/>
      <c r="J30" s="2010"/>
      <c r="K30" s="2010"/>
      <c r="L30" s="2010"/>
      <c r="M30" s="2011"/>
      <c r="N30" s="2012">
        <v>0</v>
      </c>
      <c r="O30" s="2012"/>
      <c r="P30" s="2013"/>
      <c r="Q30" s="275"/>
      <c r="R30" s="1995"/>
      <c r="S30" s="1995"/>
      <c r="T30" s="1995"/>
      <c r="U30" s="1995"/>
      <c r="V30" s="1995"/>
      <c r="W30" s="1995"/>
      <c r="X30" s="1995"/>
      <c r="Y30" s="1995"/>
      <c r="Z30" s="1995"/>
      <c r="AA30" s="1995"/>
      <c r="AB30" s="1995"/>
      <c r="AC30" s="1995"/>
      <c r="AD30" s="1995"/>
      <c r="AE30" s="1995"/>
      <c r="AF30" s="1995"/>
      <c r="AG30" s="1995"/>
      <c r="AH30" s="1995"/>
      <c r="AI30" s="1995"/>
      <c r="AJ30" s="1995"/>
      <c r="AK30" s="1995"/>
      <c r="AL30" s="1995"/>
      <c r="AM30" s="1995"/>
      <c r="AN30" s="1995"/>
      <c r="AO30" s="1995"/>
    </row>
    <row r="31" spans="2:41" s="276" customFormat="1" ht="25" customHeight="1">
      <c r="B31" s="2009" t="s">
        <v>627</v>
      </c>
      <c r="C31" s="2010"/>
      <c r="D31" s="2010"/>
      <c r="E31" s="2010"/>
      <c r="F31" s="2010"/>
      <c r="G31" s="2010"/>
      <c r="H31" s="2010"/>
      <c r="I31" s="2010"/>
      <c r="J31" s="2010"/>
      <c r="K31" s="2010"/>
      <c r="L31" s="2010"/>
      <c r="M31" s="2011"/>
      <c r="N31" s="2012">
        <v>0</v>
      </c>
      <c r="O31" s="2012"/>
      <c r="P31" s="2013"/>
      <c r="Q31" s="275"/>
      <c r="R31" s="277"/>
      <c r="S31" s="279"/>
      <c r="T31" s="279"/>
      <c r="U31" s="279"/>
      <c r="V31" s="279"/>
      <c r="W31" s="279"/>
      <c r="X31" s="279"/>
      <c r="Y31" s="279"/>
      <c r="Z31" s="279"/>
      <c r="AA31" s="279"/>
      <c r="AB31" s="279"/>
      <c r="AC31" s="279"/>
      <c r="AD31" s="279"/>
      <c r="AE31" s="279"/>
      <c r="AF31" s="279"/>
      <c r="AG31" s="279"/>
      <c r="AH31" s="280"/>
      <c r="AI31" s="280"/>
      <c r="AJ31" s="280"/>
      <c r="AK31" s="280"/>
      <c r="AL31" s="280"/>
      <c r="AM31" s="280"/>
      <c r="AN31" s="280"/>
      <c r="AO31" s="280"/>
    </row>
    <row r="32" spans="2:41" s="276" customFormat="1" ht="25" customHeight="1">
      <c r="B32" s="2009" t="s">
        <v>628</v>
      </c>
      <c r="C32" s="2010"/>
      <c r="D32" s="2010"/>
      <c r="E32" s="2010"/>
      <c r="F32" s="2010"/>
      <c r="G32" s="2010"/>
      <c r="H32" s="2010"/>
      <c r="I32" s="2010"/>
      <c r="J32" s="2010"/>
      <c r="K32" s="2010"/>
      <c r="L32" s="2010"/>
      <c r="M32" s="2011"/>
      <c r="N32" s="2012">
        <v>0</v>
      </c>
      <c r="O32" s="2012"/>
      <c r="P32" s="2013"/>
      <c r="Q32" s="275"/>
      <c r="R32" s="1996" t="s">
        <v>1333</v>
      </c>
      <c r="S32" s="1996"/>
      <c r="T32" s="1996"/>
      <c r="U32" s="1996"/>
      <c r="V32" s="1996"/>
      <c r="W32" s="1996"/>
      <c r="X32" s="1996"/>
      <c r="Y32" s="1996"/>
      <c r="Z32" s="1996"/>
      <c r="AA32" s="1996"/>
      <c r="AB32" s="1996"/>
      <c r="AC32" s="1996"/>
      <c r="AD32" s="1996"/>
      <c r="AE32" s="1996"/>
      <c r="AF32" s="1996"/>
      <c r="AG32" s="1996"/>
      <c r="AH32" s="1996"/>
      <c r="AI32" s="1996"/>
      <c r="AJ32" s="1996"/>
      <c r="AK32" s="1996"/>
      <c r="AL32" s="1996"/>
      <c r="AM32" s="1996"/>
      <c r="AN32" s="1996"/>
      <c r="AO32" s="1996"/>
    </row>
    <row r="33" spans="2:45" s="276" customFormat="1" ht="25" customHeight="1">
      <c r="B33" s="2009" t="s">
        <v>629</v>
      </c>
      <c r="C33" s="2010"/>
      <c r="D33" s="2010"/>
      <c r="E33" s="2010"/>
      <c r="F33" s="2010"/>
      <c r="G33" s="2010"/>
      <c r="H33" s="2010"/>
      <c r="I33" s="2010"/>
      <c r="J33" s="2010"/>
      <c r="K33" s="2010"/>
      <c r="L33" s="2010"/>
      <c r="M33" s="2011"/>
      <c r="N33" s="2012">
        <v>0</v>
      </c>
      <c r="O33" s="2012"/>
      <c r="P33" s="2013"/>
      <c r="Q33" s="275"/>
      <c r="R33" s="277"/>
      <c r="S33" s="279"/>
      <c r="T33" s="279"/>
      <c r="U33" s="279"/>
      <c r="V33" s="279"/>
      <c r="W33" s="279"/>
      <c r="X33" s="279"/>
      <c r="Y33" s="279"/>
      <c r="Z33" s="279"/>
      <c r="AA33" s="279"/>
      <c r="AB33" s="279"/>
      <c r="AC33" s="279"/>
      <c r="AD33" s="279"/>
      <c r="AE33" s="279"/>
      <c r="AF33" s="279"/>
      <c r="AG33" s="279"/>
      <c r="AH33" s="280"/>
      <c r="AI33" s="280"/>
      <c r="AJ33" s="280"/>
      <c r="AK33" s="280"/>
      <c r="AL33" s="280"/>
      <c r="AM33" s="280"/>
      <c r="AN33" s="280"/>
      <c r="AO33" s="280"/>
    </row>
    <row r="34" spans="2:45" s="276" customFormat="1" ht="25" customHeight="1">
      <c r="B34" s="2009" t="s">
        <v>630</v>
      </c>
      <c r="C34" s="2010"/>
      <c r="D34" s="2010"/>
      <c r="E34" s="2010"/>
      <c r="F34" s="2010"/>
      <c r="G34" s="2010"/>
      <c r="H34" s="2010"/>
      <c r="I34" s="2010"/>
      <c r="J34" s="2010"/>
      <c r="K34" s="2010"/>
      <c r="L34" s="2010"/>
      <c r="M34" s="2011"/>
      <c r="N34" s="2012">
        <v>0</v>
      </c>
      <c r="O34" s="2012"/>
      <c r="P34" s="2013"/>
      <c r="Q34" s="275"/>
      <c r="R34" s="1995" t="s">
        <v>789</v>
      </c>
      <c r="S34" s="1995"/>
      <c r="T34" s="1995"/>
      <c r="U34" s="1995"/>
      <c r="V34" s="1995"/>
      <c r="W34" s="1995"/>
      <c r="X34" s="1995"/>
      <c r="Y34" s="1995"/>
      <c r="Z34" s="1995"/>
      <c r="AA34" s="1995"/>
      <c r="AB34" s="1995"/>
      <c r="AC34" s="1995"/>
      <c r="AD34" s="1995"/>
      <c r="AE34" s="1995"/>
      <c r="AF34" s="1995"/>
      <c r="AG34" s="1995"/>
      <c r="AH34" s="1995"/>
      <c r="AI34" s="1995"/>
      <c r="AJ34" s="1995"/>
      <c r="AK34" s="1995"/>
      <c r="AL34" s="1995"/>
      <c r="AM34" s="1995"/>
      <c r="AN34" s="1995"/>
      <c r="AO34" s="1995"/>
    </row>
    <row r="35" spans="2:45" s="276" customFormat="1" ht="25" customHeight="1">
      <c r="B35" s="2014"/>
      <c r="C35" s="2015"/>
      <c r="D35" s="2015"/>
      <c r="E35" s="2015"/>
      <c r="F35" s="2015"/>
      <c r="G35" s="2015"/>
      <c r="H35" s="2015"/>
      <c r="I35" s="2015"/>
      <c r="J35" s="2015"/>
      <c r="K35" s="2015"/>
      <c r="L35" s="2015"/>
      <c r="M35" s="2015"/>
      <c r="N35" s="2015"/>
      <c r="O35" s="2015"/>
      <c r="P35" s="2016"/>
      <c r="Q35" s="275"/>
      <c r="R35" s="1995"/>
      <c r="S35" s="1995"/>
      <c r="T35" s="1995"/>
      <c r="U35" s="1995"/>
      <c r="V35" s="1995"/>
      <c r="W35" s="1995"/>
      <c r="X35" s="1995"/>
      <c r="Y35" s="1995"/>
      <c r="Z35" s="1995"/>
      <c r="AA35" s="1995"/>
      <c r="AB35" s="1995"/>
      <c r="AC35" s="1995"/>
      <c r="AD35" s="1995"/>
      <c r="AE35" s="1995"/>
      <c r="AF35" s="1995"/>
      <c r="AG35" s="1995"/>
      <c r="AH35" s="1995"/>
      <c r="AI35" s="1995"/>
      <c r="AJ35" s="1995"/>
      <c r="AK35" s="1995"/>
      <c r="AL35" s="1995"/>
      <c r="AM35" s="1995"/>
      <c r="AN35" s="1995"/>
      <c r="AO35" s="1995"/>
      <c r="AS35" s="281"/>
    </row>
    <row r="36" spans="2:45" s="276" customFormat="1" ht="25" customHeight="1">
      <c r="B36" s="2009" t="s">
        <v>1288</v>
      </c>
      <c r="C36" s="2010"/>
      <c r="D36" s="2010"/>
      <c r="E36" s="2010"/>
      <c r="F36" s="2010"/>
      <c r="G36" s="2010"/>
      <c r="H36" s="2010"/>
      <c r="I36" s="2010"/>
      <c r="J36" s="2010"/>
      <c r="K36" s="2010"/>
      <c r="L36" s="2010"/>
      <c r="M36" s="2011"/>
      <c r="N36" s="2012">
        <v>0</v>
      </c>
      <c r="O36" s="2012"/>
      <c r="P36" s="2013"/>
      <c r="Q36" s="275"/>
      <c r="R36" s="1995"/>
      <c r="S36" s="1995"/>
      <c r="T36" s="1995"/>
      <c r="U36" s="1995"/>
      <c r="V36" s="1995"/>
      <c r="W36" s="1995"/>
      <c r="X36" s="1995"/>
      <c r="Y36" s="1995"/>
      <c r="Z36" s="1995"/>
      <c r="AA36" s="1995"/>
      <c r="AB36" s="1995"/>
      <c r="AC36" s="1995"/>
      <c r="AD36" s="1995"/>
      <c r="AE36" s="1995"/>
      <c r="AF36" s="1995"/>
      <c r="AG36" s="1995"/>
      <c r="AH36" s="1995"/>
      <c r="AI36" s="1995"/>
      <c r="AJ36" s="1995"/>
      <c r="AK36" s="1995"/>
      <c r="AL36" s="1995"/>
      <c r="AM36" s="1995"/>
      <c r="AN36" s="1995"/>
      <c r="AO36" s="1995"/>
    </row>
    <row r="37" spans="2:45" s="276" customFormat="1" ht="25" customHeight="1">
      <c r="B37" s="2009" t="s">
        <v>1289</v>
      </c>
      <c r="C37" s="2010"/>
      <c r="D37" s="2010"/>
      <c r="E37" s="2010"/>
      <c r="F37" s="2010"/>
      <c r="G37" s="2010"/>
      <c r="H37" s="2010"/>
      <c r="I37" s="2010"/>
      <c r="J37" s="2010"/>
      <c r="K37" s="2010"/>
      <c r="L37" s="2010"/>
      <c r="M37" s="2011"/>
      <c r="N37" s="2012">
        <v>0</v>
      </c>
      <c r="O37" s="2012"/>
      <c r="P37" s="2013"/>
      <c r="Q37" s="275"/>
      <c r="R37" s="1995" t="s">
        <v>1332</v>
      </c>
      <c r="S37" s="1995"/>
      <c r="T37" s="1995"/>
      <c r="U37" s="1995"/>
      <c r="V37" s="1995"/>
      <c r="W37" s="1995"/>
      <c r="X37" s="1995"/>
      <c r="Y37" s="1995"/>
      <c r="Z37" s="1995"/>
      <c r="AA37" s="1995"/>
      <c r="AB37" s="1995"/>
      <c r="AC37" s="1995"/>
      <c r="AD37" s="1995"/>
      <c r="AE37" s="1995"/>
      <c r="AF37" s="1995"/>
      <c r="AG37" s="1995"/>
      <c r="AH37" s="1995"/>
      <c r="AI37" s="1995"/>
      <c r="AJ37" s="1995"/>
      <c r="AK37" s="1995"/>
      <c r="AL37" s="1995"/>
      <c r="AM37" s="1995"/>
      <c r="AN37" s="1995"/>
      <c r="AO37" s="1995"/>
    </row>
    <row r="38" spans="2:45" s="276" customFormat="1" ht="25" customHeight="1">
      <c r="B38" s="2009" t="s">
        <v>1290</v>
      </c>
      <c r="C38" s="2010"/>
      <c r="D38" s="2010"/>
      <c r="E38" s="2010"/>
      <c r="F38" s="2010"/>
      <c r="G38" s="2010"/>
      <c r="H38" s="2010"/>
      <c r="I38" s="2010"/>
      <c r="J38" s="2010"/>
      <c r="K38" s="2010"/>
      <c r="L38" s="2010"/>
      <c r="M38" s="2011"/>
      <c r="N38" s="2012">
        <v>0</v>
      </c>
      <c r="O38" s="2012"/>
      <c r="P38" s="2013"/>
      <c r="Q38" s="275"/>
      <c r="R38" s="1995"/>
      <c r="S38" s="1995"/>
      <c r="T38" s="1995"/>
      <c r="U38" s="1995"/>
      <c r="V38" s="1995"/>
      <c r="W38" s="1995"/>
      <c r="X38" s="1995"/>
      <c r="Y38" s="1995"/>
      <c r="Z38" s="1995"/>
      <c r="AA38" s="1995"/>
      <c r="AB38" s="1995"/>
      <c r="AC38" s="1995"/>
      <c r="AD38" s="1995"/>
      <c r="AE38" s="1995"/>
      <c r="AF38" s="1995"/>
      <c r="AG38" s="1995"/>
      <c r="AH38" s="1995"/>
      <c r="AI38" s="1995"/>
      <c r="AJ38" s="1995"/>
      <c r="AK38" s="1995"/>
      <c r="AL38" s="1995"/>
      <c r="AM38" s="1995"/>
      <c r="AN38" s="1995"/>
      <c r="AO38" s="1995"/>
    </row>
    <row r="39" spans="2:45" s="276" customFormat="1" ht="25" customHeight="1">
      <c r="B39" s="2009" t="s">
        <v>631</v>
      </c>
      <c r="C39" s="2010"/>
      <c r="D39" s="2010"/>
      <c r="E39" s="2010"/>
      <c r="F39" s="2010"/>
      <c r="G39" s="2010"/>
      <c r="H39" s="2010"/>
      <c r="I39" s="2010"/>
      <c r="J39" s="2010"/>
      <c r="K39" s="2010"/>
      <c r="L39" s="2010"/>
      <c r="M39" s="2011"/>
      <c r="N39" s="2012">
        <v>0</v>
      </c>
      <c r="O39" s="2012"/>
      <c r="P39" s="2013"/>
      <c r="Q39" s="275"/>
      <c r="R39" s="1995" t="s">
        <v>790</v>
      </c>
      <c r="S39" s="1995"/>
      <c r="T39" s="1995"/>
      <c r="U39" s="1995"/>
      <c r="V39" s="1995"/>
      <c r="W39" s="1995"/>
      <c r="X39" s="1995"/>
      <c r="Y39" s="1995"/>
      <c r="Z39" s="1995"/>
      <c r="AA39" s="1995"/>
      <c r="AB39" s="1995"/>
      <c r="AC39" s="1995"/>
      <c r="AD39" s="1995"/>
      <c r="AE39" s="1995"/>
      <c r="AF39" s="1995"/>
      <c r="AG39" s="1995"/>
      <c r="AH39" s="1995"/>
      <c r="AI39" s="1995"/>
      <c r="AJ39" s="1995"/>
      <c r="AK39" s="1995"/>
      <c r="AL39" s="1995"/>
      <c r="AM39" s="1995"/>
      <c r="AN39" s="1995"/>
      <c r="AO39" s="1995"/>
    </row>
    <row r="40" spans="2:45" s="276" customFormat="1" ht="25" customHeight="1">
      <c r="B40" s="2009" t="s">
        <v>1291</v>
      </c>
      <c r="C40" s="2010"/>
      <c r="D40" s="2010"/>
      <c r="E40" s="2010"/>
      <c r="F40" s="2010"/>
      <c r="G40" s="2010"/>
      <c r="H40" s="2010"/>
      <c r="I40" s="2010"/>
      <c r="J40" s="2010"/>
      <c r="K40" s="2010"/>
      <c r="L40" s="2010"/>
      <c r="M40" s="2011"/>
      <c r="N40" s="2012">
        <v>0</v>
      </c>
      <c r="O40" s="2012"/>
      <c r="P40" s="2013"/>
      <c r="Q40" s="275"/>
      <c r="R40" s="1995"/>
      <c r="S40" s="1995"/>
      <c r="T40" s="1995"/>
      <c r="U40" s="1995"/>
      <c r="V40" s="1995"/>
      <c r="W40" s="1995"/>
      <c r="X40" s="1995"/>
      <c r="Y40" s="1995"/>
      <c r="Z40" s="1995"/>
      <c r="AA40" s="1995"/>
      <c r="AB40" s="1995"/>
      <c r="AC40" s="1995"/>
      <c r="AD40" s="1995"/>
      <c r="AE40" s="1995"/>
      <c r="AF40" s="1995"/>
      <c r="AG40" s="1995"/>
      <c r="AH40" s="1995"/>
      <c r="AI40" s="1995"/>
      <c r="AJ40" s="1995"/>
      <c r="AK40" s="1995"/>
      <c r="AL40" s="1995"/>
      <c r="AM40" s="1995"/>
      <c r="AN40" s="1995"/>
      <c r="AO40" s="1995"/>
    </row>
    <row r="41" spans="2:45" s="276" customFormat="1" ht="25" customHeight="1">
      <c r="B41" s="2025"/>
      <c r="C41" s="2026"/>
      <c r="D41" s="2026"/>
      <c r="E41" s="2026"/>
      <c r="F41" s="2026"/>
      <c r="G41" s="2026"/>
      <c r="H41" s="2026"/>
      <c r="I41" s="2026"/>
      <c r="J41" s="2026"/>
      <c r="K41" s="2026"/>
      <c r="L41" s="2026"/>
      <c r="M41" s="2026"/>
      <c r="N41" s="2026"/>
      <c r="O41" s="2026"/>
      <c r="P41" s="2027"/>
      <c r="Q41" s="275"/>
      <c r="R41" s="1995" t="s">
        <v>791</v>
      </c>
      <c r="S41" s="1995"/>
      <c r="T41" s="1995"/>
      <c r="U41" s="1995"/>
      <c r="V41" s="1995"/>
      <c r="W41" s="1995"/>
      <c r="X41" s="1995"/>
      <c r="Y41" s="1995"/>
      <c r="Z41" s="1995"/>
      <c r="AA41" s="1995"/>
      <c r="AB41" s="1995"/>
      <c r="AC41" s="1995"/>
      <c r="AD41" s="1995"/>
      <c r="AE41" s="1995"/>
      <c r="AF41" s="1995"/>
      <c r="AG41" s="1995"/>
      <c r="AH41" s="1995"/>
      <c r="AI41" s="1995"/>
      <c r="AJ41" s="1995"/>
      <c r="AK41" s="1995"/>
      <c r="AL41" s="1995"/>
      <c r="AM41" s="1995"/>
      <c r="AN41" s="1995"/>
      <c r="AO41" s="1995"/>
    </row>
    <row r="42" spans="2:45" s="276" customFormat="1" ht="25" customHeight="1">
      <c r="B42" s="2009" t="s">
        <v>632</v>
      </c>
      <c r="C42" s="2010"/>
      <c r="D42" s="2010"/>
      <c r="E42" s="2010"/>
      <c r="F42" s="2010"/>
      <c r="G42" s="2010"/>
      <c r="H42" s="2010"/>
      <c r="I42" s="2010"/>
      <c r="J42" s="2010"/>
      <c r="K42" s="2010"/>
      <c r="L42" s="2010"/>
      <c r="M42" s="2011"/>
      <c r="N42" s="2012">
        <v>0</v>
      </c>
      <c r="O42" s="2012"/>
      <c r="P42" s="2013"/>
      <c r="Q42" s="275"/>
      <c r="R42" s="1995"/>
      <c r="S42" s="1995"/>
      <c r="T42" s="1995"/>
      <c r="U42" s="1995"/>
      <c r="V42" s="1995"/>
      <c r="W42" s="1995"/>
      <c r="X42" s="1995"/>
      <c r="Y42" s="1995"/>
      <c r="Z42" s="1995"/>
      <c r="AA42" s="1995"/>
      <c r="AB42" s="1995"/>
      <c r="AC42" s="1995"/>
      <c r="AD42" s="1995"/>
      <c r="AE42" s="1995"/>
      <c r="AF42" s="1995"/>
      <c r="AG42" s="1995"/>
      <c r="AH42" s="1995"/>
      <c r="AI42" s="1995"/>
      <c r="AJ42" s="1995"/>
      <c r="AK42" s="1995"/>
      <c r="AL42" s="1995"/>
      <c r="AM42" s="1995"/>
      <c r="AN42" s="1995"/>
      <c r="AO42" s="1995"/>
    </row>
    <row r="43" spans="2:45" s="276" customFormat="1" ht="25" customHeight="1">
      <c r="B43" s="2009" t="s">
        <v>633</v>
      </c>
      <c r="C43" s="2010"/>
      <c r="D43" s="2010"/>
      <c r="E43" s="2010"/>
      <c r="F43" s="2010"/>
      <c r="G43" s="2010"/>
      <c r="H43" s="2010"/>
      <c r="I43" s="2010"/>
      <c r="J43" s="2010"/>
      <c r="K43" s="2010"/>
      <c r="L43" s="2010"/>
      <c r="M43" s="2011"/>
      <c r="N43" s="2012">
        <v>0</v>
      </c>
      <c r="O43" s="2012"/>
      <c r="P43" s="2013"/>
      <c r="Q43" s="275"/>
      <c r="R43" s="1995"/>
      <c r="S43" s="1995"/>
      <c r="T43" s="1995"/>
      <c r="U43" s="1995"/>
      <c r="V43" s="1995"/>
      <c r="W43" s="1995"/>
      <c r="X43" s="1995"/>
      <c r="Y43" s="1995"/>
      <c r="Z43" s="1995"/>
      <c r="AA43" s="1995"/>
      <c r="AB43" s="1995"/>
      <c r="AC43" s="1995"/>
      <c r="AD43" s="1995"/>
      <c r="AE43" s="1995"/>
      <c r="AF43" s="1995"/>
      <c r="AG43" s="1995"/>
      <c r="AH43" s="1995"/>
      <c r="AI43" s="1995"/>
      <c r="AJ43" s="1995"/>
      <c r="AK43" s="1995"/>
      <c r="AL43" s="1995"/>
      <c r="AM43" s="1995"/>
      <c r="AN43" s="1995"/>
      <c r="AO43" s="1995"/>
    </row>
    <row r="44" spans="2:45" s="276" customFormat="1" ht="25" customHeight="1">
      <c r="B44" s="2009" t="s">
        <v>634</v>
      </c>
      <c r="C44" s="2010"/>
      <c r="D44" s="2010"/>
      <c r="E44" s="2010"/>
      <c r="F44" s="2010"/>
      <c r="G44" s="2010"/>
      <c r="H44" s="2010"/>
      <c r="I44" s="2010"/>
      <c r="J44" s="2010"/>
      <c r="K44" s="2010"/>
      <c r="L44" s="2010"/>
      <c r="M44" s="2011"/>
      <c r="N44" s="2012">
        <v>0</v>
      </c>
      <c r="O44" s="2012"/>
      <c r="P44" s="2013"/>
      <c r="Q44" s="275"/>
      <c r="R44" s="1995" t="s">
        <v>1331</v>
      </c>
      <c r="S44" s="1995"/>
      <c r="T44" s="1995"/>
      <c r="U44" s="1995"/>
      <c r="V44" s="1995"/>
      <c r="W44" s="1995"/>
      <c r="X44" s="1995"/>
      <c r="Y44" s="1995"/>
      <c r="Z44" s="1995"/>
      <c r="AA44" s="1995"/>
      <c r="AB44" s="1995"/>
      <c r="AC44" s="1995"/>
      <c r="AD44" s="1995"/>
      <c r="AE44" s="1995"/>
      <c r="AF44" s="1995"/>
      <c r="AG44" s="1995"/>
      <c r="AH44" s="1995"/>
      <c r="AI44" s="1995"/>
      <c r="AJ44" s="1995"/>
      <c r="AK44" s="1995"/>
      <c r="AL44" s="1995"/>
      <c r="AM44" s="1995"/>
      <c r="AN44" s="1995"/>
      <c r="AO44" s="1995"/>
    </row>
    <row r="45" spans="2:45" s="276" customFormat="1" ht="25" customHeight="1">
      <c r="B45" s="2009" t="s">
        <v>635</v>
      </c>
      <c r="C45" s="2010"/>
      <c r="D45" s="2010"/>
      <c r="E45" s="2010"/>
      <c r="F45" s="2010"/>
      <c r="G45" s="2010"/>
      <c r="H45" s="2010"/>
      <c r="I45" s="2010"/>
      <c r="J45" s="2010"/>
      <c r="K45" s="2010"/>
      <c r="L45" s="2010"/>
      <c r="M45" s="2011"/>
      <c r="N45" s="2012">
        <v>0</v>
      </c>
      <c r="O45" s="2012"/>
      <c r="P45" s="2013"/>
      <c r="Q45" s="275"/>
      <c r="R45" s="1995"/>
      <c r="S45" s="1995"/>
      <c r="T45" s="1995"/>
      <c r="U45" s="1995"/>
      <c r="V45" s="1995"/>
      <c r="W45" s="1995"/>
      <c r="X45" s="1995"/>
      <c r="Y45" s="1995"/>
      <c r="Z45" s="1995"/>
      <c r="AA45" s="1995"/>
      <c r="AB45" s="1995"/>
      <c r="AC45" s="1995"/>
      <c r="AD45" s="1995"/>
      <c r="AE45" s="1995"/>
      <c r="AF45" s="1995"/>
      <c r="AG45" s="1995"/>
      <c r="AH45" s="1995"/>
      <c r="AI45" s="1995"/>
      <c r="AJ45" s="1995"/>
      <c r="AK45" s="1995"/>
      <c r="AL45" s="1995"/>
      <c r="AM45" s="1995"/>
      <c r="AN45" s="1995"/>
      <c r="AO45" s="1995"/>
    </row>
    <row r="46" spans="2:45" s="276" customFormat="1" ht="25" customHeight="1">
      <c r="B46" s="2025"/>
      <c r="C46" s="2026"/>
      <c r="D46" s="2026"/>
      <c r="E46" s="2026"/>
      <c r="F46" s="2026"/>
      <c r="G46" s="2026"/>
      <c r="H46" s="2026"/>
      <c r="I46" s="2026"/>
      <c r="J46" s="2026"/>
      <c r="K46" s="2026"/>
      <c r="L46" s="2026"/>
      <c r="M46" s="2026"/>
      <c r="N46" s="2026"/>
      <c r="O46" s="2026"/>
      <c r="P46" s="2027"/>
      <c r="Q46" s="275"/>
      <c r="R46" s="277"/>
      <c r="S46" s="279"/>
      <c r="T46" s="279"/>
      <c r="U46" s="279"/>
      <c r="V46" s="279"/>
      <c r="W46" s="278"/>
      <c r="X46" s="278"/>
      <c r="Y46" s="279"/>
      <c r="Z46" s="279"/>
      <c r="AA46" s="279"/>
      <c r="AB46" s="279"/>
      <c r="AC46" s="279"/>
      <c r="AD46" s="279"/>
      <c r="AE46" s="279"/>
      <c r="AF46" s="279"/>
      <c r="AG46" s="279"/>
      <c r="AH46" s="280"/>
      <c r="AI46" s="280"/>
      <c r="AJ46" s="280"/>
      <c r="AK46" s="280"/>
      <c r="AL46" s="280"/>
      <c r="AM46" s="280"/>
      <c r="AN46" s="280"/>
      <c r="AO46" s="280"/>
    </row>
    <row r="47" spans="2:45" s="276" customFormat="1" ht="25" customHeight="1">
      <c r="B47" s="2009" t="s">
        <v>636</v>
      </c>
      <c r="C47" s="2010"/>
      <c r="D47" s="2010"/>
      <c r="E47" s="2010"/>
      <c r="F47" s="2010"/>
      <c r="G47" s="2010"/>
      <c r="H47" s="2010"/>
      <c r="I47" s="2010"/>
      <c r="J47" s="2010"/>
      <c r="K47" s="2010"/>
      <c r="L47" s="2010"/>
      <c r="M47" s="2011"/>
      <c r="N47" s="2012">
        <v>0</v>
      </c>
      <c r="O47" s="2012"/>
      <c r="P47" s="2013"/>
      <c r="Q47" s="275"/>
      <c r="R47" s="1996" t="s">
        <v>1330</v>
      </c>
      <c r="S47" s="1996"/>
      <c r="T47" s="1996"/>
      <c r="U47" s="1996"/>
      <c r="V47" s="1996"/>
      <c r="W47" s="1996"/>
      <c r="X47" s="1996"/>
      <c r="Y47" s="1996"/>
      <c r="Z47" s="1996"/>
      <c r="AA47" s="1996"/>
      <c r="AB47" s="1996"/>
      <c r="AC47" s="1996"/>
      <c r="AD47" s="1996"/>
      <c r="AE47" s="1996"/>
      <c r="AF47" s="1996"/>
      <c r="AG47" s="1996"/>
      <c r="AH47" s="1996"/>
      <c r="AI47" s="1996"/>
      <c r="AJ47" s="1996"/>
      <c r="AK47" s="1996"/>
      <c r="AL47" s="1996"/>
      <c r="AM47" s="1996"/>
      <c r="AN47" s="1996"/>
      <c r="AO47" s="1996"/>
    </row>
    <row r="48" spans="2:45" s="276" customFormat="1" ht="25" customHeight="1">
      <c r="B48" s="2009" t="s">
        <v>418</v>
      </c>
      <c r="C48" s="2010"/>
      <c r="D48" s="2010"/>
      <c r="E48" s="2010"/>
      <c r="F48" s="2010"/>
      <c r="G48" s="2010"/>
      <c r="H48" s="2010"/>
      <c r="I48" s="2010"/>
      <c r="J48" s="2010"/>
      <c r="K48" s="2010"/>
      <c r="L48" s="2010"/>
      <c r="M48" s="2011"/>
      <c r="N48" s="2012">
        <v>0</v>
      </c>
      <c r="O48" s="2012"/>
      <c r="P48" s="2013"/>
      <c r="Q48" s="275"/>
      <c r="R48" s="1996" t="s">
        <v>1329</v>
      </c>
      <c r="S48" s="1996"/>
      <c r="T48" s="1996"/>
      <c r="U48" s="1996"/>
      <c r="V48" s="1996"/>
      <c r="W48" s="1996"/>
      <c r="X48" s="1996"/>
      <c r="Y48" s="1996"/>
      <c r="Z48" s="1996"/>
      <c r="AA48" s="1996"/>
      <c r="AB48" s="1996"/>
      <c r="AC48" s="1996"/>
      <c r="AD48" s="1996"/>
      <c r="AE48" s="1996"/>
      <c r="AF48" s="1996"/>
      <c r="AG48" s="1996"/>
      <c r="AH48" s="1996"/>
      <c r="AI48" s="1996"/>
      <c r="AJ48" s="1996"/>
      <c r="AK48" s="1996"/>
      <c r="AL48" s="1996"/>
      <c r="AM48" s="1996"/>
      <c r="AN48" s="1996"/>
      <c r="AO48" s="1996"/>
    </row>
    <row r="49" spans="2:41" s="276" customFormat="1" ht="25" customHeight="1">
      <c r="B49" s="2025"/>
      <c r="C49" s="2026"/>
      <c r="D49" s="2026"/>
      <c r="E49" s="2026"/>
      <c r="F49" s="2026"/>
      <c r="G49" s="2026"/>
      <c r="H49" s="2026"/>
      <c r="I49" s="2026"/>
      <c r="J49" s="2026"/>
      <c r="K49" s="2026"/>
      <c r="L49" s="2026"/>
      <c r="M49" s="2026"/>
      <c r="N49" s="2026"/>
      <c r="O49" s="2026"/>
      <c r="P49" s="2027"/>
      <c r="Q49" s="275"/>
      <c r="R49" s="277"/>
      <c r="S49" s="278"/>
      <c r="T49" s="278"/>
      <c r="U49" s="278"/>
      <c r="V49" s="278"/>
      <c r="W49" s="278"/>
      <c r="X49" s="278"/>
      <c r="Y49" s="279"/>
      <c r="Z49" s="279"/>
      <c r="AA49" s="279"/>
      <c r="AB49" s="279"/>
      <c r="AC49" s="279"/>
      <c r="AD49" s="279"/>
      <c r="AE49" s="279"/>
      <c r="AF49" s="279"/>
      <c r="AG49" s="279"/>
      <c r="AH49" s="280"/>
      <c r="AI49" s="280"/>
      <c r="AJ49" s="280"/>
      <c r="AK49" s="280"/>
      <c r="AL49" s="280"/>
      <c r="AM49" s="280"/>
      <c r="AN49" s="280"/>
      <c r="AO49" s="280"/>
    </row>
    <row r="50" spans="2:41" s="276" customFormat="1" ht="25" customHeight="1" thickBot="1">
      <c r="B50" s="1997" t="s">
        <v>1292</v>
      </c>
      <c r="C50" s="1998"/>
      <c r="D50" s="1998"/>
      <c r="E50" s="1998"/>
      <c r="F50" s="1998"/>
      <c r="G50" s="1998"/>
      <c r="H50" s="1998"/>
      <c r="I50" s="1998"/>
      <c r="J50" s="1998"/>
      <c r="K50" s="1998"/>
      <c r="L50" s="1998"/>
      <c r="M50" s="1999"/>
      <c r="N50" s="2000">
        <v>0</v>
      </c>
      <c r="O50" s="2000"/>
      <c r="P50" s="2001"/>
      <c r="Q50" s="275"/>
      <c r="R50" s="1996" t="s">
        <v>726</v>
      </c>
      <c r="S50" s="1996"/>
      <c r="T50" s="1996"/>
      <c r="U50" s="1996"/>
      <c r="V50" s="1996"/>
      <c r="W50" s="1996"/>
      <c r="X50" s="1996"/>
      <c r="Y50" s="1996"/>
      <c r="Z50" s="1996"/>
      <c r="AA50" s="1996"/>
      <c r="AB50" s="1996"/>
      <c r="AC50" s="1996"/>
      <c r="AD50" s="1996"/>
      <c r="AE50" s="1996"/>
      <c r="AF50" s="1996"/>
      <c r="AG50" s="1996"/>
      <c r="AH50" s="1996"/>
      <c r="AI50" s="1996"/>
      <c r="AJ50" s="1996"/>
      <c r="AK50" s="1996"/>
      <c r="AL50" s="1996"/>
      <c r="AM50" s="1996"/>
      <c r="AN50" s="1996"/>
      <c r="AO50" s="1996"/>
    </row>
    <row r="51" spans="2:41" ht="24" customHeight="1">
      <c r="B51" s="271" t="s">
        <v>1295</v>
      </c>
      <c r="C51" s="272"/>
      <c r="D51" s="272"/>
      <c r="E51" s="272"/>
      <c r="F51" s="272"/>
      <c r="G51" s="272"/>
      <c r="H51" s="272"/>
      <c r="I51" s="272"/>
      <c r="J51" s="272"/>
      <c r="K51" s="272"/>
      <c r="L51" s="272"/>
      <c r="M51" s="272"/>
      <c r="N51" s="272"/>
      <c r="O51" s="272"/>
      <c r="P51" s="272"/>
      <c r="Q51" s="273"/>
      <c r="R51" s="273"/>
      <c r="S51" s="273"/>
      <c r="T51" s="273"/>
      <c r="U51" s="273"/>
      <c r="V51" s="273"/>
      <c r="W51" s="273"/>
      <c r="X51" s="273"/>
      <c r="Y51" s="273"/>
      <c r="Z51" s="273"/>
      <c r="AA51" s="273"/>
      <c r="AB51" s="273"/>
      <c r="AC51" s="273"/>
      <c r="AD51" s="273"/>
      <c r="AE51" s="273"/>
      <c r="AF51" s="273"/>
      <c r="AG51" s="273"/>
    </row>
    <row r="52" spans="2:41" s="238" customFormat="1" ht="31.5" customHeight="1">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c r="AC52" s="239"/>
      <c r="AD52" s="239"/>
      <c r="AE52" s="239"/>
      <c r="AF52" s="239"/>
      <c r="AG52" s="239"/>
      <c r="AH52" s="239"/>
      <c r="AI52" s="239"/>
      <c r="AJ52" s="239"/>
      <c r="AK52" s="239"/>
      <c r="AL52" s="239"/>
      <c r="AM52" s="239"/>
    </row>
    <row r="53" spans="2:41" s="242" customFormat="1" ht="14">
      <c r="B53" s="241" t="s">
        <v>847</v>
      </c>
      <c r="P53" s="241" t="s">
        <v>760</v>
      </c>
      <c r="Q53" s="241"/>
      <c r="AD53" s="241" t="s">
        <v>783</v>
      </c>
    </row>
    <row r="54" spans="2:41" s="242" customFormat="1" ht="21.75" customHeight="1">
      <c r="B54" s="241" t="s">
        <v>756</v>
      </c>
      <c r="F54" s="1959" t="str">
        <f>activesheet!E29</f>
        <v>RICO S. MISPEROS</v>
      </c>
      <c r="G54" s="1959"/>
      <c r="H54" s="1959"/>
      <c r="I54" s="1959"/>
      <c r="J54" s="1959"/>
      <c r="K54" s="1959"/>
      <c r="L54" s="1959"/>
      <c r="P54" s="1959" t="str">
        <f>activesheet!E394</f>
        <v>RONE RAY M. PORTACION</v>
      </c>
      <c r="Q54" s="1959"/>
      <c r="R54" s="1959"/>
      <c r="S54" s="1959"/>
      <c r="T54" s="1959"/>
      <c r="U54" s="1959"/>
      <c r="V54" s="1959"/>
      <c r="W54" s="1959"/>
      <c r="X54" s="1959"/>
      <c r="Y54" s="1959"/>
      <c r="Z54" s="1959"/>
      <c r="AD54" s="1956" t="str">
        <f>activesheet!E31</f>
        <v>MICHAEL T. JAMIS</v>
      </c>
      <c r="AE54" s="1956"/>
      <c r="AF54" s="1956"/>
      <c r="AG54" s="1956"/>
      <c r="AH54" s="1956"/>
      <c r="AI54" s="1956"/>
      <c r="AJ54" s="1956"/>
      <c r="AK54" s="1956"/>
      <c r="AL54" s="1956"/>
      <c r="AM54" s="1956"/>
      <c r="AN54" s="1956"/>
    </row>
    <row r="55" spans="2:41" s="243" customFormat="1" ht="14">
      <c r="B55" s="241"/>
      <c r="F55" s="1958" t="s">
        <v>741</v>
      </c>
      <c r="G55" s="1958"/>
      <c r="H55" s="1958"/>
      <c r="I55" s="1958"/>
      <c r="J55" s="1958"/>
      <c r="K55" s="1958"/>
      <c r="L55" s="1958"/>
      <c r="M55" s="245"/>
      <c r="N55" s="245"/>
      <c r="O55" s="245"/>
      <c r="P55" s="1958" t="s">
        <v>741</v>
      </c>
      <c r="Q55" s="1958"/>
      <c r="R55" s="1958"/>
      <c r="S55" s="1958"/>
      <c r="T55" s="1958"/>
      <c r="U55" s="1958"/>
      <c r="V55" s="1958"/>
      <c r="W55" s="1958"/>
      <c r="X55" s="1958"/>
      <c r="Y55" s="1958"/>
      <c r="Z55" s="1958"/>
      <c r="AA55" s="245"/>
      <c r="AB55" s="245"/>
      <c r="AC55" s="245"/>
      <c r="AD55" s="1957"/>
      <c r="AE55" s="1957"/>
      <c r="AF55" s="1957"/>
      <c r="AG55" s="1957"/>
      <c r="AH55" s="1957"/>
      <c r="AI55" s="1957"/>
      <c r="AJ55" s="1957"/>
      <c r="AK55" s="1957"/>
      <c r="AL55" s="1957"/>
      <c r="AM55" s="1957"/>
      <c r="AN55" s="1957"/>
    </row>
    <row r="56" spans="2:41" s="242" customFormat="1" ht="21.75" customHeight="1">
      <c r="B56" s="241" t="s">
        <v>71</v>
      </c>
      <c r="F56" s="1959" t="str">
        <f>activesheet!E30</f>
        <v>SCHOOL PRINCIPAL II</v>
      </c>
      <c r="G56" s="1959"/>
      <c r="H56" s="1959"/>
      <c r="I56" s="1959"/>
      <c r="J56" s="1959"/>
      <c r="K56" s="1959"/>
      <c r="L56" s="1959"/>
      <c r="P56" s="241" t="s">
        <v>71</v>
      </c>
      <c r="Q56" s="241"/>
      <c r="T56" s="1959" t="str">
        <f>activesheet!E395</f>
        <v>Education Program Supervisor</v>
      </c>
      <c r="U56" s="1959"/>
      <c r="V56" s="1959"/>
      <c r="W56" s="1959"/>
      <c r="X56" s="1959"/>
      <c r="Y56" s="1959"/>
      <c r="Z56" s="1959"/>
      <c r="AD56" s="1958" t="s">
        <v>741</v>
      </c>
      <c r="AE56" s="1958"/>
      <c r="AF56" s="1958"/>
      <c r="AG56" s="1958"/>
      <c r="AH56" s="1958"/>
      <c r="AI56" s="1958"/>
      <c r="AJ56" s="1958"/>
      <c r="AK56" s="1958"/>
      <c r="AL56" s="1958"/>
      <c r="AM56" s="1958"/>
      <c r="AN56" s="1958"/>
    </row>
    <row r="57" spans="2:41" ht="15.65" customHeight="1">
      <c r="B57" s="263"/>
      <c r="C57" s="263"/>
      <c r="D57" s="263"/>
      <c r="E57" s="263"/>
      <c r="F57" s="263"/>
      <c r="G57" s="263"/>
      <c r="H57" s="263"/>
      <c r="I57" s="263"/>
      <c r="J57" s="263"/>
      <c r="K57" s="263"/>
      <c r="L57" s="263"/>
      <c r="M57" s="264"/>
      <c r="N57" s="264"/>
      <c r="O57" s="264"/>
      <c r="P57" s="264"/>
      <c r="Q57" s="264"/>
      <c r="R57" s="264"/>
      <c r="S57" s="264"/>
      <c r="T57" s="264"/>
      <c r="U57" s="257"/>
      <c r="V57" s="257"/>
    </row>
  </sheetData>
  <sheetProtection algorithmName="SHA-512" hashValue="etBtv7eHDu7+yr7zhGp7PJzJ2+0eERlJ6TN/veKQs2zIeJGHXhB1rgq4k10hYKAv9cjAVkxBuCoJWHsmSzlmLA==" saltValue="RqokYmmRB8OoQ1mbUxvHVw==" spinCount="100000" sheet="1" objects="1" scenarios="1" selectLockedCells="1"/>
  <mergeCells count="116">
    <mergeCell ref="B41:P41"/>
    <mergeCell ref="B46:P46"/>
    <mergeCell ref="B49:P49"/>
    <mergeCell ref="N8:P8"/>
    <mergeCell ref="B9:M9"/>
    <mergeCell ref="N9:P9"/>
    <mergeCell ref="B10:M10"/>
    <mergeCell ref="N10:P10"/>
    <mergeCell ref="B11:M11"/>
    <mergeCell ref="N11:P11"/>
    <mergeCell ref="B15:M15"/>
    <mergeCell ref="N15:P15"/>
    <mergeCell ref="B16:M16"/>
    <mergeCell ref="N16:P16"/>
    <mergeCell ref="B17:M17"/>
    <mergeCell ref="N17:P17"/>
    <mergeCell ref="B12:M12"/>
    <mergeCell ref="N12:P12"/>
    <mergeCell ref="B13:M13"/>
    <mergeCell ref="N13:P13"/>
    <mergeCell ref="B14:M14"/>
    <mergeCell ref="N14:P14"/>
    <mergeCell ref="B21:M21"/>
    <mergeCell ref="N21:P21"/>
    <mergeCell ref="N3:P3"/>
    <mergeCell ref="B3:M3"/>
    <mergeCell ref="B5:M5"/>
    <mergeCell ref="N5:P5"/>
    <mergeCell ref="B6:M6"/>
    <mergeCell ref="N6:P6"/>
    <mergeCell ref="B7:M7"/>
    <mergeCell ref="N7:P7"/>
    <mergeCell ref="B8:M8"/>
    <mergeCell ref="B22:M22"/>
    <mergeCell ref="N22:P22"/>
    <mergeCell ref="B23:M23"/>
    <mergeCell ref="N23:P23"/>
    <mergeCell ref="B18:M18"/>
    <mergeCell ref="N18:P18"/>
    <mergeCell ref="B19:M19"/>
    <mergeCell ref="N19:P19"/>
    <mergeCell ref="B20:M20"/>
    <mergeCell ref="N20:P20"/>
    <mergeCell ref="B27:M27"/>
    <mergeCell ref="N27:P27"/>
    <mergeCell ref="B28:M28"/>
    <mergeCell ref="N28:P28"/>
    <mergeCell ref="B29:M29"/>
    <mergeCell ref="N29:P29"/>
    <mergeCell ref="B24:M24"/>
    <mergeCell ref="N24:P24"/>
    <mergeCell ref="B25:M25"/>
    <mergeCell ref="N25:P25"/>
    <mergeCell ref="B26:M26"/>
    <mergeCell ref="N26:P26"/>
    <mergeCell ref="B33:M33"/>
    <mergeCell ref="N33:P33"/>
    <mergeCell ref="B34:M34"/>
    <mergeCell ref="N34:P34"/>
    <mergeCell ref="B36:M36"/>
    <mergeCell ref="N36:P36"/>
    <mergeCell ref="B30:M30"/>
    <mergeCell ref="N30:P30"/>
    <mergeCell ref="B31:M31"/>
    <mergeCell ref="N31:P31"/>
    <mergeCell ref="B32:M32"/>
    <mergeCell ref="N32:P32"/>
    <mergeCell ref="B35:P35"/>
    <mergeCell ref="R17:AO17"/>
    <mergeCell ref="R18:AO21"/>
    <mergeCell ref="R22:AO25"/>
    <mergeCell ref="R26:AO28"/>
    <mergeCell ref="B47:M47"/>
    <mergeCell ref="N47:P47"/>
    <mergeCell ref="B48:M48"/>
    <mergeCell ref="N48:P48"/>
    <mergeCell ref="B44:M44"/>
    <mergeCell ref="N44:P44"/>
    <mergeCell ref="B45:M45"/>
    <mergeCell ref="N45:P45"/>
    <mergeCell ref="B40:M40"/>
    <mergeCell ref="N40:P40"/>
    <mergeCell ref="B42:M42"/>
    <mergeCell ref="N42:P42"/>
    <mergeCell ref="B43:M43"/>
    <mergeCell ref="N43:P43"/>
    <mergeCell ref="B37:M37"/>
    <mergeCell ref="N37:P37"/>
    <mergeCell ref="B38:M38"/>
    <mergeCell ref="N38:P38"/>
    <mergeCell ref="B39:M39"/>
    <mergeCell ref="N39:P39"/>
    <mergeCell ref="R5:AO6"/>
    <mergeCell ref="F56:L56"/>
    <mergeCell ref="T56:Z56"/>
    <mergeCell ref="AD56:AN56"/>
    <mergeCell ref="B2:AO2"/>
    <mergeCell ref="R44:AO45"/>
    <mergeCell ref="R47:AO47"/>
    <mergeCell ref="R48:AO48"/>
    <mergeCell ref="R50:AO50"/>
    <mergeCell ref="F54:L54"/>
    <mergeCell ref="P54:Z54"/>
    <mergeCell ref="AD54:AN55"/>
    <mergeCell ref="F55:L55"/>
    <mergeCell ref="P55:Z55"/>
    <mergeCell ref="R29:AO30"/>
    <mergeCell ref="R32:AO32"/>
    <mergeCell ref="R34:AO36"/>
    <mergeCell ref="R37:AO38"/>
    <mergeCell ref="R39:AO40"/>
    <mergeCell ref="R41:AO43"/>
    <mergeCell ref="B50:M50"/>
    <mergeCell ref="N50:P50"/>
    <mergeCell ref="N4:P4"/>
    <mergeCell ref="B4:M4"/>
  </mergeCells>
  <dataValidations count="2">
    <dataValidation type="whole" allowBlank="1" showInputMessage="1" showErrorMessage="1" error="Please enter valid number between 0-999." sqref="N5:P16" xr:uid="{00000000-0002-0000-0900-000000000000}">
      <formula1>0</formula1>
      <formula2>999</formula2>
    </dataValidation>
    <dataValidation type="whole" allowBlank="1" showInputMessage="1" showErrorMessage="1" errorTitle="GESP SY 2022-2023" error="Please enter valid number between 0-999." sqref="N18:P34 N36:P40 N42:P45 N47:P48 N50:P50" xr:uid="{00000000-0002-0000-0900-000001000000}">
      <formula1>0</formula1>
      <formula2>999</formula2>
    </dataValidation>
  </dataValidations>
  <printOptions horizontalCentered="1" verticalCentered="1"/>
  <pageMargins left="0.25" right="0.25" top="0.2" bottom="0.2" header="0" footer="0.1"/>
  <pageSetup paperSize="9" scale="56" orientation="portrait" r:id="rId1"/>
  <headerFooter alignWithMargins="0">
    <oddFooter>&amp;L&amp;10&amp;F &amp;A&amp;R&amp;11Page 6 of 60</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B1:BJ31"/>
  <sheetViews>
    <sheetView showGridLines="0" topLeftCell="A5" zoomScaleNormal="100" workbookViewId="0">
      <selection activeCell="T14" sqref="T14:V14"/>
    </sheetView>
  </sheetViews>
  <sheetFormatPr defaultColWidth="9" defaultRowHeight="14.5"/>
  <cols>
    <col min="1" max="1" width="2.08203125" style="266" customWidth="1"/>
    <col min="2" max="61" width="3.58203125" style="266" customWidth="1"/>
    <col min="62" max="62" width="2.08203125" style="266" customWidth="1"/>
    <col min="63" max="16384" width="9" style="266"/>
  </cols>
  <sheetData>
    <row r="1" spans="2:62" ht="12" customHeight="1"/>
    <row r="2" spans="2:62" ht="17" thickBot="1">
      <c r="B2" s="301" t="s">
        <v>11751</v>
      </c>
      <c r="C2" s="301"/>
      <c r="D2" s="301"/>
      <c r="E2" s="301"/>
      <c r="F2" s="301"/>
      <c r="G2" s="301"/>
      <c r="H2" s="301"/>
      <c r="I2" s="301"/>
      <c r="J2" s="301"/>
      <c r="K2" s="301"/>
      <c r="L2" s="301"/>
      <c r="M2" s="301"/>
      <c r="N2" s="301"/>
      <c r="O2" s="301"/>
      <c r="P2" s="301"/>
      <c r="Q2" s="301"/>
      <c r="R2" s="301"/>
      <c r="S2" s="301"/>
      <c r="T2" s="301"/>
      <c r="U2" s="301"/>
      <c r="V2" s="301"/>
      <c r="W2" s="301"/>
      <c r="X2" s="301"/>
      <c r="Y2" s="301"/>
      <c r="Z2" s="301"/>
      <c r="AA2" s="301"/>
      <c r="AB2" s="301"/>
      <c r="AC2" s="301"/>
      <c r="AD2" s="301"/>
      <c r="AE2" s="302"/>
      <c r="AF2" s="302"/>
      <c r="AG2" s="302"/>
      <c r="AH2" s="303"/>
      <c r="AI2" s="302"/>
      <c r="AJ2" s="302"/>
      <c r="AK2" s="303"/>
      <c r="AL2" s="302"/>
      <c r="AM2" s="302"/>
      <c r="AN2" s="303"/>
      <c r="AO2" s="303"/>
      <c r="AP2" s="303"/>
      <c r="AQ2" s="303"/>
      <c r="AR2" s="303"/>
      <c r="AS2" s="303"/>
      <c r="AT2" s="303"/>
      <c r="AU2" s="303"/>
      <c r="AV2" s="304"/>
      <c r="AW2" s="304"/>
      <c r="AX2" s="304"/>
      <c r="AY2" s="304"/>
      <c r="AZ2" s="304"/>
      <c r="BA2" s="304"/>
      <c r="BB2" s="304"/>
      <c r="BC2" s="304"/>
      <c r="BD2" s="304"/>
      <c r="BE2" s="304"/>
      <c r="BF2" s="304"/>
      <c r="BG2" s="304"/>
      <c r="BH2" s="304"/>
      <c r="BI2" s="304"/>
    </row>
    <row r="3" spans="2:62" ht="22" customHeight="1" thickBot="1">
      <c r="B3" s="2095" t="s">
        <v>46</v>
      </c>
      <c r="C3" s="2096"/>
      <c r="D3" s="2096"/>
      <c r="E3" s="2096"/>
      <c r="F3" s="2097"/>
      <c r="G3" s="2071" t="s">
        <v>866</v>
      </c>
      <c r="H3" s="2072"/>
      <c r="I3" s="2072"/>
      <c r="J3" s="2072"/>
      <c r="K3" s="2072"/>
      <c r="L3" s="2072"/>
      <c r="M3" s="2072"/>
      <c r="N3" s="2072"/>
      <c r="O3" s="2072"/>
      <c r="P3" s="2072"/>
      <c r="Q3" s="2072"/>
      <c r="R3" s="2072"/>
      <c r="S3" s="2072"/>
      <c r="T3" s="2072"/>
      <c r="U3" s="2072"/>
      <c r="V3" s="2072"/>
      <c r="W3" s="2072"/>
      <c r="X3" s="2072"/>
      <c r="Y3" s="2072"/>
      <c r="Z3" s="2072"/>
      <c r="AA3" s="2072"/>
      <c r="AB3" s="2072"/>
      <c r="AC3" s="2072"/>
      <c r="AD3" s="2072"/>
      <c r="AE3" s="2072"/>
      <c r="AF3" s="2072"/>
      <c r="AG3" s="2072"/>
      <c r="AH3" s="2072"/>
      <c r="AI3" s="2072"/>
      <c r="AJ3" s="2072"/>
      <c r="AK3" s="2072"/>
      <c r="AL3" s="2072"/>
      <c r="AM3" s="2073"/>
      <c r="AN3" s="2071" t="s">
        <v>435</v>
      </c>
      <c r="AO3" s="2072"/>
      <c r="AP3" s="2072"/>
      <c r="AQ3" s="2072"/>
      <c r="AR3" s="2072"/>
      <c r="AS3" s="2072"/>
      <c r="AT3" s="2072"/>
      <c r="AU3" s="2072"/>
      <c r="AV3" s="2072"/>
      <c r="AW3" s="2072"/>
      <c r="AX3" s="2072"/>
      <c r="AY3" s="2073"/>
      <c r="AZ3" s="2072" t="s">
        <v>803</v>
      </c>
      <c r="BA3" s="2072"/>
      <c r="BB3" s="2072"/>
      <c r="BC3" s="2072"/>
      <c r="BD3" s="2072"/>
      <c r="BE3" s="2072"/>
      <c r="BF3" s="2072"/>
      <c r="BG3" s="2072"/>
      <c r="BH3" s="2072"/>
      <c r="BI3" s="2073"/>
    </row>
    <row r="4" spans="2:62" ht="19.5" customHeight="1">
      <c r="B4" s="2098"/>
      <c r="C4" s="2099"/>
      <c r="D4" s="2099"/>
      <c r="E4" s="2099"/>
      <c r="F4" s="2100"/>
      <c r="G4" s="2074" t="s">
        <v>437</v>
      </c>
      <c r="H4" s="2080"/>
      <c r="I4" s="2075"/>
      <c r="J4" s="2062" t="s">
        <v>805</v>
      </c>
      <c r="K4" s="2080"/>
      <c r="L4" s="2075"/>
      <c r="M4" s="2062" t="s">
        <v>1008</v>
      </c>
      <c r="N4" s="2080"/>
      <c r="O4" s="2075"/>
      <c r="P4" s="2062" t="s">
        <v>436</v>
      </c>
      <c r="Q4" s="2080"/>
      <c r="R4" s="2080"/>
      <c r="S4" s="2075"/>
      <c r="T4" s="2062" t="s">
        <v>438</v>
      </c>
      <c r="U4" s="2080"/>
      <c r="V4" s="2075"/>
      <c r="W4" s="2062" t="s">
        <v>440</v>
      </c>
      <c r="X4" s="2080"/>
      <c r="Y4" s="2080"/>
      <c r="Z4" s="2075"/>
      <c r="AA4" s="2062" t="s">
        <v>439</v>
      </c>
      <c r="AB4" s="2080"/>
      <c r="AC4" s="2075"/>
      <c r="AD4" s="2062" t="s">
        <v>1293</v>
      </c>
      <c r="AE4" s="2080"/>
      <c r="AF4" s="2080"/>
      <c r="AG4" s="2075"/>
      <c r="AH4" s="2062" t="s">
        <v>420</v>
      </c>
      <c r="AI4" s="2080"/>
      <c r="AJ4" s="2075"/>
      <c r="AK4" s="2062" t="s">
        <v>870</v>
      </c>
      <c r="AL4" s="2080"/>
      <c r="AM4" s="2075"/>
      <c r="AN4" s="2074" t="s">
        <v>1009</v>
      </c>
      <c r="AO4" s="2075"/>
      <c r="AP4" s="2062" t="s">
        <v>1010</v>
      </c>
      <c r="AQ4" s="2063"/>
      <c r="AR4" s="2062" t="s">
        <v>1011</v>
      </c>
      <c r="AS4" s="2063"/>
      <c r="AT4" s="2062" t="s">
        <v>1012</v>
      </c>
      <c r="AU4" s="2063"/>
      <c r="AV4" s="2062" t="s">
        <v>1013</v>
      </c>
      <c r="AW4" s="2063"/>
      <c r="AX4" s="2062" t="s">
        <v>1014</v>
      </c>
      <c r="AY4" s="2068"/>
      <c r="AZ4" s="2074" t="s">
        <v>1009</v>
      </c>
      <c r="BA4" s="2063"/>
      <c r="BB4" s="2062" t="s">
        <v>1010</v>
      </c>
      <c r="BC4" s="2063"/>
      <c r="BD4" s="2062" t="s">
        <v>1011</v>
      </c>
      <c r="BE4" s="2063"/>
      <c r="BF4" s="2062" t="s">
        <v>1012</v>
      </c>
      <c r="BG4" s="2063"/>
      <c r="BH4" s="2062" t="s">
        <v>1015</v>
      </c>
      <c r="BI4" s="2068"/>
      <c r="BJ4" s="305"/>
    </row>
    <row r="5" spans="2:62" ht="19.5" customHeight="1">
      <c r="B5" s="2098"/>
      <c r="C5" s="2099"/>
      <c r="D5" s="2099"/>
      <c r="E5" s="2099"/>
      <c r="F5" s="2100"/>
      <c r="G5" s="2076"/>
      <c r="H5" s="2081"/>
      <c r="I5" s="2077"/>
      <c r="J5" s="2064"/>
      <c r="K5" s="2081"/>
      <c r="L5" s="2077"/>
      <c r="M5" s="2064"/>
      <c r="N5" s="2081"/>
      <c r="O5" s="2077"/>
      <c r="P5" s="2064"/>
      <c r="Q5" s="2081"/>
      <c r="R5" s="2081"/>
      <c r="S5" s="2077"/>
      <c r="T5" s="2064"/>
      <c r="U5" s="2081"/>
      <c r="V5" s="2077"/>
      <c r="W5" s="2064"/>
      <c r="X5" s="2081"/>
      <c r="Y5" s="2081"/>
      <c r="Z5" s="2077"/>
      <c r="AA5" s="2064"/>
      <c r="AB5" s="2081"/>
      <c r="AC5" s="2077"/>
      <c r="AD5" s="2064"/>
      <c r="AE5" s="2081"/>
      <c r="AF5" s="2081"/>
      <c r="AG5" s="2077"/>
      <c r="AH5" s="2064"/>
      <c r="AI5" s="2081"/>
      <c r="AJ5" s="2077"/>
      <c r="AK5" s="2064"/>
      <c r="AL5" s="2081"/>
      <c r="AM5" s="2077"/>
      <c r="AN5" s="2076"/>
      <c r="AO5" s="2077"/>
      <c r="AP5" s="2064"/>
      <c r="AQ5" s="2065"/>
      <c r="AR5" s="2064"/>
      <c r="AS5" s="2065"/>
      <c r="AT5" s="2064"/>
      <c r="AU5" s="2065"/>
      <c r="AV5" s="2064"/>
      <c r="AW5" s="2065"/>
      <c r="AX5" s="2064"/>
      <c r="AY5" s="2069"/>
      <c r="AZ5" s="2076"/>
      <c r="BA5" s="2065"/>
      <c r="BB5" s="2064"/>
      <c r="BC5" s="2065"/>
      <c r="BD5" s="2064"/>
      <c r="BE5" s="2065"/>
      <c r="BF5" s="2064"/>
      <c r="BG5" s="2065"/>
      <c r="BH5" s="2064"/>
      <c r="BI5" s="2069"/>
    </row>
    <row r="6" spans="2:62" ht="19.5" customHeight="1">
      <c r="B6" s="2098"/>
      <c r="C6" s="2099"/>
      <c r="D6" s="2099"/>
      <c r="E6" s="2099"/>
      <c r="F6" s="2100"/>
      <c r="G6" s="2076"/>
      <c r="H6" s="2081"/>
      <c r="I6" s="2077"/>
      <c r="J6" s="2064"/>
      <c r="K6" s="2081"/>
      <c r="L6" s="2077"/>
      <c r="M6" s="2064"/>
      <c r="N6" s="2081"/>
      <c r="O6" s="2077"/>
      <c r="P6" s="2064"/>
      <c r="Q6" s="2081"/>
      <c r="R6" s="2081"/>
      <c r="S6" s="2077"/>
      <c r="T6" s="2064"/>
      <c r="U6" s="2081"/>
      <c r="V6" s="2077"/>
      <c r="W6" s="2064"/>
      <c r="X6" s="2081"/>
      <c r="Y6" s="2081"/>
      <c r="Z6" s="2077"/>
      <c r="AA6" s="2064"/>
      <c r="AB6" s="2081"/>
      <c r="AC6" s="2077"/>
      <c r="AD6" s="2064"/>
      <c r="AE6" s="2081"/>
      <c r="AF6" s="2081"/>
      <c r="AG6" s="2077"/>
      <c r="AH6" s="2064"/>
      <c r="AI6" s="2081"/>
      <c r="AJ6" s="2077"/>
      <c r="AK6" s="2064"/>
      <c r="AL6" s="2081"/>
      <c r="AM6" s="2077"/>
      <c r="AN6" s="2076"/>
      <c r="AO6" s="2077"/>
      <c r="AP6" s="2064"/>
      <c r="AQ6" s="2065"/>
      <c r="AR6" s="2064"/>
      <c r="AS6" s="2065"/>
      <c r="AT6" s="2064"/>
      <c r="AU6" s="2065"/>
      <c r="AV6" s="2064"/>
      <c r="AW6" s="2065"/>
      <c r="AX6" s="2064"/>
      <c r="AY6" s="2069"/>
      <c r="AZ6" s="2076"/>
      <c r="BA6" s="2065"/>
      <c r="BB6" s="2064"/>
      <c r="BC6" s="2065"/>
      <c r="BD6" s="2064"/>
      <c r="BE6" s="2065"/>
      <c r="BF6" s="2064"/>
      <c r="BG6" s="2065"/>
      <c r="BH6" s="2064"/>
      <c r="BI6" s="2069"/>
    </row>
    <row r="7" spans="2:62" ht="19.5" customHeight="1" thickBot="1">
      <c r="B7" s="2092"/>
      <c r="C7" s="2093"/>
      <c r="D7" s="2093"/>
      <c r="E7" s="2093"/>
      <c r="F7" s="2094"/>
      <c r="G7" s="2078"/>
      <c r="H7" s="2082"/>
      <c r="I7" s="2079"/>
      <c r="J7" s="2066"/>
      <c r="K7" s="2082"/>
      <c r="L7" s="2079"/>
      <c r="M7" s="2066"/>
      <c r="N7" s="2082"/>
      <c r="O7" s="2079"/>
      <c r="P7" s="2066"/>
      <c r="Q7" s="2082"/>
      <c r="R7" s="2082"/>
      <c r="S7" s="2079"/>
      <c r="T7" s="2066"/>
      <c r="U7" s="2082"/>
      <c r="V7" s="2079"/>
      <c r="W7" s="2066"/>
      <c r="X7" s="2082"/>
      <c r="Y7" s="2082"/>
      <c r="Z7" s="2079"/>
      <c r="AA7" s="2066"/>
      <c r="AB7" s="2082"/>
      <c r="AC7" s="2079"/>
      <c r="AD7" s="2066"/>
      <c r="AE7" s="2082"/>
      <c r="AF7" s="2082"/>
      <c r="AG7" s="2079"/>
      <c r="AH7" s="2066"/>
      <c r="AI7" s="2082"/>
      <c r="AJ7" s="2079"/>
      <c r="AK7" s="2066"/>
      <c r="AL7" s="2082"/>
      <c r="AM7" s="2079"/>
      <c r="AN7" s="2078"/>
      <c r="AO7" s="2079"/>
      <c r="AP7" s="2066"/>
      <c r="AQ7" s="2067"/>
      <c r="AR7" s="2066"/>
      <c r="AS7" s="2067"/>
      <c r="AT7" s="2066"/>
      <c r="AU7" s="2067"/>
      <c r="AV7" s="2066"/>
      <c r="AW7" s="2067"/>
      <c r="AX7" s="2066"/>
      <c r="AY7" s="2070"/>
      <c r="AZ7" s="2078"/>
      <c r="BA7" s="2067"/>
      <c r="BB7" s="2066"/>
      <c r="BC7" s="2067"/>
      <c r="BD7" s="2066"/>
      <c r="BE7" s="2067"/>
      <c r="BF7" s="2066"/>
      <c r="BG7" s="2067"/>
      <c r="BH7" s="2066"/>
      <c r="BI7" s="2070"/>
    </row>
    <row r="8" spans="2:62" ht="30" customHeight="1">
      <c r="B8" s="2101" t="s">
        <v>179</v>
      </c>
      <c r="C8" s="2102"/>
      <c r="D8" s="2102"/>
      <c r="E8" s="2102"/>
      <c r="F8" s="2103"/>
      <c r="G8" s="2052">
        <v>0</v>
      </c>
      <c r="H8" s="2054"/>
      <c r="I8" s="2053"/>
      <c r="J8" s="2055">
        <v>0</v>
      </c>
      <c r="K8" s="2054"/>
      <c r="L8" s="2053"/>
      <c r="M8" s="2055">
        <v>0</v>
      </c>
      <c r="N8" s="2054"/>
      <c r="O8" s="2053"/>
      <c r="P8" s="2055">
        <v>0</v>
      </c>
      <c r="Q8" s="2054"/>
      <c r="R8" s="2054"/>
      <c r="S8" s="2053"/>
      <c r="T8" s="2055">
        <v>0</v>
      </c>
      <c r="U8" s="2054"/>
      <c r="V8" s="2053"/>
      <c r="W8" s="2055">
        <v>0</v>
      </c>
      <c r="X8" s="2054"/>
      <c r="Y8" s="2054"/>
      <c r="Z8" s="2053"/>
      <c r="AA8" s="2055">
        <v>0</v>
      </c>
      <c r="AB8" s="2054"/>
      <c r="AC8" s="2053"/>
      <c r="AD8" s="2055">
        <v>0</v>
      </c>
      <c r="AE8" s="2054"/>
      <c r="AF8" s="2054"/>
      <c r="AG8" s="2053"/>
      <c r="AH8" s="2055">
        <v>0</v>
      </c>
      <c r="AI8" s="2054"/>
      <c r="AJ8" s="2053"/>
      <c r="AK8" s="2055">
        <v>0</v>
      </c>
      <c r="AL8" s="2054"/>
      <c r="AM8" s="2053"/>
      <c r="AN8" s="2052">
        <v>0</v>
      </c>
      <c r="AO8" s="2053"/>
      <c r="AP8" s="2055">
        <v>0</v>
      </c>
      <c r="AQ8" s="2053"/>
      <c r="AR8" s="2055">
        <v>0</v>
      </c>
      <c r="AS8" s="2053"/>
      <c r="AT8" s="2055">
        <v>0</v>
      </c>
      <c r="AU8" s="2053"/>
      <c r="AV8" s="2055">
        <v>0</v>
      </c>
      <c r="AW8" s="2053"/>
      <c r="AX8" s="2055">
        <v>0</v>
      </c>
      <c r="AY8" s="2056"/>
      <c r="AZ8" s="2052">
        <v>0</v>
      </c>
      <c r="BA8" s="2053"/>
      <c r="BB8" s="2054">
        <v>0</v>
      </c>
      <c r="BC8" s="2053"/>
      <c r="BD8" s="2055">
        <v>0</v>
      </c>
      <c r="BE8" s="2053"/>
      <c r="BF8" s="2055">
        <v>0</v>
      </c>
      <c r="BG8" s="2053"/>
      <c r="BH8" s="2055">
        <v>0</v>
      </c>
      <c r="BI8" s="2056"/>
    </row>
    <row r="9" spans="2:62" ht="30" customHeight="1">
      <c r="B9" s="2086" t="s">
        <v>72</v>
      </c>
      <c r="C9" s="2087"/>
      <c r="D9" s="2087"/>
      <c r="E9" s="2087"/>
      <c r="F9" s="2088"/>
      <c r="G9" s="2049">
        <v>0</v>
      </c>
      <c r="H9" s="2051"/>
      <c r="I9" s="2050"/>
      <c r="J9" s="2047">
        <v>0</v>
      </c>
      <c r="K9" s="2051"/>
      <c r="L9" s="2050"/>
      <c r="M9" s="2047">
        <v>0</v>
      </c>
      <c r="N9" s="2051"/>
      <c r="O9" s="2050"/>
      <c r="P9" s="2047">
        <v>0</v>
      </c>
      <c r="Q9" s="2051"/>
      <c r="R9" s="2051"/>
      <c r="S9" s="2050"/>
      <c r="T9" s="2047">
        <v>0</v>
      </c>
      <c r="U9" s="2051"/>
      <c r="V9" s="2050"/>
      <c r="W9" s="2047">
        <v>0</v>
      </c>
      <c r="X9" s="2051"/>
      <c r="Y9" s="2051"/>
      <c r="Z9" s="2050"/>
      <c r="AA9" s="2047">
        <v>0</v>
      </c>
      <c r="AB9" s="2051"/>
      <c r="AC9" s="2050"/>
      <c r="AD9" s="2047">
        <v>0</v>
      </c>
      <c r="AE9" s="2051"/>
      <c r="AF9" s="2051"/>
      <c r="AG9" s="2050"/>
      <c r="AH9" s="2047">
        <v>0</v>
      </c>
      <c r="AI9" s="2051"/>
      <c r="AJ9" s="2050"/>
      <c r="AK9" s="2047">
        <v>0</v>
      </c>
      <c r="AL9" s="2051"/>
      <c r="AM9" s="2050"/>
      <c r="AN9" s="2049">
        <v>0</v>
      </c>
      <c r="AO9" s="2050"/>
      <c r="AP9" s="2047">
        <v>0</v>
      </c>
      <c r="AQ9" s="2050"/>
      <c r="AR9" s="2047">
        <v>0</v>
      </c>
      <c r="AS9" s="2050"/>
      <c r="AT9" s="2047">
        <v>0</v>
      </c>
      <c r="AU9" s="2050"/>
      <c r="AV9" s="2047">
        <v>0</v>
      </c>
      <c r="AW9" s="2050"/>
      <c r="AX9" s="2047">
        <v>0</v>
      </c>
      <c r="AY9" s="2048"/>
      <c r="AZ9" s="2049">
        <v>0</v>
      </c>
      <c r="BA9" s="2050"/>
      <c r="BB9" s="2051">
        <v>0</v>
      </c>
      <c r="BC9" s="2050"/>
      <c r="BD9" s="2047">
        <v>0</v>
      </c>
      <c r="BE9" s="2050"/>
      <c r="BF9" s="2047">
        <v>0</v>
      </c>
      <c r="BG9" s="2050"/>
      <c r="BH9" s="2047">
        <v>0</v>
      </c>
      <c r="BI9" s="2048"/>
    </row>
    <row r="10" spans="2:62" ht="30" customHeight="1">
      <c r="B10" s="2086" t="s">
        <v>41</v>
      </c>
      <c r="C10" s="2087"/>
      <c r="D10" s="2087"/>
      <c r="E10" s="2087"/>
      <c r="F10" s="2088"/>
      <c r="G10" s="2049">
        <v>0</v>
      </c>
      <c r="H10" s="2051"/>
      <c r="I10" s="2050"/>
      <c r="J10" s="2047">
        <v>0</v>
      </c>
      <c r="K10" s="2051"/>
      <c r="L10" s="2050"/>
      <c r="M10" s="2047">
        <v>0</v>
      </c>
      <c r="N10" s="2051"/>
      <c r="O10" s="2050"/>
      <c r="P10" s="2047">
        <v>0</v>
      </c>
      <c r="Q10" s="2051"/>
      <c r="R10" s="2051"/>
      <c r="S10" s="2050"/>
      <c r="T10" s="2047">
        <v>0</v>
      </c>
      <c r="U10" s="2051"/>
      <c r="V10" s="2050"/>
      <c r="W10" s="2047">
        <v>0</v>
      </c>
      <c r="X10" s="2051"/>
      <c r="Y10" s="2051"/>
      <c r="Z10" s="2050"/>
      <c r="AA10" s="2047">
        <v>0</v>
      </c>
      <c r="AB10" s="2051"/>
      <c r="AC10" s="2050"/>
      <c r="AD10" s="2047">
        <v>0</v>
      </c>
      <c r="AE10" s="2051"/>
      <c r="AF10" s="2051"/>
      <c r="AG10" s="2050"/>
      <c r="AH10" s="2047">
        <v>0</v>
      </c>
      <c r="AI10" s="2051"/>
      <c r="AJ10" s="2050"/>
      <c r="AK10" s="2047">
        <v>0</v>
      </c>
      <c r="AL10" s="2051"/>
      <c r="AM10" s="2050"/>
      <c r="AN10" s="2049">
        <v>0</v>
      </c>
      <c r="AO10" s="2050"/>
      <c r="AP10" s="2047">
        <v>0</v>
      </c>
      <c r="AQ10" s="2050"/>
      <c r="AR10" s="2047">
        <v>0</v>
      </c>
      <c r="AS10" s="2050"/>
      <c r="AT10" s="2047">
        <v>0</v>
      </c>
      <c r="AU10" s="2050"/>
      <c r="AV10" s="2047">
        <v>0</v>
      </c>
      <c r="AW10" s="2050"/>
      <c r="AX10" s="2047">
        <v>0</v>
      </c>
      <c r="AY10" s="2048"/>
      <c r="AZ10" s="2049">
        <v>0</v>
      </c>
      <c r="BA10" s="2050"/>
      <c r="BB10" s="2051">
        <v>0</v>
      </c>
      <c r="BC10" s="2050"/>
      <c r="BD10" s="2047">
        <v>0</v>
      </c>
      <c r="BE10" s="2050"/>
      <c r="BF10" s="2047">
        <v>0</v>
      </c>
      <c r="BG10" s="2050"/>
      <c r="BH10" s="2047">
        <v>0</v>
      </c>
      <c r="BI10" s="2048"/>
    </row>
    <row r="11" spans="2:62" ht="30" customHeight="1" thickBot="1">
      <c r="B11" s="2104" t="s">
        <v>42</v>
      </c>
      <c r="C11" s="2105"/>
      <c r="D11" s="2105"/>
      <c r="E11" s="2105"/>
      <c r="F11" s="2106"/>
      <c r="G11" s="2057">
        <v>0</v>
      </c>
      <c r="H11" s="2061"/>
      <c r="I11" s="2058"/>
      <c r="J11" s="2059">
        <v>0</v>
      </c>
      <c r="K11" s="2061"/>
      <c r="L11" s="2058"/>
      <c r="M11" s="2059">
        <v>0</v>
      </c>
      <c r="N11" s="2061"/>
      <c r="O11" s="2058"/>
      <c r="P11" s="2059">
        <v>0</v>
      </c>
      <c r="Q11" s="2061"/>
      <c r="R11" s="2061"/>
      <c r="S11" s="2058"/>
      <c r="T11" s="2059">
        <v>0</v>
      </c>
      <c r="U11" s="2061"/>
      <c r="V11" s="2058"/>
      <c r="W11" s="2059">
        <v>0</v>
      </c>
      <c r="X11" s="2061"/>
      <c r="Y11" s="2061"/>
      <c r="Z11" s="2058"/>
      <c r="AA11" s="2059">
        <v>0</v>
      </c>
      <c r="AB11" s="2061"/>
      <c r="AC11" s="2058"/>
      <c r="AD11" s="2059">
        <v>0</v>
      </c>
      <c r="AE11" s="2061"/>
      <c r="AF11" s="2061"/>
      <c r="AG11" s="2058"/>
      <c r="AH11" s="2059">
        <v>0</v>
      </c>
      <c r="AI11" s="2061"/>
      <c r="AJ11" s="2058"/>
      <c r="AK11" s="2059">
        <v>0</v>
      </c>
      <c r="AL11" s="2061"/>
      <c r="AM11" s="2058"/>
      <c r="AN11" s="2057">
        <v>0</v>
      </c>
      <c r="AO11" s="2058"/>
      <c r="AP11" s="2059">
        <v>0</v>
      </c>
      <c r="AQ11" s="2058"/>
      <c r="AR11" s="2059">
        <v>0</v>
      </c>
      <c r="AS11" s="2058"/>
      <c r="AT11" s="2059">
        <v>0</v>
      </c>
      <c r="AU11" s="2058"/>
      <c r="AV11" s="2059">
        <v>0</v>
      </c>
      <c r="AW11" s="2058"/>
      <c r="AX11" s="2059">
        <v>0</v>
      </c>
      <c r="AY11" s="2060"/>
      <c r="AZ11" s="2057">
        <v>0</v>
      </c>
      <c r="BA11" s="2058"/>
      <c r="BB11" s="2061">
        <v>0</v>
      </c>
      <c r="BC11" s="2058"/>
      <c r="BD11" s="2059">
        <v>0</v>
      </c>
      <c r="BE11" s="2058"/>
      <c r="BF11" s="2059">
        <v>0</v>
      </c>
      <c r="BG11" s="2058"/>
      <c r="BH11" s="2059">
        <v>0</v>
      </c>
      <c r="BI11" s="2060"/>
    </row>
    <row r="12" spans="2:62" ht="30" customHeight="1">
      <c r="B12" s="2083" t="s">
        <v>43</v>
      </c>
      <c r="C12" s="2084"/>
      <c r="D12" s="2084"/>
      <c r="E12" s="2084"/>
      <c r="F12" s="2085"/>
      <c r="G12" s="2052">
        <v>0</v>
      </c>
      <c r="H12" s="2054"/>
      <c r="I12" s="2053"/>
      <c r="J12" s="2055">
        <v>0</v>
      </c>
      <c r="K12" s="2054"/>
      <c r="L12" s="2053"/>
      <c r="M12" s="2055">
        <v>0</v>
      </c>
      <c r="N12" s="2054"/>
      <c r="O12" s="2053"/>
      <c r="P12" s="2055">
        <v>0</v>
      </c>
      <c r="Q12" s="2054"/>
      <c r="R12" s="2054"/>
      <c r="S12" s="2053"/>
      <c r="T12" s="2055">
        <v>0</v>
      </c>
      <c r="U12" s="2054"/>
      <c r="V12" s="2053"/>
      <c r="W12" s="2055">
        <v>0</v>
      </c>
      <c r="X12" s="2054"/>
      <c r="Y12" s="2054"/>
      <c r="Z12" s="2053"/>
      <c r="AA12" s="2055">
        <v>0</v>
      </c>
      <c r="AB12" s="2054"/>
      <c r="AC12" s="2053"/>
      <c r="AD12" s="2055">
        <v>0</v>
      </c>
      <c r="AE12" s="2054"/>
      <c r="AF12" s="2054"/>
      <c r="AG12" s="2053"/>
      <c r="AH12" s="2055">
        <v>0</v>
      </c>
      <c r="AI12" s="2054"/>
      <c r="AJ12" s="2053"/>
      <c r="AK12" s="2055">
        <v>0</v>
      </c>
      <c r="AL12" s="2054"/>
      <c r="AM12" s="2053"/>
      <c r="AN12" s="2052">
        <v>0</v>
      </c>
      <c r="AO12" s="2053"/>
      <c r="AP12" s="2055">
        <v>0</v>
      </c>
      <c r="AQ12" s="2053"/>
      <c r="AR12" s="2055">
        <v>0</v>
      </c>
      <c r="AS12" s="2053"/>
      <c r="AT12" s="2055">
        <v>0</v>
      </c>
      <c r="AU12" s="2053"/>
      <c r="AV12" s="2055">
        <v>0</v>
      </c>
      <c r="AW12" s="2053"/>
      <c r="AX12" s="2055">
        <v>0</v>
      </c>
      <c r="AY12" s="2056"/>
      <c r="AZ12" s="2052">
        <v>0</v>
      </c>
      <c r="BA12" s="2053"/>
      <c r="BB12" s="2054">
        <v>0</v>
      </c>
      <c r="BC12" s="2053"/>
      <c r="BD12" s="2055">
        <v>0</v>
      </c>
      <c r="BE12" s="2053"/>
      <c r="BF12" s="2055">
        <v>0</v>
      </c>
      <c r="BG12" s="2053"/>
      <c r="BH12" s="2055">
        <v>0</v>
      </c>
      <c r="BI12" s="2056"/>
    </row>
    <row r="13" spans="2:62" ht="30" customHeight="1">
      <c r="B13" s="2086" t="s">
        <v>44</v>
      </c>
      <c r="C13" s="2087"/>
      <c r="D13" s="2087"/>
      <c r="E13" s="2087"/>
      <c r="F13" s="2088"/>
      <c r="G13" s="2049">
        <v>0</v>
      </c>
      <c r="H13" s="2051"/>
      <c r="I13" s="2050"/>
      <c r="J13" s="2047">
        <v>0</v>
      </c>
      <c r="K13" s="2051"/>
      <c r="L13" s="2050"/>
      <c r="M13" s="2047">
        <v>0</v>
      </c>
      <c r="N13" s="2051"/>
      <c r="O13" s="2050"/>
      <c r="P13" s="2047">
        <v>0</v>
      </c>
      <c r="Q13" s="2051"/>
      <c r="R13" s="2051"/>
      <c r="S13" s="2050"/>
      <c r="T13" s="2047">
        <v>0</v>
      </c>
      <c r="U13" s="2051"/>
      <c r="V13" s="2050"/>
      <c r="W13" s="2047">
        <v>0</v>
      </c>
      <c r="X13" s="2051"/>
      <c r="Y13" s="2051"/>
      <c r="Z13" s="2050"/>
      <c r="AA13" s="2047">
        <v>0</v>
      </c>
      <c r="AB13" s="2051"/>
      <c r="AC13" s="2050"/>
      <c r="AD13" s="2047">
        <v>0</v>
      </c>
      <c r="AE13" s="2051"/>
      <c r="AF13" s="2051"/>
      <c r="AG13" s="2050"/>
      <c r="AH13" s="2047">
        <v>0</v>
      </c>
      <c r="AI13" s="2051"/>
      <c r="AJ13" s="2050"/>
      <c r="AK13" s="2047">
        <v>0</v>
      </c>
      <c r="AL13" s="2051"/>
      <c r="AM13" s="2050"/>
      <c r="AN13" s="2049">
        <v>0</v>
      </c>
      <c r="AO13" s="2050"/>
      <c r="AP13" s="2047">
        <v>0</v>
      </c>
      <c r="AQ13" s="2050"/>
      <c r="AR13" s="2047">
        <v>0</v>
      </c>
      <c r="AS13" s="2050"/>
      <c r="AT13" s="2047">
        <v>0</v>
      </c>
      <c r="AU13" s="2050"/>
      <c r="AV13" s="2047">
        <v>0</v>
      </c>
      <c r="AW13" s="2050"/>
      <c r="AX13" s="2047">
        <v>0</v>
      </c>
      <c r="AY13" s="2048"/>
      <c r="AZ13" s="2049">
        <v>0</v>
      </c>
      <c r="BA13" s="2050"/>
      <c r="BB13" s="2051">
        <v>0</v>
      </c>
      <c r="BC13" s="2050"/>
      <c r="BD13" s="2047">
        <v>0</v>
      </c>
      <c r="BE13" s="2050"/>
      <c r="BF13" s="2047">
        <v>0</v>
      </c>
      <c r="BG13" s="2050"/>
      <c r="BH13" s="2047">
        <v>0</v>
      </c>
      <c r="BI13" s="2048"/>
    </row>
    <row r="14" spans="2:62" ht="30" customHeight="1" thickBot="1">
      <c r="B14" s="2089" t="s">
        <v>45</v>
      </c>
      <c r="C14" s="2090"/>
      <c r="D14" s="2090"/>
      <c r="E14" s="2090"/>
      <c r="F14" s="2091"/>
      <c r="G14" s="2042">
        <v>0</v>
      </c>
      <c r="H14" s="2044"/>
      <c r="I14" s="2043"/>
      <c r="J14" s="2045">
        <v>0</v>
      </c>
      <c r="K14" s="2044"/>
      <c r="L14" s="2043"/>
      <c r="M14" s="2045">
        <v>0</v>
      </c>
      <c r="N14" s="2044"/>
      <c r="O14" s="2043"/>
      <c r="P14" s="2045">
        <v>1</v>
      </c>
      <c r="Q14" s="2044"/>
      <c r="R14" s="2044"/>
      <c r="S14" s="2043"/>
      <c r="T14" s="2045">
        <v>0</v>
      </c>
      <c r="U14" s="2044"/>
      <c r="V14" s="2043"/>
      <c r="W14" s="2045">
        <v>0</v>
      </c>
      <c r="X14" s="2044"/>
      <c r="Y14" s="2044"/>
      <c r="Z14" s="2043"/>
      <c r="AA14" s="2045">
        <v>0</v>
      </c>
      <c r="AB14" s="2044"/>
      <c r="AC14" s="2043"/>
      <c r="AD14" s="2045">
        <v>0</v>
      </c>
      <c r="AE14" s="2044"/>
      <c r="AF14" s="2044"/>
      <c r="AG14" s="2043"/>
      <c r="AH14" s="2045">
        <v>0</v>
      </c>
      <c r="AI14" s="2044"/>
      <c r="AJ14" s="2043"/>
      <c r="AK14" s="2045">
        <v>3</v>
      </c>
      <c r="AL14" s="2044"/>
      <c r="AM14" s="2043"/>
      <c r="AN14" s="2042">
        <v>0</v>
      </c>
      <c r="AO14" s="2043"/>
      <c r="AP14" s="2045">
        <v>1</v>
      </c>
      <c r="AQ14" s="2043"/>
      <c r="AR14" s="2045">
        <v>0</v>
      </c>
      <c r="AS14" s="2043"/>
      <c r="AT14" s="2045">
        <v>0</v>
      </c>
      <c r="AU14" s="2043"/>
      <c r="AV14" s="2045">
        <v>0</v>
      </c>
      <c r="AW14" s="2043"/>
      <c r="AX14" s="2045">
        <v>3</v>
      </c>
      <c r="AY14" s="2046"/>
      <c r="AZ14" s="2042">
        <v>1</v>
      </c>
      <c r="BA14" s="2043"/>
      <c r="BB14" s="2044">
        <v>0</v>
      </c>
      <c r="BC14" s="2043"/>
      <c r="BD14" s="2045">
        <v>0</v>
      </c>
      <c r="BE14" s="2043"/>
      <c r="BF14" s="2045">
        <v>0</v>
      </c>
      <c r="BG14" s="2043"/>
      <c r="BH14" s="2045">
        <v>3</v>
      </c>
      <c r="BI14" s="2046"/>
    </row>
    <row r="15" spans="2:62" ht="30" customHeight="1" thickTop="1" thickBot="1">
      <c r="B15" s="2092" t="s">
        <v>29</v>
      </c>
      <c r="C15" s="2093"/>
      <c r="D15" s="2093"/>
      <c r="E15" s="2093"/>
      <c r="F15" s="2094"/>
      <c r="G15" s="2039">
        <f>SUM(G8:I14)</f>
        <v>0</v>
      </c>
      <c r="H15" s="2041"/>
      <c r="I15" s="2040"/>
      <c r="J15" s="2037">
        <f>SUM(J8:L14)</f>
        <v>0</v>
      </c>
      <c r="K15" s="2041"/>
      <c r="L15" s="2040"/>
      <c r="M15" s="2037">
        <f>SUM(M8:O14)</f>
        <v>0</v>
      </c>
      <c r="N15" s="2041"/>
      <c r="O15" s="2040"/>
      <c r="P15" s="2037">
        <f>SUM(P8:S14)</f>
        <v>1</v>
      </c>
      <c r="Q15" s="2041"/>
      <c r="R15" s="2041"/>
      <c r="S15" s="2040"/>
      <c r="T15" s="2037">
        <f>SUM(T8:V14)</f>
        <v>0</v>
      </c>
      <c r="U15" s="2041"/>
      <c r="V15" s="2040"/>
      <c r="W15" s="2037">
        <f>SUM(W8:Z14)</f>
        <v>0</v>
      </c>
      <c r="X15" s="2041"/>
      <c r="Y15" s="2041"/>
      <c r="Z15" s="2040"/>
      <c r="AA15" s="2037">
        <f>SUM(AA8:AC14)</f>
        <v>0</v>
      </c>
      <c r="AB15" s="2041"/>
      <c r="AC15" s="2040"/>
      <c r="AD15" s="2037">
        <f>SUM(AD8:AG14)</f>
        <v>0</v>
      </c>
      <c r="AE15" s="2041"/>
      <c r="AF15" s="2041"/>
      <c r="AG15" s="2040"/>
      <c r="AH15" s="2037">
        <f>SUM(AH8:AJ14)</f>
        <v>0</v>
      </c>
      <c r="AI15" s="2041"/>
      <c r="AJ15" s="2040"/>
      <c r="AK15" s="2037">
        <f>SUM(AK8:AM14)</f>
        <v>3</v>
      </c>
      <c r="AL15" s="2041"/>
      <c r="AM15" s="2040"/>
      <c r="AN15" s="2039">
        <f>SUM(AN8:AO14)</f>
        <v>0</v>
      </c>
      <c r="AO15" s="2040"/>
      <c r="AP15" s="2037">
        <f>SUM(AP8:AQ14)</f>
        <v>1</v>
      </c>
      <c r="AQ15" s="2040"/>
      <c r="AR15" s="2037">
        <f t="shared" ref="AR15" si="0">SUM(AR8:AS14)</f>
        <v>0</v>
      </c>
      <c r="AS15" s="2040"/>
      <c r="AT15" s="2037">
        <f t="shared" ref="AT15" si="1">SUM(AT8:AU14)</f>
        <v>0</v>
      </c>
      <c r="AU15" s="2040"/>
      <c r="AV15" s="2037">
        <f t="shared" ref="AV15" si="2">SUM(AV8:AW14)</f>
        <v>0</v>
      </c>
      <c r="AW15" s="2040"/>
      <c r="AX15" s="2037">
        <f>SUM(AX8:AY14)</f>
        <v>3</v>
      </c>
      <c r="AY15" s="2038"/>
      <c r="AZ15" s="2039">
        <f>SUM(AZ8:BA14)</f>
        <v>1</v>
      </c>
      <c r="BA15" s="2040"/>
      <c r="BB15" s="2041">
        <f>SUM(BB8:BC14)</f>
        <v>0</v>
      </c>
      <c r="BC15" s="2040"/>
      <c r="BD15" s="2041">
        <f t="shared" ref="BD15" si="3">SUM(BD8:BE14)</f>
        <v>0</v>
      </c>
      <c r="BE15" s="2040"/>
      <c r="BF15" s="2041">
        <f t="shared" ref="BF15" si="4">SUM(BF8:BG14)</f>
        <v>0</v>
      </c>
      <c r="BG15" s="2040"/>
      <c r="BH15" s="2037">
        <f>SUM(BH8:BI14)</f>
        <v>3</v>
      </c>
      <c r="BI15" s="2038"/>
    </row>
    <row r="16" spans="2:62" s="293" customFormat="1" ht="24.65" customHeight="1">
      <c r="B16" s="292" t="s">
        <v>1016</v>
      </c>
      <c r="C16" s="292"/>
      <c r="D16" s="292"/>
      <c r="E16" s="292"/>
      <c r="F16" s="292"/>
      <c r="G16" s="292"/>
      <c r="H16" s="292"/>
      <c r="I16" s="292"/>
      <c r="J16" s="292"/>
      <c r="K16" s="292"/>
      <c r="L16" s="292"/>
      <c r="M16" s="292"/>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R16" s="138"/>
      <c r="AS16" s="138"/>
      <c r="AT16" s="180"/>
      <c r="AU16" s="180"/>
      <c r="AV16" s="125"/>
      <c r="AW16" s="125"/>
      <c r="AX16" s="125"/>
      <c r="AY16" s="125"/>
      <c r="AZ16" s="181"/>
      <c r="BA16" s="181"/>
      <c r="BB16" s="181"/>
      <c r="BC16" s="181"/>
      <c r="BD16" s="181"/>
      <c r="BE16" s="181"/>
      <c r="BF16" s="181"/>
      <c r="BG16" s="181"/>
      <c r="BH16" s="181"/>
      <c r="BI16" s="181"/>
    </row>
    <row r="17" spans="2:61" s="294" customFormat="1" ht="19.5" customHeight="1">
      <c r="B17" s="295" t="s">
        <v>1017</v>
      </c>
      <c r="C17" s="295"/>
      <c r="D17" s="295"/>
      <c r="E17" s="295"/>
      <c r="F17" s="295"/>
      <c r="G17" s="296"/>
      <c r="H17" s="296"/>
      <c r="I17" s="296"/>
      <c r="J17" s="296"/>
      <c r="K17" s="29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135"/>
      <c r="AL17" s="296"/>
      <c r="AM17" s="296"/>
      <c r="AR17" s="135"/>
      <c r="AS17" s="135"/>
      <c r="AT17" s="191"/>
      <c r="AU17" s="191"/>
      <c r="AV17" s="133"/>
      <c r="AW17" s="133"/>
      <c r="AX17" s="133"/>
      <c r="AY17" s="133"/>
      <c r="AZ17" s="296"/>
      <c r="BA17" s="296"/>
      <c r="BB17" s="296"/>
      <c r="BC17" s="296"/>
      <c r="BD17" s="296"/>
      <c r="BE17" s="296"/>
      <c r="BF17" s="296"/>
      <c r="BG17" s="296"/>
      <c r="BH17" s="296"/>
      <c r="BI17" s="296"/>
    </row>
    <row r="18" spans="2:61" s="294" customFormat="1" ht="16.5" customHeight="1">
      <c r="B18" s="295" t="s">
        <v>1018</v>
      </c>
      <c r="C18" s="295"/>
      <c r="D18" s="295"/>
      <c r="E18" s="295"/>
      <c r="F18" s="295"/>
      <c r="G18" s="296"/>
      <c r="H18" s="296"/>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133"/>
      <c r="AL18" s="296"/>
      <c r="AM18" s="296"/>
      <c r="AR18" s="133"/>
      <c r="AS18" s="133"/>
      <c r="AT18" s="133"/>
      <c r="AU18" s="133"/>
      <c r="AV18" s="297"/>
      <c r="AW18" s="297"/>
      <c r="AX18" s="297"/>
      <c r="AY18" s="297"/>
      <c r="AZ18" s="296"/>
      <c r="BA18" s="296"/>
      <c r="BB18" s="296"/>
      <c r="BC18" s="296"/>
      <c r="BD18" s="296"/>
      <c r="BE18" s="296"/>
      <c r="BF18" s="296"/>
      <c r="BG18" s="296"/>
      <c r="BH18" s="296"/>
      <c r="BI18" s="296"/>
    </row>
    <row r="19" spans="2:61" s="294" customFormat="1" ht="15.5">
      <c r="B19" s="296" t="s">
        <v>1019</v>
      </c>
      <c r="C19" s="296"/>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8"/>
      <c r="AL19" s="296"/>
      <c r="AM19" s="296"/>
      <c r="AR19" s="163"/>
      <c r="AS19" s="163"/>
      <c r="AT19" s="163"/>
      <c r="AU19" s="163"/>
      <c r="AV19" s="163"/>
      <c r="AW19" s="163"/>
      <c r="AX19" s="163"/>
      <c r="AY19" s="163"/>
      <c r="AZ19" s="296"/>
      <c r="BA19" s="296"/>
      <c r="BB19" s="296"/>
      <c r="BC19" s="296"/>
      <c r="BD19" s="296"/>
      <c r="BE19" s="296"/>
      <c r="BF19" s="296"/>
      <c r="BG19" s="296"/>
      <c r="BH19" s="296"/>
      <c r="BI19" s="296"/>
    </row>
    <row r="20" spans="2:61" s="294" customFormat="1" ht="15.5">
      <c r="B20" s="296"/>
      <c r="C20" s="296"/>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8"/>
      <c r="AL20" s="296"/>
      <c r="AM20" s="296"/>
      <c r="AR20" s="163"/>
      <c r="AS20" s="163"/>
      <c r="AT20" s="163"/>
      <c r="AU20" s="163"/>
      <c r="AV20" s="163"/>
      <c r="AW20" s="163"/>
      <c r="AX20" s="163"/>
      <c r="AY20" s="163"/>
      <c r="AZ20" s="296"/>
      <c r="BA20" s="296"/>
      <c r="BB20" s="296"/>
      <c r="BC20" s="296"/>
      <c r="BD20" s="296"/>
      <c r="BE20" s="296"/>
      <c r="BF20" s="296"/>
      <c r="BG20" s="296"/>
      <c r="BH20" s="296"/>
      <c r="BI20" s="296"/>
    </row>
    <row r="21" spans="2:61" s="294" customFormat="1" ht="20.25" customHeight="1">
      <c r="B21" s="222" t="s">
        <v>1294</v>
      </c>
      <c r="C21" s="222"/>
      <c r="D21" s="222"/>
      <c r="E21" s="222"/>
      <c r="F21" s="222"/>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row>
    <row r="22" spans="2:61" ht="31.5" customHeight="1">
      <c r="B22" s="299"/>
      <c r="C22" s="299"/>
      <c r="D22" s="299"/>
      <c r="E22" s="299"/>
      <c r="F22" s="299"/>
      <c r="G22" s="300"/>
      <c r="H22" s="300"/>
      <c r="I22" s="300"/>
      <c r="J22" s="300"/>
      <c r="K22" s="300"/>
      <c r="L22" s="300"/>
      <c r="M22" s="300"/>
      <c r="N22" s="300"/>
      <c r="O22" s="300"/>
      <c r="P22" s="300"/>
      <c r="Q22" s="300"/>
      <c r="R22" s="300"/>
      <c r="S22" s="300"/>
      <c r="T22" s="300"/>
      <c r="U22" s="300"/>
      <c r="V22" s="300"/>
      <c r="W22" s="300"/>
      <c r="X22" s="300"/>
      <c r="Y22" s="300"/>
      <c r="Z22" s="300"/>
      <c r="AA22" s="300"/>
      <c r="AB22" s="300"/>
      <c r="AC22" s="300"/>
      <c r="AD22" s="300"/>
      <c r="AE22" s="300"/>
      <c r="AF22" s="300"/>
      <c r="AG22" s="300"/>
      <c r="AH22" s="300"/>
      <c r="AI22" s="300"/>
      <c r="AJ22" s="300"/>
      <c r="AK22" s="300"/>
      <c r="AL22" s="300"/>
      <c r="AM22" s="300"/>
      <c r="AN22" s="300"/>
      <c r="AO22" s="300"/>
      <c r="AP22" s="300"/>
      <c r="AQ22" s="300"/>
      <c r="AR22" s="300"/>
      <c r="AS22" s="300"/>
      <c r="AT22" s="300"/>
      <c r="AU22" s="300"/>
      <c r="AV22" s="300"/>
      <c r="AW22" s="300"/>
      <c r="AX22" s="300"/>
      <c r="AY22" s="300"/>
      <c r="AZ22" s="300"/>
      <c r="BA22" s="300"/>
      <c r="BB22" s="300"/>
      <c r="BC22" s="300"/>
      <c r="BD22" s="300"/>
      <c r="BE22" s="300"/>
      <c r="BF22" s="300"/>
      <c r="BG22" s="300"/>
      <c r="BH22" s="300"/>
      <c r="BI22" s="300"/>
    </row>
    <row r="23" spans="2:61" ht="31.5" customHeight="1">
      <c r="B23" s="299"/>
      <c r="C23" s="299"/>
      <c r="D23" s="299"/>
      <c r="E23" s="299"/>
      <c r="F23" s="299"/>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c r="AF23" s="300"/>
      <c r="AG23" s="300"/>
      <c r="AH23" s="300"/>
      <c r="AI23" s="300"/>
      <c r="AJ23" s="300"/>
      <c r="AK23" s="300"/>
      <c r="AL23" s="300"/>
      <c r="AM23" s="300"/>
      <c r="AN23" s="300"/>
      <c r="AO23" s="300"/>
      <c r="AP23" s="300"/>
      <c r="AQ23" s="300"/>
      <c r="AR23" s="300"/>
      <c r="AS23" s="300"/>
      <c r="AT23" s="300"/>
      <c r="AU23" s="300"/>
      <c r="AV23" s="300"/>
      <c r="AW23" s="300"/>
      <c r="AX23" s="300"/>
      <c r="AY23" s="300"/>
      <c r="AZ23" s="300"/>
      <c r="BA23" s="300"/>
      <c r="BB23" s="300"/>
      <c r="BC23" s="300"/>
      <c r="BD23" s="300"/>
      <c r="BE23" s="300"/>
      <c r="BF23" s="300"/>
      <c r="BG23" s="300"/>
      <c r="BH23" s="300"/>
      <c r="BI23" s="300"/>
    </row>
    <row r="24" spans="2:61" ht="31.5" customHeight="1">
      <c r="B24" s="299"/>
      <c r="C24" s="299"/>
      <c r="D24" s="299"/>
      <c r="E24" s="299"/>
      <c r="F24" s="299"/>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row>
    <row r="25" spans="2:61" s="238" customFormat="1" ht="31.5" customHeight="1">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W25" s="239"/>
      <c r="AX25" s="239"/>
      <c r="AY25" s="239"/>
      <c r="AZ25" s="239"/>
      <c r="BA25" s="239"/>
      <c r="BB25" s="239"/>
      <c r="BC25" s="239"/>
      <c r="BD25" s="239"/>
      <c r="BE25" s="239"/>
      <c r="BF25" s="239"/>
      <c r="BG25" s="239"/>
      <c r="BH25" s="239"/>
      <c r="BI25" s="239"/>
    </row>
    <row r="26" spans="2:61" s="242" customFormat="1" ht="14">
      <c r="B26" s="241" t="s">
        <v>847</v>
      </c>
      <c r="S26" s="241" t="s">
        <v>779</v>
      </c>
      <c r="T26" s="241"/>
      <c r="AH26" s="241" t="s">
        <v>760</v>
      </c>
      <c r="AI26" s="241"/>
      <c r="AW26" s="241" t="s">
        <v>783</v>
      </c>
    </row>
    <row r="27" spans="2:61" s="242" customFormat="1" ht="21.75" customHeight="1">
      <c r="B27" s="241" t="s">
        <v>756</v>
      </c>
      <c r="F27" s="1959" t="str">
        <f>activesheet!E29</f>
        <v>RICO S. MISPEROS</v>
      </c>
      <c r="G27" s="1959"/>
      <c r="H27" s="1959"/>
      <c r="I27" s="1959"/>
      <c r="J27" s="1959"/>
      <c r="K27" s="1959"/>
      <c r="L27" s="1959"/>
      <c r="M27" s="1959"/>
      <c r="N27" s="1959"/>
      <c r="O27" s="1959"/>
      <c r="P27" s="290"/>
      <c r="Q27" s="290"/>
      <c r="R27" s="290"/>
      <c r="S27" s="2036" t="s">
        <v>11877</v>
      </c>
      <c r="T27" s="2036"/>
      <c r="U27" s="2036"/>
      <c r="V27" s="2036"/>
      <c r="W27" s="2036"/>
      <c r="X27" s="2036"/>
      <c r="Y27" s="2036"/>
      <c r="Z27" s="2036"/>
      <c r="AA27" s="2036"/>
      <c r="AB27" s="2036"/>
      <c r="AC27" s="2036"/>
      <c r="AD27" s="2036"/>
      <c r="AE27" s="290"/>
      <c r="AF27" s="290"/>
      <c r="AH27" s="1959" t="str">
        <f>activesheet!E394</f>
        <v>RONE RAY M. PORTACION</v>
      </c>
      <c r="AI27" s="1959"/>
      <c r="AJ27" s="1959"/>
      <c r="AK27" s="1959"/>
      <c r="AL27" s="1959"/>
      <c r="AM27" s="1959"/>
      <c r="AN27" s="1959"/>
      <c r="AO27" s="1959"/>
      <c r="AP27" s="1959"/>
      <c r="AQ27" s="1959"/>
      <c r="AR27" s="1959"/>
      <c r="AS27" s="1959"/>
      <c r="AT27" s="290"/>
      <c r="AW27" s="1956" t="str">
        <f>activesheet!E31</f>
        <v>MICHAEL T. JAMIS</v>
      </c>
      <c r="AX27" s="1956"/>
      <c r="AY27" s="1956"/>
      <c r="AZ27" s="1956"/>
      <c r="BA27" s="1956"/>
      <c r="BB27" s="1956"/>
      <c r="BC27" s="1956"/>
      <c r="BD27" s="1956"/>
      <c r="BE27" s="1956"/>
      <c r="BF27" s="1956"/>
      <c r="BG27" s="1956"/>
      <c r="BH27" s="1956"/>
      <c r="BI27" s="1956"/>
    </row>
    <row r="28" spans="2:61" s="243" customFormat="1" ht="14">
      <c r="B28" s="241"/>
      <c r="F28" s="1958" t="s">
        <v>741</v>
      </c>
      <c r="G28" s="1958"/>
      <c r="H28" s="1958"/>
      <c r="I28" s="1958"/>
      <c r="J28" s="1958"/>
      <c r="K28" s="1958"/>
      <c r="L28" s="1958"/>
      <c r="M28" s="1958"/>
      <c r="N28" s="1958"/>
      <c r="O28" s="1958"/>
      <c r="P28" s="291"/>
      <c r="Q28" s="291"/>
      <c r="R28" s="291"/>
      <c r="S28" s="1958" t="s">
        <v>741</v>
      </c>
      <c r="T28" s="1958"/>
      <c r="U28" s="1958"/>
      <c r="V28" s="1958"/>
      <c r="W28" s="1958"/>
      <c r="X28" s="1958"/>
      <c r="Y28" s="1958"/>
      <c r="Z28" s="1958"/>
      <c r="AA28" s="1958"/>
      <c r="AB28" s="1958"/>
      <c r="AC28" s="1958"/>
      <c r="AD28" s="1958"/>
      <c r="AE28" s="291"/>
      <c r="AF28" s="291"/>
      <c r="AG28" s="245"/>
      <c r="AH28" s="1958" t="s">
        <v>741</v>
      </c>
      <c r="AI28" s="1958"/>
      <c r="AJ28" s="1958"/>
      <c r="AK28" s="1958"/>
      <c r="AL28" s="1958"/>
      <c r="AM28" s="1958"/>
      <c r="AN28" s="1958"/>
      <c r="AO28" s="1958"/>
      <c r="AP28" s="1958"/>
      <c r="AQ28" s="1958"/>
      <c r="AR28" s="1958"/>
      <c r="AS28" s="1958"/>
      <c r="AT28" s="291"/>
      <c r="AU28" s="245"/>
      <c r="AV28" s="245"/>
      <c r="AW28" s="1957"/>
      <c r="AX28" s="1957"/>
      <c r="AY28" s="1957"/>
      <c r="AZ28" s="1957"/>
      <c r="BA28" s="1957"/>
      <c r="BB28" s="1957"/>
      <c r="BC28" s="1957"/>
      <c r="BD28" s="1957"/>
      <c r="BE28" s="1957"/>
      <c r="BF28" s="1957"/>
      <c r="BG28" s="1957"/>
      <c r="BH28" s="1957"/>
      <c r="BI28" s="1957"/>
    </row>
    <row r="29" spans="2:61" s="242" customFormat="1" ht="21.75" customHeight="1">
      <c r="B29" s="241" t="s">
        <v>71</v>
      </c>
      <c r="F29" s="1959" t="str">
        <f>activesheet!E30</f>
        <v>SCHOOL PRINCIPAL II</v>
      </c>
      <c r="G29" s="1959"/>
      <c r="H29" s="1959"/>
      <c r="I29" s="1959"/>
      <c r="J29" s="1959"/>
      <c r="K29" s="1959"/>
      <c r="L29" s="1959"/>
      <c r="M29" s="1959"/>
      <c r="N29" s="1959"/>
      <c r="O29" s="1959"/>
      <c r="P29" s="290"/>
      <c r="Q29" s="290"/>
      <c r="R29" s="290"/>
      <c r="S29" s="241" t="s">
        <v>71</v>
      </c>
      <c r="T29" s="241"/>
      <c r="W29" s="2036" t="s">
        <v>11878</v>
      </c>
      <c r="X29" s="2036"/>
      <c r="Y29" s="2036"/>
      <c r="Z29" s="2036"/>
      <c r="AA29" s="2036"/>
      <c r="AB29" s="2036"/>
      <c r="AC29" s="2036"/>
      <c r="AD29" s="2036"/>
      <c r="AE29" s="290"/>
      <c r="AF29" s="290"/>
      <c r="AH29" s="241" t="s">
        <v>71</v>
      </c>
      <c r="AI29" s="241"/>
      <c r="AL29" s="1959" t="str">
        <f>activesheet!E395</f>
        <v>Education Program Supervisor</v>
      </c>
      <c r="AM29" s="1959"/>
      <c r="AN29" s="1959"/>
      <c r="AO29" s="1959"/>
      <c r="AP29" s="1959"/>
      <c r="AQ29" s="1959"/>
      <c r="AR29" s="1959"/>
      <c r="AS29" s="1959"/>
      <c r="AT29" s="290"/>
      <c r="AW29" s="1958" t="s">
        <v>741</v>
      </c>
      <c r="AX29" s="1958"/>
      <c r="AY29" s="1958"/>
      <c r="AZ29" s="1958"/>
      <c r="BA29" s="1958"/>
      <c r="BB29" s="1958"/>
      <c r="BC29" s="1958"/>
      <c r="BD29" s="1958"/>
      <c r="BE29" s="1958"/>
      <c r="BF29" s="1958"/>
      <c r="BG29" s="1958"/>
      <c r="BH29" s="1958"/>
      <c r="BI29" s="1958"/>
    </row>
    <row r="30" spans="2:61" ht="15.5">
      <c r="AS30" s="162"/>
      <c r="AT30" s="162"/>
      <c r="AU30" s="162"/>
      <c r="AV30" s="162"/>
      <c r="AW30" s="162"/>
      <c r="AX30" s="162"/>
      <c r="AY30" s="162"/>
      <c r="AZ30" s="162"/>
      <c r="BA30" s="162"/>
      <c r="BB30" s="162"/>
      <c r="BC30" s="162"/>
      <c r="BD30" s="162"/>
      <c r="BE30" s="162"/>
      <c r="BF30" s="162"/>
      <c r="BG30" s="162"/>
      <c r="BH30" s="162"/>
    </row>
    <row r="31" spans="2:61" ht="15.5">
      <c r="T31" s="289"/>
      <c r="AR31" s="191"/>
      <c r="AS31" s="191"/>
      <c r="AT31" s="191"/>
      <c r="AU31" s="191"/>
      <c r="AV31" s="191"/>
      <c r="AW31" s="191"/>
      <c r="AX31" s="191"/>
      <c r="AY31" s="191"/>
      <c r="AZ31" s="191"/>
      <c r="BA31" s="191"/>
      <c r="BB31" s="191"/>
      <c r="BC31" s="191"/>
      <c r="BD31" s="191"/>
      <c r="BE31" s="191"/>
      <c r="BF31" s="191"/>
      <c r="BG31" s="191"/>
      <c r="BH31" s="191"/>
      <c r="BI31" s="191"/>
    </row>
  </sheetData>
  <sheetProtection algorithmName="SHA-512" hashValue="0tG7IOAzcLev3ogyo150YfejeGnGUlsXoHmVCM58V8+eQXWHalDKuSyof+91WN3bT4pBrv10/b81KgG61qFhMQ==" saltValue="gyuSapJKRa+tvEVjVLIkVg==" spinCount="100000" sheet="1" objects="1" scenarios="1" selectLockedCells="1"/>
  <mergeCells count="212">
    <mergeCell ref="AK4:AM7"/>
    <mergeCell ref="B12:F12"/>
    <mergeCell ref="B13:F13"/>
    <mergeCell ref="B14:F14"/>
    <mergeCell ref="B15:F15"/>
    <mergeCell ref="G4:I7"/>
    <mergeCell ref="J4:L7"/>
    <mergeCell ref="G11:I11"/>
    <mergeCell ref="J11:L11"/>
    <mergeCell ref="G12:I12"/>
    <mergeCell ref="J12:L12"/>
    <mergeCell ref="B3:F7"/>
    <mergeCell ref="B8:F8"/>
    <mergeCell ref="B9:F9"/>
    <mergeCell ref="B10:F10"/>
    <mergeCell ref="B11:F11"/>
    <mergeCell ref="M13:O13"/>
    <mergeCell ref="M14:O14"/>
    <mergeCell ref="M15:O15"/>
    <mergeCell ref="G13:I13"/>
    <mergeCell ref="J13:L13"/>
    <mergeCell ref="G14:I14"/>
    <mergeCell ref="J14:L14"/>
    <mergeCell ref="G15:I15"/>
    <mergeCell ref="J15:L15"/>
    <mergeCell ref="P4:S7"/>
    <mergeCell ref="T4:V7"/>
    <mergeCell ref="P8:S8"/>
    <mergeCell ref="T8:V8"/>
    <mergeCell ref="P9:S9"/>
    <mergeCell ref="T9:V9"/>
    <mergeCell ref="M10:O10"/>
    <mergeCell ref="M11:O11"/>
    <mergeCell ref="M12:O12"/>
    <mergeCell ref="M4:O7"/>
    <mergeCell ref="M8:O8"/>
    <mergeCell ref="M9:O9"/>
    <mergeCell ref="P13:S13"/>
    <mergeCell ref="T13:V13"/>
    <mergeCell ref="P14:S14"/>
    <mergeCell ref="T14:V14"/>
    <mergeCell ref="P15:S15"/>
    <mergeCell ref="T15:V15"/>
    <mergeCell ref="P10:S10"/>
    <mergeCell ref="T10:V10"/>
    <mergeCell ref="P11:S11"/>
    <mergeCell ref="T11:V11"/>
    <mergeCell ref="P12:S12"/>
    <mergeCell ref="T12:V12"/>
    <mergeCell ref="W14:Z14"/>
    <mergeCell ref="AA14:AC14"/>
    <mergeCell ref="W15:Z15"/>
    <mergeCell ref="AA15:AC15"/>
    <mergeCell ref="AD4:AG7"/>
    <mergeCell ref="AH4:AJ7"/>
    <mergeCell ref="AD8:AG8"/>
    <mergeCell ref="AH8:AJ8"/>
    <mergeCell ref="AD9:AG9"/>
    <mergeCell ref="AH9:AJ9"/>
    <mergeCell ref="W11:Z11"/>
    <mergeCell ref="AA11:AC11"/>
    <mergeCell ref="W12:Z12"/>
    <mergeCell ref="AA12:AC12"/>
    <mergeCell ref="W13:Z13"/>
    <mergeCell ref="AA13:AC13"/>
    <mergeCell ref="W8:Z8"/>
    <mergeCell ref="AA8:AC8"/>
    <mergeCell ref="W9:Z9"/>
    <mergeCell ref="AA9:AC9"/>
    <mergeCell ref="W10:Z10"/>
    <mergeCell ref="AA10:AC10"/>
    <mergeCell ref="W4:Z7"/>
    <mergeCell ref="AA4:AC7"/>
    <mergeCell ref="AD13:AG13"/>
    <mergeCell ref="AH13:AJ13"/>
    <mergeCell ref="AD14:AG14"/>
    <mergeCell ref="AH14:AJ14"/>
    <mergeCell ref="AD15:AG15"/>
    <mergeCell ref="AH15:AJ15"/>
    <mergeCell ref="AD10:AG10"/>
    <mergeCell ref="AH10:AJ10"/>
    <mergeCell ref="AD11:AG11"/>
    <mergeCell ref="AH11:AJ11"/>
    <mergeCell ref="AD12:AG12"/>
    <mergeCell ref="AH12:AJ12"/>
    <mergeCell ref="AK14:AM14"/>
    <mergeCell ref="AK15:AM15"/>
    <mergeCell ref="AN3:AY3"/>
    <mergeCell ref="AZ3:BI3"/>
    <mergeCell ref="AN4:AO7"/>
    <mergeCell ref="AP4:AQ7"/>
    <mergeCell ref="AR4:AS7"/>
    <mergeCell ref="AT4:AU7"/>
    <mergeCell ref="AV4:AW7"/>
    <mergeCell ref="AK8:AM8"/>
    <mergeCell ref="AK9:AM9"/>
    <mergeCell ref="AK10:AM10"/>
    <mergeCell ref="AK11:AM11"/>
    <mergeCell ref="AK12:AM12"/>
    <mergeCell ref="AK13:AM13"/>
    <mergeCell ref="G3:AM3"/>
    <mergeCell ref="G8:I8"/>
    <mergeCell ref="J8:L8"/>
    <mergeCell ref="G9:I9"/>
    <mergeCell ref="J9:L9"/>
    <mergeCell ref="G10:I10"/>
    <mergeCell ref="J10:L10"/>
    <mergeCell ref="AX4:AY7"/>
    <mergeCell ref="AZ4:BA7"/>
    <mergeCell ref="AN9:AO9"/>
    <mergeCell ref="AP9:AQ9"/>
    <mergeCell ref="AR9:AS9"/>
    <mergeCell ref="AT9:AU9"/>
    <mergeCell ref="AV9:AW9"/>
    <mergeCell ref="BB4:BC7"/>
    <mergeCell ref="BD4:BE7"/>
    <mergeCell ref="BF4:BG7"/>
    <mergeCell ref="BH4:BI7"/>
    <mergeCell ref="AN8:AO8"/>
    <mergeCell ref="AP8:AQ8"/>
    <mergeCell ref="AR8:AS8"/>
    <mergeCell ref="AT8:AU8"/>
    <mergeCell ref="AV8:AW8"/>
    <mergeCell ref="AX8:AY8"/>
    <mergeCell ref="AX9:AY9"/>
    <mergeCell ref="AZ9:BA9"/>
    <mergeCell ref="BB9:BC9"/>
    <mergeCell ref="BD9:BE9"/>
    <mergeCell ref="BF9:BG9"/>
    <mergeCell ref="BH9:BI9"/>
    <mergeCell ref="AZ8:BA8"/>
    <mergeCell ref="BB8:BC8"/>
    <mergeCell ref="BD8:BE8"/>
    <mergeCell ref="BF8:BG8"/>
    <mergeCell ref="BH8:BI8"/>
    <mergeCell ref="AN11:AO11"/>
    <mergeCell ref="AP11:AQ11"/>
    <mergeCell ref="AR11:AS11"/>
    <mergeCell ref="AT11:AU11"/>
    <mergeCell ref="AV11:AW11"/>
    <mergeCell ref="AN10:AO10"/>
    <mergeCell ref="AP10:AQ10"/>
    <mergeCell ref="AR10:AS10"/>
    <mergeCell ref="AT10:AU10"/>
    <mergeCell ref="AV10:AW10"/>
    <mergeCell ref="AX11:AY11"/>
    <mergeCell ref="AZ11:BA11"/>
    <mergeCell ref="BB11:BC11"/>
    <mergeCell ref="BD11:BE11"/>
    <mergeCell ref="BF11:BG11"/>
    <mergeCell ref="BH11:BI11"/>
    <mergeCell ref="AZ10:BA10"/>
    <mergeCell ref="BB10:BC10"/>
    <mergeCell ref="BD10:BE10"/>
    <mergeCell ref="BF10:BG10"/>
    <mergeCell ref="BH10:BI10"/>
    <mergeCell ref="AX10:AY10"/>
    <mergeCell ref="AN13:AO13"/>
    <mergeCell ref="AP13:AQ13"/>
    <mergeCell ref="AR13:AS13"/>
    <mergeCell ref="AT13:AU13"/>
    <mergeCell ref="AV13:AW13"/>
    <mergeCell ref="AN12:AO12"/>
    <mergeCell ref="AP12:AQ12"/>
    <mergeCell ref="AR12:AS12"/>
    <mergeCell ref="AT12:AU12"/>
    <mergeCell ref="AV12:AW12"/>
    <mergeCell ref="AX13:AY13"/>
    <mergeCell ref="AZ13:BA13"/>
    <mergeCell ref="BB13:BC13"/>
    <mergeCell ref="BD13:BE13"/>
    <mergeCell ref="BF13:BG13"/>
    <mergeCell ref="BH13:BI13"/>
    <mergeCell ref="AZ12:BA12"/>
    <mergeCell ref="BB12:BC12"/>
    <mergeCell ref="BD12:BE12"/>
    <mergeCell ref="BF12:BG12"/>
    <mergeCell ref="BH12:BI12"/>
    <mergeCell ref="AX12:AY12"/>
    <mergeCell ref="AN15:AO15"/>
    <mergeCell ref="AP15:AQ15"/>
    <mergeCell ref="AR15:AS15"/>
    <mergeCell ref="AT15:AU15"/>
    <mergeCell ref="AV15:AW15"/>
    <mergeCell ref="AN14:AO14"/>
    <mergeCell ref="AP14:AQ14"/>
    <mergeCell ref="AR14:AS14"/>
    <mergeCell ref="AT14:AU14"/>
    <mergeCell ref="AV14:AW14"/>
    <mergeCell ref="AW27:BI28"/>
    <mergeCell ref="AW29:BI29"/>
    <mergeCell ref="AX15:AY15"/>
    <mergeCell ref="AZ15:BA15"/>
    <mergeCell ref="BB15:BC15"/>
    <mergeCell ref="BD15:BE15"/>
    <mergeCell ref="BF15:BG15"/>
    <mergeCell ref="BH15:BI15"/>
    <mergeCell ref="AZ14:BA14"/>
    <mergeCell ref="BB14:BC14"/>
    <mergeCell ref="BD14:BE14"/>
    <mergeCell ref="BF14:BG14"/>
    <mergeCell ref="BH14:BI14"/>
    <mergeCell ref="AX14:AY14"/>
    <mergeCell ref="AH28:AS28"/>
    <mergeCell ref="AH27:AS27"/>
    <mergeCell ref="AL29:AS29"/>
    <mergeCell ref="S27:AD27"/>
    <mergeCell ref="S28:AD28"/>
    <mergeCell ref="W29:AD29"/>
    <mergeCell ref="F27:O27"/>
    <mergeCell ref="F29:O29"/>
    <mergeCell ref="F28:O28"/>
  </mergeCells>
  <dataValidations count="1">
    <dataValidation type="whole" allowBlank="1" showInputMessage="1" showErrorMessage="1" errorTitle="GESP 2022-2023" error="Please enter valid number between 0-999." sqref="G8:BI14" xr:uid="{00000000-0002-0000-0A00-000000000000}">
      <formula1>0</formula1>
      <formula2>999</formula2>
    </dataValidation>
  </dataValidations>
  <printOptions horizontalCentered="1" verticalCentered="1"/>
  <pageMargins left="0.25" right="0.25" top="0.2" bottom="0.2" header="0" footer="0.1"/>
  <pageSetup paperSize="9" scale="61" orientation="landscape" r:id="rId1"/>
  <headerFooter alignWithMargins="0">
    <oddFooter>&amp;L&amp;10&amp;F &amp;A&amp;R&amp;11Page 7 of 60</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B1:CC41"/>
  <sheetViews>
    <sheetView showGridLines="0" topLeftCell="D1" zoomScaleNormal="100" zoomScaleSheetLayoutView="100" workbookViewId="0">
      <selection activeCell="AG20" sqref="AG20:AS20"/>
    </sheetView>
  </sheetViews>
  <sheetFormatPr defaultColWidth="9" defaultRowHeight="15.5"/>
  <cols>
    <col min="1" max="1" width="2.08203125" style="180" customWidth="1"/>
    <col min="2" max="45" width="3.58203125" style="180" customWidth="1"/>
    <col min="46" max="46" width="2.08203125" style="180" customWidth="1"/>
    <col min="47" max="73" width="3.08203125" style="180" customWidth="1"/>
    <col min="74" max="74" width="3.58203125" style="180" customWidth="1"/>
    <col min="75" max="76" width="3.08203125" style="180" customWidth="1"/>
    <col min="77" max="77" width="3.5" style="180" customWidth="1"/>
    <col min="78" max="79" width="3.08203125" style="180" customWidth="1"/>
    <col min="80" max="80" width="4" style="180" customWidth="1"/>
    <col min="81" max="107" width="3.08203125" style="180" customWidth="1"/>
    <col min="108" max="16384" width="9" style="180"/>
  </cols>
  <sheetData>
    <row r="1" spans="2:81" ht="12" customHeight="1"/>
    <row r="2" spans="2:81" ht="17" thickBot="1">
      <c r="B2" s="339" t="s">
        <v>11752</v>
      </c>
      <c r="AA2" s="221"/>
      <c r="AB2" s="221"/>
      <c r="AL2" s="312"/>
      <c r="AM2" s="312"/>
      <c r="AN2" s="312"/>
      <c r="AO2" s="312"/>
      <c r="AP2" s="312"/>
      <c r="AQ2" s="312"/>
      <c r="AS2" s="312"/>
      <c r="AT2" s="312"/>
      <c r="AU2" s="312"/>
      <c r="AV2" s="312"/>
      <c r="AW2" s="312"/>
      <c r="AX2" s="312"/>
      <c r="AY2" s="312"/>
      <c r="AZ2" s="312"/>
      <c r="BA2" s="312"/>
      <c r="BB2" s="312"/>
      <c r="BC2" s="312"/>
      <c r="BD2" s="312"/>
      <c r="BE2" s="312"/>
      <c r="BF2" s="312"/>
      <c r="BG2" s="312"/>
      <c r="BH2" s="312"/>
      <c r="BI2" s="312"/>
      <c r="BJ2" s="312"/>
      <c r="BK2" s="312"/>
      <c r="BL2" s="312"/>
      <c r="BM2" s="312"/>
      <c r="BN2" s="312"/>
      <c r="BO2" s="312"/>
      <c r="BP2" s="312"/>
      <c r="BQ2" s="312"/>
      <c r="BR2" s="312"/>
      <c r="BS2" s="312"/>
      <c r="BT2" s="312"/>
    </row>
    <row r="3" spans="2:81" ht="21" customHeight="1" thickBot="1">
      <c r="B3" s="2128" t="s">
        <v>73</v>
      </c>
      <c r="C3" s="1793"/>
      <c r="D3" s="1793"/>
      <c r="E3" s="1793"/>
      <c r="F3" s="1793"/>
      <c r="G3" s="1793"/>
      <c r="H3" s="1793"/>
      <c r="I3" s="1793"/>
      <c r="J3" s="1793"/>
      <c r="K3" s="1793"/>
      <c r="L3" s="1793"/>
      <c r="M3" s="1794"/>
      <c r="N3" s="2135" t="s">
        <v>94</v>
      </c>
      <c r="O3" s="2136"/>
      <c r="P3" s="2136"/>
      <c r="Q3" s="2136"/>
      <c r="R3" s="2136"/>
      <c r="S3" s="2136"/>
      <c r="T3" s="2136"/>
      <c r="U3" s="2136"/>
      <c r="V3" s="2136"/>
      <c r="W3" s="2136"/>
      <c r="X3" s="2136"/>
      <c r="Y3" s="2136"/>
      <c r="Z3" s="2136"/>
      <c r="AA3" s="2136"/>
      <c r="AB3" s="2136"/>
      <c r="AC3" s="2136"/>
      <c r="AD3" s="2136"/>
      <c r="AE3" s="2136"/>
      <c r="AF3" s="2136"/>
      <c r="AG3" s="2136"/>
      <c r="AH3" s="2136"/>
      <c r="AI3" s="2136"/>
      <c r="AJ3" s="2136"/>
      <c r="AK3" s="2136"/>
      <c r="AL3" s="2136"/>
      <c r="AM3" s="2136"/>
      <c r="AN3" s="2136"/>
      <c r="AO3" s="2136"/>
      <c r="AP3" s="2136"/>
      <c r="AQ3" s="2137"/>
      <c r="AR3" s="312"/>
      <c r="AS3" s="312"/>
      <c r="AT3" s="312"/>
      <c r="AU3" s="312"/>
      <c r="AV3" s="312"/>
      <c r="AW3" s="312"/>
      <c r="AX3" s="312"/>
      <c r="AY3" s="312"/>
      <c r="AZ3" s="312"/>
      <c r="BA3" s="312"/>
      <c r="BB3" s="312"/>
      <c r="BC3" s="312"/>
      <c r="BD3" s="312"/>
      <c r="BE3" s="312"/>
      <c r="BF3" s="312"/>
      <c r="BG3" s="312"/>
      <c r="BH3" s="312"/>
      <c r="BI3" s="312"/>
      <c r="BJ3" s="312"/>
      <c r="BK3" s="312"/>
      <c r="BL3" s="312"/>
      <c r="BM3" s="312"/>
      <c r="BN3" s="312"/>
      <c r="BO3" s="312"/>
      <c r="BP3" s="312"/>
      <c r="BQ3" s="312"/>
      <c r="BR3" s="312"/>
      <c r="BS3" s="312"/>
      <c r="BT3" s="312"/>
      <c r="BU3" s="312"/>
      <c r="BW3" s="312"/>
      <c r="BX3" s="312"/>
      <c r="BY3" s="312"/>
      <c r="BZ3" s="312"/>
      <c r="CA3" s="312"/>
      <c r="CB3" s="312"/>
      <c r="CC3" s="312"/>
    </row>
    <row r="4" spans="2:81" ht="22.5" customHeight="1">
      <c r="B4" s="2129"/>
      <c r="C4" s="2130"/>
      <c r="D4" s="2130"/>
      <c r="E4" s="2130"/>
      <c r="F4" s="2130"/>
      <c r="G4" s="2130"/>
      <c r="H4" s="2130"/>
      <c r="I4" s="2130"/>
      <c r="J4" s="2130"/>
      <c r="K4" s="2130"/>
      <c r="L4" s="2130"/>
      <c r="M4" s="2131"/>
      <c r="N4" s="2138" t="s">
        <v>380</v>
      </c>
      <c r="O4" s="2139"/>
      <c r="P4" s="2139"/>
      <c r="Q4" s="2139"/>
      <c r="R4" s="2139"/>
      <c r="S4" s="2139"/>
      <c r="T4" s="2139"/>
      <c r="U4" s="2139"/>
      <c r="V4" s="2139"/>
      <c r="W4" s="2139"/>
      <c r="X4" s="2139"/>
      <c r="Y4" s="2140"/>
      <c r="Z4" s="2141" t="s">
        <v>59</v>
      </c>
      <c r="AA4" s="1793"/>
      <c r="AB4" s="1793"/>
      <c r="AC4" s="1793"/>
      <c r="AD4" s="1793"/>
      <c r="AE4" s="2142"/>
      <c r="AF4" s="2141" t="s">
        <v>25</v>
      </c>
      <c r="AG4" s="1793"/>
      <c r="AH4" s="1793"/>
      <c r="AI4" s="1793"/>
      <c r="AJ4" s="1793"/>
      <c r="AK4" s="2145"/>
      <c r="AL4" s="1792" t="s">
        <v>780</v>
      </c>
      <c r="AM4" s="1793"/>
      <c r="AN4" s="1793"/>
      <c r="AO4" s="1793"/>
      <c r="AP4" s="1793"/>
      <c r="AQ4" s="1794"/>
      <c r="AR4" s="312"/>
      <c r="BT4" s="312"/>
      <c r="BU4" s="312"/>
      <c r="BV4" s="312"/>
      <c r="BW4" s="312"/>
    </row>
    <row r="5" spans="2:81" ht="22.5" customHeight="1" thickBot="1">
      <c r="B5" s="2132"/>
      <c r="C5" s="2133"/>
      <c r="D5" s="2133"/>
      <c r="E5" s="2133"/>
      <c r="F5" s="2133"/>
      <c r="G5" s="2133"/>
      <c r="H5" s="2133"/>
      <c r="I5" s="2133"/>
      <c r="J5" s="2133"/>
      <c r="K5" s="2133"/>
      <c r="L5" s="2133"/>
      <c r="M5" s="2134"/>
      <c r="N5" s="1827" t="s">
        <v>336</v>
      </c>
      <c r="O5" s="1799"/>
      <c r="P5" s="1799"/>
      <c r="Q5" s="1799"/>
      <c r="R5" s="1799"/>
      <c r="S5" s="2148"/>
      <c r="T5" s="2149" t="s">
        <v>381</v>
      </c>
      <c r="U5" s="1799"/>
      <c r="V5" s="1799"/>
      <c r="W5" s="1799"/>
      <c r="X5" s="1799"/>
      <c r="Y5" s="1800"/>
      <c r="Z5" s="2143"/>
      <c r="AA5" s="2133"/>
      <c r="AB5" s="2133"/>
      <c r="AC5" s="2133"/>
      <c r="AD5" s="2133"/>
      <c r="AE5" s="2144"/>
      <c r="AF5" s="2143"/>
      <c r="AG5" s="2133"/>
      <c r="AH5" s="2133"/>
      <c r="AI5" s="2133"/>
      <c r="AJ5" s="2133"/>
      <c r="AK5" s="2146"/>
      <c r="AL5" s="2147"/>
      <c r="AM5" s="2133"/>
      <c r="AN5" s="2133"/>
      <c r="AO5" s="2133"/>
      <c r="AP5" s="2133"/>
      <c r="AQ5" s="2134"/>
      <c r="AR5" s="312"/>
      <c r="BT5" s="312"/>
      <c r="BU5" s="312"/>
      <c r="BV5" s="312"/>
      <c r="BW5" s="312"/>
    </row>
    <row r="6" spans="2:81" s="191" customFormat="1" ht="23.15" customHeight="1">
      <c r="B6" s="325"/>
      <c r="C6" s="2108" t="s">
        <v>792</v>
      </c>
      <c r="D6" s="2108"/>
      <c r="E6" s="2108"/>
      <c r="F6" s="2108"/>
      <c r="G6" s="2108"/>
      <c r="H6" s="2108"/>
      <c r="I6" s="2108"/>
      <c r="J6" s="2108"/>
      <c r="K6" s="2108"/>
      <c r="L6" s="2108"/>
      <c r="M6" s="2109"/>
      <c r="N6" s="2118">
        <v>0</v>
      </c>
      <c r="O6" s="2113"/>
      <c r="P6" s="2113"/>
      <c r="Q6" s="2113"/>
      <c r="R6" s="2113"/>
      <c r="S6" s="2164"/>
      <c r="T6" s="2150">
        <v>0</v>
      </c>
      <c r="U6" s="2113"/>
      <c r="V6" s="2113"/>
      <c r="W6" s="2113"/>
      <c r="X6" s="2113"/>
      <c r="Y6" s="2119"/>
      <c r="Z6" s="2112">
        <v>0</v>
      </c>
      <c r="AA6" s="2113"/>
      <c r="AB6" s="2113"/>
      <c r="AC6" s="2113"/>
      <c r="AD6" s="2113"/>
      <c r="AE6" s="2119"/>
      <c r="AF6" s="2112">
        <v>0</v>
      </c>
      <c r="AG6" s="2113"/>
      <c r="AH6" s="2113"/>
      <c r="AI6" s="2113"/>
      <c r="AJ6" s="2113"/>
      <c r="AK6" s="2114"/>
      <c r="AL6" s="2115">
        <f>SUM(N6:AK6)</f>
        <v>0</v>
      </c>
      <c r="AM6" s="2116"/>
      <c r="AN6" s="2116"/>
      <c r="AO6" s="2116"/>
      <c r="AP6" s="2116"/>
      <c r="AQ6" s="2117"/>
      <c r="AR6" s="337" t="str">
        <f>IF(OR(AL6&lt;T20,AL6&lt;AC20),"Total of Locally-funded Teachers can be greater than or equal to the Total of Qualified / Trained Teachers in Table 8.","")</f>
        <v/>
      </c>
    </row>
    <row r="7" spans="2:81" s="191" customFormat="1" ht="23.15" customHeight="1" thickBot="1">
      <c r="B7" s="338"/>
      <c r="C7" s="2110" t="s">
        <v>793</v>
      </c>
      <c r="D7" s="2110"/>
      <c r="E7" s="2110"/>
      <c r="F7" s="2110"/>
      <c r="G7" s="2110"/>
      <c r="H7" s="2110"/>
      <c r="I7" s="2110"/>
      <c r="J7" s="2110"/>
      <c r="K7" s="2110"/>
      <c r="L7" s="2110"/>
      <c r="M7" s="2111"/>
      <c r="N7" s="2120">
        <v>0</v>
      </c>
      <c r="O7" s="2121"/>
      <c r="P7" s="2121"/>
      <c r="Q7" s="2121"/>
      <c r="R7" s="2121"/>
      <c r="S7" s="2165"/>
      <c r="T7" s="2151">
        <v>0</v>
      </c>
      <c r="U7" s="2121"/>
      <c r="V7" s="2121"/>
      <c r="W7" s="2121"/>
      <c r="X7" s="2121"/>
      <c r="Y7" s="2122"/>
      <c r="Z7" s="2123">
        <v>0</v>
      </c>
      <c r="AA7" s="2121"/>
      <c r="AB7" s="2121"/>
      <c r="AC7" s="2121"/>
      <c r="AD7" s="2121"/>
      <c r="AE7" s="2122"/>
      <c r="AF7" s="2123">
        <v>0</v>
      </c>
      <c r="AG7" s="2121"/>
      <c r="AH7" s="2121"/>
      <c r="AI7" s="2121"/>
      <c r="AJ7" s="2121"/>
      <c r="AK7" s="2124"/>
      <c r="AL7" s="1798">
        <f>SUM(N7:AK7)</f>
        <v>0</v>
      </c>
      <c r="AM7" s="1799"/>
      <c r="AN7" s="1799"/>
      <c r="AO7" s="1799"/>
      <c r="AP7" s="1799"/>
      <c r="AQ7" s="1802"/>
      <c r="AR7" s="337" t="str">
        <f>IF(OR(AL7&lt;T21,AL7&lt;AC21),"Total of Locally-funded Teachers can be greater than or equal to the Total of Qualified / Trained Teachers in Table 8.","")</f>
        <v/>
      </c>
    </row>
    <row r="8" spans="2:81" s="191" customFormat="1" ht="10.5" customHeight="1">
      <c r="B8" s="189"/>
      <c r="D8" s="188"/>
      <c r="E8" s="188"/>
      <c r="F8" s="188"/>
      <c r="G8" s="188"/>
      <c r="H8" s="188"/>
      <c r="I8" s="188"/>
      <c r="J8" s="188"/>
      <c r="K8" s="188"/>
      <c r="L8" s="188"/>
      <c r="M8" s="188"/>
      <c r="N8" s="188"/>
      <c r="O8" s="188"/>
      <c r="P8" s="188"/>
      <c r="Q8" s="188"/>
      <c r="R8" s="188"/>
      <c r="S8" s="188"/>
      <c r="T8" s="188"/>
      <c r="U8" s="188"/>
      <c r="V8" s="188"/>
      <c r="W8" s="188"/>
    </row>
    <row r="9" spans="2:81" s="211" customFormat="1" ht="14">
      <c r="B9" s="327" t="s">
        <v>1500</v>
      </c>
      <c r="C9" s="210"/>
      <c r="D9" s="210"/>
      <c r="E9" s="210"/>
      <c r="F9" s="210"/>
      <c r="G9" s="210"/>
      <c r="H9" s="210"/>
      <c r="I9" s="210"/>
      <c r="J9" s="210"/>
      <c r="K9" s="210"/>
      <c r="L9" s="210"/>
    </row>
    <row r="10" spans="2:81" s="211" customFormat="1" ht="14">
      <c r="B10" s="328" t="s">
        <v>1498</v>
      </c>
      <c r="C10" s="328"/>
      <c r="D10" s="210"/>
      <c r="E10" s="210"/>
      <c r="F10" s="210"/>
      <c r="G10" s="210"/>
      <c r="H10" s="210"/>
      <c r="I10" s="210"/>
      <c r="J10" s="210"/>
      <c r="K10" s="210"/>
      <c r="L10" s="210"/>
    </row>
    <row r="11" spans="2:81" s="211" customFormat="1" ht="14">
      <c r="B11" s="329"/>
      <c r="C11" s="330" t="s">
        <v>114</v>
      </c>
      <c r="D11" s="210" t="s">
        <v>1296</v>
      </c>
      <c r="E11" s="210"/>
      <c r="F11" s="210"/>
      <c r="G11" s="210"/>
      <c r="H11" s="210"/>
      <c r="I11" s="210"/>
      <c r="J11" s="210"/>
      <c r="K11" s="210"/>
      <c r="L11" s="210"/>
    </row>
    <row r="12" spans="2:81" s="211" customFormat="1" ht="14">
      <c r="B12" s="329"/>
      <c r="C12" s="330" t="s">
        <v>115</v>
      </c>
      <c r="D12" s="210" t="s">
        <v>1297</v>
      </c>
      <c r="E12" s="210"/>
      <c r="F12" s="210"/>
      <c r="G12" s="210"/>
      <c r="H12" s="210"/>
      <c r="I12" s="210"/>
      <c r="J12" s="210"/>
      <c r="K12" s="210"/>
      <c r="L12" s="210"/>
      <c r="N12" s="320"/>
    </row>
    <row r="13" spans="2:81" s="211" customFormat="1" ht="14">
      <c r="B13" s="329"/>
      <c r="C13" s="330" t="s">
        <v>149</v>
      </c>
      <c r="D13" s="210" t="s">
        <v>1298</v>
      </c>
      <c r="E13" s="210"/>
      <c r="F13" s="210"/>
      <c r="G13" s="210"/>
      <c r="H13" s="210"/>
      <c r="I13" s="210"/>
      <c r="J13" s="210"/>
      <c r="K13" s="210"/>
      <c r="L13" s="210"/>
    </row>
    <row r="14" spans="2:81" s="211" customFormat="1" ht="26.25" customHeight="1">
      <c r="B14" s="204" t="s">
        <v>183</v>
      </c>
      <c r="C14" s="210"/>
      <c r="D14" s="210"/>
      <c r="E14" s="204" t="s">
        <v>867</v>
      </c>
      <c r="F14" s="210"/>
      <c r="G14" s="210"/>
      <c r="H14" s="210"/>
      <c r="I14" s="210"/>
      <c r="J14" s="210"/>
      <c r="K14" s="210"/>
      <c r="L14" s="210"/>
    </row>
    <row r="15" spans="2:81" s="211" customFormat="1" ht="16.5">
      <c r="B15" s="204"/>
      <c r="C15" s="319"/>
      <c r="D15" s="210"/>
      <c r="E15" s="204" t="s">
        <v>1020</v>
      </c>
      <c r="G15" s="210"/>
      <c r="H15" s="210"/>
      <c r="I15" s="210"/>
      <c r="J15" s="210"/>
      <c r="K15" s="210"/>
      <c r="L15" s="210"/>
    </row>
    <row r="16" spans="2:81" s="225" customFormat="1" ht="31" customHeight="1">
      <c r="B16" s="331"/>
      <c r="C16" s="210"/>
      <c r="D16" s="332"/>
      <c r="E16" s="332"/>
      <c r="F16" s="332"/>
      <c r="G16" s="332"/>
      <c r="H16" s="332"/>
      <c r="I16" s="332"/>
      <c r="J16" s="332"/>
      <c r="K16" s="332"/>
      <c r="L16" s="332"/>
      <c r="M16" s="332"/>
      <c r="N16" s="332"/>
      <c r="O16" s="332"/>
      <c r="P16" s="332"/>
      <c r="Q16" s="332"/>
      <c r="R16" s="332"/>
      <c r="S16" s="332"/>
      <c r="T16" s="332"/>
      <c r="U16" s="332"/>
      <c r="V16" s="332"/>
      <c r="W16" s="332"/>
      <c r="X16" s="332"/>
      <c r="Y16" s="332"/>
      <c r="Z16" s="332"/>
      <c r="BZ16" s="333"/>
      <c r="CA16" s="334"/>
    </row>
    <row r="17" spans="2:81" ht="33.65" customHeight="1" thickBot="1">
      <c r="B17" s="2163" t="s">
        <v>11753</v>
      </c>
      <c r="C17" s="2163"/>
      <c r="D17" s="2163"/>
      <c r="E17" s="2163"/>
      <c r="F17" s="2163"/>
      <c r="G17" s="2163"/>
      <c r="H17" s="2163"/>
      <c r="I17" s="2163"/>
      <c r="J17" s="2163"/>
      <c r="K17" s="2163"/>
      <c r="L17" s="2163"/>
      <c r="M17" s="2163"/>
      <c r="N17" s="2163"/>
      <c r="O17" s="2163"/>
      <c r="P17" s="2163"/>
      <c r="Q17" s="2163"/>
      <c r="R17" s="2163"/>
      <c r="S17" s="2163"/>
      <c r="T17" s="2163"/>
      <c r="U17" s="2163"/>
      <c r="V17" s="2163"/>
      <c r="W17" s="2163"/>
      <c r="X17" s="2163"/>
      <c r="Y17" s="2163"/>
      <c r="Z17" s="2163"/>
      <c r="AA17" s="2163"/>
      <c r="AB17" s="2163"/>
      <c r="AC17" s="2163"/>
      <c r="AD17" s="2163"/>
      <c r="AE17" s="2163"/>
      <c r="AF17" s="2163"/>
      <c r="AG17" s="2163"/>
      <c r="AH17" s="2163"/>
      <c r="AL17" s="312"/>
      <c r="AM17" s="312"/>
      <c r="AN17" s="312"/>
      <c r="AO17" s="312"/>
      <c r="AP17" s="312"/>
      <c r="AS17" s="312"/>
      <c r="AT17" s="312"/>
      <c r="AU17" s="312"/>
      <c r="AV17" s="312"/>
      <c r="AW17" s="312"/>
      <c r="AX17" s="312"/>
      <c r="AY17" s="312"/>
      <c r="AZ17" s="312"/>
      <c r="BA17" s="312"/>
      <c r="BB17" s="312"/>
      <c r="BC17" s="312"/>
      <c r="BD17" s="312"/>
      <c r="BE17" s="312"/>
      <c r="BF17" s="312"/>
      <c r="BG17" s="312"/>
      <c r="BH17" s="312"/>
      <c r="BI17" s="312"/>
      <c r="BJ17" s="312"/>
      <c r="BK17" s="312"/>
      <c r="BL17" s="312"/>
      <c r="BM17" s="312"/>
      <c r="BN17" s="312"/>
      <c r="BO17" s="312"/>
      <c r="BP17" s="312"/>
      <c r="BQ17" s="312"/>
      <c r="BT17" s="312"/>
      <c r="BU17" s="312"/>
    </row>
    <row r="18" spans="2:81" ht="21" customHeight="1">
      <c r="B18" s="2128" t="s">
        <v>73</v>
      </c>
      <c r="C18" s="1793"/>
      <c r="D18" s="1793"/>
      <c r="E18" s="1793"/>
      <c r="F18" s="1793"/>
      <c r="G18" s="1793"/>
      <c r="H18" s="1793"/>
      <c r="I18" s="1793"/>
      <c r="J18" s="1793"/>
      <c r="K18" s="1793"/>
      <c r="L18" s="1793"/>
      <c r="M18" s="1794"/>
      <c r="N18" s="2157" t="s">
        <v>601</v>
      </c>
      <c r="O18" s="2116"/>
      <c r="P18" s="2116"/>
      <c r="Q18" s="2116"/>
      <c r="R18" s="2116"/>
      <c r="S18" s="2116"/>
      <c r="T18" s="2116"/>
      <c r="U18" s="2116"/>
      <c r="V18" s="2117"/>
      <c r="W18" s="2157" t="s">
        <v>602</v>
      </c>
      <c r="X18" s="2116"/>
      <c r="Y18" s="2116"/>
      <c r="Z18" s="2116"/>
      <c r="AA18" s="2116"/>
      <c r="AB18" s="2116"/>
      <c r="AC18" s="2116"/>
      <c r="AD18" s="2116"/>
      <c r="AE18" s="2117"/>
      <c r="AF18" s="188"/>
      <c r="AG18" s="188"/>
      <c r="AH18" s="188"/>
      <c r="AI18" s="188"/>
      <c r="AJ18" s="188"/>
      <c r="AK18" s="188"/>
      <c r="AL18" s="188"/>
      <c r="AM18" s="188"/>
      <c r="AN18" s="188"/>
      <c r="AO18" s="188"/>
      <c r="AP18" s="188"/>
      <c r="AQ18" s="188"/>
      <c r="AR18" s="188"/>
      <c r="AS18" s="188"/>
      <c r="AT18" s="312"/>
      <c r="AU18" s="312"/>
      <c r="AV18" s="312"/>
      <c r="AW18" s="191"/>
      <c r="AX18" s="191"/>
      <c r="AY18" s="191"/>
      <c r="AZ18" s="191"/>
      <c r="BA18" s="191"/>
      <c r="BB18" s="312"/>
      <c r="BC18" s="312"/>
      <c r="BD18" s="312"/>
      <c r="BE18" s="312"/>
      <c r="BF18" s="312"/>
      <c r="BG18" s="312"/>
      <c r="BH18" s="312"/>
      <c r="BI18" s="312"/>
      <c r="BJ18" s="312"/>
      <c r="BK18" s="312"/>
      <c r="BL18" s="312"/>
      <c r="BM18" s="312"/>
      <c r="BN18" s="312"/>
      <c r="BO18" s="312"/>
      <c r="BP18" s="312"/>
      <c r="BQ18" s="312"/>
      <c r="BR18" s="312"/>
      <c r="BS18" s="312"/>
      <c r="BT18" s="312"/>
      <c r="BU18" s="312"/>
      <c r="BW18" s="312"/>
      <c r="BX18" s="312"/>
      <c r="BY18" s="312"/>
      <c r="BZ18" s="312"/>
      <c r="CA18" s="312"/>
      <c r="CB18" s="312"/>
      <c r="CC18" s="312"/>
    </row>
    <row r="19" spans="2:81" ht="16" thickBot="1">
      <c r="B19" s="2132"/>
      <c r="C19" s="2133"/>
      <c r="D19" s="2133"/>
      <c r="E19" s="2133"/>
      <c r="F19" s="2133"/>
      <c r="G19" s="2133"/>
      <c r="H19" s="2133"/>
      <c r="I19" s="2133"/>
      <c r="J19" s="2133"/>
      <c r="K19" s="2133"/>
      <c r="L19" s="2133"/>
      <c r="M19" s="2134"/>
      <c r="N19" s="1827" t="s">
        <v>15</v>
      </c>
      <c r="O19" s="1799"/>
      <c r="P19" s="1800"/>
      <c r="Q19" s="1801" t="s">
        <v>16</v>
      </c>
      <c r="R19" s="1799"/>
      <c r="S19" s="2152"/>
      <c r="T19" s="1798" t="s">
        <v>29</v>
      </c>
      <c r="U19" s="1799"/>
      <c r="V19" s="1802"/>
      <c r="W19" s="1827" t="s">
        <v>15</v>
      </c>
      <c r="X19" s="1799"/>
      <c r="Y19" s="1800"/>
      <c r="Z19" s="1801" t="s">
        <v>16</v>
      </c>
      <c r="AA19" s="1799"/>
      <c r="AB19" s="2152"/>
      <c r="AC19" s="1798" t="s">
        <v>29</v>
      </c>
      <c r="AD19" s="1799"/>
      <c r="AE19" s="1802"/>
      <c r="AF19" s="188"/>
      <c r="AG19" s="335" t="s">
        <v>762</v>
      </c>
      <c r="AH19" s="225"/>
      <c r="AI19" s="336"/>
      <c r="AJ19" s="336"/>
      <c r="AK19" s="225"/>
      <c r="AL19" s="225"/>
      <c r="AM19" s="225"/>
      <c r="AN19" s="313"/>
      <c r="AO19" s="225"/>
      <c r="AP19" s="225"/>
      <c r="AQ19" s="225"/>
      <c r="AR19" s="225"/>
      <c r="AS19" s="225"/>
      <c r="AU19" s="312"/>
      <c r="AV19" s="312"/>
      <c r="AW19" s="312"/>
      <c r="AX19" s="312"/>
      <c r="AY19" s="312"/>
      <c r="AZ19" s="312"/>
      <c r="BA19" s="312"/>
      <c r="BB19" s="312"/>
      <c r="BC19" s="312"/>
      <c r="BD19" s="312"/>
      <c r="BE19" s="312"/>
      <c r="BF19" s="312"/>
      <c r="BG19" s="312"/>
      <c r="BH19" s="312"/>
      <c r="BI19" s="312"/>
      <c r="BJ19" s="312"/>
      <c r="BK19" s="312"/>
      <c r="BL19" s="312"/>
      <c r="BM19" s="312"/>
      <c r="BN19" s="312"/>
      <c r="BO19" s="312"/>
      <c r="BP19" s="312"/>
      <c r="BQ19" s="312"/>
      <c r="BR19" s="312"/>
      <c r="BS19" s="312"/>
      <c r="BV19" s="312"/>
      <c r="BW19" s="312"/>
    </row>
    <row r="20" spans="2:81" s="191" customFormat="1" ht="23.15" customHeight="1">
      <c r="B20" s="325"/>
      <c r="C20" s="2108" t="s">
        <v>794</v>
      </c>
      <c r="D20" s="2108"/>
      <c r="E20" s="2108"/>
      <c r="F20" s="2108"/>
      <c r="G20" s="2108"/>
      <c r="H20" s="2108"/>
      <c r="I20" s="2108"/>
      <c r="J20" s="2108"/>
      <c r="K20" s="2108"/>
      <c r="L20" s="2108"/>
      <c r="M20" s="2109"/>
      <c r="N20" s="2118">
        <v>0</v>
      </c>
      <c r="O20" s="2113"/>
      <c r="P20" s="2119"/>
      <c r="Q20" s="2112">
        <v>0</v>
      </c>
      <c r="R20" s="2113"/>
      <c r="S20" s="2114"/>
      <c r="T20" s="2115">
        <f>SUM(N20:S20)</f>
        <v>0</v>
      </c>
      <c r="U20" s="2116"/>
      <c r="V20" s="2117"/>
      <c r="W20" s="2118">
        <v>0</v>
      </c>
      <c r="X20" s="2113"/>
      <c r="Y20" s="2119"/>
      <c r="Z20" s="2112">
        <v>0</v>
      </c>
      <c r="AA20" s="2113"/>
      <c r="AB20" s="2114"/>
      <c r="AC20" s="2115">
        <f>SUM(W20:AB20)</f>
        <v>0</v>
      </c>
      <c r="AD20" s="2116"/>
      <c r="AE20" s="2117"/>
      <c r="AF20" s="188"/>
      <c r="AG20" s="2107" t="s">
        <v>11893</v>
      </c>
      <c r="AH20" s="2107"/>
      <c r="AI20" s="2107"/>
      <c r="AJ20" s="2107"/>
      <c r="AK20" s="2107"/>
      <c r="AL20" s="2107"/>
      <c r="AM20" s="2107"/>
      <c r="AN20" s="2107"/>
      <c r="AO20" s="2107"/>
      <c r="AP20" s="2107"/>
      <c r="AQ20" s="2107"/>
      <c r="AR20" s="2107"/>
      <c r="AS20" s="2107"/>
    </row>
    <row r="21" spans="2:81" s="191" customFormat="1" ht="23.15" customHeight="1" thickBot="1">
      <c r="B21" s="326"/>
      <c r="C21" s="2110" t="s">
        <v>793</v>
      </c>
      <c r="D21" s="2110"/>
      <c r="E21" s="2110"/>
      <c r="F21" s="2110"/>
      <c r="G21" s="2110"/>
      <c r="H21" s="2110"/>
      <c r="I21" s="2110"/>
      <c r="J21" s="2110"/>
      <c r="K21" s="2110"/>
      <c r="L21" s="2110"/>
      <c r="M21" s="2111"/>
      <c r="N21" s="2120">
        <v>0</v>
      </c>
      <c r="O21" s="2121"/>
      <c r="P21" s="2122"/>
      <c r="Q21" s="2123">
        <v>0</v>
      </c>
      <c r="R21" s="2121"/>
      <c r="S21" s="2124"/>
      <c r="T21" s="1798">
        <f>SUM(N21:S21)</f>
        <v>0</v>
      </c>
      <c r="U21" s="1799"/>
      <c r="V21" s="1802"/>
      <c r="W21" s="2120">
        <v>0</v>
      </c>
      <c r="X21" s="2121"/>
      <c r="Y21" s="2122"/>
      <c r="Z21" s="2123">
        <v>0</v>
      </c>
      <c r="AA21" s="2121"/>
      <c r="AB21" s="2124"/>
      <c r="AC21" s="1798">
        <f>SUM(W21:AB21)</f>
        <v>0</v>
      </c>
      <c r="AD21" s="1799"/>
      <c r="AE21" s="1802"/>
      <c r="AF21" s="188"/>
      <c r="AG21" s="1776" t="s">
        <v>943</v>
      </c>
      <c r="AH21" s="1776"/>
      <c r="AI21" s="1776"/>
      <c r="AJ21" s="1776"/>
      <c r="AK21" s="1776"/>
      <c r="AL21" s="1776"/>
      <c r="AM21" s="1776"/>
      <c r="AN21" s="1776"/>
      <c r="AO21" s="1776"/>
      <c r="AP21" s="1776"/>
      <c r="AQ21" s="1776"/>
      <c r="AR21" s="1776"/>
      <c r="AS21" s="1776"/>
    </row>
    <row r="22" spans="2:81" s="191" customFormat="1" ht="15" customHeight="1">
      <c r="B22" s="189"/>
      <c r="D22" s="188"/>
      <c r="E22" s="188"/>
      <c r="F22" s="188"/>
      <c r="G22" s="188"/>
      <c r="H22" s="188"/>
      <c r="I22" s="188"/>
      <c r="J22" s="188"/>
      <c r="K22" s="188"/>
      <c r="L22" s="188"/>
      <c r="M22" s="188"/>
      <c r="N22" s="313" t="str">
        <f>IF(OR(T20&gt;AL6,AC20&gt;AL6,T21&gt;AL7,AC21&gt;AL7),"Total of Qualified / Trained Teachers shall be less than or equal to the Total of Locally-funded Teachers in Table 7. ","")</f>
        <v/>
      </c>
      <c r="O22" s="188"/>
      <c r="P22" s="188"/>
      <c r="Q22" s="188"/>
      <c r="R22" s="188"/>
      <c r="S22" s="188"/>
      <c r="T22" s="188"/>
      <c r="U22" s="188"/>
      <c r="V22" s="188"/>
      <c r="W22" s="188"/>
      <c r="AE22" s="314"/>
      <c r="AF22" s="314"/>
      <c r="AG22" s="177"/>
      <c r="AH22" s="177"/>
      <c r="AI22" s="180"/>
      <c r="AJ22" s="180"/>
      <c r="AK22" s="180"/>
      <c r="AL22" s="180"/>
      <c r="AM22" s="315"/>
      <c r="AN22" s="315"/>
      <c r="AO22" s="312"/>
    </row>
    <row r="23" spans="2:81" s="211" customFormat="1" ht="63.65" customHeight="1">
      <c r="B23" s="316" t="s">
        <v>151</v>
      </c>
      <c r="C23" s="2161" t="s">
        <v>916</v>
      </c>
      <c r="D23" s="2161"/>
      <c r="E23" s="2161"/>
      <c r="F23" s="2161"/>
      <c r="G23" s="2161"/>
      <c r="H23" s="2161"/>
      <c r="I23" s="2161"/>
      <c r="J23" s="2161"/>
      <c r="K23" s="2161"/>
      <c r="L23" s="2161"/>
      <c r="M23" s="2161"/>
      <c r="N23" s="2161"/>
      <c r="O23" s="2161"/>
      <c r="P23" s="2161"/>
      <c r="Q23" s="2161"/>
      <c r="R23" s="2161"/>
      <c r="S23" s="2161"/>
      <c r="T23" s="2161"/>
      <c r="U23" s="2161"/>
      <c r="V23" s="2161"/>
      <c r="W23" s="2161"/>
      <c r="X23" s="2161"/>
      <c r="Y23" s="2161"/>
      <c r="Z23" s="2161"/>
      <c r="AA23" s="2161"/>
      <c r="AB23" s="2161"/>
      <c r="AC23" s="2161"/>
      <c r="AD23" s="2161"/>
      <c r="AE23" s="2161"/>
      <c r="AF23" s="317"/>
      <c r="AG23" s="317"/>
      <c r="AH23" s="317"/>
      <c r="AI23" s="317"/>
      <c r="AJ23" s="317"/>
      <c r="AK23" s="317"/>
      <c r="AL23" s="317"/>
      <c r="AM23" s="317"/>
      <c r="AN23" s="317"/>
      <c r="AO23" s="317"/>
      <c r="AP23" s="317"/>
    </row>
    <row r="24" spans="2:81" s="211" customFormat="1" ht="28.75" customHeight="1">
      <c r="B24" s="316" t="s">
        <v>152</v>
      </c>
      <c r="C24" s="2162" t="s">
        <v>917</v>
      </c>
      <c r="D24" s="2162"/>
      <c r="E24" s="2162"/>
      <c r="F24" s="2162"/>
      <c r="G24" s="2162"/>
      <c r="H24" s="2162"/>
      <c r="I24" s="2162"/>
      <c r="J24" s="2162"/>
      <c r="K24" s="2162"/>
      <c r="L24" s="2162"/>
      <c r="M24" s="2162"/>
      <c r="N24" s="2162"/>
      <c r="O24" s="2162"/>
      <c r="P24" s="2162"/>
      <c r="Q24" s="2162"/>
      <c r="R24" s="2162"/>
      <c r="S24" s="2162"/>
      <c r="T24" s="2162"/>
      <c r="U24" s="2162"/>
      <c r="V24" s="2162"/>
      <c r="W24" s="2162"/>
      <c r="X24" s="2162"/>
      <c r="Y24" s="2162"/>
      <c r="Z24" s="2162"/>
      <c r="AA24" s="2162"/>
      <c r="AB24" s="2162"/>
      <c r="AC24" s="2162"/>
      <c r="AD24" s="2162"/>
      <c r="AE24" s="2162"/>
      <c r="AF24" s="318"/>
    </row>
    <row r="25" spans="2:81" s="211" customFormat="1" ht="27" customHeight="1">
      <c r="B25" s="204" t="s">
        <v>183</v>
      </c>
      <c r="C25" s="210"/>
      <c r="D25" s="210"/>
      <c r="E25" s="204" t="s">
        <v>795</v>
      </c>
      <c r="F25" s="210"/>
      <c r="G25" s="210"/>
      <c r="H25" s="210"/>
      <c r="I25" s="210"/>
      <c r="J25" s="210"/>
      <c r="K25" s="210"/>
      <c r="L25" s="210"/>
    </row>
    <row r="26" spans="2:81" s="211" customFormat="1" ht="16.5">
      <c r="B26" s="204"/>
      <c r="C26" s="319"/>
      <c r="D26" s="210"/>
      <c r="E26" s="204" t="s">
        <v>918</v>
      </c>
      <c r="G26" s="210"/>
      <c r="H26" s="210"/>
      <c r="I26" s="210"/>
      <c r="J26" s="210"/>
      <c r="K26" s="210"/>
      <c r="L26" s="210"/>
    </row>
    <row r="27" spans="2:81" s="211" customFormat="1" ht="31" customHeight="1">
      <c r="B27" s="320"/>
      <c r="C27" s="210"/>
      <c r="D27" s="210"/>
      <c r="E27" s="210"/>
      <c r="F27" s="319"/>
      <c r="G27" s="210"/>
      <c r="H27" s="210"/>
      <c r="I27" s="210"/>
      <c r="J27" s="210"/>
      <c r="K27" s="210"/>
      <c r="L27" s="210"/>
    </row>
    <row r="28" spans="2:81" s="221" customFormat="1" ht="34" customHeight="1" thickBot="1">
      <c r="B28" s="2156" t="s">
        <v>11754</v>
      </c>
      <c r="C28" s="2156"/>
      <c r="D28" s="2156"/>
      <c r="E28" s="2156"/>
      <c r="F28" s="2156"/>
      <c r="G28" s="2156"/>
      <c r="H28" s="2156"/>
      <c r="I28" s="2156"/>
      <c r="J28" s="2156"/>
      <c r="K28" s="2156"/>
      <c r="L28" s="2156"/>
      <c r="M28" s="2156"/>
      <c r="N28" s="2156"/>
      <c r="O28" s="2156"/>
      <c r="P28" s="2156"/>
      <c r="Q28" s="2156"/>
      <c r="R28" s="2156"/>
      <c r="S28" s="2156"/>
      <c r="T28" s="2156"/>
      <c r="U28" s="2156"/>
      <c r="V28" s="2156"/>
      <c r="W28" s="2156"/>
      <c r="X28" s="2156"/>
      <c r="Y28" s="2156"/>
      <c r="Z28" s="2156"/>
      <c r="AA28" s="2156"/>
      <c r="AB28" s="2156"/>
      <c r="AC28" s="2156"/>
      <c r="AD28" s="2156"/>
      <c r="AE28" s="2156"/>
      <c r="AF28" s="2156"/>
      <c r="AG28" s="2156"/>
      <c r="AH28" s="2156"/>
      <c r="AI28" s="188"/>
      <c r="AJ28" s="188"/>
      <c r="AK28" s="188"/>
      <c r="AM28" s="321"/>
      <c r="AN28" s="321"/>
      <c r="AO28" s="321"/>
      <c r="AP28" s="321"/>
      <c r="AQ28" s="321"/>
      <c r="AS28" s="321"/>
      <c r="AT28" s="321"/>
      <c r="AU28" s="321"/>
      <c r="AV28" s="321"/>
      <c r="AW28" s="321"/>
      <c r="AX28" s="321"/>
      <c r="AY28" s="321"/>
      <c r="AZ28" s="321"/>
      <c r="BA28" s="321"/>
      <c r="BB28" s="321"/>
      <c r="BC28" s="321"/>
      <c r="BD28" s="321"/>
      <c r="BE28" s="321"/>
      <c r="BF28" s="321"/>
      <c r="BG28" s="321"/>
      <c r="BH28" s="321"/>
      <c r="BI28" s="321"/>
      <c r="BJ28" s="321"/>
      <c r="BK28" s="321"/>
      <c r="BL28" s="321"/>
      <c r="BM28" s="321"/>
      <c r="BN28" s="321"/>
      <c r="BO28" s="321"/>
      <c r="BP28" s="321"/>
      <c r="BQ28" s="321"/>
      <c r="BR28" s="180"/>
      <c r="BS28" s="180"/>
      <c r="BT28" s="312"/>
      <c r="BU28" s="312"/>
      <c r="BV28" s="180"/>
      <c r="BX28" s="321"/>
    </row>
    <row r="29" spans="2:81" ht="30" customHeight="1">
      <c r="B29" s="2157" t="s">
        <v>603</v>
      </c>
      <c r="C29" s="2116"/>
      <c r="D29" s="2116"/>
      <c r="E29" s="2116"/>
      <c r="F29" s="2116"/>
      <c r="G29" s="2116"/>
      <c r="H29" s="2116"/>
      <c r="I29" s="2116"/>
      <c r="J29" s="2116"/>
      <c r="K29" s="2116"/>
      <c r="L29" s="2116"/>
      <c r="M29" s="2116"/>
      <c r="N29" s="2116"/>
      <c r="O29" s="2116"/>
      <c r="P29" s="2116"/>
      <c r="Q29" s="2116"/>
      <c r="R29" s="2116"/>
      <c r="S29" s="2116"/>
      <c r="T29" s="2116"/>
      <c r="U29" s="2116"/>
      <c r="V29" s="2117"/>
      <c r="W29" s="311"/>
      <c r="X29" s="188"/>
      <c r="Y29" s="188"/>
      <c r="Z29" s="188"/>
      <c r="AA29" s="188"/>
      <c r="AB29" s="188"/>
      <c r="AC29" s="188"/>
      <c r="AD29" s="188"/>
      <c r="AG29" s="322" t="s">
        <v>763</v>
      </c>
      <c r="AH29" s="323"/>
      <c r="AI29" s="323"/>
      <c r="AJ29" s="323"/>
      <c r="AK29" s="323"/>
      <c r="AL29" s="324"/>
      <c r="AM29" s="324"/>
      <c r="AN29" s="324"/>
      <c r="AO29" s="324"/>
      <c r="AP29" s="324"/>
      <c r="AQ29" s="211"/>
      <c r="AR29" s="211"/>
      <c r="AS29" s="211"/>
      <c r="AT29" s="312"/>
      <c r="AU29" s="312"/>
      <c r="AV29" s="312"/>
      <c r="AX29" s="312"/>
      <c r="AY29" s="312"/>
      <c r="AZ29" s="312"/>
      <c r="BA29" s="312"/>
      <c r="BB29" s="312"/>
      <c r="BC29" s="312"/>
      <c r="BD29" s="312"/>
      <c r="BE29" s="312"/>
      <c r="BF29" s="312"/>
      <c r="BG29" s="312"/>
      <c r="BH29" s="312"/>
      <c r="BI29" s="312"/>
      <c r="BJ29" s="312"/>
      <c r="BK29" s="312"/>
      <c r="BL29" s="312"/>
      <c r="BM29" s="312"/>
      <c r="BN29" s="312"/>
      <c r="BO29" s="312"/>
      <c r="BP29" s="312"/>
      <c r="BQ29" s="312"/>
      <c r="BR29" s="312"/>
      <c r="BS29" s="312"/>
      <c r="BT29" s="312"/>
      <c r="BU29" s="312"/>
      <c r="BW29" s="312"/>
      <c r="BX29" s="312"/>
      <c r="BY29" s="312"/>
      <c r="BZ29" s="312"/>
      <c r="CA29" s="312"/>
      <c r="CB29" s="312"/>
      <c r="CC29" s="312"/>
    </row>
    <row r="30" spans="2:81" ht="22.5" customHeight="1" thickBot="1">
      <c r="B30" s="1827" t="s">
        <v>15</v>
      </c>
      <c r="C30" s="1799"/>
      <c r="D30" s="1799"/>
      <c r="E30" s="1799"/>
      <c r="F30" s="1799"/>
      <c r="G30" s="1799"/>
      <c r="H30" s="1800"/>
      <c r="I30" s="1801" t="s">
        <v>16</v>
      </c>
      <c r="J30" s="1799"/>
      <c r="K30" s="1799"/>
      <c r="L30" s="1799"/>
      <c r="M30" s="1799"/>
      <c r="N30" s="1799"/>
      <c r="O30" s="2152"/>
      <c r="P30" s="1798" t="s">
        <v>29</v>
      </c>
      <c r="Q30" s="1799"/>
      <c r="R30" s="1799"/>
      <c r="S30" s="1799"/>
      <c r="T30" s="1799"/>
      <c r="U30" s="1799"/>
      <c r="V30" s="1802"/>
      <c r="W30" s="311"/>
      <c r="X30" s="188"/>
      <c r="Y30" s="188"/>
      <c r="Z30" s="188"/>
      <c r="AA30" s="188"/>
      <c r="AB30" s="188"/>
      <c r="AC30" s="188"/>
      <c r="AD30" s="188"/>
      <c r="AG30" s="2107"/>
      <c r="AH30" s="2107"/>
      <c r="AI30" s="2107"/>
      <c r="AJ30" s="2107"/>
      <c r="AK30" s="2107"/>
      <c r="AL30" s="2107"/>
      <c r="AM30" s="2107"/>
      <c r="AN30" s="2107"/>
      <c r="AO30" s="2107"/>
      <c r="AP30" s="2107"/>
      <c r="AQ30" s="2107"/>
      <c r="AR30" s="2107"/>
      <c r="AS30" s="2107"/>
      <c r="AU30" s="312"/>
      <c r="AV30" s="312"/>
      <c r="AW30" s="312"/>
      <c r="AX30" s="312"/>
      <c r="AY30" s="312"/>
      <c r="AZ30" s="312"/>
      <c r="BA30" s="312"/>
      <c r="BB30" s="312"/>
      <c r="BC30" s="312"/>
      <c r="BD30" s="312"/>
      <c r="BE30" s="312"/>
      <c r="BF30" s="312"/>
      <c r="BG30" s="312"/>
      <c r="BH30" s="312"/>
      <c r="BI30" s="312"/>
      <c r="BJ30" s="312"/>
      <c r="BK30" s="312"/>
      <c r="BL30" s="312"/>
      <c r="BM30" s="312"/>
      <c r="BN30" s="312"/>
      <c r="BO30" s="312"/>
      <c r="BP30" s="312"/>
      <c r="BQ30" s="312"/>
      <c r="BR30" s="312"/>
      <c r="BS30" s="312"/>
      <c r="BV30" s="312"/>
      <c r="BW30" s="312"/>
    </row>
    <row r="31" spans="2:81" s="191" customFormat="1" ht="25" customHeight="1" thickBot="1">
      <c r="B31" s="2153">
        <v>0</v>
      </c>
      <c r="C31" s="2154"/>
      <c r="D31" s="2154"/>
      <c r="E31" s="2154"/>
      <c r="F31" s="2154"/>
      <c r="G31" s="2154"/>
      <c r="H31" s="2155"/>
      <c r="I31" s="2159">
        <v>0</v>
      </c>
      <c r="J31" s="2154"/>
      <c r="K31" s="2154"/>
      <c r="L31" s="2154"/>
      <c r="M31" s="2154"/>
      <c r="N31" s="2154"/>
      <c r="O31" s="2160"/>
      <c r="P31" s="2158">
        <f>SUM(B31:O31)</f>
        <v>0</v>
      </c>
      <c r="Q31" s="2136"/>
      <c r="R31" s="2136"/>
      <c r="S31" s="2136"/>
      <c r="T31" s="2136"/>
      <c r="U31" s="2136"/>
      <c r="V31" s="2137"/>
      <c r="W31" s="311"/>
      <c r="AA31" s="188"/>
      <c r="AB31" s="188"/>
      <c r="AC31" s="188"/>
      <c r="AD31" s="188"/>
      <c r="AG31" s="1776" t="s">
        <v>943</v>
      </c>
      <c r="AH31" s="1776"/>
      <c r="AI31" s="1776"/>
      <c r="AJ31" s="1776"/>
      <c r="AK31" s="1776"/>
      <c r="AL31" s="1776"/>
      <c r="AM31" s="1776"/>
      <c r="AN31" s="1776"/>
      <c r="AO31" s="1776"/>
      <c r="AP31" s="1776"/>
      <c r="AQ31" s="1776"/>
      <c r="AR31" s="1776"/>
      <c r="AS31" s="1776"/>
    </row>
    <row r="32" spans="2:81" s="191" customFormat="1" ht="18.649999999999999" customHeight="1">
      <c r="B32" s="2125" t="s">
        <v>1501</v>
      </c>
      <c r="C32" s="2125"/>
      <c r="D32" s="2125"/>
      <c r="E32" s="2125"/>
      <c r="F32" s="2125"/>
      <c r="G32" s="2125"/>
      <c r="H32" s="2125"/>
      <c r="I32" s="2125"/>
      <c r="J32" s="2125"/>
      <c r="K32" s="2125"/>
      <c r="L32" s="2125"/>
      <c r="M32" s="2125"/>
      <c r="N32" s="2125"/>
      <c r="O32" s="2125"/>
      <c r="P32" s="2125"/>
      <c r="Q32" s="2125"/>
      <c r="R32" s="2125"/>
      <c r="S32" s="2125"/>
      <c r="T32" s="2125"/>
      <c r="U32" s="2125"/>
      <c r="V32" s="2125"/>
      <c r="W32" s="188"/>
      <c r="AG32" s="169" t="s">
        <v>71</v>
      </c>
      <c r="AH32" s="168"/>
      <c r="AI32" s="168"/>
      <c r="AJ32" s="237"/>
      <c r="AK32" s="2036"/>
      <c r="AL32" s="2036"/>
      <c r="AM32" s="2036"/>
      <c r="AN32" s="2036"/>
      <c r="AO32" s="2036"/>
      <c r="AP32" s="2036"/>
      <c r="AQ32" s="2036"/>
      <c r="AR32" s="2036"/>
      <c r="AS32" s="2036"/>
    </row>
    <row r="33" spans="2:46" s="191" customFormat="1" ht="16" customHeight="1">
      <c r="B33" s="2126"/>
      <c r="C33" s="2126"/>
      <c r="D33" s="2126"/>
      <c r="E33" s="2126"/>
      <c r="F33" s="2126"/>
      <c r="G33" s="2126"/>
      <c r="H33" s="2126"/>
      <c r="I33" s="2126"/>
      <c r="J33" s="2126"/>
      <c r="K33" s="2126"/>
      <c r="L33" s="2126"/>
      <c r="M33" s="2126"/>
      <c r="N33" s="2126"/>
      <c r="O33" s="2126"/>
      <c r="P33" s="2126"/>
      <c r="Q33" s="2126"/>
      <c r="R33" s="2126"/>
      <c r="S33" s="2126"/>
      <c r="T33" s="2126"/>
      <c r="U33" s="2126"/>
      <c r="V33" s="2126"/>
      <c r="W33" s="188"/>
      <c r="AD33" s="169"/>
      <c r="AE33" s="168"/>
      <c r="AF33" s="168"/>
      <c r="AH33" s="168"/>
      <c r="AI33" s="168"/>
      <c r="AJ33" s="168"/>
      <c r="AK33" s="168"/>
      <c r="AL33" s="168"/>
      <c r="AM33" s="168"/>
      <c r="AN33" s="168"/>
      <c r="AO33" s="168"/>
      <c r="AP33" s="168"/>
    </row>
    <row r="34" spans="2:46" s="204" customFormat="1">
      <c r="E34" s="187"/>
      <c r="F34" s="187"/>
      <c r="G34" s="187"/>
      <c r="H34" s="187"/>
      <c r="I34" s="187"/>
      <c r="J34" s="187"/>
      <c r="K34" s="187"/>
      <c r="L34" s="187"/>
    </row>
    <row r="35" spans="2:46" s="211" customFormat="1" ht="30.65" customHeight="1">
      <c r="B35" s="2127" t="s">
        <v>1502</v>
      </c>
      <c r="C35" s="2127"/>
      <c r="D35" s="2127"/>
      <c r="E35" s="2127"/>
      <c r="F35" s="2127"/>
      <c r="G35" s="2127"/>
      <c r="H35" s="2127"/>
      <c r="I35" s="2127"/>
      <c r="J35" s="2127"/>
      <c r="K35" s="2127"/>
      <c r="L35" s="2127"/>
      <c r="M35" s="2127"/>
      <c r="N35" s="2127"/>
      <c r="O35" s="2127"/>
      <c r="P35" s="2127"/>
      <c r="Q35" s="2127"/>
      <c r="R35" s="2127"/>
      <c r="S35" s="2127"/>
      <c r="T35" s="2127"/>
      <c r="U35" s="2127"/>
      <c r="V35" s="2127"/>
      <c r="W35" s="2127"/>
      <c r="X35" s="306"/>
      <c r="Y35" s="306"/>
      <c r="Z35" s="306"/>
    </row>
    <row r="36" spans="2:46" s="238" customFormat="1" ht="31.5" customHeight="1">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row>
    <row r="37" spans="2:46" s="242" customFormat="1" ht="14">
      <c r="B37" s="241" t="s">
        <v>847</v>
      </c>
      <c r="R37" s="241" t="s">
        <v>779</v>
      </c>
      <c r="S37" s="241"/>
      <c r="AG37" s="241" t="s">
        <v>783</v>
      </c>
    </row>
    <row r="38" spans="2:46" s="242" customFormat="1" ht="21.75" customHeight="1">
      <c r="B38" s="241" t="s">
        <v>756</v>
      </c>
      <c r="F38" s="1959" t="str">
        <f>activesheet!E29</f>
        <v>RICO S. MISPEROS</v>
      </c>
      <c r="G38" s="1959"/>
      <c r="H38" s="1959"/>
      <c r="I38" s="1959"/>
      <c r="J38" s="1959"/>
      <c r="K38" s="1959"/>
      <c r="L38" s="1959"/>
      <c r="M38" s="1959"/>
      <c r="N38" s="1959"/>
      <c r="O38" s="1959"/>
      <c r="P38" s="290"/>
      <c r="Q38" s="290"/>
      <c r="R38" s="1959" t="str">
        <f>activesheet!E658</f>
        <v>ELMA CEZARIE Y. ROMERO</v>
      </c>
      <c r="S38" s="1959"/>
      <c r="T38" s="1959"/>
      <c r="U38" s="1959"/>
      <c r="V38" s="1959"/>
      <c r="W38" s="1959"/>
      <c r="X38" s="1959"/>
      <c r="Y38" s="1959"/>
      <c r="Z38" s="1959"/>
      <c r="AA38" s="1959"/>
      <c r="AB38" s="1959"/>
      <c r="AC38" s="1959"/>
      <c r="AD38" s="1959"/>
      <c r="AG38" s="1956" t="str">
        <f>activesheet!E31</f>
        <v>MICHAEL T. JAMIS</v>
      </c>
      <c r="AH38" s="1956"/>
      <c r="AI38" s="1956"/>
      <c r="AJ38" s="1956"/>
      <c r="AK38" s="1956"/>
      <c r="AL38" s="1956"/>
      <c r="AM38" s="1956"/>
      <c r="AN38" s="1956"/>
      <c r="AO38" s="1956"/>
      <c r="AP38" s="1956"/>
      <c r="AQ38" s="1956"/>
      <c r="AR38" s="1956"/>
      <c r="AS38" s="1956"/>
    </row>
    <row r="39" spans="2:46" s="307" customFormat="1" ht="12" customHeight="1">
      <c r="B39" s="245"/>
      <c r="F39" s="1776" t="s">
        <v>741</v>
      </c>
      <c r="G39" s="1776"/>
      <c r="H39" s="1776"/>
      <c r="I39" s="1776"/>
      <c r="J39" s="1776"/>
      <c r="K39" s="1776"/>
      <c r="L39" s="1776"/>
      <c r="M39" s="1776"/>
      <c r="N39" s="1776"/>
      <c r="O39" s="1776"/>
      <c r="P39" s="151"/>
      <c r="Q39" s="151"/>
      <c r="R39" s="1776" t="s">
        <v>741</v>
      </c>
      <c r="S39" s="1776"/>
      <c r="T39" s="1776"/>
      <c r="U39" s="1776"/>
      <c r="V39" s="1776"/>
      <c r="W39" s="1776"/>
      <c r="X39" s="1776"/>
      <c r="Y39" s="1776"/>
      <c r="Z39" s="1776"/>
      <c r="AA39" s="1776"/>
      <c r="AB39" s="1776"/>
      <c r="AC39" s="1776"/>
      <c r="AD39" s="1776"/>
      <c r="AE39" s="153"/>
      <c r="AF39" s="245"/>
      <c r="AG39" s="1957"/>
      <c r="AH39" s="1957"/>
      <c r="AI39" s="1957"/>
      <c r="AJ39" s="1957"/>
      <c r="AK39" s="1957"/>
      <c r="AL39" s="1957"/>
      <c r="AM39" s="1957"/>
      <c r="AN39" s="1957"/>
      <c r="AO39" s="1957"/>
      <c r="AP39" s="1957"/>
      <c r="AQ39" s="1957"/>
      <c r="AR39" s="1957"/>
      <c r="AS39" s="1957"/>
    </row>
    <row r="40" spans="2:46" s="242" customFormat="1" ht="21.75" customHeight="1">
      <c r="B40" s="241" t="s">
        <v>71</v>
      </c>
      <c r="F40" s="1959" t="str">
        <f>activesheet!E30</f>
        <v>SCHOOL PRINCIPAL II</v>
      </c>
      <c r="G40" s="1959"/>
      <c r="H40" s="1959"/>
      <c r="I40" s="1959"/>
      <c r="J40" s="1959"/>
      <c r="K40" s="1959"/>
      <c r="L40" s="1959"/>
      <c r="M40" s="1959"/>
      <c r="N40" s="1959"/>
      <c r="O40" s="1959"/>
      <c r="P40" s="290"/>
      <c r="Q40" s="290"/>
      <c r="R40" s="241" t="s">
        <v>71</v>
      </c>
      <c r="S40" s="241"/>
      <c r="V40" s="1959" t="str">
        <f>activesheet!E659</f>
        <v>Administrative Officer IV</v>
      </c>
      <c r="W40" s="1959"/>
      <c r="X40" s="1959"/>
      <c r="Y40" s="1959"/>
      <c r="Z40" s="1959"/>
      <c r="AA40" s="1959"/>
      <c r="AB40" s="1959"/>
      <c r="AC40" s="1959"/>
      <c r="AD40" s="1959"/>
      <c r="AG40" s="1776" t="s">
        <v>741</v>
      </c>
      <c r="AH40" s="1776"/>
      <c r="AI40" s="1776"/>
      <c r="AJ40" s="1776"/>
      <c r="AK40" s="1776"/>
      <c r="AL40" s="1776"/>
      <c r="AM40" s="1776"/>
      <c r="AN40" s="1776"/>
      <c r="AO40" s="1776"/>
      <c r="AP40" s="1776"/>
      <c r="AQ40" s="1776"/>
      <c r="AR40" s="1776"/>
      <c r="AS40" s="1776"/>
    </row>
    <row r="41" spans="2:46" s="211" customFormat="1" ht="15.65" customHeight="1">
      <c r="B41" s="308"/>
      <c r="C41" s="213"/>
      <c r="D41" s="308"/>
      <c r="E41" s="213"/>
      <c r="F41" s="308"/>
      <c r="G41" s="213"/>
      <c r="H41" s="308"/>
      <c r="I41" s="213"/>
      <c r="J41" s="308"/>
      <c r="K41" s="213"/>
      <c r="L41" s="308"/>
      <c r="M41" s="213"/>
      <c r="N41" s="308"/>
      <c r="O41" s="309"/>
      <c r="P41" s="309"/>
      <c r="Q41" s="308"/>
      <c r="R41" s="213"/>
      <c r="S41" s="308"/>
      <c r="T41" s="213"/>
      <c r="U41" s="308"/>
      <c r="V41" s="213"/>
      <c r="W41" s="308"/>
      <c r="X41" s="213"/>
      <c r="Y41" s="308"/>
      <c r="Z41" s="213"/>
      <c r="AA41" s="308"/>
      <c r="AB41" s="213"/>
      <c r="AC41" s="308"/>
      <c r="AD41" s="309"/>
      <c r="AE41" s="309"/>
      <c r="AF41" s="310"/>
      <c r="AG41" s="216"/>
      <c r="AH41" s="310"/>
      <c r="AI41" s="216"/>
      <c r="AJ41" s="310"/>
      <c r="AK41" s="216"/>
      <c r="AL41" s="310"/>
      <c r="AM41" s="216"/>
      <c r="AN41" s="310"/>
      <c r="AO41" s="216"/>
      <c r="AP41" s="310"/>
      <c r="AQ41" s="216"/>
      <c r="AR41" s="310"/>
      <c r="AS41" s="210"/>
      <c r="AT41" s="210"/>
    </row>
  </sheetData>
  <sheetProtection algorithmName="SHA-512" hashValue="4bCG00m0Dl5HLvaZHwF6UfvNMEC0pewk3qNR3yZk/pTuNWNIj0CfpM4VdeEPR8wS6loAEOzNQ4Q3z5y8LJu5Nw==" saltValue="QsL8JuSZnl5Mh+WkbvCZng==" spinCount="100000" sheet="1" objects="1" scenarios="1" selectLockedCells="1"/>
  <mergeCells count="69">
    <mergeCell ref="AL6:AQ6"/>
    <mergeCell ref="AL7:AQ7"/>
    <mergeCell ref="B17:AH17"/>
    <mergeCell ref="N18:V18"/>
    <mergeCell ref="W18:AE18"/>
    <mergeCell ref="C6:M6"/>
    <mergeCell ref="C7:M7"/>
    <mergeCell ref="Z6:AE6"/>
    <mergeCell ref="Z7:AE7"/>
    <mergeCell ref="AF6:AK6"/>
    <mergeCell ref="AF7:AK7"/>
    <mergeCell ref="B18:M19"/>
    <mergeCell ref="Z19:AB19"/>
    <mergeCell ref="AC19:AE19"/>
    <mergeCell ref="N6:S6"/>
    <mergeCell ref="N7:S7"/>
    <mergeCell ref="Z21:AB21"/>
    <mergeCell ref="B30:H30"/>
    <mergeCell ref="B31:H31"/>
    <mergeCell ref="B28:AH28"/>
    <mergeCell ref="P30:V30"/>
    <mergeCell ref="B29:V29"/>
    <mergeCell ref="I30:O30"/>
    <mergeCell ref="AG31:AS31"/>
    <mergeCell ref="P31:V31"/>
    <mergeCell ref="I31:O31"/>
    <mergeCell ref="C23:AE23"/>
    <mergeCell ref="C24:AE24"/>
    <mergeCell ref="T6:Y6"/>
    <mergeCell ref="T7:Y7"/>
    <mergeCell ref="N19:P19"/>
    <mergeCell ref="Q19:S19"/>
    <mergeCell ref="T19:V19"/>
    <mergeCell ref="W19:Y19"/>
    <mergeCell ref="B3:M5"/>
    <mergeCell ref="N3:AQ3"/>
    <mergeCell ref="N4:Y4"/>
    <mergeCell ref="Z4:AE5"/>
    <mergeCell ref="AF4:AK5"/>
    <mergeCell ref="AL4:AQ5"/>
    <mergeCell ref="N5:S5"/>
    <mergeCell ref="T5:Y5"/>
    <mergeCell ref="AK32:AS32"/>
    <mergeCell ref="AG38:AS39"/>
    <mergeCell ref="AG40:AS40"/>
    <mergeCell ref="R39:AD39"/>
    <mergeCell ref="V40:AD40"/>
    <mergeCell ref="B32:V33"/>
    <mergeCell ref="F39:O39"/>
    <mergeCell ref="F40:O40"/>
    <mergeCell ref="F38:O38"/>
    <mergeCell ref="R38:AD38"/>
    <mergeCell ref="B35:W35"/>
    <mergeCell ref="AG20:AS20"/>
    <mergeCell ref="AG21:AS21"/>
    <mergeCell ref="AG30:AS30"/>
    <mergeCell ref="C20:M20"/>
    <mergeCell ref="C21:M21"/>
    <mergeCell ref="Q20:S20"/>
    <mergeCell ref="T20:V20"/>
    <mergeCell ref="W20:Y20"/>
    <mergeCell ref="Z20:AB20"/>
    <mergeCell ref="AC20:AE20"/>
    <mergeCell ref="AC21:AE21"/>
    <mergeCell ref="N21:P21"/>
    <mergeCell ref="Q21:S21"/>
    <mergeCell ref="T21:V21"/>
    <mergeCell ref="N20:P20"/>
    <mergeCell ref="W21:Y21"/>
  </mergeCells>
  <dataValidations count="1">
    <dataValidation type="whole" allowBlank="1" showInputMessage="1" showErrorMessage="1" errorTitle="GESP SY 2022-2023" error="Please enter valid number between 0-999." sqref="N6:AK7 N20:S21 W20:AB21 B31:O31" xr:uid="{00000000-0002-0000-0B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8 of 60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B1:BZ39"/>
  <sheetViews>
    <sheetView showGridLines="0" zoomScale="58" zoomScaleNormal="58" zoomScaleSheetLayoutView="100" workbookViewId="0">
      <selection activeCell="AD10" sqref="AD10:AF10"/>
    </sheetView>
  </sheetViews>
  <sheetFormatPr defaultColWidth="9" defaultRowHeight="15.5"/>
  <cols>
    <col min="1" max="1" width="2.08203125" style="180" customWidth="1"/>
    <col min="2" max="63" width="3.58203125" style="180" customWidth="1"/>
    <col min="64" max="64" width="2.08203125" style="180" customWidth="1"/>
    <col min="65" max="89" width="3.08203125" style="180" customWidth="1"/>
    <col min="90" max="16384" width="9" style="180"/>
  </cols>
  <sheetData>
    <row r="1" spans="2:65" ht="12" customHeight="1"/>
    <row r="2" spans="2:65" ht="19.5" customHeight="1" thickBot="1">
      <c r="B2" s="375" t="s">
        <v>11755</v>
      </c>
      <c r="C2" s="219"/>
      <c r="D2" s="221"/>
      <c r="E2" s="221"/>
    </row>
    <row r="3" spans="2:65" ht="15" customHeight="1" thickBot="1">
      <c r="B3" s="2128" t="s">
        <v>46</v>
      </c>
      <c r="C3" s="1793"/>
      <c r="D3" s="1793"/>
      <c r="E3" s="1793"/>
      <c r="F3" s="1793"/>
      <c r="G3" s="1793"/>
      <c r="H3" s="1793"/>
      <c r="I3" s="1793"/>
      <c r="J3" s="1793"/>
      <c r="K3" s="1794"/>
      <c r="L3" s="2292" t="s">
        <v>52</v>
      </c>
      <c r="M3" s="2293"/>
      <c r="N3" s="2293"/>
      <c r="O3" s="2293"/>
      <c r="P3" s="2293"/>
      <c r="Q3" s="2293"/>
      <c r="R3" s="2293"/>
      <c r="S3" s="2293"/>
      <c r="T3" s="2293"/>
      <c r="U3" s="2293"/>
      <c r="V3" s="2293"/>
      <c r="W3" s="2293"/>
      <c r="X3" s="2293"/>
      <c r="Y3" s="2293"/>
      <c r="Z3" s="2293"/>
      <c r="AA3" s="2293"/>
      <c r="AB3" s="2293"/>
      <c r="AC3" s="2293"/>
      <c r="AD3" s="2293"/>
      <c r="AE3" s="2293"/>
      <c r="AF3" s="2293"/>
      <c r="AG3" s="2293"/>
      <c r="AH3" s="2293"/>
      <c r="AI3" s="2293"/>
      <c r="AJ3" s="2293"/>
      <c r="AK3" s="2293"/>
      <c r="AL3" s="2293"/>
      <c r="AM3" s="2293"/>
      <c r="AN3" s="2293"/>
      <c r="AO3" s="2293"/>
      <c r="AP3" s="2293"/>
      <c r="AQ3" s="2293"/>
      <c r="AR3" s="2293"/>
      <c r="AS3" s="2293"/>
      <c r="AT3" s="2293"/>
      <c r="AU3" s="2293"/>
      <c r="AV3" s="2293"/>
      <c r="AW3" s="2293"/>
      <c r="AX3" s="2293"/>
      <c r="AY3" s="2293"/>
      <c r="AZ3" s="2293"/>
      <c r="BA3" s="2293"/>
      <c r="BB3" s="2293"/>
      <c r="BC3" s="2293"/>
      <c r="BD3" s="2293"/>
      <c r="BE3" s="2293"/>
      <c r="BF3" s="2293"/>
      <c r="BG3" s="2293"/>
      <c r="BH3" s="2293"/>
      <c r="BI3" s="2293"/>
      <c r="BJ3" s="2293"/>
      <c r="BK3" s="2294"/>
    </row>
    <row r="4" spans="2:65" ht="16.5" customHeight="1" thickBot="1">
      <c r="B4" s="2129"/>
      <c r="C4" s="2130"/>
      <c r="D4" s="2130"/>
      <c r="E4" s="2130"/>
      <c r="F4" s="2130"/>
      <c r="G4" s="2130"/>
      <c r="H4" s="2130"/>
      <c r="I4" s="2130"/>
      <c r="J4" s="2130"/>
      <c r="K4" s="2131"/>
      <c r="L4" s="2210" t="s">
        <v>26</v>
      </c>
      <c r="M4" s="2211"/>
      <c r="N4" s="2212"/>
      <c r="O4" s="2295" t="s">
        <v>82</v>
      </c>
      <c r="P4" s="2296"/>
      <c r="Q4" s="2296"/>
      <c r="R4" s="2296"/>
      <c r="S4" s="2296"/>
      <c r="T4" s="2296"/>
      <c r="U4" s="2296"/>
      <c r="V4" s="2296"/>
      <c r="W4" s="2296"/>
      <c r="X4" s="2296"/>
      <c r="Y4" s="2296"/>
      <c r="Z4" s="2296"/>
      <c r="AA4" s="2296"/>
      <c r="AB4" s="2296"/>
      <c r="AC4" s="2296"/>
      <c r="AD4" s="2296"/>
      <c r="AE4" s="2296"/>
      <c r="AF4" s="2296"/>
      <c r="AG4" s="2296"/>
      <c r="AH4" s="2296"/>
      <c r="AI4" s="2296"/>
      <c r="AJ4" s="2296"/>
      <c r="AK4" s="2296"/>
      <c r="AL4" s="2296"/>
      <c r="AM4" s="2296"/>
      <c r="AN4" s="2296"/>
      <c r="AO4" s="2296"/>
      <c r="AP4" s="2296"/>
      <c r="AQ4" s="2296"/>
      <c r="AR4" s="2296"/>
      <c r="AS4" s="2297"/>
      <c r="AT4" s="2210" t="s">
        <v>796</v>
      </c>
      <c r="AU4" s="2211"/>
      <c r="AV4" s="2211"/>
      <c r="AW4" s="2211"/>
      <c r="AX4" s="2211"/>
      <c r="AY4" s="2211"/>
      <c r="AZ4" s="2211"/>
      <c r="BA4" s="2211"/>
      <c r="BB4" s="2212"/>
      <c r="BC4" s="2210" t="s">
        <v>1264</v>
      </c>
      <c r="BD4" s="2211"/>
      <c r="BE4" s="2211"/>
      <c r="BF4" s="2211"/>
      <c r="BG4" s="2211"/>
      <c r="BH4" s="2211"/>
      <c r="BI4" s="2211"/>
      <c r="BJ4" s="2211"/>
      <c r="BK4" s="2212"/>
    </row>
    <row r="5" spans="2:65" ht="23.25" customHeight="1">
      <c r="B5" s="2129"/>
      <c r="C5" s="2130"/>
      <c r="D5" s="2130"/>
      <c r="E5" s="2130"/>
      <c r="F5" s="2130"/>
      <c r="G5" s="2130"/>
      <c r="H5" s="2130"/>
      <c r="I5" s="2130"/>
      <c r="J5" s="2130"/>
      <c r="K5" s="2131"/>
      <c r="L5" s="2213"/>
      <c r="M5" s="2214"/>
      <c r="N5" s="2215"/>
      <c r="O5" s="2210" t="s">
        <v>1299</v>
      </c>
      <c r="P5" s="2211"/>
      <c r="Q5" s="2211"/>
      <c r="R5" s="2211"/>
      <c r="S5" s="2211"/>
      <c r="T5" s="2211"/>
      <c r="U5" s="2211"/>
      <c r="V5" s="2211"/>
      <c r="W5" s="2217"/>
      <c r="X5" s="2216" t="s">
        <v>27</v>
      </c>
      <c r="Y5" s="2211"/>
      <c r="Z5" s="2217"/>
      <c r="AA5" s="2216" t="s">
        <v>28</v>
      </c>
      <c r="AB5" s="2211"/>
      <c r="AC5" s="2217"/>
      <c r="AD5" s="2303" t="s">
        <v>60</v>
      </c>
      <c r="AE5" s="2304"/>
      <c r="AF5" s="2304"/>
      <c r="AG5" s="2304"/>
      <c r="AH5" s="2304"/>
      <c r="AI5" s="2304"/>
      <c r="AJ5" s="2304"/>
      <c r="AK5" s="2304"/>
      <c r="AL5" s="2304"/>
      <c r="AM5" s="2304"/>
      <c r="AN5" s="2304"/>
      <c r="AO5" s="2304"/>
      <c r="AP5" s="2305"/>
      <c r="AQ5" s="2253" t="s">
        <v>1021</v>
      </c>
      <c r="AR5" s="2211"/>
      <c r="AS5" s="2212"/>
      <c r="AT5" s="2213"/>
      <c r="AU5" s="2214"/>
      <c r="AV5" s="2214"/>
      <c r="AW5" s="2214"/>
      <c r="AX5" s="2214"/>
      <c r="AY5" s="2214"/>
      <c r="AZ5" s="2214"/>
      <c r="BA5" s="2214"/>
      <c r="BB5" s="2215"/>
      <c r="BC5" s="2213"/>
      <c r="BD5" s="2214"/>
      <c r="BE5" s="2214"/>
      <c r="BF5" s="2214"/>
      <c r="BG5" s="2214"/>
      <c r="BH5" s="2214"/>
      <c r="BI5" s="2214"/>
      <c r="BJ5" s="2214"/>
      <c r="BK5" s="2215"/>
    </row>
    <row r="6" spans="2:65" ht="31" customHeight="1">
      <c r="B6" s="2129"/>
      <c r="C6" s="2130"/>
      <c r="D6" s="2130"/>
      <c r="E6" s="2130"/>
      <c r="F6" s="2130"/>
      <c r="G6" s="2130"/>
      <c r="H6" s="2130"/>
      <c r="I6" s="2130"/>
      <c r="J6" s="2130"/>
      <c r="K6" s="2131"/>
      <c r="L6" s="2213"/>
      <c r="M6" s="2214"/>
      <c r="N6" s="2215"/>
      <c r="O6" s="2299"/>
      <c r="P6" s="2300"/>
      <c r="Q6" s="2300"/>
      <c r="R6" s="2300"/>
      <c r="S6" s="2300"/>
      <c r="T6" s="2300"/>
      <c r="U6" s="2300"/>
      <c r="V6" s="2300"/>
      <c r="W6" s="2302"/>
      <c r="X6" s="2218"/>
      <c r="Y6" s="2214"/>
      <c r="Z6" s="2219"/>
      <c r="AA6" s="2218"/>
      <c r="AB6" s="2214"/>
      <c r="AC6" s="2219"/>
      <c r="AD6" s="2220" t="s">
        <v>98</v>
      </c>
      <c r="AE6" s="2221"/>
      <c r="AF6" s="2222"/>
      <c r="AG6" s="2220" t="s">
        <v>76</v>
      </c>
      <c r="AH6" s="2221"/>
      <c r="AI6" s="2222"/>
      <c r="AJ6" s="2220" t="s">
        <v>123</v>
      </c>
      <c r="AK6" s="2221"/>
      <c r="AL6" s="2221"/>
      <c r="AM6" s="2251"/>
      <c r="AN6" s="2258" t="s">
        <v>29</v>
      </c>
      <c r="AO6" s="2221"/>
      <c r="AP6" s="2251"/>
      <c r="AQ6" s="2254"/>
      <c r="AR6" s="2214"/>
      <c r="AS6" s="2215"/>
      <c r="AT6" s="2299"/>
      <c r="AU6" s="2300"/>
      <c r="AV6" s="2300"/>
      <c r="AW6" s="2300"/>
      <c r="AX6" s="2300"/>
      <c r="AY6" s="2300"/>
      <c r="AZ6" s="2300"/>
      <c r="BA6" s="2300"/>
      <c r="BB6" s="2301"/>
      <c r="BC6" s="2299"/>
      <c r="BD6" s="2300"/>
      <c r="BE6" s="2300"/>
      <c r="BF6" s="2300"/>
      <c r="BG6" s="2300"/>
      <c r="BH6" s="2300"/>
      <c r="BI6" s="2300"/>
      <c r="BJ6" s="2300"/>
      <c r="BK6" s="2301"/>
    </row>
    <row r="7" spans="2:65" ht="31" customHeight="1">
      <c r="B7" s="2129"/>
      <c r="C7" s="2130"/>
      <c r="D7" s="2130"/>
      <c r="E7" s="2130"/>
      <c r="F7" s="2130"/>
      <c r="G7" s="2130"/>
      <c r="H7" s="2130"/>
      <c r="I7" s="2130"/>
      <c r="J7" s="2130"/>
      <c r="K7" s="2131"/>
      <c r="L7" s="2213"/>
      <c r="M7" s="2214"/>
      <c r="N7" s="2215"/>
      <c r="O7" s="2306" t="s">
        <v>15</v>
      </c>
      <c r="P7" s="2221"/>
      <c r="Q7" s="2222"/>
      <c r="R7" s="2220" t="s">
        <v>16</v>
      </c>
      <c r="S7" s="2221"/>
      <c r="T7" s="2251"/>
      <c r="U7" s="2289" t="s">
        <v>29</v>
      </c>
      <c r="V7" s="2290"/>
      <c r="W7" s="2298"/>
      <c r="X7" s="2214"/>
      <c r="Y7" s="2214"/>
      <c r="Z7" s="2219"/>
      <c r="AA7" s="2218"/>
      <c r="AB7" s="2214"/>
      <c r="AC7" s="2219"/>
      <c r="AD7" s="2218"/>
      <c r="AE7" s="2214"/>
      <c r="AF7" s="2219"/>
      <c r="AG7" s="2218"/>
      <c r="AH7" s="2214"/>
      <c r="AI7" s="2219"/>
      <c r="AJ7" s="2218"/>
      <c r="AK7" s="2214"/>
      <c r="AL7" s="2214"/>
      <c r="AM7" s="2252"/>
      <c r="AN7" s="2255" t="s">
        <v>1029</v>
      </c>
      <c r="AO7" s="2256"/>
      <c r="AP7" s="2259"/>
      <c r="AQ7" s="2254"/>
      <c r="AR7" s="2214"/>
      <c r="AS7" s="2215"/>
      <c r="AT7" s="2307" t="s">
        <v>15</v>
      </c>
      <c r="AU7" s="2308"/>
      <c r="AV7" s="2309"/>
      <c r="AW7" s="2313" t="s">
        <v>16</v>
      </c>
      <c r="AX7" s="2308"/>
      <c r="AY7" s="2314"/>
      <c r="AZ7" s="2289" t="s">
        <v>29</v>
      </c>
      <c r="BA7" s="2290"/>
      <c r="BB7" s="2291"/>
      <c r="BC7" s="2320" t="s">
        <v>15</v>
      </c>
      <c r="BD7" s="2290"/>
      <c r="BE7" s="2298"/>
      <c r="BF7" s="2321" t="s">
        <v>16</v>
      </c>
      <c r="BG7" s="2290"/>
      <c r="BH7" s="2322"/>
      <c r="BI7" s="2289" t="s">
        <v>29</v>
      </c>
      <c r="BJ7" s="2290"/>
      <c r="BK7" s="2291"/>
    </row>
    <row r="8" spans="2:65" ht="31" customHeight="1">
      <c r="B8" s="2129"/>
      <c r="C8" s="2130"/>
      <c r="D8" s="2130"/>
      <c r="E8" s="2130"/>
      <c r="F8" s="2130"/>
      <c r="G8" s="2130"/>
      <c r="H8" s="2130"/>
      <c r="I8" s="2130"/>
      <c r="J8" s="2130"/>
      <c r="K8" s="2131"/>
      <c r="L8" s="2213"/>
      <c r="M8" s="2214"/>
      <c r="N8" s="2215"/>
      <c r="O8" s="2213"/>
      <c r="P8" s="2214"/>
      <c r="Q8" s="2219"/>
      <c r="R8" s="2218"/>
      <c r="S8" s="2214"/>
      <c r="T8" s="2252"/>
      <c r="U8" s="2255" t="s">
        <v>1031</v>
      </c>
      <c r="V8" s="2256"/>
      <c r="W8" s="2257"/>
      <c r="X8" s="2214"/>
      <c r="Y8" s="2214"/>
      <c r="Z8" s="2219"/>
      <c r="AA8" s="2218"/>
      <c r="AB8" s="2214"/>
      <c r="AC8" s="2219"/>
      <c r="AD8" s="2218"/>
      <c r="AE8" s="2214"/>
      <c r="AF8" s="2219"/>
      <c r="AG8" s="2218"/>
      <c r="AH8" s="2214"/>
      <c r="AI8" s="2219"/>
      <c r="AJ8" s="2218"/>
      <c r="AK8" s="2214"/>
      <c r="AL8" s="2214"/>
      <c r="AM8" s="2252"/>
      <c r="AN8" s="2255"/>
      <c r="AO8" s="2256"/>
      <c r="AP8" s="2259"/>
      <c r="AQ8" s="2254"/>
      <c r="AR8" s="2214"/>
      <c r="AS8" s="2215"/>
      <c r="AT8" s="2310"/>
      <c r="AU8" s="2311"/>
      <c r="AV8" s="2312"/>
      <c r="AW8" s="2315"/>
      <c r="AX8" s="2311"/>
      <c r="AY8" s="2316"/>
      <c r="AZ8" s="2255" t="s">
        <v>1030</v>
      </c>
      <c r="BA8" s="2256"/>
      <c r="BB8" s="2319"/>
      <c r="BC8" s="2317" t="s">
        <v>1024</v>
      </c>
      <c r="BD8" s="2256"/>
      <c r="BE8" s="2257"/>
      <c r="BF8" s="2318" t="s">
        <v>1023</v>
      </c>
      <c r="BG8" s="2256"/>
      <c r="BH8" s="2259"/>
      <c r="BI8" s="2255" t="s">
        <v>1022</v>
      </c>
      <c r="BJ8" s="2256"/>
      <c r="BK8" s="2319"/>
    </row>
    <row r="9" spans="2:65" s="376" customFormat="1" ht="12" customHeight="1" thickBot="1">
      <c r="B9" s="2226" t="s">
        <v>48</v>
      </c>
      <c r="C9" s="2227"/>
      <c r="D9" s="2227"/>
      <c r="E9" s="2227"/>
      <c r="F9" s="2227"/>
      <c r="G9" s="2227"/>
      <c r="H9" s="2227"/>
      <c r="I9" s="2227"/>
      <c r="J9" s="2227"/>
      <c r="K9" s="2228"/>
      <c r="L9" s="2226" t="s">
        <v>30</v>
      </c>
      <c r="M9" s="2227"/>
      <c r="N9" s="2228"/>
      <c r="O9" s="2226" t="s">
        <v>31</v>
      </c>
      <c r="P9" s="2227"/>
      <c r="Q9" s="2227"/>
      <c r="R9" s="2285" t="s">
        <v>32</v>
      </c>
      <c r="S9" s="2227"/>
      <c r="T9" s="2286"/>
      <c r="U9" s="2287" t="s">
        <v>33</v>
      </c>
      <c r="V9" s="2227"/>
      <c r="W9" s="2288"/>
      <c r="X9" s="2227" t="s">
        <v>34</v>
      </c>
      <c r="Y9" s="2227"/>
      <c r="Z9" s="2288"/>
      <c r="AA9" s="2285" t="s">
        <v>35</v>
      </c>
      <c r="AB9" s="2227"/>
      <c r="AC9" s="2288"/>
      <c r="AD9" s="2285" t="s">
        <v>36</v>
      </c>
      <c r="AE9" s="2227"/>
      <c r="AF9" s="2227"/>
      <c r="AG9" s="2285" t="s">
        <v>37</v>
      </c>
      <c r="AH9" s="2227"/>
      <c r="AI9" s="2288"/>
      <c r="AJ9" s="2285" t="s">
        <v>61</v>
      </c>
      <c r="AK9" s="2227"/>
      <c r="AL9" s="2227"/>
      <c r="AM9" s="2286"/>
      <c r="AN9" s="2287" t="s">
        <v>62</v>
      </c>
      <c r="AO9" s="2227"/>
      <c r="AP9" s="2286"/>
      <c r="AQ9" s="2323" t="s">
        <v>63</v>
      </c>
      <c r="AR9" s="2324"/>
      <c r="AS9" s="2228"/>
      <c r="AT9" s="2226" t="s">
        <v>74</v>
      </c>
      <c r="AU9" s="2227"/>
      <c r="AV9" s="2288"/>
      <c r="AW9" s="2285" t="s">
        <v>75</v>
      </c>
      <c r="AX9" s="2227"/>
      <c r="AY9" s="2286"/>
      <c r="AZ9" s="2227" t="s">
        <v>77</v>
      </c>
      <c r="BA9" s="2227"/>
      <c r="BB9" s="2228"/>
      <c r="BC9" s="2226" t="s">
        <v>78</v>
      </c>
      <c r="BD9" s="2227"/>
      <c r="BE9" s="2288"/>
      <c r="BF9" s="2285" t="s">
        <v>79</v>
      </c>
      <c r="BG9" s="2227"/>
      <c r="BH9" s="2286"/>
      <c r="BI9" s="2227" t="s">
        <v>83</v>
      </c>
      <c r="BJ9" s="2227"/>
      <c r="BK9" s="2228"/>
    </row>
    <row r="10" spans="2:65" s="191" customFormat="1" ht="30" customHeight="1">
      <c r="B10" s="347"/>
      <c r="C10" s="348" t="s">
        <v>382</v>
      </c>
      <c r="D10" s="348"/>
      <c r="E10" s="348"/>
      <c r="F10" s="348"/>
      <c r="G10" s="348"/>
      <c r="H10" s="348"/>
      <c r="I10" s="348"/>
      <c r="J10" s="348"/>
      <c r="K10" s="349"/>
      <c r="L10" s="2282">
        <v>0</v>
      </c>
      <c r="M10" s="2224"/>
      <c r="N10" s="2283"/>
      <c r="O10" s="2282">
        <v>0</v>
      </c>
      <c r="P10" s="2224"/>
      <c r="Q10" s="2224"/>
      <c r="R10" s="2277">
        <v>0</v>
      </c>
      <c r="S10" s="2224"/>
      <c r="T10" s="2278"/>
      <c r="U10" s="2280">
        <f>SUM(O10:T10)</f>
        <v>0</v>
      </c>
      <c r="V10" s="2280"/>
      <c r="W10" s="2284"/>
      <c r="X10" s="2223">
        <v>0</v>
      </c>
      <c r="Y10" s="2224"/>
      <c r="Z10" s="2225"/>
      <c r="AA10" s="2223">
        <v>0</v>
      </c>
      <c r="AB10" s="2224"/>
      <c r="AC10" s="2225"/>
      <c r="AD10" s="2223">
        <v>0</v>
      </c>
      <c r="AE10" s="2224"/>
      <c r="AF10" s="2225"/>
      <c r="AG10" s="2223">
        <v>0</v>
      </c>
      <c r="AH10" s="2224"/>
      <c r="AI10" s="2225"/>
      <c r="AJ10" s="2277">
        <v>0</v>
      </c>
      <c r="AK10" s="2224"/>
      <c r="AL10" s="2224"/>
      <c r="AM10" s="2278"/>
      <c r="AN10" s="2279">
        <f>SUM(AD10:AM10)</f>
        <v>0</v>
      </c>
      <c r="AO10" s="2280"/>
      <c r="AP10" s="2281"/>
      <c r="AQ10" s="2279">
        <f>SUM(U10,X10,AA10,AN10)</f>
        <v>0</v>
      </c>
      <c r="AR10" s="2280"/>
      <c r="AS10" s="2325"/>
      <c r="AT10" s="2223">
        <v>0</v>
      </c>
      <c r="AU10" s="2224"/>
      <c r="AV10" s="2225"/>
      <c r="AW10" s="2277">
        <v>0</v>
      </c>
      <c r="AX10" s="2224"/>
      <c r="AY10" s="2278"/>
      <c r="AZ10" s="2280">
        <f>SUM(AT10:AY10)</f>
        <v>0</v>
      </c>
      <c r="BA10" s="2280"/>
      <c r="BB10" s="2325"/>
      <c r="BC10" s="2326">
        <f>SUM(O10,AT10)</f>
        <v>0</v>
      </c>
      <c r="BD10" s="2280"/>
      <c r="BE10" s="2284"/>
      <c r="BF10" s="2327">
        <f>SUM(R10,AW10)</f>
        <v>0</v>
      </c>
      <c r="BG10" s="2280"/>
      <c r="BH10" s="2281"/>
      <c r="BI10" s="2280">
        <f>SUM(BC10:BH10)</f>
        <v>0</v>
      </c>
      <c r="BJ10" s="2280"/>
      <c r="BK10" s="2325"/>
      <c r="BM10" s="337" t="str">
        <f>IF(AQ10&lt;&gt;L10, "Column 12 shall tally with entries in Column 2.","")</f>
        <v/>
      </c>
    </row>
    <row r="11" spans="2:65" s="191" customFormat="1" ht="30" customHeight="1">
      <c r="B11" s="350"/>
      <c r="C11" s="351" t="s">
        <v>383</v>
      </c>
      <c r="D11" s="351"/>
      <c r="E11" s="351"/>
      <c r="F11" s="351"/>
      <c r="G11" s="351"/>
      <c r="H11" s="351"/>
      <c r="I11" s="351"/>
      <c r="J11" s="351"/>
      <c r="K11" s="352"/>
      <c r="L11" s="2192">
        <v>0</v>
      </c>
      <c r="M11" s="2193"/>
      <c r="N11" s="2194"/>
      <c r="O11" s="2192">
        <v>0</v>
      </c>
      <c r="P11" s="2193"/>
      <c r="Q11" s="2193"/>
      <c r="R11" s="2195">
        <v>0</v>
      </c>
      <c r="S11" s="2193"/>
      <c r="T11" s="2196"/>
      <c r="U11" s="2166">
        <f>SUM(O11:T11)</f>
        <v>0</v>
      </c>
      <c r="V11" s="2166"/>
      <c r="W11" s="2169"/>
      <c r="X11" s="2197">
        <v>0</v>
      </c>
      <c r="Y11" s="2193"/>
      <c r="Z11" s="2198"/>
      <c r="AA11" s="2197">
        <v>0</v>
      </c>
      <c r="AB11" s="2193"/>
      <c r="AC11" s="2198"/>
      <c r="AD11" s="2197">
        <v>0</v>
      </c>
      <c r="AE11" s="2193"/>
      <c r="AF11" s="2198"/>
      <c r="AG11" s="2197">
        <v>0</v>
      </c>
      <c r="AH11" s="2193"/>
      <c r="AI11" s="2198"/>
      <c r="AJ11" s="2195">
        <v>0</v>
      </c>
      <c r="AK11" s="2193"/>
      <c r="AL11" s="2193"/>
      <c r="AM11" s="2196"/>
      <c r="AN11" s="2209">
        <f t="shared" ref="AN11:AN29" si="0">SUM(AD11:AM11)</f>
        <v>0</v>
      </c>
      <c r="AO11" s="2166"/>
      <c r="AP11" s="2171"/>
      <c r="AQ11" s="2209">
        <f t="shared" ref="AQ11:AQ29" si="1">SUM(U11,X11,AA11,AN11)</f>
        <v>0</v>
      </c>
      <c r="AR11" s="2166"/>
      <c r="AS11" s="2167"/>
      <c r="AT11" s="2197">
        <v>0</v>
      </c>
      <c r="AU11" s="2193"/>
      <c r="AV11" s="2198"/>
      <c r="AW11" s="2195">
        <v>0</v>
      </c>
      <c r="AX11" s="2193"/>
      <c r="AY11" s="2196"/>
      <c r="AZ11" s="2166">
        <f t="shared" ref="AZ11:AZ29" si="2">SUM(AT11:AY11)</f>
        <v>0</v>
      </c>
      <c r="BA11" s="2166"/>
      <c r="BB11" s="2167"/>
      <c r="BC11" s="2168">
        <f>SUM(O11,AT11)</f>
        <v>0</v>
      </c>
      <c r="BD11" s="2166"/>
      <c r="BE11" s="2169"/>
      <c r="BF11" s="2170">
        <f t="shared" ref="BF11:BF29" si="3">SUM(R11,AW11)</f>
        <v>0</v>
      </c>
      <c r="BG11" s="2166"/>
      <c r="BH11" s="2171"/>
      <c r="BI11" s="2166">
        <f t="shared" ref="BI11:BI29" si="4">SUM(BC11:BH11)</f>
        <v>0</v>
      </c>
      <c r="BJ11" s="2166"/>
      <c r="BK11" s="2167"/>
      <c r="BM11" s="337" t="str">
        <f t="shared" ref="BM11:BM29" si="5">IF(AQ11&lt;&gt;L11, "Column 12 shall tally with entries in Column 2.","")</f>
        <v/>
      </c>
    </row>
    <row r="12" spans="2:65" s="191" customFormat="1" ht="30" customHeight="1">
      <c r="B12" s="350"/>
      <c r="C12" s="351" t="s">
        <v>384</v>
      </c>
      <c r="D12" s="351"/>
      <c r="E12" s="351"/>
      <c r="F12" s="351"/>
      <c r="G12" s="351"/>
      <c r="H12" s="351"/>
      <c r="I12" s="351"/>
      <c r="J12" s="351"/>
      <c r="K12" s="352"/>
      <c r="L12" s="2192">
        <v>1</v>
      </c>
      <c r="M12" s="2193"/>
      <c r="N12" s="2194"/>
      <c r="O12" s="2192">
        <v>1</v>
      </c>
      <c r="P12" s="2193"/>
      <c r="Q12" s="2193"/>
      <c r="R12" s="2195">
        <v>0</v>
      </c>
      <c r="S12" s="2193"/>
      <c r="T12" s="2196"/>
      <c r="U12" s="2166">
        <f t="shared" ref="U12:U28" si="6">SUM(O12:T12)</f>
        <v>1</v>
      </c>
      <c r="V12" s="2166"/>
      <c r="W12" s="2169"/>
      <c r="X12" s="2197">
        <v>0</v>
      </c>
      <c r="Y12" s="2193"/>
      <c r="Z12" s="2198"/>
      <c r="AA12" s="2197">
        <v>0</v>
      </c>
      <c r="AB12" s="2193"/>
      <c r="AC12" s="2198"/>
      <c r="AD12" s="2197">
        <v>0</v>
      </c>
      <c r="AE12" s="2193"/>
      <c r="AF12" s="2198"/>
      <c r="AG12" s="2197">
        <v>0</v>
      </c>
      <c r="AH12" s="2193"/>
      <c r="AI12" s="2198"/>
      <c r="AJ12" s="2195">
        <v>0</v>
      </c>
      <c r="AK12" s="2193"/>
      <c r="AL12" s="2193"/>
      <c r="AM12" s="2196"/>
      <c r="AN12" s="2209">
        <f t="shared" si="0"/>
        <v>0</v>
      </c>
      <c r="AO12" s="2166"/>
      <c r="AP12" s="2171"/>
      <c r="AQ12" s="2209">
        <f t="shared" si="1"/>
        <v>1</v>
      </c>
      <c r="AR12" s="2166"/>
      <c r="AS12" s="2167"/>
      <c r="AT12" s="2197">
        <v>0</v>
      </c>
      <c r="AU12" s="2193"/>
      <c r="AV12" s="2198"/>
      <c r="AW12" s="2195">
        <v>0</v>
      </c>
      <c r="AX12" s="2193"/>
      <c r="AY12" s="2196"/>
      <c r="AZ12" s="2166">
        <f t="shared" si="2"/>
        <v>0</v>
      </c>
      <c r="BA12" s="2166"/>
      <c r="BB12" s="2167"/>
      <c r="BC12" s="2168">
        <f t="shared" ref="BC12:BC29" si="7">SUM(O12,AT12)</f>
        <v>1</v>
      </c>
      <c r="BD12" s="2166"/>
      <c r="BE12" s="2169"/>
      <c r="BF12" s="2170">
        <f t="shared" si="3"/>
        <v>0</v>
      </c>
      <c r="BG12" s="2166"/>
      <c r="BH12" s="2171"/>
      <c r="BI12" s="2166">
        <f t="shared" si="4"/>
        <v>1</v>
      </c>
      <c r="BJ12" s="2166"/>
      <c r="BK12" s="2167"/>
      <c r="BM12" s="337" t="str">
        <f t="shared" si="5"/>
        <v/>
      </c>
    </row>
    <row r="13" spans="2:65" s="191" customFormat="1" ht="30" customHeight="1">
      <c r="B13" s="353"/>
      <c r="C13" s="354" t="s">
        <v>385</v>
      </c>
      <c r="D13" s="354"/>
      <c r="E13" s="354"/>
      <c r="F13" s="354"/>
      <c r="G13" s="354"/>
      <c r="H13" s="354"/>
      <c r="I13" s="354"/>
      <c r="J13" s="354"/>
      <c r="K13" s="355"/>
      <c r="L13" s="2202">
        <v>0</v>
      </c>
      <c r="M13" s="2190"/>
      <c r="N13" s="2203"/>
      <c r="O13" s="2202">
        <v>0</v>
      </c>
      <c r="P13" s="2190"/>
      <c r="Q13" s="2190"/>
      <c r="R13" s="2204">
        <v>0</v>
      </c>
      <c r="S13" s="2190"/>
      <c r="T13" s="2205"/>
      <c r="U13" s="2183">
        <f t="shared" si="6"/>
        <v>0</v>
      </c>
      <c r="V13" s="2183"/>
      <c r="W13" s="2186"/>
      <c r="X13" s="2189">
        <v>0</v>
      </c>
      <c r="Y13" s="2190"/>
      <c r="Z13" s="2191"/>
      <c r="AA13" s="2189">
        <v>0</v>
      </c>
      <c r="AB13" s="2190"/>
      <c r="AC13" s="2191"/>
      <c r="AD13" s="2189">
        <v>0</v>
      </c>
      <c r="AE13" s="2190"/>
      <c r="AF13" s="2191"/>
      <c r="AG13" s="2189">
        <v>0</v>
      </c>
      <c r="AH13" s="2190"/>
      <c r="AI13" s="2191"/>
      <c r="AJ13" s="2204">
        <v>0</v>
      </c>
      <c r="AK13" s="2190"/>
      <c r="AL13" s="2190"/>
      <c r="AM13" s="2205"/>
      <c r="AN13" s="2208">
        <f t="shared" si="0"/>
        <v>0</v>
      </c>
      <c r="AO13" s="2183"/>
      <c r="AP13" s="2188"/>
      <c r="AQ13" s="2208">
        <f t="shared" si="1"/>
        <v>0</v>
      </c>
      <c r="AR13" s="2183"/>
      <c r="AS13" s="2184"/>
      <c r="AT13" s="2189">
        <v>0</v>
      </c>
      <c r="AU13" s="2190"/>
      <c r="AV13" s="2191"/>
      <c r="AW13" s="2204">
        <v>0</v>
      </c>
      <c r="AX13" s="2190"/>
      <c r="AY13" s="2205"/>
      <c r="AZ13" s="2183">
        <f t="shared" si="2"/>
        <v>0</v>
      </c>
      <c r="BA13" s="2183"/>
      <c r="BB13" s="2184"/>
      <c r="BC13" s="2185">
        <f t="shared" si="7"/>
        <v>0</v>
      </c>
      <c r="BD13" s="2183"/>
      <c r="BE13" s="2186"/>
      <c r="BF13" s="2187">
        <f t="shared" si="3"/>
        <v>0</v>
      </c>
      <c r="BG13" s="2183"/>
      <c r="BH13" s="2188"/>
      <c r="BI13" s="2183">
        <f t="shared" si="4"/>
        <v>0</v>
      </c>
      <c r="BJ13" s="2183"/>
      <c r="BK13" s="2184"/>
      <c r="BM13" s="337" t="str">
        <f t="shared" si="5"/>
        <v/>
      </c>
    </row>
    <row r="14" spans="2:65" s="191" customFormat="1" ht="30" customHeight="1">
      <c r="B14" s="347"/>
      <c r="C14" s="348" t="s">
        <v>594</v>
      </c>
      <c r="D14" s="348"/>
      <c r="E14" s="348"/>
      <c r="F14" s="348"/>
      <c r="G14" s="348"/>
      <c r="H14" s="348"/>
      <c r="I14" s="348"/>
      <c r="J14" s="348"/>
      <c r="K14" s="349"/>
      <c r="L14" s="2199">
        <v>0</v>
      </c>
      <c r="M14" s="2173"/>
      <c r="N14" s="2200"/>
      <c r="O14" s="2199">
        <v>0</v>
      </c>
      <c r="P14" s="2173"/>
      <c r="Q14" s="2173"/>
      <c r="R14" s="2175">
        <v>0</v>
      </c>
      <c r="S14" s="2173"/>
      <c r="T14" s="2176"/>
      <c r="U14" s="2178">
        <f t="shared" si="6"/>
        <v>0</v>
      </c>
      <c r="V14" s="2178"/>
      <c r="W14" s="2207"/>
      <c r="X14" s="2172">
        <v>0</v>
      </c>
      <c r="Y14" s="2173"/>
      <c r="Z14" s="2174"/>
      <c r="AA14" s="2172">
        <v>0</v>
      </c>
      <c r="AB14" s="2173"/>
      <c r="AC14" s="2174"/>
      <c r="AD14" s="2172">
        <v>0</v>
      </c>
      <c r="AE14" s="2173"/>
      <c r="AF14" s="2174"/>
      <c r="AG14" s="2172">
        <v>0</v>
      </c>
      <c r="AH14" s="2173"/>
      <c r="AI14" s="2174"/>
      <c r="AJ14" s="2175">
        <v>0</v>
      </c>
      <c r="AK14" s="2173"/>
      <c r="AL14" s="2173"/>
      <c r="AM14" s="2176"/>
      <c r="AN14" s="2177">
        <f t="shared" si="0"/>
        <v>0</v>
      </c>
      <c r="AO14" s="2178"/>
      <c r="AP14" s="2179"/>
      <c r="AQ14" s="2177">
        <f t="shared" si="1"/>
        <v>0</v>
      </c>
      <c r="AR14" s="2178"/>
      <c r="AS14" s="2180"/>
      <c r="AT14" s="2172">
        <v>0</v>
      </c>
      <c r="AU14" s="2173"/>
      <c r="AV14" s="2174"/>
      <c r="AW14" s="2175">
        <v>0</v>
      </c>
      <c r="AX14" s="2173"/>
      <c r="AY14" s="2176"/>
      <c r="AZ14" s="2178">
        <f t="shared" si="2"/>
        <v>0</v>
      </c>
      <c r="BA14" s="2178"/>
      <c r="BB14" s="2180"/>
      <c r="BC14" s="2206">
        <f t="shared" si="7"/>
        <v>0</v>
      </c>
      <c r="BD14" s="2178"/>
      <c r="BE14" s="2207"/>
      <c r="BF14" s="2201">
        <f t="shared" si="3"/>
        <v>0</v>
      </c>
      <c r="BG14" s="2178"/>
      <c r="BH14" s="2179"/>
      <c r="BI14" s="2178">
        <f t="shared" si="4"/>
        <v>0</v>
      </c>
      <c r="BJ14" s="2178"/>
      <c r="BK14" s="2180"/>
      <c r="BM14" s="337" t="str">
        <f t="shared" si="5"/>
        <v/>
      </c>
    </row>
    <row r="15" spans="2:65" s="191" customFormat="1" ht="30" customHeight="1">
      <c r="B15" s="356"/>
      <c r="C15" s="357" t="s">
        <v>97</v>
      </c>
      <c r="D15" s="357"/>
      <c r="E15" s="357"/>
      <c r="F15" s="357"/>
      <c r="G15" s="357"/>
      <c r="H15" s="357"/>
      <c r="I15" s="357"/>
      <c r="J15" s="357"/>
      <c r="K15" s="358"/>
      <c r="L15" s="2192">
        <v>0</v>
      </c>
      <c r="M15" s="2193"/>
      <c r="N15" s="2194"/>
      <c r="O15" s="2192">
        <v>0</v>
      </c>
      <c r="P15" s="2193"/>
      <c r="Q15" s="2193"/>
      <c r="R15" s="2195">
        <v>0</v>
      </c>
      <c r="S15" s="2193"/>
      <c r="T15" s="2196"/>
      <c r="U15" s="2166">
        <f t="shared" si="6"/>
        <v>0</v>
      </c>
      <c r="V15" s="2166"/>
      <c r="W15" s="2169"/>
      <c r="X15" s="2197">
        <v>0</v>
      </c>
      <c r="Y15" s="2193"/>
      <c r="Z15" s="2198"/>
      <c r="AA15" s="2197">
        <v>0</v>
      </c>
      <c r="AB15" s="2193"/>
      <c r="AC15" s="2198"/>
      <c r="AD15" s="2197">
        <v>0</v>
      </c>
      <c r="AE15" s="2193"/>
      <c r="AF15" s="2198"/>
      <c r="AG15" s="2197">
        <v>0</v>
      </c>
      <c r="AH15" s="2193"/>
      <c r="AI15" s="2198"/>
      <c r="AJ15" s="2195">
        <v>0</v>
      </c>
      <c r="AK15" s="2193"/>
      <c r="AL15" s="2193"/>
      <c r="AM15" s="2196"/>
      <c r="AN15" s="2209">
        <f>SUM(AD15:AM15)</f>
        <v>0</v>
      </c>
      <c r="AO15" s="2166"/>
      <c r="AP15" s="2171"/>
      <c r="AQ15" s="2209">
        <f t="shared" si="1"/>
        <v>0</v>
      </c>
      <c r="AR15" s="2166"/>
      <c r="AS15" s="2167"/>
      <c r="AT15" s="2197">
        <v>0</v>
      </c>
      <c r="AU15" s="2193"/>
      <c r="AV15" s="2198"/>
      <c r="AW15" s="2195">
        <v>0</v>
      </c>
      <c r="AX15" s="2193"/>
      <c r="AY15" s="2196"/>
      <c r="AZ15" s="2166">
        <f t="shared" si="2"/>
        <v>0</v>
      </c>
      <c r="BA15" s="2166"/>
      <c r="BB15" s="2167"/>
      <c r="BC15" s="2168">
        <f t="shared" si="7"/>
        <v>0</v>
      </c>
      <c r="BD15" s="2166"/>
      <c r="BE15" s="2169"/>
      <c r="BF15" s="2170">
        <f t="shared" si="3"/>
        <v>0</v>
      </c>
      <c r="BG15" s="2166"/>
      <c r="BH15" s="2171"/>
      <c r="BI15" s="2166">
        <f t="shared" si="4"/>
        <v>0</v>
      </c>
      <c r="BJ15" s="2166"/>
      <c r="BK15" s="2167"/>
      <c r="BM15" s="337" t="str">
        <f t="shared" si="5"/>
        <v/>
      </c>
    </row>
    <row r="16" spans="2:65" s="191" customFormat="1" ht="30" customHeight="1">
      <c r="B16" s="350"/>
      <c r="C16" s="351" t="s">
        <v>96</v>
      </c>
      <c r="D16" s="351"/>
      <c r="E16" s="351"/>
      <c r="F16" s="351"/>
      <c r="G16" s="351"/>
      <c r="H16" s="351"/>
      <c r="I16" s="351"/>
      <c r="J16" s="351"/>
      <c r="K16" s="352"/>
      <c r="L16" s="2192">
        <v>0</v>
      </c>
      <c r="M16" s="2193"/>
      <c r="N16" s="2194"/>
      <c r="O16" s="2192">
        <v>0</v>
      </c>
      <c r="P16" s="2193"/>
      <c r="Q16" s="2193"/>
      <c r="R16" s="2195">
        <v>0</v>
      </c>
      <c r="S16" s="2193"/>
      <c r="T16" s="2196"/>
      <c r="U16" s="2166">
        <f t="shared" si="6"/>
        <v>0</v>
      </c>
      <c r="V16" s="2166"/>
      <c r="W16" s="2169"/>
      <c r="X16" s="2197">
        <v>0</v>
      </c>
      <c r="Y16" s="2193"/>
      <c r="Z16" s="2198"/>
      <c r="AA16" s="2197">
        <v>0</v>
      </c>
      <c r="AB16" s="2193"/>
      <c r="AC16" s="2198"/>
      <c r="AD16" s="2197">
        <v>0</v>
      </c>
      <c r="AE16" s="2193"/>
      <c r="AF16" s="2198"/>
      <c r="AG16" s="2197">
        <v>0</v>
      </c>
      <c r="AH16" s="2193"/>
      <c r="AI16" s="2198"/>
      <c r="AJ16" s="2195">
        <v>0</v>
      </c>
      <c r="AK16" s="2193"/>
      <c r="AL16" s="2193"/>
      <c r="AM16" s="2196"/>
      <c r="AN16" s="2209">
        <f t="shared" si="0"/>
        <v>0</v>
      </c>
      <c r="AO16" s="2166"/>
      <c r="AP16" s="2171"/>
      <c r="AQ16" s="2209">
        <f t="shared" si="1"/>
        <v>0</v>
      </c>
      <c r="AR16" s="2166"/>
      <c r="AS16" s="2167"/>
      <c r="AT16" s="2197">
        <v>0</v>
      </c>
      <c r="AU16" s="2193"/>
      <c r="AV16" s="2198"/>
      <c r="AW16" s="2195">
        <v>0</v>
      </c>
      <c r="AX16" s="2193"/>
      <c r="AY16" s="2196"/>
      <c r="AZ16" s="2166">
        <f t="shared" si="2"/>
        <v>0</v>
      </c>
      <c r="BA16" s="2166"/>
      <c r="BB16" s="2167"/>
      <c r="BC16" s="2168">
        <f t="shared" si="7"/>
        <v>0</v>
      </c>
      <c r="BD16" s="2166"/>
      <c r="BE16" s="2169"/>
      <c r="BF16" s="2170">
        <f t="shared" si="3"/>
        <v>0</v>
      </c>
      <c r="BG16" s="2166"/>
      <c r="BH16" s="2171"/>
      <c r="BI16" s="2166">
        <f t="shared" si="4"/>
        <v>0</v>
      </c>
      <c r="BJ16" s="2166"/>
      <c r="BK16" s="2167"/>
      <c r="BM16" s="337" t="str">
        <f t="shared" si="5"/>
        <v/>
      </c>
    </row>
    <row r="17" spans="2:65" s="191" customFormat="1" ht="30" customHeight="1">
      <c r="B17" s="350"/>
      <c r="C17" s="351" t="s">
        <v>38</v>
      </c>
      <c r="D17" s="351"/>
      <c r="E17" s="351"/>
      <c r="F17" s="351"/>
      <c r="G17" s="351"/>
      <c r="H17" s="351"/>
      <c r="I17" s="351"/>
      <c r="J17" s="351"/>
      <c r="K17" s="352"/>
      <c r="L17" s="2192">
        <v>0</v>
      </c>
      <c r="M17" s="2193"/>
      <c r="N17" s="2194"/>
      <c r="O17" s="2192">
        <v>0</v>
      </c>
      <c r="P17" s="2193"/>
      <c r="Q17" s="2193"/>
      <c r="R17" s="2195">
        <v>0</v>
      </c>
      <c r="S17" s="2193"/>
      <c r="T17" s="2196"/>
      <c r="U17" s="2166">
        <f t="shared" si="6"/>
        <v>0</v>
      </c>
      <c r="V17" s="2166"/>
      <c r="W17" s="2169"/>
      <c r="X17" s="2197">
        <v>0</v>
      </c>
      <c r="Y17" s="2193"/>
      <c r="Z17" s="2198"/>
      <c r="AA17" s="2197">
        <v>0</v>
      </c>
      <c r="AB17" s="2193"/>
      <c r="AC17" s="2198"/>
      <c r="AD17" s="2197">
        <v>0</v>
      </c>
      <c r="AE17" s="2193"/>
      <c r="AF17" s="2198"/>
      <c r="AG17" s="2197">
        <v>0</v>
      </c>
      <c r="AH17" s="2193"/>
      <c r="AI17" s="2198"/>
      <c r="AJ17" s="2195">
        <v>0</v>
      </c>
      <c r="AK17" s="2193"/>
      <c r="AL17" s="2193"/>
      <c r="AM17" s="2196"/>
      <c r="AN17" s="2209">
        <f t="shared" si="0"/>
        <v>0</v>
      </c>
      <c r="AO17" s="2166"/>
      <c r="AP17" s="2171"/>
      <c r="AQ17" s="2209">
        <f t="shared" si="1"/>
        <v>0</v>
      </c>
      <c r="AR17" s="2166"/>
      <c r="AS17" s="2167"/>
      <c r="AT17" s="2197">
        <v>0</v>
      </c>
      <c r="AU17" s="2193"/>
      <c r="AV17" s="2198"/>
      <c r="AW17" s="2195">
        <v>0</v>
      </c>
      <c r="AX17" s="2193"/>
      <c r="AY17" s="2196"/>
      <c r="AZ17" s="2166">
        <f t="shared" si="2"/>
        <v>0</v>
      </c>
      <c r="BA17" s="2166"/>
      <c r="BB17" s="2167"/>
      <c r="BC17" s="2168">
        <f t="shared" si="7"/>
        <v>0</v>
      </c>
      <c r="BD17" s="2166"/>
      <c r="BE17" s="2169"/>
      <c r="BF17" s="2170">
        <f t="shared" si="3"/>
        <v>0</v>
      </c>
      <c r="BG17" s="2166"/>
      <c r="BH17" s="2171"/>
      <c r="BI17" s="2166">
        <f t="shared" si="4"/>
        <v>0</v>
      </c>
      <c r="BJ17" s="2166"/>
      <c r="BK17" s="2167"/>
      <c r="BM17" s="337" t="str">
        <f t="shared" si="5"/>
        <v/>
      </c>
    </row>
    <row r="18" spans="2:65" s="191" customFormat="1" ht="30" customHeight="1">
      <c r="B18" s="350"/>
      <c r="C18" s="351" t="s">
        <v>39</v>
      </c>
      <c r="D18" s="351"/>
      <c r="E18" s="351"/>
      <c r="F18" s="351"/>
      <c r="G18" s="351"/>
      <c r="H18" s="351"/>
      <c r="I18" s="351"/>
      <c r="J18" s="351"/>
      <c r="K18" s="352"/>
      <c r="L18" s="2192">
        <v>1</v>
      </c>
      <c r="M18" s="2193"/>
      <c r="N18" s="2194"/>
      <c r="O18" s="2192">
        <v>1</v>
      </c>
      <c r="P18" s="2193"/>
      <c r="Q18" s="2193"/>
      <c r="R18" s="2195">
        <v>0</v>
      </c>
      <c r="S18" s="2193"/>
      <c r="T18" s="2196"/>
      <c r="U18" s="2166">
        <f t="shared" si="6"/>
        <v>1</v>
      </c>
      <c r="V18" s="2166"/>
      <c r="W18" s="2169"/>
      <c r="X18" s="2197">
        <v>0</v>
      </c>
      <c r="Y18" s="2193"/>
      <c r="Z18" s="2198"/>
      <c r="AA18" s="2197">
        <v>0</v>
      </c>
      <c r="AB18" s="2193"/>
      <c r="AC18" s="2198"/>
      <c r="AD18" s="2197">
        <v>0</v>
      </c>
      <c r="AE18" s="2193"/>
      <c r="AF18" s="2198"/>
      <c r="AG18" s="2197">
        <v>0</v>
      </c>
      <c r="AH18" s="2193"/>
      <c r="AI18" s="2198"/>
      <c r="AJ18" s="2195">
        <v>0</v>
      </c>
      <c r="AK18" s="2193"/>
      <c r="AL18" s="2193"/>
      <c r="AM18" s="2196"/>
      <c r="AN18" s="2209">
        <f t="shared" si="0"/>
        <v>0</v>
      </c>
      <c r="AO18" s="2166"/>
      <c r="AP18" s="2171"/>
      <c r="AQ18" s="2209">
        <f t="shared" si="1"/>
        <v>1</v>
      </c>
      <c r="AR18" s="2166"/>
      <c r="AS18" s="2167"/>
      <c r="AT18" s="2197">
        <v>0</v>
      </c>
      <c r="AU18" s="2193"/>
      <c r="AV18" s="2198"/>
      <c r="AW18" s="2195">
        <v>0</v>
      </c>
      <c r="AX18" s="2193"/>
      <c r="AY18" s="2196"/>
      <c r="AZ18" s="2166">
        <f t="shared" si="2"/>
        <v>0</v>
      </c>
      <c r="BA18" s="2166"/>
      <c r="BB18" s="2167"/>
      <c r="BC18" s="2168">
        <f t="shared" si="7"/>
        <v>1</v>
      </c>
      <c r="BD18" s="2166"/>
      <c r="BE18" s="2169"/>
      <c r="BF18" s="2170">
        <f t="shared" si="3"/>
        <v>0</v>
      </c>
      <c r="BG18" s="2166"/>
      <c r="BH18" s="2171"/>
      <c r="BI18" s="2166">
        <f t="shared" si="4"/>
        <v>1</v>
      </c>
      <c r="BJ18" s="2166"/>
      <c r="BK18" s="2167"/>
      <c r="BM18" s="337" t="str">
        <f t="shared" si="5"/>
        <v/>
      </c>
    </row>
    <row r="19" spans="2:65" s="191" customFormat="1" ht="30" customHeight="1">
      <c r="B19" s="359"/>
      <c r="C19" s="360" t="s">
        <v>40</v>
      </c>
      <c r="D19" s="360"/>
      <c r="E19" s="360"/>
      <c r="F19" s="360"/>
      <c r="G19" s="360"/>
      <c r="H19" s="360"/>
      <c r="I19" s="360"/>
      <c r="J19" s="360"/>
      <c r="K19" s="361"/>
      <c r="L19" s="2202">
        <v>0</v>
      </c>
      <c r="M19" s="2190"/>
      <c r="N19" s="2203"/>
      <c r="O19" s="2202">
        <v>0</v>
      </c>
      <c r="P19" s="2190"/>
      <c r="Q19" s="2190"/>
      <c r="R19" s="2204">
        <v>0</v>
      </c>
      <c r="S19" s="2190"/>
      <c r="T19" s="2205"/>
      <c r="U19" s="2183">
        <f t="shared" si="6"/>
        <v>0</v>
      </c>
      <c r="V19" s="2183"/>
      <c r="W19" s="2186"/>
      <c r="X19" s="2189">
        <v>0</v>
      </c>
      <c r="Y19" s="2190"/>
      <c r="Z19" s="2191"/>
      <c r="AA19" s="2189">
        <v>0</v>
      </c>
      <c r="AB19" s="2190"/>
      <c r="AC19" s="2191"/>
      <c r="AD19" s="2189">
        <v>0</v>
      </c>
      <c r="AE19" s="2190"/>
      <c r="AF19" s="2191"/>
      <c r="AG19" s="2189">
        <v>0</v>
      </c>
      <c r="AH19" s="2190"/>
      <c r="AI19" s="2191"/>
      <c r="AJ19" s="2204">
        <v>0</v>
      </c>
      <c r="AK19" s="2190"/>
      <c r="AL19" s="2190"/>
      <c r="AM19" s="2205"/>
      <c r="AN19" s="2208">
        <f t="shared" si="0"/>
        <v>0</v>
      </c>
      <c r="AO19" s="2183"/>
      <c r="AP19" s="2188"/>
      <c r="AQ19" s="2208">
        <f t="shared" si="1"/>
        <v>0</v>
      </c>
      <c r="AR19" s="2183"/>
      <c r="AS19" s="2184"/>
      <c r="AT19" s="2189">
        <v>0</v>
      </c>
      <c r="AU19" s="2190"/>
      <c r="AV19" s="2191"/>
      <c r="AW19" s="2204">
        <v>0</v>
      </c>
      <c r="AX19" s="2190"/>
      <c r="AY19" s="2205"/>
      <c r="AZ19" s="2183">
        <f t="shared" si="2"/>
        <v>0</v>
      </c>
      <c r="BA19" s="2183"/>
      <c r="BB19" s="2184"/>
      <c r="BC19" s="2185">
        <f t="shared" si="7"/>
        <v>0</v>
      </c>
      <c r="BD19" s="2183"/>
      <c r="BE19" s="2186"/>
      <c r="BF19" s="2187">
        <f t="shared" si="3"/>
        <v>0</v>
      </c>
      <c r="BG19" s="2183"/>
      <c r="BH19" s="2188"/>
      <c r="BI19" s="2183">
        <f t="shared" si="4"/>
        <v>0</v>
      </c>
      <c r="BJ19" s="2183"/>
      <c r="BK19" s="2184"/>
      <c r="BM19" s="337" t="str">
        <f t="shared" si="5"/>
        <v/>
      </c>
    </row>
    <row r="20" spans="2:65" s="191" customFormat="1" ht="30" customHeight="1">
      <c r="B20" s="362"/>
      <c r="C20" s="363" t="s">
        <v>595</v>
      </c>
      <c r="D20" s="363"/>
      <c r="E20" s="363"/>
      <c r="F20" s="363"/>
      <c r="G20" s="363"/>
      <c r="H20" s="363"/>
      <c r="I20" s="363"/>
      <c r="J20" s="363"/>
      <c r="K20" s="364"/>
      <c r="L20" s="2199">
        <v>0</v>
      </c>
      <c r="M20" s="2173"/>
      <c r="N20" s="2200"/>
      <c r="O20" s="2199">
        <v>0</v>
      </c>
      <c r="P20" s="2173"/>
      <c r="Q20" s="2173"/>
      <c r="R20" s="2175">
        <v>0</v>
      </c>
      <c r="S20" s="2173"/>
      <c r="T20" s="2176"/>
      <c r="U20" s="2178">
        <f t="shared" si="6"/>
        <v>0</v>
      </c>
      <c r="V20" s="2178"/>
      <c r="W20" s="2207"/>
      <c r="X20" s="2172">
        <v>0</v>
      </c>
      <c r="Y20" s="2173"/>
      <c r="Z20" s="2174"/>
      <c r="AA20" s="2172">
        <v>0</v>
      </c>
      <c r="AB20" s="2173"/>
      <c r="AC20" s="2174"/>
      <c r="AD20" s="2172">
        <v>0</v>
      </c>
      <c r="AE20" s="2173"/>
      <c r="AF20" s="2174"/>
      <c r="AG20" s="2172">
        <v>0</v>
      </c>
      <c r="AH20" s="2173"/>
      <c r="AI20" s="2174"/>
      <c r="AJ20" s="2175">
        <v>0</v>
      </c>
      <c r="AK20" s="2173"/>
      <c r="AL20" s="2173"/>
      <c r="AM20" s="2176"/>
      <c r="AN20" s="2177">
        <f t="shared" si="0"/>
        <v>0</v>
      </c>
      <c r="AO20" s="2178"/>
      <c r="AP20" s="2179"/>
      <c r="AQ20" s="2177">
        <f t="shared" si="1"/>
        <v>0</v>
      </c>
      <c r="AR20" s="2178"/>
      <c r="AS20" s="2180"/>
      <c r="AT20" s="2172">
        <v>0</v>
      </c>
      <c r="AU20" s="2173"/>
      <c r="AV20" s="2174"/>
      <c r="AW20" s="2175">
        <v>0</v>
      </c>
      <c r="AX20" s="2173"/>
      <c r="AY20" s="2176"/>
      <c r="AZ20" s="2178">
        <f t="shared" si="2"/>
        <v>0</v>
      </c>
      <c r="BA20" s="2178"/>
      <c r="BB20" s="2180"/>
      <c r="BC20" s="2206">
        <f t="shared" si="7"/>
        <v>0</v>
      </c>
      <c r="BD20" s="2178"/>
      <c r="BE20" s="2207"/>
      <c r="BF20" s="2201">
        <f t="shared" si="3"/>
        <v>0</v>
      </c>
      <c r="BG20" s="2178"/>
      <c r="BH20" s="2179"/>
      <c r="BI20" s="2178">
        <f t="shared" si="4"/>
        <v>0</v>
      </c>
      <c r="BJ20" s="2178"/>
      <c r="BK20" s="2180"/>
      <c r="BM20" s="337" t="str">
        <f t="shared" si="5"/>
        <v/>
      </c>
    </row>
    <row r="21" spans="2:65" s="191" customFormat="1" ht="30" customHeight="1">
      <c r="B21" s="350"/>
      <c r="C21" s="351" t="s">
        <v>596</v>
      </c>
      <c r="D21" s="351"/>
      <c r="E21" s="351"/>
      <c r="F21" s="351"/>
      <c r="G21" s="351"/>
      <c r="H21" s="351"/>
      <c r="I21" s="351"/>
      <c r="J21" s="351"/>
      <c r="K21" s="352"/>
      <c r="L21" s="2192">
        <v>1</v>
      </c>
      <c r="M21" s="2193"/>
      <c r="N21" s="2194"/>
      <c r="O21" s="2192">
        <v>0</v>
      </c>
      <c r="P21" s="2193"/>
      <c r="Q21" s="2193"/>
      <c r="R21" s="2195">
        <v>0</v>
      </c>
      <c r="S21" s="2193"/>
      <c r="T21" s="2196"/>
      <c r="U21" s="2166">
        <f t="shared" si="6"/>
        <v>0</v>
      </c>
      <c r="V21" s="2166"/>
      <c r="W21" s="2169"/>
      <c r="X21" s="2197">
        <v>0</v>
      </c>
      <c r="Y21" s="2193"/>
      <c r="Z21" s="2198"/>
      <c r="AA21" s="2197">
        <v>0</v>
      </c>
      <c r="AB21" s="2193"/>
      <c r="AC21" s="2198"/>
      <c r="AD21" s="2197">
        <v>1</v>
      </c>
      <c r="AE21" s="2193"/>
      <c r="AF21" s="2198"/>
      <c r="AG21" s="2197">
        <v>0</v>
      </c>
      <c r="AH21" s="2193"/>
      <c r="AI21" s="2198"/>
      <c r="AJ21" s="2195">
        <v>0</v>
      </c>
      <c r="AK21" s="2193"/>
      <c r="AL21" s="2193"/>
      <c r="AM21" s="2196"/>
      <c r="AN21" s="2209">
        <f t="shared" si="0"/>
        <v>1</v>
      </c>
      <c r="AO21" s="2166"/>
      <c r="AP21" s="2171"/>
      <c r="AQ21" s="2209">
        <f t="shared" si="1"/>
        <v>1</v>
      </c>
      <c r="AR21" s="2166"/>
      <c r="AS21" s="2167"/>
      <c r="AT21" s="2197">
        <v>0</v>
      </c>
      <c r="AU21" s="2193"/>
      <c r="AV21" s="2198"/>
      <c r="AW21" s="2195">
        <v>0</v>
      </c>
      <c r="AX21" s="2193"/>
      <c r="AY21" s="2196"/>
      <c r="AZ21" s="2166">
        <f t="shared" si="2"/>
        <v>0</v>
      </c>
      <c r="BA21" s="2166"/>
      <c r="BB21" s="2167"/>
      <c r="BC21" s="2168">
        <f t="shared" si="7"/>
        <v>0</v>
      </c>
      <c r="BD21" s="2166"/>
      <c r="BE21" s="2169"/>
      <c r="BF21" s="2170">
        <f t="shared" si="3"/>
        <v>0</v>
      </c>
      <c r="BG21" s="2166"/>
      <c r="BH21" s="2171"/>
      <c r="BI21" s="2166">
        <f t="shared" si="4"/>
        <v>0</v>
      </c>
      <c r="BJ21" s="2166"/>
      <c r="BK21" s="2167"/>
      <c r="BM21" s="337" t="str">
        <f t="shared" si="5"/>
        <v/>
      </c>
    </row>
    <row r="22" spans="2:65" s="191" customFormat="1" ht="30" customHeight="1">
      <c r="B22" s="365"/>
      <c r="C22" s="366" t="s">
        <v>797</v>
      </c>
      <c r="D22" s="366"/>
      <c r="E22" s="366"/>
      <c r="F22" s="366"/>
      <c r="G22" s="366"/>
      <c r="H22" s="366"/>
      <c r="I22" s="366"/>
      <c r="J22" s="366"/>
      <c r="K22" s="367"/>
      <c r="L22" s="2202">
        <v>0</v>
      </c>
      <c r="M22" s="2190"/>
      <c r="N22" s="2203"/>
      <c r="O22" s="2202">
        <v>0</v>
      </c>
      <c r="P22" s="2190"/>
      <c r="Q22" s="2190"/>
      <c r="R22" s="2204">
        <v>0</v>
      </c>
      <c r="S22" s="2190"/>
      <c r="T22" s="2205"/>
      <c r="U22" s="2183">
        <f t="shared" si="6"/>
        <v>0</v>
      </c>
      <c r="V22" s="2183"/>
      <c r="W22" s="2186"/>
      <c r="X22" s="2189">
        <v>0</v>
      </c>
      <c r="Y22" s="2190"/>
      <c r="Z22" s="2191"/>
      <c r="AA22" s="2189">
        <v>0</v>
      </c>
      <c r="AB22" s="2190"/>
      <c r="AC22" s="2191"/>
      <c r="AD22" s="2189">
        <v>0</v>
      </c>
      <c r="AE22" s="2190"/>
      <c r="AF22" s="2191"/>
      <c r="AG22" s="2189">
        <v>0</v>
      </c>
      <c r="AH22" s="2190"/>
      <c r="AI22" s="2191"/>
      <c r="AJ22" s="2204">
        <v>0</v>
      </c>
      <c r="AK22" s="2190"/>
      <c r="AL22" s="2190"/>
      <c r="AM22" s="2205"/>
      <c r="AN22" s="2208">
        <f t="shared" si="0"/>
        <v>0</v>
      </c>
      <c r="AO22" s="2183"/>
      <c r="AP22" s="2188"/>
      <c r="AQ22" s="2208">
        <f t="shared" si="1"/>
        <v>0</v>
      </c>
      <c r="AR22" s="2183"/>
      <c r="AS22" s="2184"/>
      <c r="AT22" s="2189">
        <v>0</v>
      </c>
      <c r="AU22" s="2190"/>
      <c r="AV22" s="2191"/>
      <c r="AW22" s="2204">
        <v>0</v>
      </c>
      <c r="AX22" s="2190"/>
      <c r="AY22" s="2205"/>
      <c r="AZ22" s="2183">
        <f t="shared" si="2"/>
        <v>0</v>
      </c>
      <c r="BA22" s="2183"/>
      <c r="BB22" s="2184"/>
      <c r="BC22" s="2185">
        <f t="shared" si="7"/>
        <v>0</v>
      </c>
      <c r="BD22" s="2183"/>
      <c r="BE22" s="2186"/>
      <c r="BF22" s="2187">
        <f t="shared" si="3"/>
        <v>0</v>
      </c>
      <c r="BG22" s="2183"/>
      <c r="BH22" s="2188"/>
      <c r="BI22" s="2183">
        <f t="shared" si="4"/>
        <v>0</v>
      </c>
      <c r="BJ22" s="2183"/>
      <c r="BK22" s="2184"/>
      <c r="BM22" s="337" t="str">
        <f t="shared" si="5"/>
        <v/>
      </c>
    </row>
    <row r="23" spans="2:65" s="191" customFormat="1" ht="30" customHeight="1">
      <c r="B23" s="362"/>
      <c r="C23" s="363" t="s">
        <v>597</v>
      </c>
      <c r="D23" s="363"/>
      <c r="E23" s="363"/>
      <c r="F23" s="363"/>
      <c r="G23" s="363"/>
      <c r="H23" s="363"/>
      <c r="I23" s="363"/>
      <c r="J23" s="363"/>
      <c r="K23" s="364"/>
      <c r="L23" s="2199">
        <v>0</v>
      </c>
      <c r="M23" s="2173"/>
      <c r="N23" s="2200"/>
      <c r="O23" s="2199">
        <v>0</v>
      </c>
      <c r="P23" s="2173"/>
      <c r="Q23" s="2173"/>
      <c r="R23" s="2175">
        <v>0</v>
      </c>
      <c r="S23" s="2173"/>
      <c r="T23" s="2176"/>
      <c r="U23" s="2178">
        <f t="shared" si="6"/>
        <v>0</v>
      </c>
      <c r="V23" s="2178"/>
      <c r="W23" s="2207"/>
      <c r="X23" s="2172">
        <v>0</v>
      </c>
      <c r="Y23" s="2173"/>
      <c r="Z23" s="2174"/>
      <c r="AA23" s="2172">
        <v>0</v>
      </c>
      <c r="AB23" s="2173"/>
      <c r="AC23" s="2174"/>
      <c r="AD23" s="2172">
        <v>0</v>
      </c>
      <c r="AE23" s="2173"/>
      <c r="AF23" s="2174"/>
      <c r="AG23" s="2172">
        <v>0</v>
      </c>
      <c r="AH23" s="2173"/>
      <c r="AI23" s="2174"/>
      <c r="AJ23" s="2175">
        <v>0</v>
      </c>
      <c r="AK23" s="2173"/>
      <c r="AL23" s="2173"/>
      <c r="AM23" s="2176"/>
      <c r="AN23" s="2177">
        <f t="shared" si="0"/>
        <v>0</v>
      </c>
      <c r="AO23" s="2178"/>
      <c r="AP23" s="2179"/>
      <c r="AQ23" s="2177">
        <f t="shared" si="1"/>
        <v>0</v>
      </c>
      <c r="AR23" s="2178"/>
      <c r="AS23" s="2180"/>
      <c r="AT23" s="2172">
        <v>0</v>
      </c>
      <c r="AU23" s="2173"/>
      <c r="AV23" s="2174"/>
      <c r="AW23" s="2175">
        <v>0</v>
      </c>
      <c r="AX23" s="2173"/>
      <c r="AY23" s="2176"/>
      <c r="AZ23" s="2178">
        <f t="shared" si="2"/>
        <v>0</v>
      </c>
      <c r="BA23" s="2178"/>
      <c r="BB23" s="2180"/>
      <c r="BC23" s="2206">
        <f t="shared" si="7"/>
        <v>0</v>
      </c>
      <c r="BD23" s="2178"/>
      <c r="BE23" s="2207"/>
      <c r="BF23" s="2201">
        <f t="shared" si="3"/>
        <v>0</v>
      </c>
      <c r="BG23" s="2178"/>
      <c r="BH23" s="2179"/>
      <c r="BI23" s="2178">
        <f t="shared" si="4"/>
        <v>0</v>
      </c>
      <c r="BJ23" s="2178"/>
      <c r="BK23" s="2180"/>
      <c r="BM23" s="337" t="str">
        <f t="shared" si="5"/>
        <v/>
      </c>
    </row>
    <row r="24" spans="2:65" s="191" customFormat="1" ht="30" customHeight="1">
      <c r="B24" s="350"/>
      <c r="C24" s="351" t="s">
        <v>598</v>
      </c>
      <c r="D24" s="351"/>
      <c r="E24" s="351"/>
      <c r="F24" s="351"/>
      <c r="G24" s="351"/>
      <c r="H24" s="351"/>
      <c r="I24" s="351"/>
      <c r="J24" s="351"/>
      <c r="K24" s="352"/>
      <c r="L24" s="2192">
        <v>0</v>
      </c>
      <c r="M24" s="2193"/>
      <c r="N24" s="2194"/>
      <c r="O24" s="2192">
        <v>0</v>
      </c>
      <c r="P24" s="2193"/>
      <c r="Q24" s="2193"/>
      <c r="R24" s="2195">
        <v>0</v>
      </c>
      <c r="S24" s="2193"/>
      <c r="T24" s="2196"/>
      <c r="U24" s="2166">
        <f t="shared" si="6"/>
        <v>0</v>
      </c>
      <c r="V24" s="2166"/>
      <c r="W24" s="2169"/>
      <c r="X24" s="2197">
        <v>0</v>
      </c>
      <c r="Y24" s="2193"/>
      <c r="Z24" s="2198"/>
      <c r="AA24" s="2197">
        <v>0</v>
      </c>
      <c r="AB24" s="2193"/>
      <c r="AC24" s="2198"/>
      <c r="AD24" s="2197">
        <v>0</v>
      </c>
      <c r="AE24" s="2193"/>
      <c r="AF24" s="2198"/>
      <c r="AG24" s="2197">
        <v>0</v>
      </c>
      <c r="AH24" s="2193"/>
      <c r="AI24" s="2198"/>
      <c r="AJ24" s="2195">
        <v>0</v>
      </c>
      <c r="AK24" s="2193"/>
      <c r="AL24" s="2193"/>
      <c r="AM24" s="2196"/>
      <c r="AN24" s="2209">
        <f t="shared" si="0"/>
        <v>0</v>
      </c>
      <c r="AO24" s="2166"/>
      <c r="AP24" s="2171"/>
      <c r="AQ24" s="2209">
        <f t="shared" si="1"/>
        <v>0</v>
      </c>
      <c r="AR24" s="2166"/>
      <c r="AS24" s="2167"/>
      <c r="AT24" s="2197">
        <v>0</v>
      </c>
      <c r="AU24" s="2193"/>
      <c r="AV24" s="2198"/>
      <c r="AW24" s="2195">
        <v>0</v>
      </c>
      <c r="AX24" s="2193"/>
      <c r="AY24" s="2196"/>
      <c r="AZ24" s="2166">
        <f t="shared" si="2"/>
        <v>0</v>
      </c>
      <c r="BA24" s="2166"/>
      <c r="BB24" s="2167"/>
      <c r="BC24" s="2168">
        <f t="shared" si="7"/>
        <v>0</v>
      </c>
      <c r="BD24" s="2166"/>
      <c r="BE24" s="2169"/>
      <c r="BF24" s="2170">
        <f t="shared" si="3"/>
        <v>0</v>
      </c>
      <c r="BG24" s="2166"/>
      <c r="BH24" s="2171"/>
      <c r="BI24" s="2166">
        <f t="shared" si="4"/>
        <v>0</v>
      </c>
      <c r="BJ24" s="2166"/>
      <c r="BK24" s="2167"/>
      <c r="BM24" s="337" t="str">
        <f t="shared" si="5"/>
        <v/>
      </c>
    </row>
    <row r="25" spans="2:65" s="191" customFormat="1" ht="30" customHeight="1">
      <c r="B25" s="365"/>
      <c r="C25" s="366" t="s">
        <v>798</v>
      </c>
      <c r="D25" s="366"/>
      <c r="E25" s="366"/>
      <c r="F25" s="366"/>
      <c r="G25" s="366"/>
      <c r="H25" s="366"/>
      <c r="I25" s="366"/>
      <c r="J25" s="366"/>
      <c r="K25" s="367"/>
      <c r="L25" s="2202">
        <v>0</v>
      </c>
      <c r="M25" s="2190"/>
      <c r="N25" s="2203"/>
      <c r="O25" s="2202">
        <v>0</v>
      </c>
      <c r="P25" s="2190"/>
      <c r="Q25" s="2190"/>
      <c r="R25" s="2204">
        <v>0</v>
      </c>
      <c r="S25" s="2190"/>
      <c r="T25" s="2205"/>
      <c r="U25" s="2183">
        <f t="shared" si="6"/>
        <v>0</v>
      </c>
      <c r="V25" s="2183"/>
      <c r="W25" s="2186"/>
      <c r="X25" s="2189">
        <v>0</v>
      </c>
      <c r="Y25" s="2190"/>
      <c r="Z25" s="2191"/>
      <c r="AA25" s="2189">
        <v>0</v>
      </c>
      <c r="AB25" s="2190"/>
      <c r="AC25" s="2191"/>
      <c r="AD25" s="2189">
        <v>0</v>
      </c>
      <c r="AE25" s="2190"/>
      <c r="AF25" s="2191"/>
      <c r="AG25" s="2189">
        <v>0</v>
      </c>
      <c r="AH25" s="2190"/>
      <c r="AI25" s="2191"/>
      <c r="AJ25" s="2204">
        <v>0</v>
      </c>
      <c r="AK25" s="2190"/>
      <c r="AL25" s="2190"/>
      <c r="AM25" s="2205"/>
      <c r="AN25" s="2208">
        <f t="shared" si="0"/>
        <v>0</v>
      </c>
      <c r="AO25" s="2183"/>
      <c r="AP25" s="2188"/>
      <c r="AQ25" s="2208">
        <f t="shared" si="1"/>
        <v>0</v>
      </c>
      <c r="AR25" s="2183"/>
      <c r="AS25" s="2184"/>
      <c r="AT25" s="2189">
        <v>0</v>
      </c>
      <c r="AU25" s="2190"/>
      <c r="AV25" s="2191"/>
      <c r="AW25" s="2204">
        <v>0</v>
      </c>
      <c r="AX25" s="2190"/>
      <c r="AY25" s="2205"/>
      <c r="AZ25" s="2183">
        <f t="shared" si="2"/>
        <v>0</v>
      </c>
      <c r="BA25" s="2183"/>
      <c r="BB25" s="2184"/>
      <c r="BC25" s="2185">
        <f t="shared" si="7"/>
        <v>0</v>
      </c>
      <c r="BD25" s="2183"/>
      <c r="BE25" s="2186"/>
      <c r="BF25" s="2187">
        <f t="shared" si="3"/>
        <v>0</v>
      </c>
      <c r="BG25" s="2183"/>
      <c r="BH25" s="2188"/>
      <c r="BI25" s="2183">
        <f t="shared" si="4"/>
        <v>0</v>
      </c>
      <c r="BJ25" s="2183"/>
      <c r="BK25" s="2184"/>
      <c r="BM25" s="337" t="str">
        <f t="shared" si="5"/>
        <v/>
      </c>
    </row>
    <row r="26" spans="2:65" s="191" customFormat="1" ht="40" customHeight="1">
      <c r="B26" s="368"/>
      <c r="C26" s="2229" t="s">
        <v>1025</v>
      </c>
      <c r="D26" s="2229"/>
      <c r="E26" s="2229"/>
      <c r="F26" s="2229"/>
      <c r="G26" s="2229"/>
      <c r="H26" s="2229"/>
      <c r="I26" s="2229"/>
      <c r="J26" s="2229"/>
      <c r="K26" s="2229"/>
      <c r="L26" s="2275">
        <v>0</v>
      </c>
      <c r="M26" s="2268"/>
      <c r="N26" s="2276"/>
      <c r="O26" s="2275">
        <v>0</v>
      </c>
      <c r="P26" s="2268"/>
      <c r="Q26" s="2268"/>
      <c r="R26" s="2270">
        <v>0</v>
      </c>
      <c r="S26" s="2268"/>
      <c r="T26" s="2271"/>
      <c r="U26" s="2181">
        <f t="shared" si="6"/>
        <v>0</v>
      </c>
      <c r="V26" s="2181"/>
      <c r="W26" s="2264"/>
      <c r="X26" s="2267">
        <v>0</v>
      </c>
      <c r="Y26" s="2268"/>
      <c r="Z26" s="2269"/>
      <c r="AA26" s="2267">
        <v>0</v>
      </c>
      <c r="AB26" s="2268"/>
      <c r="AC26" s="2269"/>
      <c r="AD26" s="2267">
        <v>0</v>
      </c>
      <c r="AE26" s="2268"/>
      <c r="AF26" s="2269"/>
      <c r="AG26" s="2267">
        <v>0</v>
      </c>
      <c r="AH26" s="2268"/>
      <c r="AI26" s="2269"/>
      <c r="AJ26" s="2270">
        <v>0</v>
      </c>
      <c r="AK26" s="2268"/>
      <c r="AL26" s="2268"/>
      <c r="AM26" s="2271"/>
      <c r="AN26" s="2272">
        <f t="shared" si="0"/>
        <v>0</v>
      </c>
      <c r="AO26" s="2181"/>
      <c r="AP26" s="2266"/>
      <c r="AQ26" s="2272">
        <f t="shared" si="1"/>
        <v>0</v>
      </c>
      <c r="AR26" s="2181"/>
      <c r="AS26" s="2182"/>
      <c r="AT26" s="2267">
        <v>0</v>
      </c>
      <c r="AU26" s="2268"/>
      <c r="AV26" s="2269"/>
      <c r="AW26" s="2270">
        <v>0</v>
      </c>
      <c r="AX26" s="2268"/>
      <c r="AY26" s="2271"/>
      <c r="AZ26" s="2181">
        <f t="shared" si="2"/>
        <v>0</v>
      </c>
      <c r="BA26" s="2181"/>
      <c r="BB26" s="2182"/>
      <c r="BC26" s="2263">
        <f t="shared" si="7"/>
        <v>0</v>
      </c>
      <c r="BD26" s="2181"/>
      <c r="BE26" s="2264"/>
      <c r="BF26" s="2265">
        <f t="shared" si="3"/>
        <v>0</v>
      </c>
      <c r="BG26" s="2181"/>
      <c r="BH26" s="2266"/>
      <c r="BI26" s="2181">
        <f t="shared" si="4"/>
        <v>0</v>
      </c>
      <c r="BJ26" s="2181"/>
      <c r="BK26" s="2182"/>
      <c r="BM26" s="337" t="str">
        <f t="shared" si="5"/>
        <v/>
      </c>
    </row>
    <row r="27" spans="2:65" s="191" customFormat="1" ht="40" customHeight="1">
      <c r="B27" s="368"/>
      <c r="C27" s="2230" t="s">
        <v>1026</v>
      </c>
      <c r="D27" s="2230"/>
      <c r="E27" s="2230"/>
      <c r="F27" s="2230"/>
      <c r="G27" s="2230"/>
      <c r="H27" s="2230"/>
      <c r="I27" s="2230"/>
      <c r="J27" s="2230"/>
      <c r="K27" s="2230"/>
      <c r="L27" s="2192">
        <v>1</v>
      </c>
      <c r="M27" s="2193"/>
      <c r="N27" s="2194"/>
      <c r="O27" s="2192">
        <v>0</v>
      </c>
      <c r="P27" s="2193"/>
      <c r="Q27" s="2193"/>
      <c r="R27" s="2195">
        <v>0</v>
      </c>
      <c r="S27" s="2193"/>
      <c r="T27" s="2196"/>
      <c r="U27" s="2166">
        <f t="shared" si="6"/>
        <v>0</v>
      </c>
      <c r="V27" s="2166"/>
      <c r="W27" s="2169"/>
      <c r="X27" s="2197">
        <v>0</v>
      </c>
      <c r="Y27" s="2193"/>
      <c r="Z27" s="2198"/>
      <c r="AA27" s="2197">
        <v>0</v>
      </c>
      <c r="AB27" s="2193"/>
      <c r="AC27" s="2198"/>
      <c r="AD27" s="2197">
        <v>1</v>
      </c>
      <c r="AE27" s="2193"/>
      <c r="AF27" s="2198"/>
      <c r="AG27" s="2197">
        <v>0</v>
      </c>
      <c r="AH27" s="2193"/>
      <c r="AI27" s="2198"/>
      <c r="AJ27" s="2195">
        <v>0</v>
      </c>
      <c r="AK27" s="2193"/>
      <c r="AL27" s="2193"/>
      <c r="AM27" s="2196"/>
      <c r="AN27" s="2209">
        <f t="shared" si="0"/>
        <v>1</v>
      </c>
      <c r="AO27" s="2166"/>
      <c r="AP27" s="2171"/>
      <c r="AQ27" s="2209">
        <f t="shared" si="1"/>
        <v>1</v>
      </c>
      <c r="AR27" s="2166"/>
      <c r="AS27" s="2167"/>
      <c r="AT27" s="2197">
        <v>0</v>
      </c>
      <c r="AU27" s="2193"/>
      <c r="AV27" s="2198"/>
      <c r="AW27" s="2195">
        <v>0</v>
      </c>
      <c r="AX27" s="2193"/>
      <c r="AY27" s="2196"/>
      <c r="AZ27" s="2166">
        <f t="shared" si="2"/>
        <v>0</v>
      </c>
      <c r="BA27" s="2166"/>
      <c r="BB27" s="2167"/>
      <c r="BC27" s="2168">
        <f t="shared" si="7"/>
        <v>0</v>
      </c>
      <c r="BD27" s="2166"/>
      <c r="BE27" s="2169"/>
      <c r="BF27" s="2170">
        <f t="shared" si="3"/>
        <v>0</v>
      </c>
      <c r="BG27" s="2166"/>
      <c r="BH27" s="2171"/>
      <c r="BI27" s="2166">
        <f t="shared" si="4"/>
        <v>0</v>
      </c>
      <c r="BJ27" s="2166"/>
      <c r="BK27" s="2167"/>
      <c r="BM27" s="337" t="str">
        <f t="shared" si="5"/>
        <v/>
      </c>
    </row>
    <row r="28" spans="2:65" s="191" customFormat="1" ht="30" customHeight="1">
      <c r="B28" s="369"/>
      <c r="C28" s="370" t="s">
        <v>599</v>
      </c>
      <c r="D28" s="370"/>
      <c r="E28" s="370"/>
      <c r="F28" s="370"/>
      <c r="G28" s="370"/>
      <c r="H28" s="370"/>
      <c r="I28" s="370"/>
      <c r="J28" s="370"/>
      <c r="K28" s="371"/>
      <c r="L28" s="2192">
        <v>1</v>
      </c>
      <c r="M28" s="2193"/>
      <c r="N28" s="2194"/>
      <c r="O28" s="2192">
        <v>0</v>
      </c>
      <c r="P28" s="2193"/>
      <c r="Q28" s="2193"/>
      <c r="R28" s="2195">
        <v>0</v>
      </c>
      <c r="S28" s="2193"/>
      <c r="T28" s="2196"/>
      <c r="U28" s="2166">
        <f t="shared" si="6"/>
        <v>0</v>
      </c>
      <c r="V28" s="2166"/>
      <c r="W28" s="2169"/>
      <c r="X28" s="2197">
        <v>0</v>
      </c>
      <c r="Y28" s="2193"/>
      <c r="Z28" s="2198"/>
      <c r="AA28" s="2197">
        <v>0</v>
      </c>
      <c r="AB28" s="2193"/>
      <c r="AC28" s="2198"/>
      <c r="AD28" s="2197">
        <v>1</v>
      </c>
      <c r="AE28" s="2193"/>
      <c r="AF28" s="2198"/>
      <c r="AG28" s="2197">
        <v>0</v>
      </c>
      <c r="AH28" s="2193"/>
      <c r="AI28" s="2198"/>
      <c r="AJ28" s="2195">
        <v>0</v>
      </c>
      <c r="AK28" s="2193"/>
      <c r="AL28" s="2193"/>
      <c r="AM28" s="2196"/>
      <c r="AN28" s="2209">
        <f t="shared" si="0"/>
        <v>1</v>
      </c>
      <c r="AO28" s="2166"/>
      <c r="AP28" s="2171"/>
      <c r="AQ28" s="2209">
        <f t="shared" si="1"/>
        <v>1</v>
      </c>
      <c r="AR28" s="2166"/>
      <c r="AS28" s="2167"/>
      <c r="AT28" s="2197">
        <v>0</v>
      </c>
      <c r="AU28" s="2193"/>
      <c r="AV28" s="2198"/>
      <c r="AW28" s="2195">
        <v>0</v>
      </c>
      <c r="AX28" s="2193"/>
      <c r="AY28" s="2196"/>
      <c r="AZ28" s="2166">
        <f t="shared" si="2"/>
        <v>0</v>
      </c>
      <c r="BA28" s="2166"/>
      <c r="BB28" s="2167"/>
      <c r="BC28" s="2168">
        <f t="shared" si="7"/>
        <v>0</v>
      </c>
      <c r="BD28" s="2166"/>
      <c r="BE28" s="2169"/>
      <c r="BF28" s="2170">
        <f t="shared" si="3"/>
        <v>0</v>
      </c>
      <c r="BG28" s="2166"/>
      <c r="BH28" s="2171"/>
      <c r="BI28" s="2166">
        <f t="shared" si="4"/>
        <v>0</v>
      </c>
      <c r="BJ28" s="2166"/>
      <c r="BK28" s="2167"/>
      <c r="BM28" s="337" t="str">
        <f t="shared" si="5"/>
        <v/>
      </c>
    </row>
    <row r="29" spans="2:65" s="191" customFormat="1" ht="30" customHeight="1" thickBot="1">
      <c r="B29" s="372"/>
      <c r="C29" s="373" t="s">
        <v>600</v>
      </c>
      <c r="D29" s="373"/>
      <c r="E29" s="373"/>
      <c r="F29" s="373"/>
      <c r="G29" s="373"/>
      <c r="H29" s="373"/>
      <c r="I29" s="373"/>
      <c r="J29" s="373"/>
      <c r="K29" s="374"/>
      <c r="L29" s="2260">
        <v>0</v>
      </c>
      <c r="M29" s="2241"/>
      <c r="N29" s="2261"/>
      <c r="O29" s="2260">
        <v>0</v>
      </c>
      <c r="P29" s="2241"/>
      <c r="Q29" s="2241"/>
      <c r="R29" s="2243">
        <v>0</v>
      </c>
      <c r="S29" s="2241"/>
      <c r="T29" s="2244"/>
      <c r="U29" s="2237">
        <f>SUM(O29:T29)</f>
        <v>0</v>
      </c>
      <c r="V29" s="2237"/>
      <c r="W29" s="2262"/>
      <c r="X29" s="2240">
        <v>0</v>
      </c>
      <c r="Y29" s="2241"/>
      <c r="Z29" s="2242"/>
      <c r="AA29" s="2240">
        <v>0</v>
      </c>
      <c r="AB29" s="2241"/>
      <c r="AC29" s="2242"/>
      <c r="AD29" s="2240">
        <v>0</v>
      </c>
      <c r="AE29" s="2241"/>
      <c r="AF29" s="2242"/>
      <c r="AG29" s="2240">
        <v>0</v>
      </c>
      <c r="AH29" s="2241"/>
      <c r="AI29" s="2242"/>
      <c r="AJ29" s="2243">
        <v>0</v>
      </c>
      <c r="AK29" s="2241"/>
      <c r="AL29" s="2241"/>
      <c r="AM29" s="2244"/>
      <c r="AN29" s="2245">
        <f t="shared" si="0"/>
        <v>0</v>
      </c>
      <c r="AO29" s="2237"/>
      <c r="AP29" s="2246"/>
      <c r="AQ29" s="2245">
        <f t="shared" si="1"/>
        <v>0</v>
      </c>
      <c r="AR29" s="2237"/>
      <c r="AS29" s="2238"/>
      <c r="AT29" s="2240">
        <v>0</v>
      </c>
      <c r="AU29" s="2241"/>
      <c r="AV29" s="2242"/>
      <c r="AW29" s="2243">
        <v>0</v>
      </c>
      <c r="AX29" s="2241"/>
      <c r="AY29" s="2244"/>
      <c r="AZ29" s="2237">
        <f t="shared" si="2"/>
        <v>0</v>
      </c>
      <c r="BA29" s="2237"/>
      <c r="BB29" s="2238"/>
      <c r="BC29" s="2273">
        <f t="shared" si="7"/>
        <v>0</v>
      </c>
      <c r="BD29" s="2237"/>
      <c r="BE29" s="2262"/>
      <c r="BF29" s="2274">
        <f t="shared" si="3"/>
        <v>0</v>
      </c>
      <c r="BG29" s="2237"/>
      <c r="BH29" s="2246"/>
      <c r="BI29" s="2237">
        <f t="shared" si="4"/>
        <v>0</v>
      </c>
      <c r="BJ29" s="2237"/>
      <c r="BK29" s="2238"/>
      <c r="BM29" s="337" t="str">
        <f t="shared" si="5"/>
        <v/>
      </c>
    </row>
    <row r="30" spans="2:65" s="191" customFormat="1" ht="30" customHeight="1" thickTop="1" thickBot="1">
      <c r="B30" s="2247" t="s">
        <v>29</v>
      </c>
      <c r="C30" s="2248"/>
      <c r="D30" s="2248"/>
      <c r="E30" s="2248"/>
      <c r="F30" s="2248"/>
      <c r="G30" s="2248"/>
      <c r="H30" s="2248"/>
      <c r="I30" s="2248"/>
      <c r="J30" s="2248"/>
      <c r="K30" s="2249"/>
      <c r="L30" s="2250">
        <f>SUM(L10:N29)</f>
        <v>5</v>
      </c>
      <c r="M30" s="2232"/>
      <c r="N30" s="2236"/>
      <c r="O30" s="2250">
        <f>SUM(O10:Q29)</f>
        <v>2</v>
      </c>
      <c r="P30" s="2232"/>
      <c r="Q30" s="2232"/>
      <c r="R30" s="2234">
        <f>SUM(R10:T29)</f>
        <v>0</v>
      </c>
      <c r="S30" s="2232"/>
      <c r="T30" s="2235"/>
      <c r="U30" s="2232">
        <f>SUM(U10:W29)</f>
        <v>2</v>
      </c>
      <c r="V30" s="2232"/>
      <c r="W30" s="2233"/>
      <c r="X30" s="2234">
        <f>SUM(X10:Z29)</f>
        <v>0</v>
      </c>
      <c r="Y30" s="2232"/>
      <c r="Z30" s="2233"/>
      <c r="AA30" s="2234">
        <f>SUM(AA10:AC29)</f>
        <v>0</v>
      </c>
      <c r="AB30" s="2232"/>
      <c r="AC30" s="2233"/>
      <c r="AD30" s="2231">
        <f>SUM(AD10:AF29)</f>
        <v>3</v>
      </c>
      <c r="AE30" s="2232"/>
      <c r="AF30" s="2233"/>
      <c r="AG30" s="2231">
        <f>SUM(AG10:AI29)</f>
        <v>0</v>
      </c>
      <c r="AH30" s="2232"/>
      <c r="AI30" s="2233"/>
      <c r="AJ30" s="2234">
        <f>SUM(AJ10:AM29)</f>
        <v>0</v>
      </c>
      <c r="AK30" s="2232"/>
      <c r="AL30" s="2232"/>
      <c r="AM30" s="2235"/>
      <c r="AN30" s="2239">
        <f>SUM(AN10:AP29)</f>
        <v>3</v>
      </c>
      <c r="AO30" s="2232"/>
      <c r="AP30" s="2235"/>
      <c r="AQ30" s="2239">
        <f>SUM(AQ10:AS29)</f>
        <v>5</v>
      </c>
      <c r="AR30" s="2232"/>
      <c r="AS30" s="2236"/>
      <c r="AT30" s="2231">
        <f>SUM(AT10:AV29)</f>
        <v>0</v>
      </c>
      <c r="AU30" s="2232"/>
      <c r="AV30" s="2233"/>
      <c r="AW30" s="2234">
        <f>SUM(AW10:AY29)</f>
        <v>0</v>
      </c>
      <c r="AX30" s="2232"/>
      <c r="AY30" s="2235"/>
      <c r="AZ30" s="2232">
        <f>SUM(AZ10:BB29)</f>
        <v>0</v>
      </c>
      <c r="BA30" s="2232"/>
      <c r="BB30" s="2236"/>
      <c r="BC30" s="2231">
        <f>SUM(BC10:BE29)</f>
        <v>2</v>
      </c>
      <c r="BD30" s="2232"/>
      <c r="BE30" s="2233"/>
      <c r="BF30" s="2234">
        <f>SUM(BF10:BH29)</f>
        <v>0</v>
      </c>
      <c r="BG30" s="2232"/>
      <c r="BH30" s="2235"/>
      <c r="BI30" s="2232">
        <f>SUM(BI10:BK29)</f>
        <v>2</v>
      </c>
      <c r="BJ30" s="2232"/>
      <c r="BK30" s="2236"/>
    </row>
    <row r="31" spans="2:65" s="191" customFormat="1" ht="5.15" customHeight="1">
      <c r="B31" s="340"/>
      <c r="C31" s="340"/>
      <c r="D31" s="340"/>
      <c r="E31" s="340"/>
      <c r="F31" s="340"/>
      <c r="G31" s="340"/>
      <c r="H31" s="340"/>
      <c r="I31" s="340"/>
      <c r="J31" s="340"/>
      <c r="K31" s="340"/>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c r="AU31" s="341"/>
      <c r="AV31" s="341"/>
      <c r="AW31" s="341"/>
      <c r="AX31" s="341"/>
      <c r="AY31" s="341"/>
      <c r="AZ31" s="341"/>
      <c r="BA31" s="341"/>
      <c r="BB31" s="341"/>
      <c r="BC31" s="341"/>
      <c r="BD31" s="341"/>
      <c r="BE31" s="341"/>
      <c r="BF31" s="341"/>
      <c r="BG31" s="341"/>
      <c r="BH31" s="341"/>
      <c r="BI31" s="341"/>
      <c r="BJ31" s="341"/>
      <c r="BK31" s="341"/>
    </row>
    <row r="32" spans="2:65" s="342" customFormat="1" ht="9.75" customHeight="1">
      <c r="B32" s="187"/>
      <c r="E32" s="343"/>
      <c r="F32" s="343"/>
      <c r="G32" s="343"/>
      <c r="H32" s="343"/>
      <c r="I32" s="343"/>
      <c r="L32" s="343"/>
    </row>
    <row r="33" spans="2:78" ht="16.5">
      <c r="B33" s="344" t="s">
        <v>183</v>
      </c>
      <c r="C33" s="345"/>
      <c r="D33" s="345"/>
      <c r="E33" s="344" t="s">
        <v>919</v>
      </c>
      <c r="F33" s="225"/>
      <c r="G33" s="225"/>
    </row>
    <row r="34" spans="2:78" ht="16.5">
      <c r="B34" s="344"/>
      <c r="C34" s="345"/>
      <c r="D34" s="345"/>
      <c r="E34" s="344" t="s">
        <v>1028</v>
      </c>
      <c r="F34" s="225"/>
      <c r="G34" s="225"/>
    </row>
    <row r="35" spans="2:78" ht="39" customHeight="1">
      <c r="B35" s="225"/>
      <c r="C35" s="225"/>
      <c r="D35" s="225"/>
      <c r="E35" s="225"/>
      <c r="F35" s="225"/>
      <c r="G35" s="225"/>
    </row>
    <row r="36" spans="2:78" s="127" customFormat="1">
      <c r="B36" s="147" t="s">
        <v>847</v>
      </c>
      <c r="X36" s="147" t="s">
        <v>779</v>
      </c>
      <c r="AT36" s="147" t="s">
        <v>783</v>
      </c>
    </row>
    <row r="37" spans="2:78" s="127" customFormat="1" ht="21.75" customHeight="1">
      <c r="B37" s="147" t="s">
        <v>756</v>
      </c>
      <c r="F37" s="1943" t="str">
        <f>activesheet!E29</f>
        <v>RICO S. MISPEROS</v>
      </c>
      <c r="G37" s="1943"/>
      <c r="H37" s="1943"/>
      <c r="I37" s="1943"/>
      <c r="J37" s="1943"/>
      <c r="K37" s="1943"/>
      <c r="L37" s="1943"/>
      <c r="M37" s="1943"/>
      <c r="N37" s="1943"/>
      <c r="O37" s="1943"/>
      <c r="P37" s="1943"/>
      <c r="Q37" s="1943"/>
      <c r="R37" s="1943"/>
      <c r="S37" s="1943"/>
      <c r="X37" s="1943" t="str">
        <f>activesheet!E658</f>
        <v>ELMA CEZARIE Y. ROMERO</v>
      </c>
      <c r="Y37" s="1943"/>
      <c r="Z37" s="1943"/>
      <c r="AA37" s="1943"/>
      <c r="AB37" s="1943"/>
      <c r="AC37" s="1943"/>
      <c r="AD37" s="1943"/>
      <c r="AE37" s="1943"/>
      <c r="AF37" s="1943"/>
      <c r="AG37" s="1943"/>
      <c r="AH37" s="1943"/>
      <c r="AI37" s="1943"/>
      <c r="AJ37" s="1943"/>
      <c r="AK37" s="1943"/>
      <c r="AL37" s="1943"/>
      <c r="AM37" s="1943"/>
      <c r="AN37" s="1943"/>
      <c r="AO37" s="1943"/>
      <c r="AT37" s="1786" t="str">
        <f>activesheet!E31</f>
        <v>MICHAEL T. JAMIS</v>
      </c>
      <c r="AU37" s="1786"/>
      <c r="AV37" s="1786"/>
      <c r="AW37" s="1786"/>
      <c r="AX37" s="1786"/>
      <c r="AY37" s="1786"/>
      <c r="AZ37" s="1786"/>
      <c r="BA37" s="1786"/>
      <c r="BB37" s="1786"/>
      <c r="BC37" s="1786"/>
      <c r="BD37" s="1786"/>
      <c r="BE37" s="1786"/>
      <c r="BF37" s="1786"/>
      <c r="BG37" s="1786"/>
      <c r="BH37" s="1786"/>
      <c r="BI37" s="1786"/>
      <c r="BJ37" s="1786"/>
      <c r="BK37" s="1786"/>
    </row>
    <row r="38" spans="2:78" s="174" customFormat="1" ht="15.75" customHeight="1">
      <c r="B38" s="173"/>
      <c r="F38" s="1764" t="s">
        <v>741</v>
      </c>
      <c r="G38" s="1764"/>
      <c r="H38" s="1764"/>
      <c r="I38" s="1764"/>
      <c r="J38" s="1764"/>
      <c r="K38" s="1764"/>
      <c r="L38" s="1764"/>
      <c r="M38" s="1764"/>
      <c r="N38" s="1764"/>
      <c r="O38" s="1764"/>
      <c r="P38" s="1764"/>
      <c r="Q38" s="1764"/>
      <c r="R38" s="1764"/>
      <c r="S38" s="1764"/>
      <c r="T38" s="175"/>
      <c r="U38" s="175"/>
      <c r="V38" s="175"/>
      <c r="W38" s="175"/>
      <c r="X38" s="1764" t="s">
        <v>741</v>
      </c>
      <c r="Y38" s="1764"/>
      <c r="Z38" s="1764"/>
      <c r="AA38" s="1764"/>
      <c r="AB38" s="1764"/>
      <c r="AC38" s="1764"/>
      <c r="AD38" s="1764"/>
      <c r="AE38" s="1764"/>
      <c r="AF38" s="1764"/>
      <c r="AG38" s="1764"/>
      <c r="AH38" s="1764"/>
      <c r="AI38" s="1764"/>
      <c r="AJ38" s="1764"/>
      <c r="AK38" s="1764"/>
      <c r="AL38" s="1764"/>
      <c r="AM38" s="1764"/>
      <c r="AN38" s="1764"/>
      <c r="AO38" s="1764"/>
      <c r="AP38" s="175"/>
      <c r="AQ38" s="175"/>
      <c r="AR38" s="175"/>
      <c r="AS38" s="175"/>
      <c r="AT38" s="1787"/>
      <c r="AU38" s="1787"/>
      <c r="AV38" s="1787"/>
      <c r="AW38" s="1787"/>
      <c r="AX38" s="1787"/>
      <c r="AY38" s="1787"/>
      <c r="AZ38" s="1787"/>
      <c r="BA38" s="1787"/>
      <c r="BB38" s="1787"/>
      <c r="BC38" s="1787"/>
      <c r="BD38" s="1787"/>
      <c r="BE38" s="1787"/>
      <c r="BF38" s="1787"/>
      <c r="BG38" s="1787"/>
      <c r="BH38" s="1787"/>
      <c r="BI38" s="1787"/>
      <c r="BJ38" s="1787"/>
      <c r="BK38" s="1787"/>
      <c r="BL38" s="346"/>
      <c r="BM38" s="346"/>
      <c r="BN38" s="346"/>
      <c r="BO38" s="346"/>
      <c r="BP38" s="346"/>
      <c r="BQ38" s="346"/>
      <c r="BR38" s="346"/>
      <c r="BS38" s="346"/>
      <c r="BT38" s="346"/>
      <c r="BU38" s="346"/>
      <c r="BV38" s="346"/>
      <c r="BW38" s="346"/>
      <c r="BX38" s="346"/>
      <c r="BY38" s="346"/>
      <c r="BZ38" s="346"/>
    </row>
    <row r="39" spans="2:78" s="127" customFormat="1" ht="21.75" customHeight="1">
      <c r="B39" s="147" t="s">
        <v>1027</v>
      </c>
      <c r="F39" s="1943" t="str">
        <f>activesheet!E30</f>
        <v>SCHOOL PRINCIPAL II</v>
      </c>
      <c r="G39" s="1943"/>
      <c r="H39" s="1943"/>
      <c r="I39" s="1943"/>
      <c r="J39" s="1943"/>
      <c r="K39" s="1943"/>
      <c r="L39" s="1943"/>
      <c r="M39" s="1943"/>
      <c r="N39" s="1943"/>
      <c r="O39" s="1943"/>
      <c r="P39" s="1943"/>
      <c r="Q39" s="1943"/>
      <c r="R39" s="1943"/>
      <c r="S39" s="1943"/>
      <c r="X39" s="147" t="s">
        <v>1027</v>
      </c>
      <c r="AB39" s="1943" t="str">
        <f>activesheet!E659</f>
        <v>Administrative Officer IV</v>
      </c>
      <c r="AC39" s="1943"/>
      <c r="AD39" s="1943"/>
      <c r="AE39" s="1943"/>
      <c r="AF39" s="1943"/>
      <c r="AG39" s="1943"/>
      <c r="AH39" s="1943"/>
      <c r="AI39" s="1943"/>
      <c r="AJ39" s="1943"/>
      <c r="AK39" s="1943"/>
      <c r="AL39" s="1943"/>
      <c r="AM39" s="1943"/>
      <c r="AN39" s="1943"/>
      <c r="AO39" s="1943"/>
      <c r="AT39" s="1764" t="s">
        <v>741</v>
      </c>
      <c r="AU39" s="1764"/>
      <c r="AV39" s="1764"/>
      <c r="AW39" s="1764"/>
      <c r="AX39" s="1764"/>
      <c r="AY39" s="1764"/>
      <c r="AZ39" s="1764"/>
      <c r="BA39" s="1764"/>
      <c r="BB39" s="1764"/>
      <c r="BC39" s="1764"/>
      <c r="BD39" s="1764"/>
      <c r="BE39" s="1764"/>
      <c r="BF39" s="1764"/>
      <c r="BG39" s="1764"/>
      <c r="BH39" s="1764"/>
      <c r="BI39" s="1764"/>
      <c r="BJ39" s="1764"/>
      <c r="BK39" s="1764"/>
    </row>
  </sheetData>
  <sheetProtection algorithmName="SHA-512" hashValue="KRoEQGgQhtlxOoZm1CF+Y/MhDIX2hCjEPTF1ROi4oR3Tj2e6NES96EZ/t3+QET1LjnmvkK6A1t24Za7iCb9e0Q==" saltValue="gynACw6S5QYguoMnZTU0Ig==" spinCount="100000" sheet="1" objects="1" scenarios="1" selectLockedCells="1"/>
  <mergeCells count="416">
    <mergeCell ref="AQ9:AS9"/>
    <mergeCell ref="AW10:AY10"/>
    <mergeCell ref="AZ10:BB10"/>
    <mergeCell ref="BC10:BE10"/>
    <mergeCell ref="BF10:BH10"/>
    <mergeCell ref="BI10:BK10"/>
    <mergeCell ref="AQ10:AS10"/>
    <mergeCell ref="AT10:AV10"/>
    <mergeCell ref="AT11:AV11"/>
    <mergeCell ref="AW11:AY11"/>
    <mergeCell ref="AZ11:BB11"/>
    <mergeCell ref="BC11:BE11"/>
    <mergeCell ref="BF11:BH11"/>
    <mergeCell ref="BI11:BK11"/>
    <mergeCell ref="AQ11:AS11"/>
    <mergeCell ref="AT7:AV8"/>
    <mergeCell ref="AW7:AY8"/>
    <mergeCell ref="BC8:BE8"/>
    <mergeCell ref="BF8:BH8"/>
    <mergeCell ref="BI8:BK8"/>
    <mergeCell ref="AZ8:BB8"/>
    <mergeCell ref="BC7:BE7"/>
    <mergeCell ref="BF7:BH7"/>
    <mergeCell ref="BI7:BK7"/>
    <mergeCell ref="R9:T9"/>
    <mergeCell ref="U9:W9"/>
    <mergeCell ref="X9:Z9"/>
    <mergeCell ref="AZ7:BB7"/>
    <mergeCell ref="L3:BK3"/>
    <mergeCell ref="O4:AS4"/>
    <mergeCell ref="AT9:AV9"/>
    <mergeCell ref="AW9:AY9"/>
    <mergeCell ref="AZ9:BB9"/>
    <mergeCell ref="BC9:BE9"/>
    <mergeCell ref="BF9:BH9"/>
    <mergeCell ref="BI9:BK9"/>
    <mergeCell ref="AA9:AC9"/>
    <mergeCell ref="AD9:AF9"/>
    <mergeCell ref="AG9:AI9"/>
    <mergeCell ref="AJ9:AM9"/>
    <mergeCell ref="AN9:AP9"/>
    <mergeCell ref="U7:W7"/>
    <mergeCell ref="AT4:BB6"/>
    <mergeCell ref="BC4:BK6"/>
    <mergeCell ref="O5:W6"/>
    <mergeCell ref="AD5:AP5"/>
    <mergeCell ref="O7:Q8"/>
    <mergeCell ref="R7:T8"/>
    <mergeCell ref="AJ10:AM10"/>
    <mergeCell ref="AN10:AP10"/>
    <mergeCell ref="L10:N10"/>
    <mergeCell ref="O10:Q10"/>
    <mergeCell ref="R10:T10"/>
    <mergeCell ref="U10:W10"/>
    <mergeCell ref="X10:Z10"/>
    <mergeCell ref="AA10:AC10"/>
    <mergeCell ref="AA11:AC11"/>
    <mergeCell ref="AD11:AF11"/>
    <mergeCell ref="AG11:AI11"/>
    <mergeCell ref="AJ11:AM11"/>
    <mergeCell ref="AN11:AP11"/>
    <mergeCell ref="AW12:AY12"/>
    <mergeCell ref="AZ12:BB12"/>
    <mergeCell ref="BC12:BE12"/>
    <mergeCell ref="BF12:BH12"/>
    <mergeCell ref="BI12:BK12"/>
    <mergeCell ref="L13:N13"/>
    <mergeCell ref="O13:Q13"/>
    <mergeCell ref="R13:T13"/>
    <mergeCell ref="U13:W13"/>
    <mergeCell ref="X13:Z13"/>
    <mergeCell ref="AD12:AF12"/>
    <mergeCell ref="AG12:AI12"/>
    <mergeCell ref="AJ12:AM12"/>
    <mergeCell ref="AN12:AP12"/>
    <mergeCell ref="AQ12:AS12"/>
    <mergeCell ref="AT12:AV12"/>
    <mergeCell ref="L12:N12"/>
    <mergeCell ref="O12:Q12"/>
    <mergeCell ref="R12:T12"/>
    <mergeCell ref="U12:W12"/>
    <mergeCell ref="X12:Z12"/>
    <mergeCell ref="AA12:AC12"/>
    <mergeCell ref="AT13:AV13"/>
    <mergeCell ref="AW13:AY13"/>
    <mergeCell ref="AZ13:BB13"/>
    <mergeCell ref="BC13:BE13"/>
    <mergeCell ref="BF13:BH13"/>
    <mergeCell ref="BI13:BK13"/>
    <mergeCell ref="AA13:AC13"/>
    <mergeCell ref="AD13:AF13"/>
    <mergeCell ref="AG13:AI13"/>
    <mergeCell ref="AJ13:AM13"/>
    <mergeCell ref="AN13:AP13"/>
    <mergeCell ref="AQ13:AS13"/>
    <mergeCell ref="AW14:AY14"/>
    <mergeCell ref="AZ14:BB14"/>
    <mergeCell ref="BC14:BE14"/>
    <mergeCell ref="BF14:BH14"/>
    <mergeCell ref="BI14:BK14"/>
    <mergeCell ref="L16:N16"/>
    <mergeCell ref="O16:Q16"/>
    <mergeCell ref="R16:T16"/>
    <mergeCell ref="U16:W16"/>
    <mergeCell ref="X16:Z16"/>
    <mergeCell ref="AD14:AF14"/>
    <mergeCell ref="AG14:AI14"/>
    <mergeCell ref="AJ14:AM14"/>
    <mergeCell ref="AN14:AP14"/>
    <mergeCell ref="AQ14:AS14"/>
    <mergeCell ref="AT14:AV14"/>
    <mergeCell ref="L14:N14"/>
    <mergeCell ref="O14:Q14"/>
    <mergeCell ref="R14:T14"/>
    <mergeCell ref="U14:W14"/>
    <mergeCell ref="X14:Z14"/>
    <mergeCell ref="AA14:AC14"/>
    <mergeCell ref="AT16:AV16"/>
    <mergeCell ref="AW16:AY16"/>
    <mergeCell ref="AZ16:BB16"/>
    <mergeCell ref="BC16:BE16"/>
    <mergeCell ref="BF16:BH16"/>
    <mergeCell ref="BI16:BK16"/>
    <mergeCell ref="AA16:AC16"/>
    <mergeCell ref="AD16:AF16"/>
    <mergeCell ref="AG16:AI16"/>
    <mergeCell ref="AJ16:AM16"/>
    <mergeCell ref="AN16:AP16"/>
    <mergeCell ref="AQ16:AS16"/>
    <mergeCell ref="AW17:AY17"/>
    <mergeCell ref="AZ17:BB17"/>
    <mergeCell ref="BC17:BE17"/>
    <mergeCell ref="BF17:BH17"/>
    <mergeCell ref="BI17:BK17"/>
    <mergeCell ref="L18:N18"/>
    <mergeCell ref="O18:Q18"/>
    <mergeCell ref="R18:T18"/>
    <mergeCell ref="U18:W18"/>
    <mergeCell ref="X18:Z18"/>
    <mergeCell ref="AD17:AF17"/>
    <mergeCell ref="AG17:AI17"/>
    <mergeCell ref="AJ17:AM17"/>
    <mergeCell ref="AN17:AP17"/>
    <mergeCell ref="AQ17:AS17"/>
    <mergeCell ref="AT17:AV17"/>
    <mergeCell ref="L17:N17"/>
    <mergeCell ref="O17:Q17"/>
    <mergeCell ref="R17:T17"/>
    <mergeCell ref="U17:W17"/>
    <mergeCell ref="X17:Z17"/>
    <mergeCell ref="AA17:AC17"/>
    <mergeCell ref="AT18:AV18"/>
    <mergeCell ref="AW18:AY18"/>
    <mergeCell ref="AZ18:BB18"/>
    <mergeCell ref="BC18:BE18"/>
    <mergeCell ref="BF18:BH18"/>
    <mergeCell ref="BI18:BK18"/>
    <mergeCell ref="AA18:AC18"/>
    <mergeCell ref="AD18:AF18"/>
    <mergeCell ref="AG18:AI18"/>
    <mergeCell ref="AJ18:AM18"/>
    <mergeCell ref="AN18:AP18"/>
    <mergeCell ref="AQ18:AS18"/>
    <mergeCell ref="AW19:AY19"/>
    <mergeCell ref="AZ19:BB19"/>
    <mergeCell ref="BC19:BE19"/>
    <mergeCell ref="BF19:BH19"/>
    <mergeCell ref="BI19:BK19"/>
    <mergeCell ref="L20:N20"/>
    <mergeCell ref="O20:Q20"/>
    <mergeCell ref="R20:T20"/>
    <mergeCell ref="U20:W20"/>
    <mergeCell ref="X20:Z20"/>
    <mergeCell ref="AD19:AF19"/>
    <mergeCell ref="AG19:AI19"/>
    <mergeCell ref="AJ19:AM19"/>
    <mergeCell ref="AN19:AP19"/>
    <mergeCell ref="AQ19:AS19"/>
    <mergeCell ref="AT19:AV19"/>
    <mergeCell ref="L19:N19"/>
    <mergeCell ref="O19:Q19"/>
    <mergeCell ref="R19:T19"/>
    <mergeCell ref="U19:W19"/>
    <mergeCell ref="X19:Z19"/>
    <mergeCell ref="AA19:AC19"/>
    <mergeCell ref="AT20:AV20"/>
    <mergeCell ref="AW20:AY20"/>
    <mergeCell ref="BC20:BE20"/>
    <mergeCell ref="BF20:BH20"/>
    <mergeCell ref="BI20:BK20"/>
    <mergeCell ref="AA20:AC20"/>
    <mergeCell ref="AD20:AF20"/>
    <mergeCell ref="AG20:AI20"/>
    <mergeCell ref="AJ20:AM20"/>
    <mergeCell ref="AN20:AP20"/>
    <mergeCell ref="AQ20:AS20"/>
    <mergeCell ref="L25:N25"/>
    <mergeCell ref="O25:Q25"/>
    <mergeCell ref="R25:T25"/>
    <mergeCell ref="U25:W25"/>
    <mergeCell ref="X25:Z25"/>
    <mergeCell ref="AA25:AC25"/>
    <mergeCell ref="AT26:AV26"/>
    <mergeCell ref="AW26:AY26"/>
    <mergeCell ref="AZ20:BB20"/>
    <mergeCell ref="O26:Q26"/>
    <mergeCell ref="R26:T26"/>
    <mergeCell ref="U26:W26"/>
    <mergeCell ref="X26:Z26"/>
    <mergeCell ref="AD25:AF25"/>
    <mergeCell ref="AG25:AI25"/>
    <mergeCell ref="AJ25:AM25"/>
    <mergeCell ref="AN25:AP25"/>
    <mergeCell ref="AQ25:AS25"/>
    <mergeCell ref="O21:Q21"/>
    <mergeCell ref="R21:T21"/>
    <mergeCell ref="U21:W21"/>
    <mergeCell ref="X21:Z21"/>
    <mergeCell ref="R23:T23"/>
    <mergeCell ref="U23:W23"/>
    <mergeCell ref="L29:N29"/>
    <mergeCell ref="O29:Q29"/>
    <mergeCell ref="R29:T29"/>
    <mergeCell ref="U29:W29"/>
    <mergeCell ref="X29:Z29"/>
    <mergeCell ref="BC26:BE26"/>
    <mergeCell ref="BF26:BH26"/>
    <mergeCell ref="BI26:BK26"/>
    <mergeCell ref="AA26:AC26"/>
    <mergeCell ref="AD26:AF26"/>
    <mergeCell ref="AG26:AI26"/>
    <mergeCell ref="AJ26:AM26"/>
    <mergeCell ref="AN26:AP26"/>
    <mergeCell ref="AQ26:AS26"/>
    <mergeCell ref="AN27:AP27"/>
    <mergeCell ref="AQ27:AS27"/>
    <mergeCell ref="AT27:AV27"/>
    <mergeCell ref="AZ29:BB29"/>
    <mergeCell ref="BC29:BE29"/>
    <mergeCell ref="BF29:BH29"/>
    <mergeCell ref="L27:N27"/>
    <mergeCell ref="O27:Q27"/>
    <mergeCell ref="R27:T27"/>
    <mergeCell ref="L26:N26"/>
    <mergeCell ref="U27:W27"/>
    <mergeCell ref="X27:Z27"/>
    <mergeCell ref="AA27:AC27"/>
    <mergeCell ref="AT29:AV29"/>
    <mergeCell ref="AW29:AY29"/>
    <mergeCell ref="AJ6:AM8"/>
    <mergeCell ref="AQ5:AS8"/>
    <mergeCell ref="U8:W8"/>
    <mergeCell ref="AN6:AP6"/>
    <mergeCell ref="AN7:AP8"/>
    <mergeCell ref="AD27:AF27"/>
    <mergeCell ref="AJ15:AM15"/>
    <mergeCell ref="AN15:AP15"/>
    <mergeCell ref="AQ15:AS15"/>
    <mergeCell ref="AT15:AV15"/>
    <mergeCell ref="AW15:AY15"/>
    <mergeCell ref="AQ21:AS21"/>
    <mergeCell ref="AT21:AV21"/>
    <mergeCell ref="AW21:AY21"/>
    <mergeCell ref="AN28:AP28"/>
    <mergeCell ref="AQ28:AS28"/>
    <mergeCell ref="AT28:AV28"/>
    <mergeCell ref="AW28:AY28"/>
    <mergeCell ref="AW25:AY25"/>
    <mergeCell ref="B30:K30"/>
    <mergeCell ref="L30:N30"/>
    <mergeCell ref="O30:Q30"/>
    <mergeCell ref="R30:T30"/>
    <mergeCell ref="U30:W30"/>
    <mergeCell ref="X30:Z30"/>
    <mergeCell ref="AA30:AC30"/>
    <mergeCell ref="AD30:AF30"/>
    <mergeCell ref="AG30:AI30"/>
    <mergeCell ref="AJ30:AM30"/>
    <mergeCell ref="AN30:AP30"/>
    <mergeCell ref="AQ30:AS30"/>
    <mergeCell ref="AA29:AC29"/>
    <mergeCell ref="AD29:AF29"/>
    <mergeCell ref="AG29:AI29"/>
    <mergeCell ref="AJ29:AM29"/>
    <mergeCell ref="AN29:AP29"/>
    <mergeCell ref="AQ29:AS29"/>
    <mergeCell ref="C26:K26"/>
    <mergeCell ref="C27:K27"/>
    <mergeCell ref="F37:S37"/>
    <mergeCell ref="X37:AO37"/>
    <mergeCell ref="AT37:BK38"/>
    <mergeCell ref="F38:S38"/>
    <mergeCell ref="X38:AO38"/>
    <mergeCell ref="F39:S39"/>
    <mergeCell ref="AB39:AO39"/>
    <mergeCell ref="AT39:BK39"/>
    <mergeCell ref="AT30:AV30"/>
    <mergeCell ref="AW30:AY30"/>
    <mergeCell ref="AZ30:BB30"/>
    <mergeCell ref="BC30:BE30"/>
    <mergeCell ref="BF30:BH30"/>
    <mergeCell ref="BI30:BK30"/>
    <mergeCell ref="BI29:BK29"/>
    <mergeCell ref="AW27:AY27"/>
    <mergeCell ref="AZ27:BB27"/>
    <mergeCell ref="BC27:BE27"/>
    <mergeCell ref="BF27:BH27"/>
    <mergeCell ref="BI27:BK27"/>
    <mergeCell ref="AG27:AI27"/>
    <mergeCell ref="AJ27:AM27"/>
    <mergeCell ref="B3:K8"/>
    <mergeCell ref="L15:N15"/>
    <mergeCell ref="O15:Q15"/>
    <mergeCell ref="R15:T15"/>
    <mergeCell ref="U15:W15"/>
    <mergeCell ref="X15:Z15"/>
    <mergeCell ref="AA15:AC15"/>
    <mergeCell ref="AD15:AF15"/>
    <mergeCell ref="AG15:AI15"/>
    <mergeCell ref="L4:N8"/>
    <mergeCell ref="X5:Z8"/>
    <mergeCell ref="AA5:AC8"/>
    <mergeCell ref="AD6:AF8"/>
    <mergeCell ref="AG6:AI8"/>
    <mergeCell ref="L11:N11"/>
    <mergeCell ref="O11:Q11"/>
    <mergeCell ref="R11:T11"/>
    <mergeCell ref="U11:W11"/>
    <mergeCell ref="X11:Z11"/>
    <mergeCell ref="AD10:AF10"/>
    <mergeCell ref="AG10:AI10"/>
    <mergeCell ref="B9:K9"/>
    <mergeCell ref="L9:N9"/>
    <mergeCell ref="O9:Q9"/>
    <mergeCell ref="AZ15:BB15"/>
    <mergeCell ref="BC15:BE15"/>
    <mergeCell ref="BF15:BH15"/>
    <mergeCell ref="BI15:BK15"/>
    <mergeCell ref="BC21:BE21"/>
    <mergeCell ref="BF21:BH21"/>
    <mergeCell ref="BI21:BK21"/>
    <mergeCell ref="L24:N24"/>
    <mergeCell ref="O24:Q24"/>
    <mergeCell ref="R24:T24"/>
    <mergeCell ref="U24:W24"/>
    <mergeCell ref="X24:Z24"/>
    <mergeCell ref="AA24:AC24"/>
    <mergeCell ref="AD24:AF24"/>
    <mergeCell ref="AG24:AI24"/>
    <mergeCell ref="AJ24:AM24"/>
    <mergeCell ref="AN24:AP24"/>
    <mergeCell ref="AQ24:AS24"/>
    <mergeCell ref="AT24:AV24"/>
    <mergeCell ref="AW24:AY24"/>
    <mergeCell ref="AZ24:BB24"/>
    <mergeCell ref="BC24:BE24"/>
    <mergeCell ref="BF24:BH24"/>
    <mergeCell ref="L21:N21"/>
    <mergeCell ref="AN21:AP21"/>
    <mergeCell ref="AZ21:BB21"/>
    <mergeCell ref="AA21:AC21"/>
    <mergeCell ref="AD21:AF21"/>
    <mergeCell ref="AG21:AI21"/>
    <mergeCell ref="AJ21:AM21"/>
    <mergeCell ref="AT23:AV23"/>
    <mergeCell ref="AW23:AY23"/>
    <mergeCell ref="AZ23:BB23"/>
    <mergeCell ref="L23:N23"/>
    <mergeCell ref="O23:Q23"/>
    <mergeCell ref="BF23:BH23"/>
    <mergeCell ref="BI23:BK23"/>
    <mergeCell ref="L22:N22"/>
    <mergeCell ref="O22:Q22"/>
    <mergeCell ref="R22:T22"/>
    <mergeCell ref="U22:W22"/>
    <mergeCell ref="X22:Z22"/>
    <mergeCell ref="AA22:AC22"/>
    <mergeCell ref="AD22:AF22"/>
    <mergeCell ref="AG22:AI22"/>
    <mergeCell ref="AJ22:AM22"/>
    <mergeCell ref="BC23:BE23"/>
    <mergeCell ref="AN22:AP22"/>
    <mergeCell ref="AQ22:AS22"/>
    <mergeCell ref="AT22:AV22"/>
    <mergeCell ref="AW22:AY22"/>
    <mergeCell ref="AZ22:BB22"/>
    <mergeCell ref="BC22:BE22"/>
    <mergeCell ref="BF22:BH22"/>
    <mergeCell ref="BI22:BK22"/>
    <mergeCell ref="X23:Z23"/>
    <mergeCell ref="AA23:AC23"/>
    <mergeCell ref="L28:N28"/>
    <mergeCell ref="O28:Q28"/>
    <mergeCell ref="R28:T28"/>
    <mergeCell ref="U28:W28"/>
    <mergeCell ref="X28:Z28"/>
    <mergeCell ref="AA28:AC28"/>
    <mergeCell ref="AD28:AF28"/>
    <mergeCell ref="AG28:AI28"/>
    <mergeCell ref="AJ28:AM28"/>
    <mergeCell ref="AZ28:BB28"/>
    <mergeCell ref="BC28:BE28"/>
    <mergeCell ref="BF28:BH28"/>
    <mergeCell ref="BI28:BK28"/>
    <mergeCell ref="AD23:AF23"/>
    <mergeCell ref="AG23:AI23"/>
    <mergeCell ref="AJ23:AM23"/>
    <mergeCell ref="AN23:AP23"/>
    <mergeCell ref="AQ23:AS23"/>
    <mergeCell ref="BI24:BK24"/>
    <mergeCell ref="AZ26:BB26"/>
    <mergeCell ref="AZ25:BB25"/>
    <mergeCell ref="BC25:BE25"/>
    <mergeCell ref="BF25:BH25"/>
    <mergeCell ref="BI25:BK25"/>
    <mergeCell ref="AT25:AV25"/>
  </mergeCells>
  <dataValidations count="1">
    <dataValidation type="whole" allowBlank="1" showInputMessage="1" showErrorMessage="1" errorTitle="GESP SY 2022-2023" error="Please enter valid number between 0-999." sqref="L10:T29 X10:AM29 AT10:AY29" xr:uid="{00000000-0002-0000-0C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9 of 60</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BZ58"/>
  <sheetViews>
    <sheetView showGridLines="0" zoomScale="59" zoomScaleNormal="59" zoomScaleSheetLayoutView="100" workbookViewId="0">
      <selection activeCell="R11" sqref="R11:T11"/>
    </sheetView>
  </sheetViews>
  <sheetFormatPr defaultColWidth="9" defaultRowHeight="15.5"/>
  <cols>
    <col min="1" max="1" width="2.08203125" style="128" customWidth="1"/>
    <col min="2" max="13" width="3.58203125" style="128" customWidth="1"/>
    <col min="14" max="14" width="3.83203125" style="128" customWidth="1"/>
    <col min="15" max="63" width="3.58203125" style="128" customWidth="1"/>
    <col min="64" max="64" width="2.08203125" style="128" customWidth="1"/>
    <col min="65" max="72" width="3.58203125" style="128" customWidth="1"/>
    <col min="73" max="89" width="3.08203125" style="128" customWidth="1"/>
    <col min="90" max="16384" width="9" style="128"/>
  </cols>
  <sheetData>
    <row r="1" spans="2:65" ht="12" customHeight="1"/>
    <row r="2" spans="2:65" ht="17" thickBot="1">
      <c r="B2" s="268" t="s">
        <v>11756</v>
      </c>
      <c r="C2" s="150"/>
      <c r="D2" s="150"/>
      <c r="E2" s="150"/>
      <c r="W2" s="150"/>
      <c r="AE2" s="437"/>
    </row>
    <row r="3" spans="2:65" s="180" customFormat="1" ht="17" thickBot="1">
      <c r="B3" s="2414" t="s">
        <v>46</v>
      </c>
      <c r="C3" s="2415"/>
      <c r="D3" s="2415"/>
      <c r="E3" s="2415"/>
      <c r="F3" s="2415"/>
      <c r="G3" s="2415"/>
      <c r="H3" s="2415"/>
      <c r="I3" s="2415"/>
      <c r="J3" s="2415"/>
      <c r="K3" s="2416"/>
      <c r="L3" s="2420" t="s">
        <v>52</v>
      </c>
      <c r="M3" s="2421"/>
      <c r="N3" s="2421"/>
      <c r="O3" s="2421"/>
      <c r="P3" s="2421"/>
      <c r="Q3" s="2421"/>
      <c r="R3" s="2421"/>
      <c r="S3" s="2421"/>
      <c r="T3" s="2421"/>
      <c r="U3" s="2421"/>
      <c r="V3" s="2421"/>
      <c r="W3" s="2421"/>
      <c r="X3" s="2421"/>
      <c r="Y3" s="2421"/>
      <c r="Z3" s="2421"/>
      <c r="AA3" s="2421"/>
      <c r="AB3" s="2421"/>
      <c r="AC3" s="2421"/>
      <c r="AD3" s="2421"/>
      <c r="AE3" s="2421"/>
      <c r="AF3" s="2421"/>
      <c r="AG3" s="2421"/>
      <c r="AH3" s="2421"/>
      <c r="AI3" s="2421"/>
      <c r="AJ3" s="2421"/>
      <c r="AK3" s="2421"/>
      <c r="AL3" s="2421"/>
      <c r="AM3" s="2421"/>
      <c r="AN3" s="2421"/>
      <c r="AO3" s="2421"/>
      <c r="AP3" s="2421"/>
      <c r="AQ3" s="2421"/>
      <c r="AR3" s="2421"/>
      <c r="AS3" s="2421"/>
      <c r="AT3" s="2421"/>
      <c r="AU3" s="2421"/>
      <c r="AV3" s="2421"/>
      <c r="AW3" s="2421"/>
      <c r="AX3" s="2421"/>
      <c r="AY3" s="2421"/>
      <c r="AZ3" s="2421"/>
      <c r="BA3" s="2421"/>
      <c r="BB3" s="2421"/>
      <c r="BC3" s="2421"/>
      <c r="BD3" s="2421"/>
      <c r="BE3" s="2421"/>
      <c r="BF3" s="2421"/>
      <c r="BG3" s="2421"/>
      <c r="BH3" s="2421"/>
      <c r="BI3" s="2421"/>
      <c r="BJ3" s="2421"/>
      <c r="BK3" s="2422"/>
    </row>
    <row r="4" spans="2:65" s="180" customFormat="1" ht="16.5" customHeight="1" thickBot="1">
      <c r="B4" s="2417"/>
      <c r="C4" s="2418"/>
      <c r="D4" s="2418"/>
      <c r="E4" s="2418"/>
      <c r="F4" s="2418"/>
      <c r="G4" s="2418"/>
      <c r="H4" s="2418"/>
      <c r="I4" s="2418"/>
      <c r="J4" s="2418"/>
      <c r="K4" s="2419"/>
      <c r="L4" s="2210" t="s">
        <v>26</v>
      </c>
      <c r="M4" s="2211"/>
      <c r="N4" s="2212"/>
      <c r="O4" s="2295" t="s">
        <v>82</v>
      </c>
      <c r="P4" s="2296"/>
      <c r="Q4" s="2296"/>
      <c r="R4" s="2296"/>
      <c r="S4" s="2296"/>
      <c r="T4" s="2296"/>
      <c r="U4" s="2296"/>
      <c r="V4" s="2296"/>
      <c r="W4" s="2296"/>
      <c r="X4" s="2296"/>
      <c r="Y4" s="2296"/>
      <c r="Z4" s="2296"/>
      <c r="AA4" s="2296"/>
      <c r="AB4" s="2296"/>
      <c r="AC4" s="2296"/>
      <c r="AD4" s="2296"/>
      <c r="AE4" s="2296"/>
      <c r="AF4" s="2296"/>
      <c r="AG4" s="2296"/>
      <c r="AH4" s="2296"/>
      <c r="AI4" s="2296"/>
      <c r="AJ4" s="2296"/>
      <c r="AK4" s="2296"/>
      <c r="AL4" s="2296"/>
      <c r="AM4" s="2296"/>
      <c r="AN4" s="2296"/>
      <c r="AO4" s="2296"/>
      <c r="AP4" s="2296"/>
      <c r="AQ4" s="2296"/>
      <c r="AR4" s="2296"/>
      <c r="AS4" s="2297"/>
      <c r="AT4" s="2210" t="s">
        <v>799</v>
      </c>
      <c r="AU4" s="2211"/>
      <c r="AV4" s="2211"/>
      <c r="AW4" s="2211"/>
      <c r="AX4" s="2211"/>
      <c r="AY4" s="2211"/>
      <c r="AZ4" s="2211"/>
      <c r="BA4" s="2211"/>
      <c r="BB4" s="2212"/>
      <c r="BC4" s="2210" t="s">
        <v>1265</v>
      </c>
      <c r="BD4" s="2211"/>
      <c r="BE4" s="2211"/>
      <c r="BF4" s="2211"/>
      <c r="BG4" s="2211"/>
      <c r="BH4" s="2211"/>
      <c r="BI4" s="2211"/>
      <c r="BJ4" s="2211"/>
      <c r="BK4" s="2212"/>
    </row>
    <row r="5" spans="2:65" s="180" customFormat="1" ht="15.65" customHeight="1">
      <c r="B5" s="2417"/>
      <c r="C5" s="2418"/>
      <c r="D5" s="2418"/>
      <c r="E5" s="2418"/>
      <c r="F5" s="2418"/>
      <c r="G5" s="2418"/>
      <c r="H5" s="2418"/>
      <c r="I5" s="2418"/>
      <c r="J5" s="2418"/>
      <c r="K5" s="2419"/>
      <c r="L5" s="2213"/>
      <c r="M5" s="2214"/>
      <c r="N5" s="2215"/>
      <c r="O5" s="2210" t="s">
        <v>1266</v>
      </c>
      <c r="P5" s="2211"/>
      <c r="Q5" s="2211"/>
      <c r="R5" s="2211"/>
      <c r="S5" s="2211"/>
      <c r="T5" s="2211"/>
      <c r="U5" s="2211"/>
      <c r="V5" s="2211"/>
      <c r="W5" s="2217"/>
      <c r="X5" s="2211" t="s">
        <v>27</v>
      </c>
      <c r="Y5" s="2211"/>
      <c r="Z5" s="2217"/>
      <c r="AA5" s="2216" t="s">
        <v>252</v>
      </c>
      <c r="AB5" s="2211"/>
      <c r="AC5" s="2217"/>
      <c r="AD5" s="2303" t="s">
        <v>251</v>
      </c>
      <c r="AE5" s="2304"/>
      <c r="AF5" s="2304"/>
      <c r="AG5" s="2304"/>
      <c r="AH5" s="2304"/>
      <c r="AI5" s="2304"/>
      <c r="AJ5" s="2304"/>
      <c r="AK5" s="2304"/>
      <c r="AL5" s="2304"/>
      <c r="AM5" s="2304"/>
      <c r="AN5" s="2304"/>
      <c r="AO5" s="2304"/>
      <c r="AP5" s="2305"/>
      <c r="AQ5" s="1792" t="s">
        <v>1021</v>
      </c>
      <c r="AR5" s="1793"/>
      <c r="AS5" s="1794"/>
      <c r="AT5" s="2213"/>
      <c r="AU5" s="2214"/>
      <c r="AV5" s="2214"/>
      <c r="AW5" s="2214"/>
      <c r="AX5" s="2214"/>
      <c r="AY5" s="2214"/>
      <c r="AZ5" s="2214"/>
      <c r="BA5" s="2214"/>
      <c r="BB5" s="2215"/>
      <c r="BC5" s="2213"/>
      <c r="BD5" s="2214"/>
      <c r="BE5" s="2214"/>
      <c r="BF5" s="2214"/>
      <c r="BG5" s="2214"/>
      <c r="BH5" s="2214"/>
      <c r="BI5" s="2214"/>
      <c r="BJ5" s="2214"/>
      <c r="BK5" s="2215"/>
    </row>
    <row r="6" spans="2:65" s="180" customFormat="1" ht="31" customHeight="1">
      <c r="B6" s="2417"/>
      <c r="C6" s="2418"/>
      <c r="D6" s="2418"/>
      <c r="E6" s="2418"/>
      <c r="F6" s="2418"/>
      <c r="G6" s="2418"/>
      <c r="H6" s="2418"/>
      <c r="I6" s="2418"/>
      <c r="J6" s="2418"/>
      <c r="K6" s="2419"/>
      <c r="L6" s="2213"/>
      <c r="M6" s="2214"/>
      <c r="N6" s="2215"/>
      <c r="O6" s="2299"/>
      <c r="P6" s="2300"/>
      <c r="Q6" s="2300"/>
      <c r="R6" s="2300"/>
      <c r="S6" s="2300"/>
      <c r="T6" s="2300"/>
      <c r="U6" s="2300"/>
      <c r="V6" s="2300"/>
      <c r="W6" s="2302"/>
      <c r="X6" s="2214"/>
      <c r="Y6" s="2214"/>
      <c r="Z6" s="2219"/>
      <c r="AA6" s="2218"/>
      <c r="AB6" s="2214"/>
      <c r="AC6" s="2219"/>
      <c r="AD6" s="2220" t="s">
        <v>98</v>
      </c>
      <c r="AE6" s="2221"/>
      <c r="AF6" s="2222"/>
      <c r="AG6" s="2220" t="s">
        <v>76</v>
      </c>
      <c r="AH6" s="2221"/>
      <c r="AI6" s="2222"/>
      <c r="AJ6" s="2220" t="s">
        <v>123</v>
      </c>
      <c r="AK6" s="2221"/>
      <c r="AL6" s="2221"/>
      <c r="AM6" s="2251"/>
      <c r="AN6" s="2258" t="s">
        <v>29</v>
      </c>
      <c r="AO6" s="2221"/>
      <c r="AP6" s="2251"/>
      <c r="AQ6" s="2423"/>
      <c r="AR6" s="2130"/>
      <c r="AS6" s="2131"/>
      <c r="AT6" s="2299"/>
      <c r="AU6" s="2300"/>
      <c r="AV6" s="2300"/>
      <c r="AW6" s="2300"/>
      <c r="AX6" s="2300"/>
      <c r="AY6" s="2300"/>
      <c r="AZ6" s="2300"/>
      <c r="BA6" s="2300"/>
      <c r="BB6" s="2301"/>
      <c r="BC6" s="2299"/>
      <c r="BD6" s="2300"/>
      <c r="BE6" s="2300"/>
      <c r="BF6" s="2300"/>
      <c r="BG6" s="2300"/>
      <c r="BH6" s="2300"/>
      <c r="BI6" s="2300"/>
      <c r="BJ6" s="2300"/>
      <c r="BK6" s="2301"/>
    </row>
    <row r="7" spans="2:65" s="180" customFormat="1" ht="31" customHeight="1">
      <c r="B7" s="2417"/>
      <c r="C7" s="2418"/>
      <c r="D7" s="2418"/>
      <c r="E7" s="2418"/>
      <c r="F7" s="2418"/>
      <c r="G7" s="2418"/>
      <c r="H7" s="2418"/>
      <c r="I7" s="2418"/>
      <c r="J7" s="2418"/>
      <c r="K7" s="2419"/>
      <c r="L7" s="2213"/>
      <c r="M7" s="2214"/>
      <c r="N7" s="2215"/>
      <c r="O7" s="2306" t="s">
        <v>15</v>
      </c>
      <c r="P7" s="2221"/>
      <c r="Q7" s="2222"/>
      <c r="R7" s="2220" t="s">
        <v>16</v>
      </c>
      <c r="S7" s="2221"/>
      <c r="T7" s="2251"/>
      <c r="U7" s="2289" t="s">
        <v>29</v>
      </c>
      <c r="V7" s="2400"/>
      <c r="W7" s="2401"/>
      <c r="X7" s="2214"/>
      <c r="Y7" s="2214"/>
      <c r="Z7" s="2219"/>
      <c r="AA7" s="2218"/>
      <c r="AB7" s="2214"/>
      <c r="AC7" s="2219"/>
      <c r="AD7" s="2218"/>
      <c r="AE7" s="2214"/>
      <c r="AF7" s="2219"/>
      <c r="AG7" s="2218"/>
      <c r="AH7" s="2214"/>
      <c r="AI7" s="2219"/>
      <c r="AJ7" s="2218"/>
      <c r="AK7" s="2214"/>
      <c r="AL7" s="2214"/>
      <c r="AM7" s="2252"/>
      <c r="AN7" s="2255" t="s">
        <v>1029</v>
      </c>
      <c r="AO7" s="2256"/>
      <c r="AP7" s="2259"/>
      <c r="AQ7" s="2423"/>
      <c r="AR7" s="2130"/>
      <c r="AS7" s="2131"/>
      <c r="AT7" s="2307" t="s">
        <v>15</v>
      </c>
      <c r="AU7" s="2308"/>
      <c r="AV7" s="2309"/>
      <c r="AW7" s="2313" t="s">
        <v>16</v>
      </c>
      <c r="AX7" s="2308"/>
      <c r="AY7" s="2314"/>
      <c r="AZ7" s="2289" t="s">
        <v>29</v>
      </c>
      <c r="BA7" s="2290"/>
      <c r="BB7" s="2291"/>
      <c r="BC7" s="2320" t="s">
        <v>15</v>
      </c>
      <c r="BD7" s="2290"/>
      <c r="BE7" s="2298"/>
      <c r="BF7" s="2321" t="s">
        <v>16</v>
      </c>
      <c r="BG7" s="2290"/>
      <c r="BH7" s="2322"/>
      <c r="BI7" s="2289" t="s">
        <v>29</v>
      </c>
      <c r="BJ7" s="2290"/>
      <c r="BK7" s="2291"/>
    </row>
    <row r="8" spans="2:65" s="180" customFormat="1" ht="31" customHeight="1">
      <c r="B8" s="438"/>
      <c r="C8" s="439"/>
      <c r="D8" s="439"/>
      <c r="E8" s="439"/>
      <c r="F8" s="439"/>
      <c r="G8" s="439"/>
      <c r="H8" s="439"/>
      <c r="I8" s="439"/>
      <c r="J8" s="439"/>
      <c r="K8" s="440"/>
      <c r="L8" s="2213"/>
      <c r="M8" s="2214"/>
      <c r="N8" s="2215"/>
      <c r="O8" s="2213"/>
      <c r="P8" s="2214"/>
      <c r="Q8" s="2219"/>
      <c r="R8" s="2218"/>
      <c r="S8" s="2214"/>
      <c r="T8" s="2252"/>
      <c r="U8" s="2255" t="s">
        <v>1031</v>
      </c>
      <c r="V8" s="2256"/>
      <c r="W8" s="2257"/>
      <c r="X8" s="2214"/>
      <c r="Y8" s="2214"/>
      <c r="Z8" s="2219"/>
      <c r="AA8" s="2218"/>
      <c r="AB8" s="2214"/>
      <c r="AC8" s="2219"/>
      <c r="AD8" s="2218"/>
      <c r="AE8" s="2214"/>
      <c r="AF8" s="2219"/>
      <c r="AG8" s="2218"/>
      <c r="AH8" s="2214"/>
      <c r="AI8" s="2219"/>
      <c r="AJ8" s="2218"/>
      <c r="AK8" s="2214"/>
      <c r="AL8" s="2214"/>
      <c r="AM8" s="2252"/>
      <c r="AN8" s="2255"/>
      <c r="AO8" s="2256"/>
      <c r="AP8" s="2259"/>
      <c r="AQ8" s="2423"/>
      <c r="AR8" s="2130"/>
      <c r="AS8" s="2131"/>
      <c r="AT8" s="2310"/>
      <c r="AU8" s="2311"/>
      <c r="AV8" s="2312"/>
      <c r="AW8" s="2315"/>
      <c r="AX8" s="2311"/>
      <c r="AY8" s="2316"/>
      <c r="AZ8" s="2255" t="s">
        <v>1030</v>
      </c>
      <c r="BA8" s="2256"/>
      <c r="BB8" s="2319"/>
      <c r="BC8" s="2317" t="s">
        <v>1024</v>
      </c>
      <c r="BD8" s="2256"/>
      <c r="BE8" s="2257"/>
      <c r="BF8" s="2318" t="s">
        <v>1023</v>
      </c>
      <c r="BG8" s="2256"/>
      <c r="BH8" s="2259"/>
      <c r="BI8" s="2255" t="s">
        <v>1022</v>
      </c>
      <c r="BJ8" s="2256"/>
      <c r="BK8" s="2319"/>
    </row>
    <row r="9" spans="2:65" s="376" customFormat="1" ht="12" customHeight="1" thickBot="1">
      <c r="B9" s="2226" t="s">
        <v>48</v>
      </c>
      <c r="C9" s="2227"/>
      <c r="D9" s="2227"/>
      <c r="E9" s="2227"/>
      <c r="F9" s="2227"/>
      <c r="G9" s="2227"/>
      <c r="H9" s="2227"/>
      <c r="I9" s="2227"/>
      <c r="J9" s="2227"/>
      <c r="K9" s="2228"/>
      <c r="L9" s="2411" t="s">
        <v>30</v>
      </c>
      <c r="M9" s="2406"/>
      <c r="N9" s="2410"/>
      <c r="O9" s="2411" t="s">
        <v>31</v>
      </c>
      <c r="P9" s="2406"/>
      <c r="Q9" s="2406"/>
      <c r="R9" s="2413" t="s">
        <v>32</v>
      </c>
      <c r="S9" s="2406"/>
      <c r="T9" s="2407"/>
      <c r="U9" s="2405" t="s">
        <v>33</v>
      </c>
      <c r="V9" s="2406"/>
      <c r="W9" s="2412"/>
      <c r="X9" s="2406" t="s">
        <v>34</v>
      </c>
      <c r="Y9" s="2406"/>
      <c r="Z9" s="2412"/>
      <c r="AA9" s="2413" t="s">
        <v>35</v>
      </c>
      <c r="AB9" s="2406"/>
      <c r="AC9" s="2412"/>
      <c r="AD9" s="2413" t="s">
        <v>36</v>
      </c>
      <c r="AE9" s="2406"/>
      <c r="AF9" s="2406"/>
      <c r="AG9" s="2413" t="s">
        <v>37</v>
      </c>
      <c r="AH9" s="2406"/>
      <c r="AI9" s="2412"/>
      <c r="AJ9" s="2413" t="s">
        <v>61</v>
      </c>
      <c r="AK9" s="2406"/>
      <c r="AL9" s="2406"/>
      <c r="AM9" s="2407"/>
      <c r="AN9" s="2405" t="s">
        <v>62</v>
      </c>
      <c r="AO9" s="2406"/>
      <c r="AP9" s="2407"/>
      <c r="AQ9" s="2408" t="s">
        <v>63</v>
      </c>
      <c r="AR9" s="2409"/>
      <c r="AS9" s="2410"/>
      <c r="AT9" s="2411" t="s">
        <v>74</v>
      </c>
      <c r="AU9" s="2406"/>
      <c r="AV9" s="2412"/>
      <c r="AW9" s="2413" t="s">
        <v>75</v>
      </c>
      <c r="AX9" s="2406"/>
      <c r="AY9" s="2407"/>
      <c r="AZ9" s="2406" t="s">
        <v>77</v>
      </c>
      <c r="BA9" s="2406"/>
      <c r="BB9" s="2410"/>
      <c r="BC9" s="2411" t="s">
        <v>78</v>
      </c>
      <c r="BD9" s="2406"/>
      <c r="BE9" s="2412"/>
      <c r="BF9" s="2413" t="s">
        <v>79</v>
      </c>
      <c r="BG9" s="2406"/>
      <c r="BH9" s="2407"/>
      <c r="BI9" s="2406" t="s">
        <v>83</v>
      </c>
      <c r="BJ9" s="2406"/>
      <c r="BK9" s="2410"/>
    </row>
    <row r="10" spans="2:65" s="397" customFormat="1" ht="25" customHeight="1">
      <c r="B10" s="410" t="s">
        <v>178</v>
      </c>
      <c r="C10" s="441"/>
      <c r="D10" s="441"/>
      <c r="E10" s="441"/>
      <c r="F10" s="442"/>
      <c r="G10" s="442"/>
      <c r="H10" s="442"/>
      <c r="I10" s="442"/>
      <c r="J10" s="442"/>
      <c r="K10" s="443"/>
      <c r="L10" s="441"/>
      <c r="M10" s="444"/>
      <c r="N10" s="444"/>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5"/>
    </row>
    <row r="11" spans="2:65" s="162" customFormat="1" ht="25" customHeight="1">
      <c r="B11" s="406" t="s">
        <v>137</v>
      </c>
      <c r="C11" s="268"/>
      <c r="D11" s="388"/>
      <c r="E11" s="388"/>
      <c r="F11" s="388"/>
      <c r="G11" s="388"/>
      <c r="H11" s="388"/>
      <c r="I11" s="388"/>
      <c r="J11" s="388"/>
      <c r="K11" s="415"/>
      <c r="L11" s="2386">
        <v>0</v>
      </c>
      <c r="M11" s="2387"/>
      <c r="N11" s="2388"/>
      <c r="O11" s="2386">
        <v>0</v>
      </c>
      <c r="P11" s="2387"/>
      <c r="Q11" s="2388"/>
      <c r="R11" s="2389">
        <v>0</v>
      </c>
      <c r="S11" s="2387"/>
      <c r="T11" s="2390"/>
      <c r="U11" s="2272">
        <f>O11+R11</f>
        <v>0</v>
      </c>
      <c r="V11" s="2181"/>
      <c r="W11" s="2264"/>
      <c r="X11" s="2389">
        <v>0</v>
      </c>
      <c r="Y11" s="2387"/>
      <c r="Z11" s="2388"/>
      <c r="AA11" s="2389">
        <v>0</v>
      </c>
      <c r="AB11" s="2387"/>
      <c r="AC11" s="2388"/>
      <c r="AD11" s="2389">
        <v>0</v>
      </c>
      <c r="AE11" s="2387"/>
      <c r="AF11" s="2388"/>
      <c r="AG11" s="2389">
        <v>0</v>
      </c>
      <c r="AH11" s="2387"/>
      <c r="AI11" s="2388"/>
      <c r="AJ11" s="2389">
        <v>0</v>
      </c>
      <c r="AK11" s="2387"/>
      <c r="AL11" s="2387"/>
      <c r="AM11" s="2390"/>
      <c r="AN11" s="2272">
        <f>AD11+AG11+AJ11</f>
        <v>0</v>
      </c>
      <c r="AO11" s="2181"/>
      <c r="AP11" s="2266"/>
      <c r="AQ11" s="2272">
        <f>U11+X11+AA11+AN11</f>
        <v>0</v>
      </c>
      <c r="AR11" s="2181"/>
      <c r="AS11" s="2182"/>
      <c r="AT11" s="2386">
        <v>0</v>
      </c>
      <c r="AU11" s="2387"/>
      <c r="AV11" s="2388"/>
      <c r="AW11" s="2389">
        <v>0</v>
      </c>
      <c r="AX11" s="2387"/>
      <c r="AY11" s="2390"/>
      <c r="AZ11" s="2272">
        <f>AT11+AW11</f>
        <v>0</v>
      </c>
      <c r="BA11" s="2181"/>
      <c r="BB11" s="2182"/>
      <c r="BC11" s="2398">
        <f>O11+AT11</f>
        <v>0</v>
      </c>
      <c r="BD11" s="2181"/>
      <c r="BE11" s="2264"/>
      <c r="BF11" s="2265">
        <f>R11+AW11</f>
        <v>0</v>
      </c>
      <c r="BG11" s="2181"/>
      <c r="BH11" s="2266"/>
      <c r="BI11" s="2272">
        <f>BC11+BF11</f>
        <v>0</v>
      </c>
      <c r="BJ11" s="2181"/>
      <c r="BK11" s="2182"/>
      <c r="BM11" s="414" t="str">
        <f>IF((AND(L11&lt;&gt;AQ11,BI11&lt;&gt;'Tables12-13'!AN7)),"Totals in column 12 shall tally with entries in column 2 and totals in Table 11a Column 18 shall tally with entries in Table 12 column 7.",IF(L11&lt;&gt;AQ11,"Totals in column 12 shall tally with entries in column 2.",IF(BI11&lt;&gt;'Tables12-13'!AN7,"Totals in Table 11a Column 18 shall tally with entries in Table 12 column 7. ","")))</f>
        <v/>
      </c>
    </row>
    <row r="12" spans="2:65" s="162" customFormat="1" ht="25" customHeight="1">
      <c r="B12" s="416" t="s">
        <v>85</v>
      </c>
      <c r="C12" s="417"/>
      <c r="D12" s="417"/>
      <c r="E12" s="417"/>
      <c r="F12" s="417"/>
      <c r="G12" s="417"/>
      <c r="H12" s="417"/>
      <c r="I12" s="417"/>
      <c r="J12" s="417"/>
      <c r="K12" s="418"/>
      <c r="L12" s="2378">
        <v>0</v>
      </c>
      <c r="M12" s="2379"/>
      <c r="N12" s="2380"/>
      <c r="O12" s="2378">
        <v>0</v>
      </c>
      <c r="P12" s="2379"/>
      <c r="Q12" s="2380"/>
      <c r="R12" s="2381">
        <v>0</v>
      </c>
      <c r="S12" s="2379"/>
      <c r="T12" s="2382"/>
      <c r="U12" s="2209">
        <f t="shared" ref="U12:U23" si="0">O12+R12</f>
        <v>0</v>
      </c>
      <c r="V12" s="2166"/>
      <c r="W12" s="2169"/>
      <c r="X12" s="2381">
        <v>0</v>
      </c>
      <c r="Y12" s="2379"/>
      <c r="Z12" s="2380"/>
      <c r="AA12" s="2381">
        <v>0</v>
      </c>
      <c r="AB12" s="2379"/>
      <c r="AC12" s="2380"/>
      <c r="AD12" s="2381">
        <v>0</v>
      </c>
      <c r="AE12" s="2379"/>
      <c r="AF12" s="2380"/>
      <c r="AG12" s="2381">
        <v>0</v>
      </c>
      <c r="AH12" s="2379"/>
      <c r="AI12" s="2380"/>
      <c r="AJ12" s="2381">
        <v>0</v>
      </c>
      <c r="AK12" s="2379"/>
      <c r="AL12" s="2379"/>
      <c r="AM12" s="2382"/>
      <c r="AN12" s="2209">
        <f t="shared" ref="AN12:AN23" si="1">AD12+AG12+AJ12</f>
        <v>0</v>
      </c>
      <c r="AO12" s="2166"/>
      <c r="AP12" s="2171"/>
      <c r="AQ12" s="2209">
        <f t="shared" ref="AQ12:AQ23" si="2">U12+X12+AA12+AN12</f>
        <v>0</v>
      </c>
      <c r="AR12" s="2166"/>
      <c r="AS12" s="2167"/>
      <c r="AT12" s="2378">
        <v>0</v>
      </c>
      <c r="AU12" s="2379"/>
      <c r="AV12" s="2380"/>
      <c r="AW12" s="2381">
        <v>0</v>
      </c>
      <c r="AX12" s="2379"/>
      <c r="AY12" s="2382"/>
      <c r="AZ12" s="2209">
        <f t="shared" ref="AZ12:AZ22" si="3">AT12+AW12</f>
        <v>0</v>
      </c>
      <c r="BA12" s="2166"/>
      <c r="BB12" s="2167"/>
      <c r="BC12" s="2383">
        <f t="shared" ref="BC12:BC22" si="4">O12+AT12</f>
        <v>0</v>
      </c>
      <c r="BD12" s="2166"/>
      <c r="BE12" s="2169"/>
      <c r="BF12" s="2170">
        <f t="shared" ref="BF12:BF22" si="5">R12+AW12</f>
        <v>0</v>
      </c>
      <c r="BG12" s="2166"/>
      <c r="BH12" s="2171"/>
      <c r="BI12" s="2209">
        <f t="shared" ref="BI12:BI22" si="6">BC12+BF12</f>
        <v>0</v>
      </c>
      <c r="BJ12" s="2166"/>
      <c r="BK12" s="2167"/>
      <c r="BM12" s="414" t="str">
        <f>IF((AND(L12&lt;&gt;AQ12,BI12&lt;&gt;'Tables12-13'!AN8)),"Totals in column 12 shall tally with entries in column 2 and totals in Table 11a Column 18 shall tally with entries in Table 12 column 7.",IF(L12&lt;&gt;AQ12,"Totals in column 12 shall tally with entries in column 2.",IF(BI12&lt;&gt;'Tables12-13'!AN8,"Totals in Table 11a Column 18 shall tally with entries in Table 12 column 7. ","")))</f>
        <v/>
      </c>
    </row>
    <row r="13" spans="2:65" s="162" customFormat="1" ht="25" customHeight="1">
      <c r="B13" s="416" t="s">
        <v>86</v>
      </c>
      <c r="C13" s="417"/>
      <c r="D13" s="417"/>
      <c r="E13" s="417"/>
      <c r="F13" s="417"/>
      <c r="G13" s="417"/>
      <c r="H13" s="417"/>
      <c r="I13" s="417"/>
      <c r="J13" s="417"/>
      <c r="K13" s="418"/>
      <c r="L13" s="2378">
        <v>1</v>
      </c>
      <c r="M13" s="2379"/>
      <c r="N13" s="2380"/>
      <c r="O13" s="2378">
        <v>0</v>
      </c>
      <c r="P13" s="2379"/>
      <c r="Q13" s="2380"/>
      <c r="R13" s="2381">
        <v>1</v>
      </c>
      <c r="S13" s="2379"/>
      <c r="T13" s="2382"/>
      <c r="U13" s="2209">
        <f t="shared" si="0"/>
        <v>1</v>
      </c>
      <c r="V13" s="2166"/>
      <c r="W13" s="2169"/>
      <c r="X13" s="2381">
        <v>0</v>
      </c>
      <c r="Y13" s="2379"/>
      <c r="Z13" s="2380"/>
      <c r="AA13" s="2381">
        <v>0</v>
      </c>
      <c r="AB13" s="2379"/>
      <c r="AC13" s="2380"/>
      <c r="AD13" s="2381">
        <v>0</v>
      </c>
      <c r="AE13" s="2379"/>
      <c r="AF13" s="2380"/>
      <c r="AG13" s="2381">
        <v>0</v>
      </c>
      <c r="AH13" s="2379"/>
      <c r="AI13" s="2380"/>
      <c r="AJ13" s="2381">
        <v>0</v>
      </c>
      <c r="AK13" s="2379"/>
      <c r="AL13" s="2379"/>
      <c r="AM13" s="2382"/>
      <c r="AN13" s="2209">
        <f t="shared" si="1"/>
        <v>0</v>
      </c>
      <c r="AO13" s="2166"/>
      <c r="AP13" s="2171"/>
      <c r="AQ13" s="2209">
        <f t="shared" si="2"/>
        <v>1</v>
      </c>
      <c r="AR13" s="2166"/>
      <c r="AS13" s="2167"/>
      <c r="AT13" s="2378">
        <v>0</v>
      </c>
      <c r="AU13" s="2379"/>
      <c r="AV13" s="2380"/>
      <c r="AW13" s="2381">
        <v>0</v>
      </c>
      <c r="AX13" s="2379"/>
      <c r="AY13" s="2382"/>
      <c r="AZ13" s="2209">
        <f t="shared" si="3"/>
        <v>0</v>
      </c>
      <c r="BA13" s="2166"/>
      <c r="BB13" s="2167"/>
      <c r="BC13" s="2383">
        <f t="shared" si="4"/>
        <v>0</v>
      </c>
      <c r="BD13" s="2166"/>
      <c r="BE13" s="2169"/>
      <c r="BF13" s="2170">
        <f t="shared" si="5"/>
        <v>1</v>
      </c>
      <c r="BG13" s="2166"/>
      <c r="BH13" s="2171"/>
      <c r="BI13" s="2209">
        <f t="shared" si="6"/>
        <v>1</v>
      </c>
      <c r="BJ13" s="2166"/>
      <c r="BK13" s="2167"/>
      <c r="BM13" s="414" t="str">
        <f>IF((AND(L13&lt;&gt;AQ13,BI13&lt;&gt;'Tables12-13'!AN9)),"Totals in column 12 shall tally with entries in column 2 and totals in Table 11a Column 18 shall tally with entries in Table 12 column 7.",IF(L13&lt;&gt;AQ13,"Totals in column 12 shall tally with entries in column 2.",IF(BI13&lt;&gt;'Tables12-13'!AN9,"Totals in Table 11a Column 18 shall tally with entries in Table 12 column 7. ","")))</f>
        <v/>
      </c>
    </row>
    <row r="14" spans="2:65" s="162" customFormat="1" ht="25" customHeight="1">
      <c r="B14" s="419" t="s">
        <v>87</v>
      </c>
      <c r="C14" s="420"/>
      <c r="D14" s="420"/>
      <c r="E14" s="420"/>
      <c r="F14" s="420"/>
      <c r="G14" s="420"/>
      <c r="H14" s="420"/>
      <c r="I14" s="420"/>
      <c r="J14" s="420"/>
      <c r="K14" s="421"/>
      <c r="L14" s="2391">
        <v>4</v>
      </c>
      <c r="M14" s="2392"/>
      <c r="N14" s="2393"/>
      <c r="O14" s="2391">
        <v>0</v>
      </c>
      <c r="P14" s="2392"/>
      <c r="Q14" s="2393"/>
      <c r="R14" s="2394">
        <v>4</v>
      </c>
      <c r="S14" s="2392"/>
      <c r="T14" s="2395"/>
      <c r="U14" s="2208">
        <f t="shared" si="0"/>
        <v>4</v>
      </c>
      <c r="V14" s="2183"/>
      <c r="W14" s="2186"/>
      <c r="X14" s="2394">
        <v>0</v>
      </c>
      <c r="Y14" s="2392"/>
      <c r="Z14" s="2393"/>
      <c r="AA14" s="2394">
        <v>0</v>
      </c>
      <c r="AB14" s="2392"/>
      <c r="AC14" s="2393"/>
      <c r="AD14" s="2394">
        <v>0</v>
      </c>
      <c r="AE14" s="2392"/>
      <c r="AF14" s="2393"/>
      <c r="AG14" s="2394">
        <v>0</v>
      </c>
      <c r="AH14" s="2392"/>
      <c r="AI14" s="2393"/>
      <c r="AJ14" s="2394">
        <v>0</v>
      </c>
      <c r="AK14" s="2392"/>
      <c r="AL14" s="2392"/>
      <c r="AM14" s="2395"/>
      <c r="AN14" s="2208">
        <f t="shared" si="1"/>
        <v>0</v>
      </c>
      <c r="AO14" s="2183"/>
      <c r="AP14" s="2188"/>
      <c r="AQ14" s="2208">
        <f t="shared" si="2"/>
        <v>4</v>
      </c>
      <c r="AR14" s="2183"/>
      <c r="AS14" s="2184"/>
      <c r="AT14" s="2391">
        <v>0</v>
      </c>
      <c r="AU14" s="2392"/>
      <c r="AV14" s="2393"/>
      <c r="AW14" s="2394">
        <v>0</v>
      </c>
      <c r="AX14" s="2392"/>
      <c r="AY14" s="2395"/>
      <c r="AZ14" s="2208">
        <f t="shared" si="3"/>
        <v>0</v>
      </c>
      <c r="BA14" s="2183"/>
      <c r="BB14" s="2184"/>
      <c r="BC14" s="2396">
        <f t="shared" si="4"/>
        <v>0</v>
      </c>
      <c r="BD14" s="2183"/>
      <c r="BE14" s="2186"/>
      <c r="BF14" s="2187">
        <f t="shared" si="5"/>
        <v>4</v>
      </c>
      <c r="BG14" s="2183"/>
      <c r="BH14" s="2188"/>
      <c r="BI14" s="2208">
        <f t="shared" si="6"/>
        <v>4</v>
      </c>
      <c r="BJ14" s="2183"/>
      <c r="BK14" s="2184"/>
      <c r="BM14" s="414" t="str">
        <f>IF((AND(L14&lt;&gt;AQ14,BI14&lt;&gt;'Tables12-13'!AN10)),"Totals in column 12 shall tally with entries in column 2 and totals in Table 11a Column 18 shall tally with entries in Table 12 column 7.",IF(L14&lt;&gt;AQ14,"Totals in column 12 shall tally with entries in column 2.",IF(BI14&lt;&gt;'Tables12-13'!AN10,"Totals in Table 11a Column 18 shall tally with entries in Table 12 column 7. ","")))</f>
        <v/>
      </c>
    </row>
    <row r="15" spans="2:65" s="162" customFormat="1" ht="25" customHeight="1">
      <c r="B15" s="422" t="s">
        <v>88</v>
      </c>
      <c r="C15" s="423"/>
      <c r="D15" s="423"/>
      <c r="E15" s="423"/>
      <c r="F15" s="423"/>
      <c r="G15" s="423"/>
      <c r="H15" s="423"/>
      <c r="I15" s="423"/>
      <c r="J15" s="423"/>
      <c r="K15" s="424"/>
      <c r="L15" s="2386">
        <v>11</v>
      </c>
      <c r="M15" s="2387"/>
      <c r="N15" s="2388"/>
      <c r="O15" s="2386">
        <v>1</v>
      </c>
      <c r="P15" s="2387"/>
      <c r="Q15" s="2388"/>
      <c r="R15" s="2389">
        <v>10</v>
      </c>
      <c r="S15" s="2387"/>
      <c r="T15" s="2390"/>
      <c r="U15" s="2272">
        <f t="shared" si="0"/>
        <v>11</v>
      </c>
      <c r="V15" s="2181"/>
      <c r="W15" s="2264"/>
      <c r="X15" s="2389">
        <v>0</v>
      </c>
      <c r="Y15" s="2387"/>
      <c r="Z15" s="2388"/>
      <c r="AA15" s="2389">
        <v>0</v>
      </c>
      <c r="AB15" s="2387"/>
      <c r="AC15" s="2388"/>
      <c r="AD15" s="2389">
        <v>0</v>
      </c>
      <c r="AE15" s="2387"/>
      <c r="AF15" s="2388"/>
      <c r="AG15" s="2389">
        <v>0</v>
      </c>
      <c r="AH15" s="2387"/>
      <c r="AI15" s="2388"/>
      <c r="AJ15" s="2389">
        <v>0</v>
      </c>
      <c r="AK15" s="2387"/>
      <c r="AL15" s="2387"/>
      <c r="AM15" s="2390"/>
      <c r="AN15" s="2272">
        <f t="shared" si="1"/>
        <v>0</v>
      </c>
      <c r="AO15" s="2181"/>
      <c r="AP15" s="2266"/>
      <c r="AQ15" s="2272">
        <f t="shared" si="2"/>
        <v>11</v>
      </c>
      <c r="AR15" s="2181"/>
      <c r="AS15" s="2182"/>
      <c r="AT15" s="2386">
        <v>0</v>
      </c>
      <c r="AU15" s="2387"/>
      <c r="AV15" s="2388"/>
      <c r="AW15" s="2389">
        <v>0</v>
      </c>
      <c r="AX15" s="2387"/>
      <c r="AY15" s="2390"/>
      <c r="AZ15" s="2272">
        <f t="shared" si="3"/>
        <v>0</v>
      </c>
      <c r="BA15" s="2181"/>
      <c r="BB15" s="2182"/>
      <c r="BC15" s="2398">
        <f t="shared" si="4"/>
        <v>1</v>
      </c>
      <c r="BD15" s="2181"/>
      <c r="BE15" s="2264"/>
      <c r="BF15" s="2265">
        <f t="shared" si="5"/>
        <v>10</v>
      </c>
      <c r="BG15" s="2181"/>
      <c r="BH15" s="2266"/>
      <c r="BI15" s="2272">
        <f t="shared" si="6"/>
        <v>11</v>
      </c>
      <c r="BJ15" s="2181"/>
      <c r="BK15" s="2182"/>
      <c r="BM15" s="414" t="str">
        <f>IF((AND(L15&lt;&gt;AQ15,BI15&lt;&gt;'Tables12-13'!AN11)),"Totals in column 12 shall tally with entries in column 2 and totals in Table 11a Column 18 shall tally with entries in Table 12 column 7.",IF(L15&lt;&gt;AQ15,"Totals in column 12 shall tally with entries in column 2.",IF(BI15&lt;&gt;'Tables12-13'!AN11,"Totals in Table 11a Column 18 shall tally with entries in Table 12 column 7. ","")))</f>
        <v/>
      </c>
    </row>
    <row r="16" spans="2:65" s="162" customFormat="1" ht="25" customHeight="1">
      <c r="B16" s="416" t="s">
        <v>89</v>
      </c>
      <c r="C16" s="417"/>
      <c r="D16" s="417"/>
      <c r="E16" s="417"/>
      <c r="F16" s="417"/>
      <c r="G16" s="417"/>
      <c r="H16" s="417"/>
      <c r="I16" s="417"/>
      <c r="J16" s="417"/>
      <c r="K16" s="418"/>
      <c r="L16" s="2378">
        <v>6</v>
      </c>
      <c r="M16" s="2379"/>
      <c r="N16" s="2380"/>
      <c r="O16" s="2378">
        <v>0</v>
      </c>
      <c r="P16" s="2379"/>
      <c r="Q16" s="2380"/>
      <c r="R16" s="2381">
        <v>6</v>
      </c>
      <c r="S16" s="2379"/>
      <c r="T16" s="2382"/>
      <c r="U16" s="2209">
        <f t="shared" si="0"/>
        <v>6</v>
      </c>
      <c r="V16" s="2166"/>
      <c r="W16" s="2169"/>
      <c r="X16" s="2381">
        <v>0</v>
      </c>
      <c r="Y16" s="2379"/>
      <c r="Z16" s="2380"/>
      <c r="AA16" s="2381">
        <v>0</v>
      </c>
      <c r="AB16" s="2379"/>
      <c r="AC16" s="2380"/>
      <c r="AD16" s="2381">
        <v>0</v>
      </c>
      <c r="AE16" s="2379"/>
      <c r="AF16" s="2380"/>
      <c r="AG16" s="2381">
        <v>0</v>
      </c>
      <c r="AH16" s="2379"/>
      <c r="AI16" s="2380"/>
      <c r="AJ16" s="2381">
        <v>0</v>
      </c>
      <c r="AK16" s="2379"/>
      <c r="AL16" s="2379"/>
      <c r="AM16" s="2382"/>
      <c r="AN16" s="2209">
        <f t="shared" si="1"/>
        <v>0</v>
      </c>
      <c r="AO16" s="2166"/>
      <c r="AP16" s="2171"/>
      <c r="AQ16" s="2209">
        <f t="shared" si="2"/>
        <v>6</v>
      </c>
      <c r="AR16" s="2166"/>
      <c r="AS16" s="2167"/>
      <c r="AT16" s="2378">
        <v>0</v>
      </c>
      <c r="AU16" s="2379"/>
      <c r="AV16" s="2380"/>
      <c r="AW16" s="2381">
        <v>0</v>
      </c>
      <c r="AX16" s="2379"/>
      <c r="AY16" s="2382"/>
      <c r="AZ16" s="2209">
        <f t="shared" si="3"/>
        <v>0</v>
      </c>
      <c r="BA16" s="2166"/>
      <c r="BB16" s="2167"/>
      <c r="BC16" s="2383">
        <f t="shared" si="4"/>
        <v>0</v>
      </c>
      <c r="BD16" s="2166"/>
      <c r="BE16" s="2169"/>
      <c r="BF16" s="2170">
        <f t="shared" si="5"/>
        <v>6</v>
      </c>
      <c r="BG16" s="2166"/>
      <c r="BH16" s="2171"/>
      <c r="BI16" s="2209">
        <f t="shared" si="6"/>
        <v>6</v>
      </c>
      <c r="BJ16" s="2166"/>
      <c r="BK16" s="2167"/>
      <c r="BM16" s="414" t="str">
        <f>IF((AND(L16&lt;&gt;AQ16,BI16&lt;&gt;'Tables12-13'!AN12)),"Totals in column 12 shall tally with entries in column 2 and totals in Table 11a Column 18 shall tally with entries in Table 12 column 7.",IF(L16&lt;&gt;AQ16,"Totals in column 12 shall tally with entries in column 2.",IF(BI16&lt;&gt;'Tables12-13'!AN12,"Totals in Table 11a Column 18 shall tally with entries in Table 12 column 7. ","")))</f>
        <v/>
      </c>
    </row>
    <row r="17" spans="1:65" s="162" customFormat="1" ht="25" customHeight="1">
      <c r="B17" s="425" t="s">
        <v>90</v>
      </c>
      <c r="C17" s="426"/>
      <c r="D17" s="426"/>
      <c r="E17" s="426"/>
      <c r="F17" s="426"/>
      <c r="G17" s="426"/>
      <c r="H17" s="426"/>
      <c r="I17" s="426"/>
      <c r="J17" s="426"/>
      <c r="K17" s="427"/>
      <c r="L17" s="2391">
        <v>14</v>
      </c>
      <c r="M17" s="2392"/>
      <c r="N17" s="2393"/>
      <c r="O17" s="2391">
        <v>1</v>
      </c>
      <c r="P17" s="2392"/>
      <c r="Q17" s="2393"/>
      <c r="R17" s="2394">
        <v>13</v>
      </c>
      <c r="S17" s="2392"/>
      <c r="T17" s="2395"/>
      <c r="U17" s="2208">
        <f t="shared" si="0"/>
        <v>14</v>
      </c>
      <c r="V17" s="2183"/>
      <c r="W17" s="2186"/>
      <c r="X17" s="2394">
        <v>0</v>
      </c>
      <c r="Y17" s="2392"/>
      <c r="Z17" s="2393"/>
      <c r="AA17" s="2394">
        <v>0</v>
      </c>
      <c r="AB17" s="2392"/>
      <c r="AC17" s="2393"/>
      <c r="AD17" s="2394">
        <v>0</v>
      </c>
      <c r="AE17" s="2392"/>
      <c r="AF17" s="2393"/>
      <c r="AG17" s="2394">
        <v>0</v>
      </c>
      <c r="AH17" s="2392"/>
      <c r="AI17" s="2393"/>
      <c r="AJ17" s="2394">
        <v>0</v>
      </c>
      <c r="AK17" s="2392"/>
      <c r="AL17" s="2392"/>
      <c r="AM17" s="2395"/>
      <c r="AN17" s="2208">
        <f t="shared" si="1"/>
        <v>0</v>
      </c>
      <c r="AO17" s="2183"/>
      <c r="AP17" s="2188"/>
      <c r="AQ17" s="2208">
        <f t="shared" si="2"/>
        <v>14</v>
      </c>
      <c r="AR17" s="2183"/>
      <c r="AS17" s="2184"/>
      <c r="AT17" s="2391">
        <v>0</v>
      </c>
      <c r="AU17" s="2392"/>
      <c r="AV17" s="2393"/>
      <c r="AW17" s="2394">
        <v>0</v>
      </c>
      <c r="AX17" s="2392"/>
      <c r="AY17" s="2395"/>
      <c r="AZ17" s="2208">
        <f t="shared" si="3"/>
        <v>0</v>
      </c>
      <c r="BA17" s="2183"/>
      <c r="BB17" s="2184"/>
      <c r="BC17" s="2396">
        <f t="shared" si="4"/>
        <v>1</v>
      </c>
      <c r="BD17" s="2183"/>
      <c r="BE17" s="2186"/>
      <c r="BF17" s="2187">
        <f t="shared" si="5"/>
        <v>13</v>
      </c>
      <c r="BG17" s="2183"/>
      <c r="BH17" s="2188"/>
      <c r="BI17" s="2208">
        <f t="shared" si="6"/>
        <v>14</v>
      </c>
      <c r="BJ17" s="2183"/>
      <c r="BK17" s="2184"/>
      <c r="BM17" s="414" t="str">
        <f>IF((AND(L17&lt;&gt;AQ17,BI17&lt;&gt;'Tables12-13'!AN13)),"Totals in column 12 shall tally with entries in column 2 and totals in Table 11a Column 18 shall tally with entries in Table 12 column 7.",IF(L17&lt;&gt;AQ17,"Totals in column 12 shall tally with entries in column 2.",IF(BI17&lt;&gt;'Tables12-13'!AN13,"Totals in Table 11a Column 18 shall tally with entries in Table 12 column 7. ","")))</f>
        <v/>
      </c>
    </row>
    <row r="18" spans="1:65" s="162" customFormat="1" ht="25" customHeight="1">
      <c r="B18" s="428" t="s">
        <v>138</v>
      </c>
      <c r="C18" s="429"/>
      <c r="D18" s="430"/>
      <c r="E18" s="430"/>
      <c r="F18" s="430"/>
      <c r="G18" s="430"/>
      <c r="H18" s="430"/>
      <c r="I18" s="430"/>
      <c r="J18" s="430"/>
      <c r="K18" s="431"/>
      <c r="L18" s="2386">
        <v>0</v>
      </c>
      <c r="M18" s="2387"/>
      <c r="N18" s="2388"/>
      <c r="O18" s="2386">
        <v>0</v>
      </c>
      <c r="P18" s="2387"/>
      <c r="Q18" s="2388"/>
      <c r="R18" s="2389">
        <v>0</v>
      </c>
      <c r="S18" s="2387"/>
      <c r="T18" s="2390"/>
      <c r="U18" s="2272">
        <f t="shared" si="0"/>
        <v>0</v>
      </c>
      <c r="V18" s="2181"/>
      <c r="W18" s="2264"/>
      <c r="X18" s="2389">
        <v>0</v>
      </c>
      <c r="Y18" s="2387"/>
      <c r="Z18" s="2388"/>
      <c r="AA18" s="2389">
        <v>0</v>
      </c>
      <c r="AB18" s="2387"/>
      <c r="AC18" s="2388"/>
      <c r="AD18" s="2389">
        <v>0</v>
      </c>
      <c r="AE18" s="2387"/>
      <c r="AF18" s="2388"/>
      <c r="AG18" s="2389">
        <v>0</v>
      </c>
      <c r="AH18" s="2387"/>
      <c r="AI18" s="2388"/>
      <c r="AJ18" s="2389">
        <v>0</v>
      </c>
      <c r="AK18" s="2387"/>
      <c r="AL18" s="2387"/>
      <c r="AM18" s="2390"/>
      <c r="AN18" s="2272">
        <f t="shared" si="1"/>
        <v>0</v>
      </c>
      <c r="AO18" s="2181"/>
      <c r="AP18" s="2266"/>
      <c r="AQ18" s="2272">
        <f t="shared" si="2"/>
        <v>0</v>
      </c>
      <c r="AR18" s="2181"/>
      <c r="AS18" s="2182"/>
      <c r="AT18" s="2386">
        <v>0</v>
      </c>
      <c r="AU18" s="2387"/>
      <c r="AV18" s="2388"/>
      <c r="AW18" s="2389">
        <v>0</v>
      </c>
      <c r="AX18" s="2387"/>
      <c r="AY18" s="2390"/>
      <c r="AZ18" s="2177">
        <f t="shared" si="3"/>
        <v>0</v>
      </c>
      <c r="BA18" s="2178"/>
      <c r="BB18" s="2180"/>
      <c r="BC18" s="2385">
        <f t="shared" si="4"/>
        <v>0</v>
      </c>
      <c r="BD18" s="2178"/>
      <c r="BE18" s="2207"/>
      <c r="BF18" s="2201">
        <f t="shared" si="5"/>
        <v>0</v>
      </c>
      <c r="BG18" s="2178"/>
      <c r="BH18" s="2179"/>
      <c r="BI18" s="2177">
        <f t="shared" si="6"/>
        <v>0</v>
      </c>
      <c r="BJ18" s="2178"/>
      <c r="BK18" s="2180"/>
      <c r="BM18" s="414" t="str">
        <f>IF((AND(L18&lt;&gt;AQ18,BI18&lt;&gt;'Tables12-13'!AN14)),"Totals in column 12 shall tally with entries in column 2 and totals in Table 11a Column 18 shall tally with entries in Table 12 column 7.",IF(L18&lt;&gt;AQ18,"Totals in column 12 shall tally with entries in column 2.",IF(BI18&lt;&gt;'Tables12-13'!AN14,"Totals in Table 11a Column 18 shall tally with entries in Table 12 column 7. ","")))</f>
        <v/>
      </c>
    </row>
    <row r="19" spans="1:65" s="162" customFormat="1" ht="25" customHeight="1">
      <c r="B19" s="416" t="s">
        <v>139</v>
      </c>
      <c r="C19" s="432"/>
      <c r="D19" s="417"/>
      <c r="E19" s="417"/>
      <c r="F19" s="417"/>
      <c r="G19" s="417"/>
      <c r="H19" s="417"/>
      <c r="I19" s="417"/>
      <c r="J19" s="417"/>
      <c r="K19" s="433"/>
      <c r="L19" s="2378">
        <v>0</v>
      </c>
      <c r="M19" s="2379"/>
      <c r="N19" s="2380"/>
      <c r="O19" s="2378">
        <v>0</v>
      </c>
      <c r="P19" s="2379"/>
      <c r="Q19" s="2380"/>
      <c r="R19" s="2381">
        <v>0</v>
      </c>
      <c r="S19" s="2379"/>
      <c r="T19" s="2382"/>
      <c r="U19" s="2209">
        <f t="shared" si="0"/>
        <v>0</v>
      </c>
      <c r="V19" s="2166"/>
      <c r="W19" s="2169"/>
      <c r="X19" s="2381">
        <v>0</v>
      </c>
      <c r="Y19" s="2379"/>
      <c r="Z19" s="2380"/>
      <c r="AA19" s="2381">
        <v>0</v>
      </c>
      <c r="AB19" s="2379"/>
      <c r="AC19" s="2380"/>
      <c r="AD19" s="2381">
        <v>0</v>
      </c>
      <c r="AE19" s="2379"/>
      <c r="AF19" s="2380"/>
      <c r="AG19" s="2381">
        <v>0</v>
      </c>
      <c r="AH19" s="2379"/>
      <c r="AI19" s="2380"/>
      <c r="AJ19" s="2381">
        <v>0</v>
      </c>
      <c r="AK19" s="2379"/>
      <c r="AL19" s="2379"/>
      <c r="AM19" s="2382"/>
      <c r="AN19" s="2209">
        <f t="shared" si="1"/>
        <v>0</v>
      </c>
      <c r="AO19" s="2166"/>
      <c r="AP19" s="2171"/>
      <c r="AQ19" s="2209">
        <f t="shared" si="2"/>
        <v>0</v>
      </c>
      <c r="AR19" s="2166"/>
      <c r="AS19" s="2167"/>
      <c r="AT19" s="2378">
        <v>0</v>
      </c>
      <c r="AU19" s="2379"/>
      <c r="AV19" s="2380"/>
      <c r="AW19" s="2381">
        <v>0</v>
      </c>
      <c r="AX19" s="2379"/>
      <c r="AY19" s="2382"/>
      <c r="AZ19" s="2209">
        <f t="shared" si="3"/>
        <v>0</v>
      </c>
      <c r="BA19" s="2166"/>
      <c r="BB19" s="2167"/>
      <c r="BC19" s="2383">
        <f t="shared" si="4"/>
        <v>0</v>
      </c>
      <c r="BD19" s="2166"/>
      <c r="BE19" s="2169"/>
      <c r="BF19" s="2170">
        <f t="shared" si="5"/>
        <v>0</v>
      </c>
      <c r="BG19" s="2166"/>
      <c r="BH19" s="2171"/>
      <c r="BI19" s="2209">
        <f t="shared" si="6"/>
        <v>0</v>
      </c>
      <c r="BJ19" s="2166"/>
      <c r="BK19" s="2167"/>
      <c r="BM19" s="414" t="str">
        <f>IF((AND(L19&lt;&gt;AQ19,BI19&lt;&gt;'Tables12-13'!AN15)),"Totals in column 12 shall tally with entries in column 2 and totals in Table 11a Column 18 shall tally with entries in Table 12 column 7.",IF(L19&lt;&gt;AQ19,"Totals in column 12 shall tally with entries in column 2.",IF(BI19&lt;&gt;'Tables12-13'!AN15,"Totals in Table 11a Column 18 shall tally with entries in Table 12 column 7. ","")))</f>
        <v/>
      </c>
    </row>
    <row r="20" spans="1:65" s="162" customFormat="1" ht="25" customHeight="1">
      <c r="B20" s="416" t="s">
        <v>140</v>
      </c>
      <c r="C20" s="432"/>
      <c r="D20" s="417"/>
      <c r="E20" s="417"/>
      <c r="F20" s="417"/>
      <c r="G20" s="417"/>
      <c r="H20" s="417"/>
      <c r="I20" s="417"/>
      <c r="J20" s="417"/>
      <c r="K20" s="433"/>
      <c r="L20" s="2378">
        <v>0</v>
      </c>
      <c r="M20" s="2379"/>
      <c r="N20" s="2380"/>
      <c r="O20" s="2378">
        <v>0</v>
      </c>
      <c r="P20" s="2379"/>
      <c r="Q20" s="2380"/>
      <c r="R20" s="2381">
        <v>0</v>
      </c>
      <c r="S20" s="2379"/>
      <c r="T20" s="2382"/>
      <c r="U20" s="2209">
        <f t="shared" si="0"/>
        <v>0</v>
      </c>
      <c r="V20" s="2166"/>
      <c r="W20" s="2169"/>
      <c r="X20" s="2381">
        <v>0</v>
      </c>
      <c r="Y20" s="2379"/>
      <c r="Z20" s="2380"/>
      <c r="AA20" s="2381">
        <v>0</v>
      </c>
      <c r="AB20" s="2379"/>
      <c r="AC20" s="2380"/>
      <c r="AD20" s="2381">
        <v>0</v>
      </c>
      <c r="AE20" s="2379"/>
      <c r="AF20" s="2380"/>
      <c r="AG20" s="2381">
        <v>0</v>
      </c>
      <c r="AH20" s="2379"/>
      <c r="AI20" s="2380"/>
      <c r="AJ20" s="2381">
        <v>0</v>
      </c>
      <c r="AK20" s="2379"/>
      <c r="AL20" s="2379"/>
      <c r="AM20" s="2382"/>
      <c r="AN20" s="2209">
        <f t="shared" si="1"/>
        <v>0</v>
      </c>
      <c r="AO20" s="2166"/>
      <c r="AP20" s="2171"/>
      <c r="AQ20" s="2209">
        <f t="shared" si="2"/>
        <v>0</v>
      </c>
      <c r="AR20" s="2166"/>
      <c r="AS20" s="2167"/>
      <c r="AT20" s="2378">
        <v>0</v>
      </c>
      <c r="AU20" s="2379"/>
      <c r="AV20" s="2380"/>
      <c r="AW20" s="2381">
        <v>0</v>
      </c>
      <c r="AX20" s="2379"/>
      <c r="AY20" s="2382"/>
      <c r="AZ20" s="2209">
        <f t="shared" si="3"/>
        <v>0</v>
      </c>
      <c r="BA20" s="2166"/>
      <c r="BB20" s="2167"/>
      <c r="BC20" s="2383">
        <f t="shared" si="4"/>
        <v>0</v>
      </c>
      <c r="BD20" s="2166"/>
      <c r="BE20" s="2169"/>
      <c r="BF20" s="2170">
        <f t="shared" si="5"/>
        <v>0</v>
      </c>
      <c r="BG20" s="2166"/>
      <c r="BH20" s="2171"/>
      <c r="BI20" s="2209">
        <f t="shared" si="6"/>
        <v>0</v>
      </c>
      <c r="BJ20" s="2166"/>
      <c r="BK20" s="2167"/>
      <c r="BM20" s="414" t="str">
        <f>IF((AND(L20&lt;&gt;AQ20,BI20&lt;&gt;'Tables12-13'!AN16)),"Totals in column 12 shall tally with entries in column 2 and totals in Table 11a Column 18 shall tally with entries in Table 12 column 7.",IF(L20&lt;&gt;AQ20,"Totals in column 12 shall tally with entries in column 2.",IF(BI20&lt;&gt;'Tables12-13'!AN16,"Totals in Table 11a Column 18 shall tally with entries in Table 12 column 7. ","")))</f>
        <v/>
      </c>
    </row>
    <row r="21" spans="1:65" s="162" customFormat="1" ht="25" customHeight="1">
      <c r="B21" s="416" t="s">
        <v>141</v>
      </c>
      <c r="C21" s="432"/>
      <c r="D21" s="417"/>
      <c r="E21" s="417"/>
      <c r="F21" s="417"/>
      <c r="G21" s="417"/>
      <c r="H21" s="417"/>
      <c r="I21" s="417"/>
      <c r="J21" s="417"/>
      <c r="K21" s="433"/>
      <c r="L21" s="2378">
        <v>0</v>
      </c>
      <c r="M21" s="2379"/>
      <c r="N21" s="2380"/>
      <c r="O21" s="2378">
        <v>0</v>
      </c>
      <c r="P21" s="2379"/>
      <c r="Q21" s="2380"/>
      <c r="R21" s="2381">
        <v>0</v>
      </c>
      <c r="S21" s="2379"/>
      <c r="T21" s="2382"/>
      <c r="U21" s="2209">
        <f t="shared" si="0"/>
        <v>0</v>
      </c>
      <c r="V21" s="2166"/>
      <c r="W21" s="2169"/>
      <c r="X21" s="2381">
        <v>0</v>
      </c>
      <c r="Y21" s="2379"/>
      <c r="Z21" s="2380"/>
      <c r="AA21" s="2381">
        <v>0</v>
      </c>
      <c r="AB21" s="2379"/>
      <c r="AC21" s="2380"/>
      <c r="AD21" s="2381">
        <v>0</v>
      </c>
      <c r="AE21" s="2379"/>
      <c r="AF21" s="2380"/>
      <c r="AG21" s="2381">
        <v>0</v>
      </c>
      <c r="AH21" s="2379"/>
      <c r="AI21" s="2380"/>
      <c r="AJ21" s="2381">
        <v>0</v>
      </c>
      <c r="AK21" s="2379"/>
      <c r="AL21" s="2379"/>
      <c r="AM21" s="2382"/>
      <c r="AN21" s="2209">
        <f t="shared" si="1"/>
        <v>0</v>
      </c>
      <c r="AO21" s="2166"/>
      <c r="AP21" s="2171"/>
      <c r="AQ21" s="2209">
        <f t="shared" si="2"/>
        <v>0</v>
      </c>
      <c r="AR21" s="2166"/>
      <c r="AS21" s="2167"/>
      <c r="AT21" s="2378">
        <v>0</v>
      </c>
      <c r="AU21" s="2379"/>
      <c r="AV21" s="2380"/>
      <c r="AW21" s="2381">
        <v>0</v>
      </c>
      <c r="AX21" s="2379"/>
      <c r="AY21" s="2382"/>
      <c r="AZ21" s="2209">
        <f t="shared" si="3"/>
        <v>0</v>
      </c>
      <c r="BA21" s="2166"/>
      <c r="BB21" s="2167"/>
      <c r="BC21" s="2383">
        <f t="shared" si="4"/>
        <v>0</v>
      </c>
      <c r="BD21" s="2166"/>
      <c r="BE21" s="2169"/>
      <c r="BF21" s="2170">
        <f t="shared" si="5"/>
        <v>0</v>
      </c>
      <c r="BG21" s="2166"/>
      <c r="BH21" s="2171"/>
      <c r="BI21" s="2209">
        <f t="shared" si="6"/>
        <v>0</v>
      </c>
      <c r="BJ21" s="2166"/>
      <c r="BK21" s="2167"/>
      <c r="BM21" s="414" t="str">
        <f>IF((AND(L21&lt;&gt;AQ21,BI21&lt;&gt;'Tables12-13'!AN17)),"Totals in column 12 shall tally with entries in column 2 and totals in Table 11a Column 18 shall tally with entries in Table 12 column 7.",IF(L21&lt;&gt;AQ21,"Totals in column 12 shall tally with entries in column 2.",IF(BI21&lt;&gt;'Tables12-13'!AN17,"Totals in Table 11a Column 18 shall tally with entries in Table 12 column 7. ","")))</f>
        <v/>
      </c>
    </row>
    <row r="22" spans="1:65" s="162" customFormat="1" ht="25" customHeight="1" thickBot="1">
      <c r="B22" s="434" t="s">
        <v>142</v>
      </c>
      <c r="C22" s="435"/>
      <c r="D22" s="426"/>
      <c r="E22" s="426"/>
      <c r="F22" s="426"/>
      <c r="G22" s="426"/>
      <c r="H22" s="426"/>
      <c r="I22" s="426"/>
      <c r="J22" s="426"/>
      <c r="K22" s="436"/>
      <c r="L22" s="2376">
        <v>5</v>
      </c>
      <c r="M22" s="2374"/>
      <c r="N22" s="2377"/>
      <c r="O22" s="2376">
        <v>0</v>
      </c>
      <c r="P22" s="2374"/>
      <c r="Q22" s="2377"/>
      <c r="R22" s="2373">
        <v>5</v>
      </c>
      <c r="S22" s="2374"/>
      <c r="T22" s="2375"/>
      <c r="U22" s="2245">
        <f t="shared" si="0"/>
        <v>5</v>
      </c>
      <c r="V22" s="2237"/>
      <c r="W22" s="2262"/>
      <c r="X22" s="2373">
        <v>0</v>
      </c>
      <c r="Y22" s="2374"/>
      <c r="Z22" s="2377"/>
      <c r="AA22" s="2373">
        <v>0</v>
      </c>
      <c r="AB22" s="2374"/>
      <c r="AC22" s="2377"/>
      <c r="AD22" s="2373">
        <v>0</v>
      </c>
      <c r="AE22" s="2374"/>
      <c r="AF22" s="2377"/>
      <c r="AG22" s="2373">
        <v>0</v>
      </c>
      <c r="AH22" s="2374"/>
      <c r="AI22" s="2377"/>
      <c r="AJ22" s="2373">
        <v>0</v>
      </c>
      <c r="AK22" s="2374"/>
      <c r="AL22" s="2374"/>
      <c r="AM22" s="2375"/>
      <c r="AN22" s="2245">
        <f t="shared" si="1"/>
        <v>0</v>
      </c>
      <c r="AO22" s="2237"/>
      <c r="AP22" s="2246"/>
      <c r="AQ22" s="2245">
        <f t="shared" si="2"/>
        <v>5</v>
      </c>
      <c r="AR22" s="2237"/>
      <c r="AS22" s="2238"/>
      <c r="AT22" s="2376">
        <v>0</v>
      </c>
      <c r="AU22" s="2374"/>
      <c r="AV22" s="2377"/>
      <c r="AW22" s="2373">
        <v>0</v>
      </c>
      <c r="AX22" s="2374"/>
      <c r="AY22" s="2375"/>
      <c r="AZ22" s="2245">
        <f t="shared" si="3"/>
        <v>0</v>
      </c>
      <c r="BA22" s="2237"/>
      <c r="BB22" s="2238"/>
      <c r="BC22" s="2384">
        <f t="shared" si="4"/>
        <v>0</v>
      </c>
      <c r="BD22" s="2237"/>
      <c r="BE22" s="2262"/>
      <c r="BF22" s="2274">
        <f t="shared" si="5"/>
        <v>5</v>
      </c>
      <c r="BG22" s="2237"/>
      <c r="BH22" s="2246"/>
      <c r="BI22" s="2245">
        <f t="shared" si="6"/>
        <v>5</v>
      </c>
      <c r="BJ22" s="2237"/>
      <c r="BK22" s="2238"/>
      <c r="BM22" s="414" t="str">
        <f>IF((AND(L22&lt;&gt;AQ22,BI22&lt;&gt;'Tables12-13'!AN18)),"Totals in column 12 shall tally with entries in column 2 and totals in Table 11a Column 18 shall tally with entries in Table 12 column 7.",IF(L22&lt;&gt;AQ22,"Totals in column 12 shall tally with entries in column 2.",IF(BI22&lt;&gt;'Tables12-13'!AN18,"Totals in Table 11a Column 18 shall tally with entries in Table 12 column 7. ","")))</f>
        <v/>
      </c>
    </row>
    <row r="23" spans="1:65" s="162" customFormat="1" ht="25" customHeight="1" thickTop="1" thickBot="1">
      <c r="B23" s="2402" t="s">
        <v>29</v>
      </c>
      <c r="C23" s="2403"/>
      <c r="D23" s="2403"/>
      <c r="E23" s="2403"/>
      <c r="F23" s="2403"/>
      <c r="G23" s="2403"/>
      <c r="H23" s="2403"/>
      <c r="I23" s="2403"/>
      <c r="J23" s="2403"/>
      <c r="K23" s="2404"/>
      <c r="L23" s="2250">
        <f>SUM(L11:N22)</f>
        <v>41</v>
      </c>
      <c r="M23" s="2232"/>
      <c r="N23" s="2233"/>
      <c r="O23" s="2250">
        <f t="shared" ref="O23" si="7">SUM(O11:Q22)</f>
        <v>2</v>
      </c>
      <c r="P23" s="2232"/>
      <c r="Q23" s="2233"/>
      <c r="R23" s="2234">
        <f t="shared" ref="R23" si="8">SUM(R11:T22)</f>
        <v>39</v>
      </c>
      <c r="S23" s="2232"/>
      <c r="T23" s="2235"/>
      <c r="U23" s="2239">
        <f t="shared" si="0"/>
        <v>41</v>
      </c>
      <c r="V23" s="2232"/>
      <c r="W23" s="2233"/>
      <c r="X23" s="2234">
        <f t="shared" ref="X23" si="9">SUM(X11:Z22)</f>
        <v>0</v>
      </c>
      <c r="Y23" s="2232"/>
      <c r="Z23" s="2233"/>
      <c r="AA23" s="2234">
        <f t="shared" ref="AA23" si="10">SUM(AA11:AC22)</f>
        <v>0</v>
      </c>
      <c r="AB23" s="2232"/>
      <c r="AC23" s="2233"/>
      <c r="AD23" s="2234">
        <f t="shared" ref="AD23" si="11">SUM(AD11:AF22)</f>
        <v>0</v>
      </c>
      <c r="AE23" s="2232"/>
      <c r="AF23" s="2233"/>
      <c r="AG23" s="2234">
        <f t="shared" ref="AG23" si="12">SUM(AG11:AI22)</f>
        <v>0</v>
      </c>
      <c r="AH23" s="2232"/>
      <c r="AI23" s="2233"/>
      <c r="AJ23" s="2234">
        <f>SUM(AJ11:AM22)</f>
        <v>0</v>
      </c>
      <c r="AK23" s="2232"/>
      <c r="AL23" s="2232"/>
      <c r="AM23" s="2235"/>
      <c r="AN23" s="2239">
        <f t="shared" si="1"/>
        <v>0</v>
      </c>
      <c r="AO23" s="2232"/>
      <c r="AP23" s="2235"/>
      <c r="AQ23" s="2239">
        <f t="shared" si="2"/>
        <v>41</v>
      </c>
      <c r="AR23" s="2232"/>
      <c r="AS23" s="2236"/>
      <c r="AT23" s="2250">
        <f t="shared" ref="AT23" si="13">SUM(AT11:AV22)</f>
        <v>0</v>
      </c>
      <c r="AU23" s="2232"/>
      <c r="AV23" s="2233"/>
      <c r="AW23" s="2234">
        <f t="shared" ref="AW23" si="14">SUM(AW11:AY22)</f>
        <v>0</v>
      </c>
      <c r="AX23" s="2232"/>
      <c r="AY23" s="2235"/>
      <c r="AZ23" s="2239">
        <f t="shared" ref="AZ23" si="15">SUM(AZ11:BB22)</f>
        <v>0</v>
      </c>
      <c r="BA23" s="2232"/>
      <c r="BB23" s="2236"/>
      <c r="BC23" s="2250">
        <f t="shared" ref="BC23" si="16">SUM(BC11:BE22)</f>
        <v>2</v>
      </c>
      <c r="BD23" s="2232"/>
      <c r="BE23" s="2233"/>
      <c r="BF23" s="2234">
        <f t="shared" ref="BF23" si="17">SUM(BF11:BH22)</f>
        <v>39</v>
      </c>
      <c r="BG23" s="2232"/>
      <c r="BH23" s="2235"/>
      <c r="BI23" s="2239">
        <f t="shared" ref="BI23" si="18">SUM(BI11:BK22)</f>
        <v>41</v>
      </c>
      <c r="BJ23" s="2232"/>
      <c r="BK23" s="2236"/>
    </row>
    <row r="24" spans="1:65" s="162" customFormat="1" ht="25" customHeight="1">
      <c r="B24" s="410" t="s">
        <v>1762</v>
      </c>
      <c r="C24" s="411"/>
      <c r="D24" s="411"/>
      <c r="E24" s="411"/>
      <c r="F24" s="411"/>
      <c r="G24" s="411"/>
      <c r="H24" s="411"/>
      <c r="I24" s="411"/>
      <c r="J24" s="411"/>
      <c r="K24" s="411"/>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3"/>
    </row>
    <row r="25" spans="1:65" s="397" customFormat="1" ht="25" customHeight="1">
      <c r="B25" s="398" t="s">
        <v>93</v>
      </c>
      <c r="C25" s="399"/>
      <c r="D25" s="400"/>
      <c r="E25" s="400"/>
      <c r="F25" s="401"/>
      <c r="G25" s="401"/>
      <c r="H25" s="401"/>
      <c r="I25" s="401"/>
      <c r="J25" s="401"/>
      <c r="K25" s="402"/>
      <c r="L25" s="2331"/>
      <c r="M25" s="2332"/>
      <c r="N25" s="2333"/>
      <c r="O25" s="2347">
        <v>0</v>
      </c>
      <c r="P25" s="2348"/>
      <c r="Q25" s="2349"/>
      <c r="R25" s="2350">
        <v>3</v>
      </c>
      <c r="S25" s="2348"/>
      <c r="T25" s="2351"/>
      <c r="U25" s="2328">
        <f>O25+R25</f>
        <v>3</v>
      </c>
      <c r="V25" s="2329"/>
      <c r="W25" s="2344"/>
      <c r="X25" s="2334"/>
      <c r="Y25" s="2332"/>
      <c r="Z25" s="2333"/>
      <c r="AA25" s="2334"/>
      <c r="AB25" s="2332"/>
      <c r="AC25" s="2333"/>
      <c r="AD25" s="2334"/>
      <c r="AE25" s="2332"/>
      <c r="AF25" s="2333"/>
      <c r="AG25" s="2334"/>
      <c r="AH25" s="2332"/>
      <c r="AI25" s="2333"/>
      <c r="AJ25" s="2334"/>
      <c r="AK25" s="2332"/>
      <c r="AL25" s="2332"/>
      <c r="AM25" s="2335"/>
      <c r="AN25" s="2336"/>
      <c r="AO25" s="2332"/>
      <c r="AP25" s="2335"/>
      <c r="AQ25" s="2336"/>
      <c r="AR25" s="2332"/>
      <c r="AS25" s="2337"/>
      <c r="AT25" s="2338">
        <v>0</v>
      </c>
      <c r="AU25" s="2339"/>
      <c r="AV25" s="2340"/>
      <c r="AW25" s="2341">
        <v>0</v>
      </c>
      <c r="AX25" s="2339"/>
      <c r="AY25" s="2342"/>
      <c r="AZ25" s="2328">
        <f t="shared" ref="AZ25:AZ32" si="19">AT25+AW25</f>
        <v>0</v>
      </c>
      <c r="BA25" s="2329"/>
      <c r="BB25" s="2330"/>
      <c r="BC25" s="2343">
        <f t="shared" ref="BC25:BC32" si="20">O25+AT25</f>
        <v>0</v>
      </c>
      <c r="BD25" s="2329"/>
      <c r="BE25" s="2344"/>
      <c r="BF25" s="2345">
        <f t="shared" ref="BF25:BF32" si="21">R25+AW25</f>
        <v>3</v>
      </c>
      <c r="BG25" s="2329"/>
      <c r="BH25" s="2346"/>
      <c r="BI25" s="2328">
        <f t="shared" ref="BI25:BI32" si="22">BC25+BF25</f>
        <v>3</v>
      </c>
      <c r="BJ25" s="2329"/>
      <c r="BK25" s="2330"/>
      <c r="BM25" s="414" t="str">
        <f>IF(BC25&lt;&gt;'Tables16-17'!J7,"Total in column 16 shall tally with entries in Kindergarten Male column (Counted only once) in Tables16-17.",IF(BF25&lt;&gt;'Tables16-17'!M7,"Total in column 16 shall tally with entries in Kindergarten Female column (Counted only once) in Tables16-17.",IF(BI25&lt;&gt;'Tables16-17'!P7,"Total in column 16 shall tally with entries in Kindergarten Total column (Counted only once) in Tables16-17.","")))</f>
        <v/>
      </c>
    </row>
    <row r="26" spans="1:65" s="162" customFormat="1" ht="25" customHeight="1">
      <c r="B26" s="398" t="s">
        <v>91</v>
      </c>
      <c r="C26" s="399"/>
      <c r="D26" s="399"/>
      <c r="E26" s="399"/>
      <c r="F26" s="399"/>
      <c r="G26" s="399"/>
      <c r="H26" s="399"/>
      <c r="I26" s="399"/>
      <c r="J26" s="399"/>
      <c r="K26" s="403"/>
      <c r="L26" s="2331"/>
      <c r="M26" s="2332"/>
      <c r="N26" s="2333"/>
      <c r="O26" s="2347">
        <v>2</v>
      </c>
      <c r="P26" s="2348"/>
      <c r="Q26" s="2349"/>
      <c r="R26" s="2350">
        <v>29</v>
      </c>
      <c r="S26" s="2348"/>
      <c r="T26" s="2351"/>
      <c r="U26" s="2328">
        <f t="shared" ref="U26:U33" si="23">O26+R26</f>
        <v>31</v>
      </c>
      <c r="V26" s="2329"/>
      <c r="W26" s="2344"/>
      <c r="X26" s="2334"/>
      <c r="Y26" s="2332"/>
      <c r="Z26" s="2333"/>
      <c r="AA26" s="2334"/>
      <c r="AB26" s="2332"/>
      <c r="AC26" s="2333"/>
      <c r="AD26" s="2334"/>
      <c r="AE26" s="2332"/>
      <c r="AF26" s="2333"/>
      <c r="AG26" s="2334"/>
      <c r="AH26" s="2332"/>
      <c r="AI26" s="2333"/>
      <c r="AJ26" s="2334"/>
      <c r="AK26" s="2332"/>
      <c r="AL26" s="2332"/>
      <c r="AM26" s="2335"/>
      <c r="AN26" s="2336"/>
      <c r="AO26" s="2332"/>
      <c r="AP26" s="2335"/>
      <c r="AQ26" s="2336"/>
      <c r="AR26" s="2332"/>
      <c r="AS26" s="2337"/>
      <c r="AT26" s="2338">
        <v>0</v>
      </c>
      <c r="AU26" s="2339"/>
      <c r="AV26" s="2340"/>
      <c r="AW26" s="2341">
        <v>0</v>
      </c>
      <c r="AX26" s="2339"/>
      <c r="AY26" s="2342"/>
      <c r="AZ26" s="2328">
        <f t="shared" si="19"/>
        <v>0</v>
      </c>
      <c r="BA26" s="2329"/>
      <c r="BB26" s="2330"/>
      <c r="BC26" s="2343">
        <f t="shared" si="20"/>
        <v>2</v>
      </c>
      <c r="BD26" s="2329"/>
      <c r="BE26" s="2344"/>
      <c r="BF26" s="2345">
        <f t="shared" si="21"/>
        <v>29</v>
      </c>
      <c r="BG26" s="2329"/>
      <c r="BH26" s="2346"/>
      <c r="BI26" s="2328">
        <f t="shared" si="22"/>
        <v>31</v>
      </c>
      <c r="BJ26" s="2329"/>
      <c r="BK26" s="2330"/>
      <c r="BM26" s="414" t="str">
        <f>IF(BC26&lt;&gt;SUM('Tables16-17'!J8:L13),"Total in column 16 shall tally with entries in Grade 1-6 Male column (Counted only once) in Tables16-17.",IF(BF26&lt;&gt;SUM('Tables16-17'!M8:O13),"Total in column 16 shall tally with entries in Grade 1-6 Female column (Counted only once) in Tables16-17.",IF(BI26&lt;&gt;SUM('Tables16-17'!P8:R13),"Total in column 16 shall tally with entries in Grade 1-6 Total column (Counted only once) in Tables16-17.","")))</f>
        <v/>
      </c>
    </row>
    <row r="27" spans="1:65" s="162" customFormat="1" ht="25" customHeight="1">
      <c r="B27" s="398" t="s">
        <v>507</v>
      </c>
      <c r="C27" s="399"/>
      <c r="D27" s="399"/>
      <c r="E27" s="399"/>
      <c r="F27" s="399"/>
      <c r="G27" s="399"/>
      <c r="H27" s="399"/>
      <c r="I27" s="399"/>
      <c r="J27" s="399"/>
      <c r="K27" s="403"/>
      <c r="L27" s="2331"/>
      <c r="M27" s="2332"/>
      <c r="N27" s="2333"/>
      <c r="O27" s="2347">
        <v>0</v>
      </c>
      <c r="P27" s="2348"/>
      <c r="Q27" s="2349"/>
      <c r="R27" s="2350">
        <v>0</v>
      </c>
      <c r="S27" s="2348"/>
      <c r="T27" s="2351"/>
      <c r="U27" s="2328">
        <f t="shared" si="23"/>
        <v>0</v>
      </c>
      <c r="V27" s="2329"/>
      <c r="W27" s="2344"/>
      <c r="X27" s="2334"/>
      <c r="Y27" s="2332"/>
      <c r="Z27" s="2333"/>
      <c r="AA27" s="2334"/>
      <c r="AB27" s="2332"/>
      <c r="AC27" s="2333"/>
      <c r="AD27" s="2334"/>
      <c r="AE27" s="2332"/>
      <c r="AF27" s="2333"/>
      <c r="AG27" s="2334"/>
      <c r="AH27" s="2332"/>
      <c r="AI27" s="2333"/>
      <c r="AJ27" s="2334"/>
      <c r="AK27" s="2332"/>
      <c r="AL27" s="2332"/>
      <c r="AM27" s="2335"/>
      <c r="AN27" s="2336"/>
      <c r="AO27" s="2332"/>
      <c r="AP27" s="2335"/>
      <c r="AQ27" s="2336"/>
      <c r="AR27" s="2332"/>
      <c r="AS27" s="2337"/>
      <c r="AT27" s="2338">
        <v>0</v>
      </c>
      <c r="AU27" s="2339"/>
      <c r="AV27" s="2340"/>
      <c r="AW27" s="2341">
        <v>0</v>
      </c>
      <c r="AX27" s="2339"/>
      <c r="AY27" s="2342"/>
      <c r="AZ27" s="2328">
        <f t="shared" si="19"/>
        <v>0</v>
      </c>
      <c r="BA27" s="2329"/>
      <c r="BB27" s="2330"/>
      <c r="BC27" s="2343">
        <f t="shared" si="20"/>
        <v>0</v>
      </c>
      <c r="BD27" s="2329"/>
      <c r="BE27" s="2344"/>
      <c r="BF27" s="2345">
        <f t="shared" si="21"/>
        <v>0</v>
      </c>
      <c r="BG27" s="2329"/>
      <c r="BH27" s="2346"/>
      <c r="BI27" s="2328">
        <f t="shared" si="22"/>
        <v>0</v>
      </c>
      <c r="BJ27" s="2329"/>
      <c r="BK27" s="2330"/>
      <c r="BM27" s="414" t="str">
        <f>IF(BC27&lt;&gt;'Tables16-17'!J14,"Total in column 16 shall tally with entries in SPED Male column (Counted only once) in Tables16-17.",IF(BF27&lt;&gt;'Tables16-17'!M14,"Total in column 16 shall tally with entries in SPED Female column (Counted only once) in Tables16-17.",IF(BI27&lt;&gt;'Tables16-17'!P14,"Total in column 16 shall tally with entries in SPED Total column (Counted only once) in Tables16-17.","")))</f>
        <v>Total in column 16 shall tally with entries in SPED Female column (Counted only once) in Tables16-17.</v>
      </c>
    </row>
    <row r="28" spans="1:65" s="162" customFormat="1" ht="25" customHeight="1">
      <c r="B28" s="398" t="s">
        <v>92</v>
      </c>
      <c r="C28" s="399"/>
      <c r="D28" s="399"/>
      <c r="E28" s="399"/>
      <c r="F28" s="399"/>
      <c r="G28" s="399"/>
      <c r="H28" s="399"/>
      <c r="I28" s="399"/>
      <c r="J28" s="399"/>
      <c r="K28" s="403"/>
      <c r="L28" s="2331"/>
      <c r="M28" s="2332"/>
      <c r="N28" s="2333"/>
      <c r="O28" s="2347">
        <v>0</v>
      </c>
      <c r="P28" s="2348"/>
      <c r="Q28" s="2349"/>
      <c r="R28" s="2350">
        <v>4</v>
      </c>
      <c r="S28" s="2348"/>
      <c r="T28" s="2351"/>
      <c r="U28" s="2328">
        <f t="shared" si="23"/>
        <v>4</v>
      </c>
      <c r="V28" s="2329"/>
      <c r="W28" s="2344"/>
      <c r="X28" s="2334"/>
      <c r="Y28" s="2332"/>
      <c r="Z28" s="2333"/>
      <c r="AA28" s="2334"/>
      <c r="AB28" s="2332"/>
      <c r="AC28" s="2333"/>
      <c r="AD28" s="2334"/>
      <c r="AE28" s="2332"/>
      <c r="AF28" s="2333"/>
      <c r="AG28" s="2334"/>
      <c r="AH28" s="2332"/>
      <c r="AI28" s="2333"/>
      <c r="AJ28" s="2334"/>
      <c r="AK28" s="2332"/>
      <c r="AL28" s="2332"/>
      <c r="AM28" s="2335"/>
      <c r="AN28" s="2336"/>
      <c r="AO28" s="2332"/>
      <c r="AP28" s="2335"/>
      <c r="AQ28" s="2336"/>
      <c r="AR28" s="2332"/>
      <c r="AS28" s="2337"/>
      <c r="AT28" s="2338">
        <v>0</v>
      </c>
      <c r="AU28" s="2339"/>
      <c r="AV28" s="2340"/>
      <c r="AW28" s="2341">
        <v>0</v>
      </c>
      <c r="AX28" s="2339"/>
      <c r="AY28" s="2342"/>
      <c r="AZ28" s="2328">
        <f t="shared" si="19"/>
        <v>0</v>
      </c>
      <c r="BA28" s="2329"/>
      <c r="BB28" s="2330"/>
      <c r="BC28" s="2343">
        <f t="shared" si="20"/>
        <v>0</v>
      </c>
      <c r="BD28" s="2329"/>
      <c r="BE28" s="2344"/>
      <c r="BF28" s="2345">
        <f t="shared" si="21"/>
        <v>4</v>
      </c>
      <c r="BG28" s="2329"/>
      <c r="BH28" s="2346"/>
      <c r="BI28" s="2328">
        <f t="shared" si="22"/>
        <v>4</v>
      </c>
      <c r="BJ28" s="2329"/>
      <c r="BK28" s="2330"/>
    </row>
    <row r="29" spans="1:65" s="162" customFormat="1" ht="25" customHeight="1">
      <c r="B29" s="404" t="s">
        <v>1032</v>
      </c>
      <c r="C29" s="399"/>
      <c r="D29" s="399"/>
      <c r="E29" s="399"/>
      <c r="F29" s="399"/>
      <c r="G29" s="399"/>
      <c r="H29" s="399"/>
      <c r="I29" s="399"/>
      <c r="J29" s="399"/>
      <c r="K29" s="403"/>
      <c r="L29" s="2331"/>
      <c r="M29" s="2332"/>
      <c r="N29" s="2333"/>
      <c r="O29" s="2347">
        <v>0</v>
      </c>
      <c r="P29" s="2348"/>
      <c r="Q29" s="2349"/>
      <c r="R29" s="2350">
        <v>3</v>
      </c>
      <c r="S29" s="2348"/>
      <c r="T29" s="2351"/>
      <c r="U29" s="2328">
        <f t="shared" si="23"/>
        <v>3</v>
      </c>
      <c r="V29" s="2329"/>
      <c r="W29" s="2344"/>
      <c r="X29" s="2334"/>
      <c r="Y29" s="2332"/>
      <c r="Z29" s="2333"/>
      <c r="AA29" s="2334"/>
      <c r="AB29" s="2332"/>
      <c r="AC29" s="2333"/>
      <c r="AD29" s="2334"/>
      <c r="AE29" s="2332"/>
      <c r="AF29" s="2333"/>
      <c r="AG29" s="2334"/>
      <c r="AH29" s="2332"/>
      <c r="AI29" s="2333"/>
      <c r="AJ29" s="2334"/>
      <c r="AK29" s="2332"/>
      <c r="AL29" s="2332"/>
      <c r="AM29" s="2335"/>
      <c r="AN29" s="2336"/>
      <c r="AO29" s="2332"/>
      <c r="AP29" s="2335"/>
      <c r="AQ29" s="2336"/>
      <c r="AR29" s="2332"/>
      <c r="AS29" s="2337"/>
      <c r="AT29" s="2338">
        <v>0</v>
      </c>
      <c r="AU29" s="2339"/>
      <c r="AV29" s="2340"/>
      <c r="AW29" s="2341">
        <v>0</v>
      </c>
      <c r="AX29" s="2339"/>
      <c r="AY29" s="2342"/>
      <c r="AZ29" s="2328">
        <f t="shared" si="19"/>
        <v>0</v>
      </c>
      <c r="BA29" s="2329"/>
      <c r="BB29" s="2330"/>
      <c r="BC29" s="2343">
        <f t="shared" si="20"/>
        <v>0</v>
      </c>
      <c r="BD29" s="2329"/>
      <c r="BE29" s="2344"/>
      <c r="BF29" s="2345">
        <f t="shared" si="21"/>
        <v>3</v>
      </c>
      <c r="BG29" s="2329"/>
      <c r="BH29" s="2346"/>
      <c r="BI29" s="2328">
        <f t="shared" si="22"/>
        <v>3</v>
      </c>
      <c r="BJ29" s="2329"/>
      <c r="BK29" s="2330"/>
    </row>
    <row r="30" spans="1:65" s="162" customFormat="1" ht="25" customHeight="1">
      <c r="A30" s="405"/>
      <c r="B30" s="406" t="s">
        <v>1033</v>
      </c>
      <c r="C30" s="399"/>
      <c r="D30" s="399"/>
      <c r="E30" s="399"/>
      <c r="F30" s="399"/>
      <c r="G30" s="399"/>
      <c r="H30" s="399"/>
      <c r="I30" s="399"/>
      <c r="J30" s="399"/>
      <c r="K30" s="403"/>
      <c r="L30" s="2331"/>
      <c r="M30" s="2332"/>
      <c r="N30" s="2333"/>
      <c r="O30" s="2347">
        <v>0</v>
      </c>
      <c r="P30" s="2348"/>
      <c r="Q30" s="2349"/>
      <c r="R30" s="2350">
        <v>0</v>
      </c>
      <c r="S30" s="2348"/>
      <c r="T30" s="2351"/>
      <c r="U30" s="2328">
        <f t="shared" si="23"/>
        <v>0</v>
      </c>
      <c r="V30" s="2329"/>
      <c r="W30" s="2344"/>
      <c r="X30" s="2334"/>
      <c r="Y30" s="2332"/>
      <c r="Z30" s="2333"/>
      <c r="AA30" s="2334"/>
      <c r="AB30" s="2332"/>
      <c r="AC30" s="2333"/>
      <c r="AD30" s="2334"/>
      <c r="AE30" s="2332"/>
      <c r="AF30" s="2333"/>
      <c r="AG30" s="2334"/>
      <c r="AH30" s="2332"/>
      <c r="AI30" s="2333"/>
      <c r="AJ30" s="2334"/>
      <c r="AK30" s="2332"/>
      <c r="AL30" s="2332"/>
      <c r="AM30" s="2335"/>
      <c r="AN30" s="2336"/>
      <c r="AO30" s="2332"/>
      <c r="AP30" s="2335"/>
      <c r="AQ30" s="2336"/>
      <c r="AR30" s="2332"/>
      <c r="AS30" s="2337"/>
      <c r="AT30" s="2338">
        <v>0</v>
      </c>
      <c r="AU30" s="2339"/>
      <c r="AV30" s="2340"/>
      <c r="AW30" s="2341">
        <v>0</v>
      </c>
      <c r="AX30" s="2339"/>
      <c r="AY30" s="2342"/>
      <c r="AZ30" s="2328">
        <f t="shared" si="19"/>
        <v>0</v>
      </c>
      <c r="BA30" s="2329"/>
      <c r="BB30" s="2330"/>
      <c r="BC30" s="2343">
        <f t="shared" si="20"/>
        <v>0</v>
      </c>
      <c r="BD30" s="2329"/>
      <c r="BE30" s="2344"/>
      <c r="BF30" s="2345">
        <f t="shared" si="21"/>
        <v>0</v>
      </c>
      <c r="BG30" s="2329"/>
      <c r="BH30" s="2346"/>
      <c r="BI30" s="2328">
        <f t="shared" si="22"/>
        <v>0</v>
      </c>
      <c r="BJ30" s="2329"/>
      <c r="BK30" s="2330"/>
    </row>
    <row r="31" spans="1:65" s="162" customFormat="1" ht="25" customHeight="1">
      <c r="A31" s="405"/>
      <c r="B31" s="406" t="s">
        <v>1034</v>
      </c>
      <c r="C31" s="407"/>
      <c r="D31" s="407"/>
      <c r="E31" s="407"/>
      <c r="F31" s="407"/>
      <c r="G31" s="407"/>
      <c r="H31" s="407"/>
      <c r="I31" s="407"/>
      <c r="J31" s="407"/>
      <c r="K31" s="408"/>
      <c r="L31" s="2331"/>
      <c r="M31" s="2332"/>
      <c r="N31" s="2333"/>
      <c r="O31" s="2347">
        <v>0</v>
      </c>
      <c r="P31" s="2348"/>
      <c r="Q31" s="2349"/>
      <c r="R31" s="2350">
        <v>0</v>
      </c>
      <c r="S31" s="2348"/>
      <c r="T31" s="2351"/>
      <c r="U31" s="2328">
        <f t="shared" si="23"/>
        <v>0</v>
      </c>
      <c r="V31" s="2329"/>
      <c r="W31" s="2344"/>
      <c r="X31" s="2334"/>
      <c r="Y31" s="2332"/>
      <c r="Z31" s="2333"/>
      <c r="AA31" s="2334"/>
      <c r="AB31" s="2332"/>
      <c r="AC31" s="2333"/>
      <c r="AD31" s="2334"/>
      <c r="AE31" s="2332"/>
      <c r="AF31" s="2333"/>
      <c r="AG31" s="2334"/>
      <c r="AH31" s="2332"/>
      <c r="AI31" s="2333"/>
      <c r="AJ31" s="2334"/>
      <c r="AK31" s="2332"/>
      <c r="AL31" s="2332"/>
      <c r="AM31" s="2335"/>
      <c r="AN31" s="2336"/>
      <c r="AO31" s="2332"/>
      <c r="AP31" s="2335"/>
      <c r="AQ31" s="2336"/>
      <c r="AR31" s="2332"/>
      <c r="AS31" s="2337"/>
      <c r="AT31" s="2338">
        <v>0</v>
      </c>
      <c r="AU31" s="2339"/>
      <c r="AV31" s="2340"/>
      <c r="AW31" s="2341">
        <v>0</v>
      </c>
      <c r="AX31" s="2339"/>
      <c r="AY31" s="2342"/>
      <c r="AZ31" s="2328">
        <f t="shared" si="19"/>
        <v>0</v>
      </c>
      <c r="BA31" s="2329"/>
      <c r="BB31" s="2330"/>
      <c r="BC31" s="2343">
        <f t="shared" si="20"/>
        <v>0</v>
      </c>
      <c r="BD31" s="2329"/>
      <c r="BE31" s="2344"/>
      <c r="BF31" s="2345">
        <f t="shared" si="21"/>
        <v>0</v>
      </c>
      <c r="BG31" s="2329"/>
      <c r="BH31" s="2346"/>
      <c r="BI31" s="2328">
        <f t="shared" si="22"/>
        <v>0</v>
      </c>
      <c r="BJ31" s="2329"/>
      <c r="BK31" s="2330"/>
    </row>
    <row r="32" spans="1:65" s="162" customFormat="1" ht="25" customHeight="1" thickBot="1">
      <c r="A32" s="405"/>
      <c r="B32" s="409" t="s">
        <v>1035</v>
      </c>
      <c r="C32" s="407"/>
      <c r="D32" s="407"/>
      <c r="E32" s="407"/>
      <c r="F32" s="407"/>
      <c r="G32" s="407"/>
      <c r="H32" s="407"/>
      <c r="I32" s="407"/>
      <c r="J32" s="407"/>
      <c r="K32" s="408"/>
      <c r="L32" s="2352"/>
      <c r="M32" s="2353"/>
      <c r="N32" s="2354"/>
      <c r="O32" s="2347">
        <v>0</v>
      </c>
      <c r="P32" s="2348"/>
      <c r="Q32" s="2349"/>
      <c r="R32" s="2350">
        <v>0</v>
      </c>
      <c r="S32" s="2348"/>
      <c r="T32" s="2351"/>
      <c r="U32" s="2359">
        <f t="shared" si="23"/>
        <v>0</v>
      </c>
      <c r="V32" s="2360"/>
      <c r="W32" s="2363"/>
      <c r="X32" s="2355"/>
      <c r="Y32" s="2353"/>
      <c r="Z32" s="2354"/>
      <c r="AA32" s="2355"/>
      <c r="AB32" s="2353"/>
      <c r="AC32" s="2354"/>
      <c r="AD32" s="2355"/>
      <c r="AE32" s="2353"/>
      <c r="AF32" s="2354"/>
      <c r="AG32" s="2355"/>
      <c r="AH32" s="2353"/>
      <c r="AI32" s="2354"/>
      <c r="AJ32" s="2355"/>
      <c r="AK32" s="2353"/>
      <c r="AL32" s="2353"/>
      <c r="AM32" s="2356"/>
      <c r="AN32" s="2357"/>
      <c r="AO32" s="2353"/>
      <c r="AP32" s="2356"/>
      <c r="AQ32" s="2357"/>
      <c r="AR32" s="2353"/>
      <c r="AS32" s="2358"/>
      <c r="AT32" s="2338">
        <v>0</v>
      </c>
      <c r="AU32" s="2339"/>
      <c r="AV32" s="2340"/>
      <c r="AW32" s="2341">
        <v>0</v>
      </c>
      <c r="AX32" s="2339"/>
      <c r="AY32" s="2342"/>
      <c r="AZ32" s="2359">
        <f t="shared" si="19"/>
        <v>0</v>
      </c>
      <c r="BA32" s="2360"/>
      <c r="BB32" s="2361"/>
      <c r="BC32" s="2362">
        <f t="shared" si="20"/>
        <v>0</v>
      </c>
      <c r="BD32" s="2360"/>
      <c r="BE32" s="2363"/>
      <c r="BF32" s="2364">
        <f t="shared" si="21"/>
        <v>0</v>
      </c>
      <c r="BG32" s="2360"/>
      <c r="BH32" s="2365"/>
      <c r="BI32" s="2359">
        <f t="shared" si="22"/>
        <v>0</v>
      </c>
      <c r="BJ32" s="2360"/>
      <c r="BK32" s="2361"/>
    </row>
    <row r="33" spans="2:63" s="162" customFormat="1" ht="25" customHeight="1" thickTop="1" thickBot="1">
      <c r="B33" s="2402" t="s">
        <v>29</v>
      </c>
      <c r="C33" s="2403"/>
      <c r="D33" s="2403"/>
      <c r="E33" s="2403"/>
      <c r="F33" s="2403"/>
      <c r="G33" s="2403"/>
      <c r="H33" s="2403"/>
      <c r="I33" s="2403"/>
      <c r="J33" s="2403"/>
      <c r="K33" s="2404"/>
      <c r="L33" s="2371"/>
      <c r="M33" s="2367"/>
      <c r="N33" s="2368"/>
      <c r="O33" s="2250">
        <f>SUM(O25:Q32)</f>
        <v>2</v>
      </c>
      <c r="P33" s="2232"/>
      <c r="Q33" s="2233"/>
      <c r="R33" s="2234">
        <f t="shared" ref="R33" si="24">SUM(R25:T32)</f>
        <v>39</v>
      </c>
      <c r="S33" s="2232"/>
      <c r="T33" s="2235"/>
      <c r="U33" s="2239">
        <f t="shared" si="23"/>
        <v>41</v>
      </c>
      <c r="V33" s="2232"/>
      <c r="W33" s="2233"/>
      <c r="X33" s="2366"/>
      <c r="Y33" s="2367"/>
      <c r="Z33" s="2368"/>
      <c r="AA33" s="2366"/>
      <c r="AB33" s="2367"/>
      <c r="AC33" s="2368"/>
      <c r="AD33" s="2366"/>
      <c r="AE33" s="2367"/>
      <c r="AF33" s="2368"/>
      <c r="AG33" s="2366"/>
      <c r="AH33" s="2367"/>
      <c r="AI33" s="2368"/>
      <c r="AJ33" s="2366"/>
      <c r="AK33" s="2367"/>
      <c r="AL33" s="2367"/>
      <c r="AM33" s="2369"/>
      <c r="AN33" s="2370"/>
      <c r="AO33" s="2367"/>
      <c r="AP33" s="2369"/>
      <c r="AQ33" s="2370"/>
      <c r="AR33" s="2367"/>
      <c r="AS33" s="2372"/>
      <c r="AT33" s="2250">
        <f>SUM(AT25:AV32)</f>
        <v>0</v>
      </c>
      <c r="AU33" s="2232"/>
      <c r="AV33" s="2233"/>
      <c r="AW33" s="2234">
        <f t="shared" ref="AW33" si="25">SUM(AW25:AY32)</f>
        <v>0</v>
      </c>
      <c r="AX33" s="2232"/>
      <c r="AY33" s="2235"/>
      <c r="AZ33" s="2239">
        <f t="shared" ref="AZ33" si="26">SUM(AZ25:BB32)</f>
        <v>0</v>
      </c>
      <c r="BA33" s="2232"/>
      <c r="BB33" s="2236"/>
      <c r="BC33" s="2250">
        <f t="shared" ref="BC33" si="27">SUM(BC25:BE32)</f>
        <v>2</v>
      </c>
      <c r="BD33" s="2232"/>
      <c r="BE33" s="2233"/>
      <c r="BF33" s="2234">
        <f t="shared" ref="BF33" si="28">SUM(BF25:BH32)</f>
        <v>39</v>
      </c>
      <c r="BG33" s="2232"/>
      <c r="BH33" s="2235"/>
      <c r="BI33" s="2239">
        <f t="shared" ref="BI33" si="29">SUM(BI25:BK32)</f>
        <v>41</v>
      </c>
      <c r="BJ33" s="2232"/>
      <c r="BK33" s="2236"/>
    </row>
    <row r="34" spans="2:63" s="162" customFormat="1" ht="20.5" customHeight="1">
      <c r="B34" s="377"/>
      <c r="C34" s="377"/>
      <c r="D34" s="377"/>
      <c r="E34" s="377"/>
      <c r="F34" s="377"/>
      <c r="G34" s="377"/>
      <c r="H34" s="377"/>
      <c r="I34" s="377"/>
      <c r="J34" s="377"/>
      <c r="K34" s="377"/>
      <c r="L34" s="378"/>
      <c r="M34" s="378"/>
      <c r="N34" s="378"/>
      <c r="O34" s="379" t="str">
        <f>IF(OR(O23&lt;&gt;O33,R23&lt;&gt;R33,U23&lt;&gt;U33,AT23&lt;&gt;AT33,AW23&lt;&gt;AW33,AZ23&lt;&gt;AZ33),"Totals in Tables 11a &amp; 11b shall tally. ","")</f>
        <v/>
      </c>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378"/>
      <c r="BC34" s="378"/>
      <c r="BD34" s="378"/>
      <c r="BE34" s="378"/>
      <c r="BF34" s="378"/>
      <c r="BG34" s="378"/>
      <c r="BH34" s="378"/>
      <c r="BI34" s="378"/>
      <c r="BJ34" s="378"/>
      <c r="BK34" s="378"/>
    </row>
    <row r="35" spans="2:63" s="215" customFormat="1">
      <c r="B35" s="380" t="s">
        <v>151</v>
      </c>
      <c r="C35" s="2397" t="s">
        <v>1036</v>
      </c>
      <c r="D35" s="2397"/>
      <c r="E35" s="2397"/>
      <c r="F35" s="2397"/>
      <c r="G35" s="2397"/>
      <c r="H35" s="2397"/>
      <c r="I35" s="2397"/>
      <c r="J35" s="2397"/>
      <c r="K35" s="2397"/>
      <c r="L35" s="2397"/>
      <c r="M35" s="2397"/>
      <c r="N35" s="2397"/>
      <c r="O35" s="2397"/>
      <c r="P35" s="2397"/>
      <c r="Q35" s="2397"/>
      <c r="R35" s="2397"/>
      <c r="S35" s="2397"/>
      <c r="T35" s="2397"/>
      <c r="U35" s="2397"/>
      <c r="V35" s="2397"/>
      <c r="W35" s="2397"/>
      <c r="X35" s="2397"/>
      <c r="Y35" s="2397"/>
      <c r="Z35" s="2397"/>
      <c r="AA35" s="2397"/>
      <c r="AB35" s="2397"/>
      <c r="AC35" s="2397"/>
      <c r="AD35" s="2397"/>
      <c r="AE35" s="2397"/>
      <c r="AF35" s="2397"/>
      <c r="AG35" s="2397"/>
      <c r="AH35" s="2397"/>
      <c r="AI35" s="2397"/>
      <c r="AJ35" s="2397"/>
      <c r="AK35" s="2397"/>
      <c r="AL35" s="2397"/>
      <c r="AM35" s="2397"/>
      <c r="AN35" s="2397"/>
      <c r="AO35" s="2397"/>
      <c r="AP35" s="2397"/>
      <c r="AQ35" s="2397"/>
      <c r="AR35" s="2397"/>
      <c r="AS35" s="2397"/>
      <c r="AT35" s="2397"/>
      <c r="AU35" s="2397"/>
      <c r="AV35" s="2397"/>
      <c r="AW35" s="2397"/>
      <c r="AX35" s="2397"/>
      <c r="AY35" s="2397"/>
      <c r="AZ35" s="2397"/>
      <c r="BA35" s="2397"/>
      <c r="BB35" s="2397"/>
      <c r="BC35" s="2397"/>
      <c r="BD35" s="2397"/>
      <c r="BE35" s="2397"/>
      <c r="BF35" s="2397"/>
      <c r="BG35" s="2397"/>
      <c r="BH35" s="2397"/>
      <c r="BI35" s="381"/>
    </row>
    <row r="36" spans="2:63" s="215" customFormat="1">
      <c r="B36" s="380" t="s">
        <v>152</v>
      </c>
      <c r="C36" s="2397" t="s">
        <v>1037</v>
      </c>
      <c r="D36" s="2397"/>
      <c r="E36" s="2397"/>
      <c r="F36" s="2397"/>
      <c r="G36" s="2397"/>
      <c r="H36" s="2397"/>
      <c r="I36" s="2397"/>
      <c r="J36" s="2397"/>
      <c r="K36" s="2397"/>
      <c r="L36" s="2397"/>
      <c r="M36" s="2397"/>
      <c r="N36" s="2397"/>
      <c r="O36" s="2397"/>
      <c r="P36" s="2397"/>
      <c r="Q36" s="2397"/>
      <c r="R36" s="2397"/>
      <c r="S36" s="2397"/>
      <c r="T36" s="2397"/>
      <c r="U36" s="2397"/>
      <c r="V36" s="2397"/>
      <c r="W36" s="2397"/>
      <c r="X36" s="2397"/>
      <c r="Y36" s="2397"/>
      <c r="Z36" s="2397"/>
      <c r="AA36" s="2397"/>
      <c r="AB36" s="2397"/>
      <c r="AC36" s="2397"/>
      <c r="AD36" s="2397"/>
      <c r="AE36" s="2397"/>
      <c r="AF36" s="2397"/>
      <c r="AG36" s="2397"/>
      <c r="AH36" s="2397"/>
      <c r="AI36" s="2397"/>
      <c r="AJ36" s="2397"/>
      <c r="AK36" s="2397"/>
      <c r="AL36" s="2397"/>
      <c r="AM36" s="2397"/>
      <c r="AN36" s="2397"/>
      <c r="AO36" s="2397"/>
      <c r="AP36" s="2397"/>
      <c r="AQ36" s="2397"/>
      <c r="AR36" s="2397"/>
      <c r="AS36" s="2397"/>
      <c r="AT36" s="2397"/>
      <c r="AU36" s="2397"/>
      <c r="AV36" s="2397"/>
      <c r="AW36" s="2397"/>
      <c r="AX36" s="2397"/>
      <c r="AY36" s="2397"/>
      <c r="AZ36" s="2397"/>
      <c r="BA36" s="2397"/>
      <c r="BB36" s="2397"/>
      <c r="BC36" s="2397"/>
      <c r="BD36" s="2397"/>
      <c r="BE36" s="2397"/>
      <c r="BF36" s="2397"/>
      <c r="BG36" s="2397"/>
      <c r="BH36" s="2397"/>
      <c r="BI36" s="381"/>
    </row>
    <row r="37" spans="2:63" s="215" customFormat="1">
      <c r="B37" s="380" t="s">
        <v>153</v>
      </c>
      <c r="C37" s="2397" t="s">
        <v>1038</v>
      </c>
      <c r="D37" s="2397"/>
      <c r="E37" s="2397"/>
      <c r="F37" s="2397"/>
      <c r="G37" s="2397"/>
      <c r="H37" s="2397"/>
      <c r="I37" s="2397"/>
      <c r="J37" s="2397"/>
      <c r="K37" s="2397"/>
      <c r="L37" s="2397"/>
      <c r="M37" s="2397"/>
      <c r="N37" s="2397"/>
      <c r="O37" s="2397"/>
      <c r="P37" s="2397"/>
      <c r="Q37" s="2397"/>
      <c r="R37" s="2397"/>
      <c r="S37" s="2397"/>
      <c r="T37" s="2397"/>
      <c r="U37" s="2397"/>
      <c r="V37" s="2397"/>
      <c r="W37" s="2397"/>
      <c r="X37" s="2397"/>
      <c r="Y37" s="2397"/>
      <c r="Z37" s="2397"/>
      <c r="AA37" s="2397"/>
      <c r="AB37" s="2397"/>
      <c r="AC37" s="2397"/>
      <c r="AD37" s="2397"/>
      <c r="AE37" s="2397"/>
      <c r="AF37" s="2397"/>
      <c r="AG37" s="2397"/>
      <c r="AH37" s="2397"/>
      <c r="AI37" s="2397"/>
      <c r="AJ37" s="2397"/>
      <c r="AK37" s="2397"/>
      <c r="AL37" s="2397"/>
      <c r="AM37" s="2397"/>
      <c r="AN37" s="2397"/>
      <c r="AO37" s="2397"/>
      <c r="AP37" s="2397"/>
      <c r="AQ37" s="2397"/>
      <c r="AR37" s="2397"/>
      <c r="AS37" s="2397"/>
      <c r="AT37" s="2397"/>
      <c r="AU37" s="2397"/>
      <c r="AV37" s="2397"/>
      <c r="AW37" s="2397"/>
      <c r="AX37" s="2397"/>
      <c r="AY37" s="2397"/>
      <c r="AZ37" s="2397"/>
      <c r="BA37" s="2397"/>
      <c r="BB37" s="2397"/>
      <c r="BC37" s="2397"/>
      <c r="BD37" s="2397"/>
      <c r="BE37" s="2397"/>
      <c r="BF37" s="2397"/>
      <c r="BG37" s="2397"/>
      <c r="BH37" s="2397"/>
      <c r="BI37" s="381"/>
    </row>
    <row r="38" spans="2:63" s="215" customFormat="1">
      <c r="B38" s="380" t="s">
        <v>154</v>
      </c>
      <c r="C38" s="2397" t="s">
        <v>1039</v>
      </c>
      <c r="D38" s="2397"/>
      <c r="E38" s="2397"/>
      <c r="F38" s="2397"/>
      <c r="G38" s="2397"/>
      <c r="H38" s="2397"/>
      <c r="I38" s="2397"/>
      <c r="J38" s="2397"/>
      <c r="K38" s="2397"/>
      <c r="L38" s="2397"/>
      <c r="M38" s="2397"/>
      <c r="N38" s="2397"/>
      <c r="O38" s="2397"/>
      <c r="P38" s="2397"/>
      <c r="Q38" s="2397"/>
      <c r="R38" s="2397"/>
      <c r="S38" s="2397"/>
      <c r="T38" s="2397"/>
      <c r="U38" s="2397"/>
      <c r="V38" s="2397"/>
      <c r="W38" s="2397"/>
      <c r="X38" s="2397"/>
      <c r="Y38" s="2397"/>
      <c r="Z38" s="2397"/>
      <c r="AA38" s="2397"/>
      <c r="AB38" s="2397"/>
      <c r="AC38" s="2397"/>
      <c r="AD38" s="2397"/>
      <c r="AE38" s="2397"/>
      <c r="AF38" s="2397"/>
      <c r="AG38" s="2397"/>
      <c r="AH38" s="2397"/>
      <c r="AI38" s="2397"/>
      <c r="AJ38" s="2397"/>
      <c r="AK38" s="2397"/>
      <c r="AL38" s="2397"/>
      <c r="AM38" s="2397"/>
      <c r="AN38" s="2397"/>
      <c r="AO38" s="2397"/>
      <c r="AP38" s="2397"/>
      <c r="AQ38" s="2397"/>
      <c r="AR38" s="2397"/>
      <c r="AS38" s="2397"/>
      <c r="AT38" s="2397"/>
      <c r="AU38" s="2397"/>
      <c r="AV38" s="2397"/>
      <c r="AW38" s="2397"/>
      <c r="AX38" s="2397"/>
      <c r="AY38" s="2397"/>
      <c r="AZ38" s="2397"/>
      <c r="BA38" s="2397"/>
      <c r="BB38" s="2397"/>
      <c r="BC38" s="2397"/>
      <c r="BD38" s="2397"/>
      <c r="BE38" s="2397"/>
      <c r="BF38" s="2397"/>
      <c r="BG38" s="2397"/>
      <c r="BH38" s="2397"/>
      <c r="BI38" s="381"/>
    </row>
    <row r="39" spans="2:63" s="215" customFormat="1">
      <c r="B39" s="380" t="s">
        <v>155</v>
      </c>
      <c r="C39" s="2397" t="s">
        <v>1040</v>
      </c>
      <c r="D39" s="2397"/>
      <c r="E39" s="2397"/>
      <c r="F39" s="2397"/>
      <c r="G39" s="2397"/>
      <c r="H39" s="2397"/>
      <c r="I39" s="2397"/>
      <c r="J39" s="2397"/>
      <c r="K39" s="2397"/>
      <c r="L39" s="2397"/>
      <c r="M39" s="2397"/>
      <c r="N39" s="2397"/>
      <c r="O39" s="2397"/>
      <c r="P39" s="2397"/>
      <c r="Q39" s="2397"/>
      <c r="R39" s="2397"/>
      <c r="S39" s="2397"/>
      <c r="T39" s="2397"/>
      <c r="U39" s="2397"/>
      <c r="V39" s="2397"/>
      <c r="W39" s="2397"/>
      <c r="X39" s="2397"/>
      <c r="Y39" s="2397"/>
      <c r="Z39" s="2397"/>
      <c r="AA39" s="2397"/>
      <c r="AB39" s="2397"/>
      <c r="AC39" s="2397"/>
      <c r="AD39" s="2397"/>
      <c r="AE39" s="2397"/>
      <c r="AF39" s="2397"/>
      <c r="AG39" s="2397"/>
      <c r="AH39" s="2397"/>
      <c r="AI39" s="2397"/>
      <c r="AJ39" s="2397"/>
      <c r="AK39" s="2397"/>
      <c r="AL39" s="2397"/>
      <c r="AM39" s="2397"/>
      <c r="AN39" s="2397"/>
      <c r="AO39" s="2397"/>
      <c r="AP39" s="2397"/>
      <c r="AQ39" s="2397"/>
      <c r="AR39" s="2397"/>
      <c r="AS39" s="2397"/>
      <c r="AT39" s="2397"/>
      <c r="AU39" s="2397"/>
      <c r="AV39" s="2397"/>
      <c r="AW39" s="2397"/>
      <c r="AX39" s="2397"/>
      <c r="AY39" s="2397"/>
      <c r="AZ39" s="2397"/>
      <c r="BA39" s="2397"/>
      <c r="BB39" s="2397"/>
      <c r="BC39" s="2397"/>
      <c r="BD39" s="2397"/>
      <c r="BE39" s="2397"/>
      <c r="BF39" s="2397"/>
      <c r="BG39" s="2397"/>
      <c r="BH39" s="2397"/>
      <c r="BI39" s="381"/>
    </row>
    <row r="40" spans="2:63" s="215" customFormat="1">
      <c r="B40" s="380" t="s">
        <v>156</v>
      </c>
      <c r="C40" s="2397" t="s">
        <v>1041</v>
      </c>
      <c r="D40" s="2397"/>
      <c r="E40" s="2397"/>
      <c r="F40" s="2397"/>
      <c r="G40" s="2397"/>
      <c r="H40" s="2397"/>
      <c r="I40" s="2397"/>
      <c r="J40" s="2397"/>
      <c r="K40" s="2397"/>
      <c r="L40" s="2397"/>
      <c r="M40" s="2397"/>
      <c r="N40" s="2397"/>
      <c r="O40" s="2397"/>
      <c r="P40" s="2397"/>
      <c r="Q40" s="2397"/>
      <c r="R40" s="2397"/>
      <c r="S40" s="2397"/>
      <c r="T40" s="2397"/>
      <c r="U40" s="2397"/>
      <c r="V40" s="2397"/>
      <c r="W40" s="2397"/>
      <c r="X40" s="2397"/>
      <c r="Y40" s="2397"/>
      <c r="Z40" s="2397"/>
      <c r="AA40" s="2397"/>
      <c r="AB40" s="2397"/>
      <c r="AC40" s="2397"/>
      <c r="AD40" s="2397"/>
      <c r="AE40" s="2397"/>
      <c r="AF40" s="2397"/>
      <c r="AG40" s="2397"/>
      <c r="AH40" s="2397"/>
      <c r="AI40" s="2397"/>
      <c r="AJ40" s="2397"/>
      <c r="AK40" s="2397"/>
      <c r="AL40" s="2397"/>
      <c r="AM40" s="2397"/>
      <c r="AN40" s="2397"/>
      <c r="AO40" s="2397"/>
      <c r="AP40" s="2397"/>
      <c r="AQ40" s="2397"/>
      <c r="AR40" s="2397"/>
      <c r="AS40" s="2397"/>
      <c r="AT40" s="2397"/>
      <c r="AU40" s="2397"/>
      <c r="AV40" s="2397"/>
      <c r="AW40" s="2397"/>
      <c r="AX40" s="2397"/>
      <c r="AY40" s="2397"/>
      <c r="AZ40" s="2397"/>
      <c r="BA40" s="2397"/>
      <c r="BB40" s="2397"/>
      <c r="BC40" s="2397"/>
      <c r="BD40" s="2397"/>
      <c r="BE40" s="2397"/>
      <c r="BF40" s="2397"/>
      <c r="BG40" s="2397"/>
      <c r="BH40" s="2397"/>
      <c r="BI40" s="381"/>
    </row>
    <row r="41" spans="2:63" s="215" customFormat="1">
      <c r="B41" s="380" t="s">
        <v>157</v>
      </c>
      <c r="C41" s="2397" t="s">
        <v>1042</v>
      </c>
      <c r="D41" s="2397"/>
      <c r="E41" s="2397"/>
      <c r="F41" s="2397"/>
      <c r="G41" s="2397"/>
      <c r="H41" s="2397"/>
      <c r="I41" s="2397"/>
      <c r="J41" s="2397"/>
      <c r="K41" s="2397"/>
      <c r="L41" s="2397"/>
      <c r="M41" s="2397"/>
      <c r="N41" s="2397"/>
      <c r="O41" s="2397"/>
      <c r="P41" s="2397"/>
      <c r="Q41" s="2397"/>
      <c r="R41" s="2397"/>
      <c r="S41" s="2397"/>
      <c r="T41" s="2397"/>
      <c r="U41" s="2397"/>
      <c r="V41" s="2397"/>
      <c r="W41" s="2397"/>
      <c r="X41" s="2397"/>
      <c r="Y41" s="2397"/>
      <c r="Z41" s="2397"/>
      <c r="AA41" s="2397"/>
      <c r="AB41" s="2397"/>
      <c r="AC41" s="2397"/>
      <c r="AD41" s="2397"/>
      <c r="AE41" s="2397"/>
      <c r="AF41" s="2397"/>
      <c r="AG41" s="2397"/>
      <c r="AH41" s="2397"/>
      <c r="AI41" s="2397"/>
      <c r="AJ41" s="2397"/>
      <c r="AK41" s="2397"/>
      <c r="AL41" s="2397"/>
      <c r="AM41" s="2397"/>
      <c r="AN41" s="2397"/>
      <c r="AO41" s="2397"/>
      <c r="AP41" s="2397"/>
      <c r="AQ41" s="2397"/>
      <c r="AR41" s="2397"/>
      <c r="AS41" s="2397"/>
      <c r="AT41" s="2397"/>
      <c r="AU41" s="2397"/>
      <c r="AV41" s="2397"/>
      <c r="AW41" s="2397"/>
      <c r="AX41" s="2397"/>
      <c r="AY41" s="2397"/>
      <c r="AZ41" s="2397"/>
      <c r="BA41" s="2397"/>
      <c r="BB41" s="2397"/>
      <c r="BC41" s="2397"/>
      <c r="BD41" s="2397"/>
      <c r="BE41" s="2397"/>
      <c r="BF41" s="2397"/>
      <c r="BG41" s="2397"/>
      <c r="BH41" s="2397"/>
      <c r="BI41" s="381"/>
    </row>
    <row r="42" spans="2:63" s="215" customFormat="1">
      <c r="B42" s="380" t="s">
        <v>158</v>
      </c>
      <c r="C42" s="2397" t="s">
        <v>1043</v>
      </c>
      <c r="D42" s="2397"/>
      <c r="E42" s="2397"/>
      <c r="F42" s="2397"/>
      <c r="G42" s="2397"/>
      <c r="H42" s="2397"/>
      <c r="I42" s="2397"/>
      <c r="J42" s="2397"/>
      <c r="K42" s="2397"/>
      <c r="L42" s="2397"/>
      <c r="M42" s="2397"/>
      <c r="N42" s="2397"/>
      <c r="O42" s="2397"/>
      <c r="P42" s="2397"/>
      <c r="Q42" s="2397"/>
      <c r="R42" s="2397"/>
      <c r="S42" s="2397"/>
      <c r="T42" s="2397"/>
      <c r="U42" s="2397"/>
      <c r="V42" s="2397"/>
      <c r="W42" s="2397"/>
      <c r="X42" s="2397"/>
      <c r="Y42" s="2397"/>
      <c r="Z42" s="2397"/>
      <c r="AA42" s="2397"/>
      <c r="AB42" s="2397"/>
      <c r="AC42" s="2397"/>
      <c r="AD42" s="2397"/>
      <c r="AE42" s="2397"/>
      <c r="AF42" s="2397"/>
      <c r="AG42" s="2397"/>
      <c r="AH42" s="2397"/>
      <c r="AI42" s="2397"/>
      <c r="AJ42" s="2397"/>
      <c r="AK42" s="2397"/>
      <c r="AL42" s="2397"/>
      <c r="AM42" s="2397"/>
      <c r="AN42" s="2397"/>
      <c r="AO42" s="2397"/>
      <c r="AP42" s="2397"/>
      <c r="AQ42" s="2397"/>
      <c r="AR42" s="2397"/>
      <c r="AS42" s="2397"/>
      <c r="AT42" s="2397"/>
      <c r="AU42" s="2397"/>
      <c r="AV42" s="2397"/>
      <c r="AW42" s="2397"/>
      <c r="AX42" s="2397"/>
      <c r="AY42" s="2397"/>
      <c r="AZ42" s="2397"/>
      <c r="BA42" s="2397"/>
      <c r="BB42" s="2397"/>
      <c r="BC42" s="2397"/>
      <c r="BD42" s="2397"/>
      <c r="BE42" s="2397"/>
      <c r="BF42" s="2397"/>
      <c r="BG42" s="2397"/>
      <c r="BH42" s="2397"/>
      <c r="BI42" s="381"/>
    </row>
    <row r="43" spans="2:63" s="215" customFormat="1">
      <c r="B43" s="380" t="s">
        <v>159</v>
      </c>
      <c r="C43" s="2397" t="s">
        <v>1044</v>
      </c>
      <c r="D43" s="2397"/>
      <c r="E43" s="2397"/>
      <c r="F43" s="2397"/>
      <c r="G43" s="2397"/>
      <c r="H43" s="2397"/>
      <c r="I43" s="2397"/>
      <c r="J43" s="2397"/>
      <c r="K43" s="2397"/>
      <c r="L43" s="2397"/>
      <c r="M43" s="2397"/>
      <c r="N43" s="2397"/>
      <c r="O43" s="2397"/>
      <c r="P43" s="2397"/>
      <c r="Q43" s="2397"/>
      <c r="R43" s="2397"/>
      <c r="S43" s="2397"/>
      <c r="T43" s="2397"/>
      <c r="U43" s="2397"/>
      <c r="V43" s="2397"/>
      <c r="W43" s="2397"/>
      <c r="X43" s="2397"/>
      <c r="Y43" s="2397"/>
      <c r="Z43" s="2397"/>
      <c r="AA43" s="2397"/>
      <c r="AB43" s="2397"/>
      <c r="AC43" s="2397"/>
      <c r="AD43" s="2397"/>
      <c r="AE43" s="2397"/>
      <c r="AF43" s="2397"/>
      <c r="AG43" s="2397"/>
      <c r="AH43" s="2397"/>
      <c r="AI43" s="2397"/>
      <c r="AJ43" s="2397"/>
      <c r="AK43" s="2397"/>
      <c r="AL43" s="2397"/>
      <c r="AM43" s="2397"/>
      <c r="AN43" s="2397"/>
      <c r="AO43" s="2397"/>
      <c r="AP43" s="2397"/>
      <c r="AQ43" s="2397"/>
      <c r="AR43" s="2397"/>
      <c r="AS43" s="2397"/>
      <c r="AT43" s="2397"/>
      <c r="AU43" s="2397"/>
      <c r="AV43" s="2397"/>
      <c r="AW43" s="2397"/>
      <c r="AX43" s="2397"/>
      <c r="AY43" s="2397"/>
      <c r="AZ43" s="2397"/>
      <c r="BA43" s="2397"/>
      <c r="BB43" s="2397"/>
      <c r="BC43" s="2397"/>
      <c r="BD43" s="2397"/>
      <c r="BE43" s="2397"/>
      <c r="BF43" s="2397"/>
      <c r="BG43" s="2397"/>
      <c r="BH43" s="2397"/>
      <c r="BI43" s="381"/>
    </row>
    <row r="44" spans="2:63" s="383" customFormat="1" ht="19.75" customHeight="1">
      <c r="B44" s="382" t="s">
        <v>183</v>
      </c>
      <c r="F44" s="384" t="s">
        <v>151</v>
      </c>
      <c r="G44" s="382" t="s">
        <v>1045</v>
      </c>
      <c r="H44" s="382"/>
      <c r="I44" s="382"/>
      <c r="J44" s="385"/>
      <c r="K44" s="385"/>
      <c r="L44" s="385"/>
      <c r="M44" s="385"/>
      <c r="N44" s="385"/>
      <c r="O44" s="385"/>
      <c r="P44" s="385"/>
      <c r="Q44" s="385"/>
      <c r="R44" s="385"/>
      <c r="S44" s="385"/>
      <c r="T44" s="385"/>
      <c r="U44" s="385"/>
      <c r="V44" s="385"/>
      <c r="W44" s="385"/>
      <c r="X44" s="385"/>
      <c r="Y44" s="385"/>
      <c r="Z44" s="385"/>
      <c r="AA44" s="386"/>
      <c r="AB44" s="386"/>
      <c r="AC44" s="386"/>
      <c r="AD44" s="386"/>
      <c r="AE44" s="386"/>
      <c r="AF44" s="386"/>
      <c r="AG44" s="386"/>
      <c r="AH44" s="386"/>
      <c r="AI44" s="386"/>
      <c r="AJ44" s="386"/>
    </row>
    <row r="45" spans="2:63" s="388" customFormat="1" ht="18" customHeight="1">
      <c r="B45" s="387"/>
      <c r="F45" s="389" t="s">
        <v>152</v>
      </c>
      <c r="G45" s="319" t="s">
        <v>1046</v>
      </c>
      <c r="H45" s="390"/>
      <c r="I45" s="390"/>
      <c r="BH45" s="268"/>
      <c r="BI45" s="391"/>
    </row>
    <row r="46" spans="2:63" s="388" customFormat="1" ht="18" customHeight="1">
      <c r="B46" s="392"/>
      <c r="F46" s="393" t="s">
        <v>153</v>
      </c>
      <c r="G46" s="319" t="s">
        <v>1047</v>
      </c>
    </row>
    <row r="47" spans="2:63" s="388" customFormat="1" ht="18" customHeight="1">
      <c r="B47" s="392"/>
      <c r="F47" s="393" t="s">
        <v>154</v>
      </c>
      <c r="G47" s="319" t="s">
        <v>1269</v>
      </c>
    </row>
    <row r="48" spans="2:63" s="225" customFormat="1" ht="18" customHeight="1">
      <c r="B48" s="394"/>
      <c r="C48" s="345"/>
      <c r="D48" s="345"/>
      <c r="E48" s="345"/>
      <c r="F48" s="395" t="s">
        <v>155</v>
      </c>
      <c r="G48" s="396" t="s">
        <v>11860</v>
      </c>
      <c r="AF48" s="237"/>
    </row>
    <row r="49" spans="2:78" ht="26.25" customHeight="1">
      <c r="G49" s="396"/>
    </row>
    <row r="50" spans="2:78">
      <c r="B50" s="147" t="s">
        <v>847</v>
      </c>
      <c r="U50" s="147" t="s">
        <v>779</v>
      </c>
      <c r="AT50" s="147" t="s">
        <v>783</v>
      </c>
    </row>
    <row r="51" spans="2:78" ht="21.75" customHeight="1">
      <c r="B51" s="147" t="s">
        <v>756</v>
      </c>
      <c r="F51" s="2399" t="str">
        <f>'SchInfo '!F39</f>
        <v>RICO S. MISPEROS</v>
      </c>
      <c r="G51" s="2399"/>
      <c r="H51" s="2399"/>
      <c r="I51" s="2399"/>
      <c r="J51" s="2399"/>
      <c r="K51" s="2399"/>
      <c r="L51" s="2399"/>
      <c r="M51" s="2399"/>
      <c r="N51" s="2399"/>
      <c r="U51" s="2399" t="str">
        <f>Table6!S27</f>
        <v>ELMA CEZARIE Y. ROMERO</v>
      </c>
      <c r="V51" s="2399"/>
      <c r="W51" s="2399"/>
      <c r="X51" s="2399"/>
      <c r="Y51" s="2399"/>
      <c r="Z51" s="2399"/>
      <c r="AA51" s="2399"/>
      <c r="AB51" s="2399"/>
      <c r="AC51" s="2399"/>
      <c r="AD51" s="2399"/>
      <c r="AE51" s="2399"/>
      <c r="AF51" s="2399"/>
      <c r="AG51" s="2399"/>
      <c r="AH51" s="2399"/>
      <c r="AI51" s="2399"/>
      <c r="AJ51" s="2399"/>
      <c r="AK51" s="2399"/>
      <c r="AL51" s="2399"/>
      <c r="AT51" s="1786" t="str">
        <f>'SchInfo '!R39</f>
        <v>MICHAEL T. JAMIS</v>
      </c>
      <c r="AU51" s="1786"/>
      <c r="AV51" s="1786"/>
      <c r="AW51" s="1786"/>
      <c r="AX51" s="1786"/>
      <c r="AY51" s="1786"/>
      <c r="AZ51" s="1786"/>
      <c r="BA51" s="1786"/>
      <c r="BB51" s="1786"/>
      <c r="BC51" s="1786"/>
      <c r="BD51" s="1786"/>
      <c r="BE51" s="1786"/>
      <c r="BF51" s="1786"/>
      <c r="BG51" s="1786"/>
      <c r="BH51" s="1786"/>
      <c r="BI51" s="1786"/>
      <c r="BJ51" s="1786"/>
      <c r="BK51" s="1786"/>
    </row>
    <row r="52" spans="2:78" s="174" customFormat="1" ht="15.75" customHeight="1">
      <c r="B52" s="173"/>
      <c r="F52" s="1764" t="s">
        <v>741</v>
      </c>
      <c r="G52" s="1764"/>
      <c r="H52" s="1764"/>
      <c r="I52" s="1764"/>
      <c r="J52" s="1764"/>
      <c r="K52" s="1764"/>
      <c r="L52" s="1764"/>
      <c r="M52" s="1764"/>
      <c r="N52" s="1764"/>
      <c r="O52" s="175"/>
      <c r="P52" s="175"/>
      <c r="Q52" s="175"/>
      <c r="R52" s="175"/>
      <c r="S52" s="175"/>
      <c r="T52" s="175"/>
      <c r="U52" s="1764" t="s">
        <v>741</v>
      </c>
      <c r="V52" s="1764"/>
      <c r="W52" s="1764"/>
      <c r="X52" s="1764"/>
      <c r="Y52" s="1764"/>
      <c r="Z52" s="1764"/>
      <c r="AA52" s="1764"/>
      <c r="AB52" s="1764"/>
      <c r="AC52" s="1764"/>
      <c r="AD52" s="1764"/>
      <c r="AE52" s="1764"/>
      <c r="AF52" s="1764"/>
      <c r="AG52" s="1764"/>
      <c r="AH52" s="1764"/>
      <c r="AI52" s="1764"/>
      <c r="AJ52" s="1764"/>
      <c r="AK52" s="1764"/>
      <c r="AL52" s="1764"/>
      <c r="AM52" s="175"/>
      <c r="AN52" s="175"/>
      <c r="AO52" s="175"/>
      <c r="AP52" s="175"/>
      <c r="AQ52" s="175"/>
      <c r="AR52" s="175"/>
      <c r="AS52" s="175"/>
      <c r="AT52" s="1787"/>
      <c r="AU52" s="1787"/>
      <c r="AV52" s="1787"/>
      <c r="AW52" s="1787"/>
      <c r="AX52" s="1787"/>
      <c r="AY52" s="1787"/>
      <c r="AZ52" s="1787"/>
      <c r="BA52" s="1787"/>
      <c r="BB52" s="1787"/>
      <c r="BC52" s="1787"/>
      <c r="BD52" s="1787"/>
      <c r="BE52" s="1787"/>
      <c r="BF52" s="1787"/>
      <c r="BG52" s="1787"/>
      <c r="BH52" s="1787"/>
      <c r="BI52" s="1787"/>
      <c r="BJ52" s="1787"/>
      <c r="BK52" s="1787"/>
      <c r="BL52" s="346"/>
      <c r="BM52" s="346"/>
      <c r="BN52" s="346"/>
      <c r="BO52" s="346"/>
      <c r="BP52" s="346"/>
      <c r="BQ52" s="346"/>
      <c r="BR52" s="346"/>
      <c r="BS52" s="346"/>
      <c r="BT52" s="346"/>
      <c r="BU52" s="346"/>
      <c r="BV52" s="346"/>
      <c r="BW52" s="346"/>
      <c r="BX52" s="346"/>
      <c r="BY52" s="346"/>
      <c r="BZ52" s="346"/>
    </row>
    <row r="53" spans="2:78" ht="21.75" customHeight="1">
      <c r="B53" s="147" t="s">
        <v>1027</v>
      </c>
      <c r="F53" s="2399" t="str">
        <f>'SchInfo '!F41</f>
        <v>SCHOOL PRINCIPAL II</v>
      </c>
      <c r="G53" s="2399"/>
      <c r="H53" s="2399"/>
      <c r="I53" s="2399"/>
      <c r="J53" s="2399"/>
      <c r="K53" s="2399"/>
      <c r="L53" s="2399"/>
      <c r="M53" s="2399"/>
      <c r="N53" s="2399"/>
      <c r="U53" s="147" t="s">
        <v>1027</v>
      </c>
      <c r="Y53" s="2399" t="str">
        <f>Table6!W29</f>
        <v>Administrative Officer IV</v>
      </c>
      <c r="Z53" s="2399"/>
      <c r="AA53" s="2399"/>
      <c r="AB53" s="2399"/>
      <c r="AC53" s="2399"/>
      <c r="AD53" s="2399"/>
      <c r="AE53" s="2399"/>
      <c r="AF53" s="2399"/>
      <c r="AG53" s="2399"/>
      <c r="AH53" s="2399"/>
      <c r="AI53" s="2399"/>
      <c r="AJ53" s="2399"/>
      <c r="AK53" s="2399"/>
      <c r="AL53" s="2399"/>
      <c r="AT53" s="1764" t="s">
        <v>741</v>
      </c>
      <c r="AU53" s="1764"/>
      <c r="AV53" s="1764"/>
      <c r="AW53" s="1764"/>
      <c r="AX53" s="1764"/>
      <c r="AY53" s="1764"/>
      <c r="AZ53" s="1764"/>
      <c r="BA53" s="1764"/>
      <c r="BB53" s="1764"/>
      <c r="BC53" s="1764"/>
      <c r="BD53" s="1764"/>
      <c r="BE53" s="1764"/>
      <c r="BF53" s="1764"/>
      <c r="BG53" s="1764"/>
      <c r="BH53" s="1764"/>
      <c r="BI53" s="1764"/>
      <c r="BJ53" s="1764"/>
      <c r="BK53" s="1764"/>
    </row>
    <row r="57" spans="2:78">
      <c r="U57" s="180"/>
    </row>
    <row r="58" spans="2:78">
      <c r="U58" s="180"/>
    </row>
  </sheetData>
  <sheetProtection algorithmName="SHA-512" hashValue="CPUFCJecIGVOF0J0k7zTLiBZ9mUrbMdcl66dw16+coeRZ6huJxpl34XPbCCggHN/NqciAtGXzo5J6eQirG0fGQ==" saltValue="O7zSc1B++uvuyCh0a9I61A==" spinCount="100000" sheet="1" selectLockedCells="1"/>
  <mergeCells count="441">
    <mergeCell ref="B3:K7"/>
    <mergeCell ref="L3:BK3"/>
    <mergeCell ref="O4:AS4"/>
    <mergeCell ref="BF9:BH9"/>
    <mergeCell ref="BI7:BK7"/>
    <mergeCell ref="AZ7:BB7"/>
    <mergeCell ref="BC7:BE7"/>
    <mergeCell ref="BF7:BH7"/>
    <mergeCell ref="AT4:BB6"/>
    <mergeCell ref="BC4:BK6"/>
    <mergeCell ref="O5:W6"/>
    <mergeCell ref="AD5:AP5"/>
    <mergeCell ref="BI9:BK9"/>
    <mergeCell ref="AZ9:BB9"/>
    <mergeCell ref="BC9:BE9"/>
    <mergeCell ref="BC8:BE8"/>
    <mergeCell ref="BF8:BH8"/>
    <mergeCell ref="AD6:AF8"/>
    <mergeCell ref="AG6:AI8"/>
    <mergeCell ref="AJ6:AM8"/>
    <mergeCell ref="AQ5:AS8"/>
    <mergeCell ref="L4:N8"/>
    <mergeCell ref="B33:K33"/>
    <mergeCell ref="AN9:AP9"/>
    <mergeCell ref="AQ9:AS9"/>
    <mergeCell ref="AT9:AV9"/>
    <mergeCell ref="AW9:AY9"/>
    <mergeCell ref="AA9:AC9"/>
    <mergeCell ref="AD9:AF9"/>
    <mergeCell ref="AG9:AI9"/>
    <mergeCell ref="AJ9:AM9"/>
    <mergeCell ref="X9:Z9"/>
    <mergeCell ref="O12:Q12"/>
    <mergeCell ref="R12:T12"/>
    <mergeCell ref="U12:W12"/>
    <mergeCell ref="X12:Z12"/>
    <mergeCell ref="AA12:AC12"/>
    <mergeCell ref="B9:K9"/>
    <mergeCell ref="O9:Q9"/>
    <mergeCell ref="R9:T9"/>
    <mergeCell ref="U9:W9"/>
    <mergeCell ref="B23:K23"/>
    <mergeCell ref="L9:N9"/>
    <mergeCell ref="AW11:AY11"/>
    <mergeCell ref="AG11:AI11"/>
    <mergeCell ref="AJ11:AM11"/>
    <mergeCell ref="AZ11:BB11"/>
    <mergeCell ref="BC11:BE11"/>
    <mergeCell ref="BF11:BH11"/>
    <mergeCell ref="BI11:BK11"/>
    <mergeCell ref="L12:N12"/>
    <mergeCell ref="C38:BH38"/>
    <mergeCell ref="C39:BH39"/>
    <mergeCell ref="AN12:AP12"/>
    <mergeCell ref="AQ12:AS12"/>
    <mergeCell ref="O13:Q13"/>
    <mergeCell ref="R13:T13"/>
    <mergeCell ref="U13:W13"/>
    <mergeCell ref="X13:Z13"/>
    <mergeCell ref="AA13:AC13"/>
    <mergeCell ref="AD13:AF13"/>
    <mergeCell ref="AG13:AI13"/>
    <mergeCell ref="AJ13:AM13"/>
    <mergeCell ref="AN13:AP13"/>
    <mergeCell ref="AQ13:AS13"/>
    <mergeCell ref="AT13:AV13"/>
    <mergeCell ref="U11:W11"/>
    <mergeCell ref="X11:Z11"/>
    <mergeCell ref="AA11:AC11"/>
    <mergeCell ref="AD11:AF11"/>
    <mergeCell ref="C40:BH40"/>
    <mergeCell ref="F51:N51"/>
    <mergeCell ref="U51:AL51"/>
    <mergeCell ref="AT51:BK52"/>
    <mergeCell ref="F52:N52"/>
    <mergeCell ref="U52:AL52"/>
    <mergeCell ref="F53:N53"/>
    <mergeCell ref="O7:Q8"/>
    <mergeCell ref="R7:T8"/>
    <mergeCell ref="X5:Z8"/>
    <mergeCell ref="AA5:AC8"/>
    <mergeCell ref="U7:W7"/>
    <mergeCell ref="BI8:BK8"/>
    <mergeCell ref="U8:W8"/>
    <mergeCell ref="AN6:AP6"/>
    <mergeCell ref="AN7:AP8"/>
    <mergeCell ref="AZ8:BB8"/>
    <mergeCell ref="AT7:AV8"/>
    <mergeCell ref="AW7:AY8"/>
    <mergeCell ref="Y53:AL53"/>
    <mergeCell ref="AT53:BK53"/>
    <mergeCell ref="L11:N11"/>
    <mergeCell ref="O11:Q11"/>
    <mergeCell ref="R11:T11"/>
    <mergeCell ref="AN11:AP11"/>
    <mergeCell ref="AQ11:AS11"/>
    <mergeCell ref="AT11:AV11"/>
    <mergeCell ref="C41:BH41"/>
    <mergeCell ref="C42:BH42"/>
    <mergeCell ref="C43:BH43"/>
    <mergeCell ref="C35:BH35"/>
    <mergeCell ref="C36:BH36"/>
    <mergeCell ref="C37:BH37"/>
    <mergeCell ref="L14:N14"/>
    <mergeCell ref="O14:Q14"/>
    <mergeCell ref="R14:T14"/>
    <mergeCell ref="U14:W14"/>
    <mergeCell ref="X14:Z14"/>
    <mergeCell ref="AA14:AC14"/>
    <mergeCell ref="AD14:AF14"/>
    <mergeCell ref="AG14:AI14"/>
    <mergeCell ref="AJ14:AM14"/>
    <mergeCell ref="AN14:AP14"/>
    <mergeCell ref="BC15:BE15"/>
    <mergeCell ref="BF15:BH15"/>
    <mergeCell ref="AG16:AI16"/>
    <mergeCell ref="L16:N16"/>
    <mergeCell ref="O16:Q16"/>
    <mergeCell ref="BI12:BK12"/>
    <mergeCell ref="L13:N13"/>
    <mergeCell ref="AT12:AV12"/>
    <mergeCell ref="AW12:AY12"/>
    <mergeCell ref="AZ12:BB12"/>
    <mergeCell ref="BC12:BE12"/>
    <mergeCell ref="BF12:BH12"/>
    <mergeCell ref="AD12:AF12"/>
    <mergeCell ref="AG12:AI12"/>
    <mergeCell ref="AJ12:AM12"/>
    <mergeCell ref="AZ13:BB13"/>
    <mergeCell ref="BC13:BE13"/>
    <mergeCell ref="BF13:BH13"/>
    <mergeCell ref="BI13:BK13"/>
    <mergeCell ref="AW13:AY13"/>
    <mergeCell ref="BI15:BK15"/>
    <mergeCell ref="BF14:BH14"/>
    <mergeCell ref="BI14:BK14"/>
    <mergeCell ref="L15:N15"/>
    <mergeCell ref="O15:Q15"/>
    <mergeCell ref="R15:T15"/>
    <mergeCell ref="U15:W15"/>
    <mergeCell ref="X15:Z15"/>
    <mergeCell ref="AA15:AC15"/>
    <mergeCell ref="AD15:AF15"/>
    <mergeCell ref="AG15:AI15"/>
    <mergeCell ref="AJ15:AM15"/>
    <mergeCell ref="AN15:AP15"/>
    <mergeCell ref="AQ15:AS15"/>
    <mergeCell ref="AT15:AV15"/>
    <mergeCell ref="AQ14:AS14"/>
    <mergeCell ref="AT14:AV14"/>
    <mergeCell ref="AW14:AY14"/>
    <mergeCell ref="AZ14:BB14"/>
    <mergeCell ref="BC14:BE14"/>
    <mergeCell ref="R16:T16"/>
    <mergeCell ref="AW15:AY15"/>
    <mergeCell ref="AZ15:BB15"/>
    <mergeCell ref="AZ16:BB16"/>
    <mergeCell ref="BC16:BE16"/>
    <mergeCell ref="BF16:BH16"/>
    <mergeCell ref="BI16:BK16"/>
    <mergeCell ref="L17:N17"/>
    <mergeCell ref="O17:Q17"/>
    <mergeCell ref="R17:T17"/>
    <mergeCell ref="U17:W17"/>
    <mergeCell ref="X17:Z17"/>
    <mergeCell ref="AA17:AC17"/>
    <mergeCell ref="AD17:AF17"/>
    <mergeCell ref="AG17:AI17"/>
    <mergeCell ref="AJ17:AM17"/>
    <mergeCell ref="AN17:AP17"/>
    <mergeCell ref="AJ16:AM16"/>
    <mergeCell ref="AN16:AP16"/>
    <mergeCell ref="AQ16:AS16"/>
    <mergeCell ref="AT16:AV16"/>
    <mergeCell ref="AW16:AY16"/>
    <mergeCell ref="U16:W16"/>
    <mergeCell ref="X16:Z16"/>
    <mergeCell ref="BI18:BK18"/>
    <mergeCell ref="BF17:BH17"/>
    <mergeCell ref="BI17:BK17"/>
    <mergeCell ref="L18:N18"/>
    <mergeCell ref="O18:Q18"/>
    <mergeCell ref="R18:T18"/>
    <mergeCell ref="U18:W18"/>
    <mergeCell ref="X18:Z18"/>
    <mergeCell ref="AA18:AC18"/>
    <mergeCell ref="AD18:AF18"/>
    <mergeCell ref="AG18:AI18"/>
    <mergeCell ref="AJ18:AM18"/>
    <mergeCell ref="AN18:AP18"/>
    <mergeCell ref="AQ18:AS18"/>
    <mergeCell ref="AT18:AV18"/>
    <mergeCell ref="AQ17:AS17"/>
    <mergeCell ref="AT17:AV17"/>
    <mergeCell ref="AW17:AY17"/>
    <mergeCell ref="AZ17:BB17"/>
    <mergeCell ref="BC17:BE17"/>
    <mergeCell ref="AW18:AY18"/>
    <mergeCell ref="AZ18:BB18"/>
    <mergeCell ref="AZ19:BB19"/>
    <mergeCell ref="BC19:BE19"/>
    <mergeCell ref="BF19:BH19"/>
    <mergeCell ref="AA16:AC16"/>
    <mergeCell ref="AD16:AF16"/>
    <mergeCell ref="BC18:BE18"/>
    <mergeCell ref="BF18:BH18"/>
    <mergeCell ref="BI19:BK19"/>
    <mergeCell ref="L20:N20"/>
    <mergeCell ref="O20:Q20"/>
    <mergeCell ref="R20:T20"/>
    <mergeCell ref="U20:W20"/>
    <mergeCell ref="X20:Z20"/>
    <mergeCell ref="AA20:AC20"/>
    <mergeCell ref="AD20:AF20"/>
    <mergeCell ref="AG20:AI20"/>
    <mergeCell ref="AJ20:AM20"/>
    <mergeCell ref="AN20:AP20"/>
    <mergeCell ref="AJ19:AM19"/>
    <mergeCell ref="AN19:AP19"/>
    <mergeCell ref="AQ19:AS19"/>
    <mergeCell ref="AT19:AV19"/>
    <mergeCell ref="AW19:AY19"/>
    <mergeCell ref="U19:W19"/>
    <mergeCell ref="X19:Z19"/>
    <mergeCell ref="AA19:AC19"/>
    <mergeCell ref="AD19:AF19"/>
    <mergeCell ref="AG19:AI19"/>
    <mergeCell ref="L19:N19"/>
    <mergeCell ref="O19:Q19"/>
    <mergeCell ref="R19:T19"/>
    <mergeCell ref="BF21:BH21"/>
    <mergeCell ref="BI21:BK21"/>
    <mergeCell ref="BF20:BH20"/>
    <mergeCell ref="BI20:BK20"/>
    <mergeCell ref="L21:N21"/>
    <mergeCell ref="O21:Q21"/>
    <mergeCell ref="R21:T21"/>
    <mergeCell ref="U21:W21"/>
    <mergeCell ref="X21:Z21"/>
    <mergeCell ref="AA21:AC21"/>
    <mergeCell ref="AD21:AF21"/>
    <mergeCell ref="AG21:AI21"/>
    <mergeCell ref="AJ21:AM21"/>
    <mergeCell ref="AN21:AP21"/>
    <mergeCell ref="AQ21:AS21"/>
    <mergeCell ref="AT21:AV21"/>
    <mergeCell ref="AQ20:AS20"/>
    <mergeCell ref="AT20:AV20"/>
    <mergeCell ref="AW20:AY20"/>
    <mergeCell ref="AZ20:BB20"/>
    <mergeCell ref="BC20:BE20"/>
    <mergeCell ref="AD22:AF22"/>
    <mergeCell ref="AG22:AI22"/>
    <mergeCell ref="L22:N22"/>
    <mergeCell ref="O22:Q22"/>
    <mergeCell ref="R22:T22"/>
    <mergeCell ref="AW21:AY21"/>
    <mergeCell ref="AZ21:BB21"/>
    <mergeCell ref="AZ22:BB22"/>
    <mergeCell ref="BC22:BE22"/>
    <mergeCell ref="BC21:BE21"/>
    <mergeCell ref="BF22:BH22"/>
    <mergeCell ref="BI22:BK22"/>
    <mergeCell ref="O25:Q25"/>
    <mergeCell ref="R25:T25"/>
    <mergeCell ref="U25:W25"/>
    <mergeCell ref="U23:W23"/>
    <mergeCell ref="X23:Z23"/>
    <mergeCell ref="AA23:AC23"/>
    <mergeCell ref="AD23:AF23"/>
    <mergeCell ref="AG23:AI23"/>
    <mergeCell ref="AJ23:AM23"/>
    <mergeCell ref="AN23:AP23"/>
    <mergeCell ref="AQ23:AS23"/>
    <mergeCell ref="AT23:AV23"/>
    <mergeCell ref="AJ22:AM22"/>
    <mergeCell ref="AN22:AP22"/>
    <mergeCell ref="AQ22:AS22"/>
    <mergeCell ref="AT22:AV22"/>
    <mergeCell ref="AW22:AY22"/>
    <mergeCell ref="U22:W22"/>
    <mergeCell ref="X22:Z22"/>
    <mergeCell ref="AA22:AC22"/>
    <mergeCell ref="BC23:BE23"/>
    <mergeCell ref="BF23:BH23"/>
    <mergeCell ref="BI23:BK23"/>
    <mergeCell ref="L23:N23"/>
    <mergeCell ref="O23:Q23"/>
    <mergeCell ref="R23:T23"/>
    <mergeCell ref="O32:Q32"/>
    <mergeCell ref="R32:T32"/>
    <mergeCell ref="U32:W32"/>
    <mergeCell ref="O30:Q30"/>
    <mergeCell ref="R30:T30"/>
    <mergeCell ref="U30:W30"/>
    <mergeCell ref="O31:Q31"/>
    <mergeCell ref="R31:T31"/>
    <mergeCell ref="U31:W31"/>
    <mergeCell ref="O28:Q28"/>
    <mergeCell ref="R28:T28"/>
    <mergeCell ref="U28:W28"/>
    <mergeCell ref="O29:Q29"/>
    <mergeCell ref="R29:T29"/>
    <mergeCell ref="U29:W29"/>
    <mergeCell ref="O26:Q26"/>
    <mergeCell ref="BI32:BK32"/>
    <mergeCell ref="AW23:AY23"/>
    <mergeCell ref="AZ23:BB23"/>
    <mergeCell ref="AA31:AC31"/>
    <mergeCell ref="AZ33:BB33"/>
    <mergeCell ref="AQ33:AS33"/>
    <mergeCell ref="AQ31:AS31"/>
    <mergeCell ref="AT31:AV31"/>
    <mergeCell ref="AW31:AY31"/>
    <mergeCell ref="AZ31:BB31"/>
    <mergeCell ref="O33:Q33"/>
    <mergeCell ref="R33:T33"/>
    <mergeCell ref="U33:W33"/>
    <mergeCell ref="X31:Z31"/>
    <mergeCell ref="BC31:BE31"/>
    <mergeCell ref="BF31:BH31"/>
    <mergeCell ref="L33:N33"/>
    <mergeCell ref="X33:Z33"/>
    <mergeCell ref="AA33:AC33"/>
    <mergeCell ref="L31:N31"/>
    <mergeCell ref="AA25:AC25"/>
    <mergeCell ref="AD25:AF25"/>
    <mergeCell ref="AG25:AI25"/>
    <mergeCell ref="AJ25:AM25"/>
    <mergeCell ref="AN25:AP25"/>
    <mergeCell ref="X29:Z29"/>
    <mergeCell ref="AA29:AC29"/>
    <mergeCell ref="AD29:AF29"/>
    <mergeCell ref="AG29:AI29"/>
    <mergeCell ref="AJ29:AM29"/>
    <mergeCell ref="AN29:AP29"/>
    <mergeCell ref="AZ25:BB25"/>
    <mergeCell ref="BC25:BE25"/>
    <mergeCell ref="BF25:BH25"/>
    <mergeCell ref="AT27:AV27"/>
    <mergeCell ref="AD31:AF31"/>
    <mergeCell ref="AG31:AI31"/>
    <mergeCell ref="AW33:AY33"/>
    <mergeCell ref="BI31:BK31"/>
    <mergeCell ref="BI33:BK33"/>
    <mergeCell ref="L32:N32"/>
    <mergeCell ref="X32:Z32"/>
    <mergeCell ref="AA32:AC32"/>
    <mergeCell ref="AD32:AF32"/>
    <mergeCell ref="AG32:AI32"/>
    <mergeCell ref="AJ32:AM32"/>
    <mergeCell ref="AN32:AP32"/>
    <mergeCell ref="AQ32:AS32"/>
    <mergeCell ref="AT32:AV32"/>
    <mergeCell ref="AW32:AY32"/>
    <mergeCell ref="AZ32:BB32"/>
    <mergeCell ref="BC32:BE32"/>
    <mergeCell ref="BF32:BH32"/>
    <mergeCell ref="AT33:AV33"/>
    <mergeCell ref="BC33:BE33"/>
    <mergeCell ref="BF33:BH33"/>
    <mergeCell ref="AD33:AF33"/>
    <mergeCell ref="AG33:AI33"/>
    <mergeCell ref="AJ33:AM33"/>
    <mergeCell ref="AN33:AP33"/>
    <mergeCell ref="AJ31:AM31"/>
    <mergeCell ref="AN31:AP31"/>
    <mergeCell ref="BI25:BK25"/>
    <mergeCell ref="L26:N26"/>
    <mergeCell ref="X26:Z26"/>
    <mergeCell ref="AA26:AC26"/>
    <mergeCell ref="AD26:AF26"/>
    <mergeCell ref="AG26:AI26"/>
    <mergeCell ref="AJ26:AM26"/>
    <mergeCell ref="AN26:AP26"/>
    <mergeCell ref="AQ26:AS26"/>
    <mergeCell ref="AT26:AV26"/>
    <mergeCell ref="AW26:AY26"/>
    <mergeCell ref="AZ26:BB26"/>
    <mergeCell ref="BC26:BE26"/>
    <mergeCell ref="BF26:BH26"/>
    <mergeCell ref="BI26:BK26"/>
    <mergeCell ref="L25:N25"/>
    <mergeCell ref="X25:Z25"/>
    <mergeCell ref="AQ25:AS25"/>
    <mergeCell ref="AT25:AV25"/>
    <mergeCell ref="AW25:AY25"/>
    <mergeCell ref="R26:T26"/>
    <mergeCell ref="U26:W26"/>
    <mergeCell ref="BI27:BK27"/>
    <mergeCell ref="L28:N28"/>
    <mergeCell ref="X28:Z28"/>
    <mergeCell ref="AA28:AC28"/>
    <mergeCell ref="AD28:AF28"/>
    <mergeCell ref="AG28:AI28"/>
    <mergeCell ref="AJ28:AM28"/>
    <mergeCell ref="AN28:AP28"/>
    <mergeCell ref="AQ28:AS28"/>
    <mergeCell ref="AT28:AV28"/>
    <mergeCell ref="AW28:AY28"/>
    <mergeCell ref="AZ28:BB28"/>
    <mergeCell ref="BC28:BE28"/>
    <mergeCell ref="BF28:BH28"/>
    <mergeCell ref="BI28:BK28"/>
    <mergeCell ref="L27:N27"/>
    <mergeCell ref="AQ27:AS27"/>
    <mergeCell ref="X27:Z27"/>
    <mergeCell ref="AA27:AC27"/>
    <mergeCell ref="AD27:AF27"/>
    <mergeCell ref="O27:Q27"/>
    <mergeCell ref="R27:T27"/>
    <mergeCell ref="U27:W27"/>
    <mergeCell ref="AG27:AI27"/>
    <mergeCell ref="AJ27:AM27"/>
    <mergeCell ref="AN27:AP27"/>
    <mergeCell ref="AQ29:AS29"/>
    <mergeCell ref="AT29:AV29"/>
    <mergeCell ref="AW29:AY29"/>
    <mergeCell ref="AZ29:BB29"/>
    <mergeCell ref="BC29:BE29"/>
    <mergeCell ref="BF29:BH29"/>
    <mergeCell ref="AW27:AY27"/>
    <mergeCell ref="AZ27:BB27"/>
    <mergeCell ref="BC27:BE27"/>
    <mergeCell ref="BF27:BH27"/>
    <mergeCell ref="BI30:BK30"/>
    <mergeCell ref="BI29:BK29"/>
    <mergeCell ref="L30:N30"/>
    <mergeCell ref="X30:Z30"/>
    <mergeCell ref="AA30:AC30"/>
    <mergeCell ref="AD30:AF30"/>
    <mergeCell ref="AG30:AI30"/>
    <mergeCell ref="AJ30:AM30"/>
    <mergeCell ref="AN30:AP30"/>
    <mergeCell ref="AQ30:AS30"/>
    <mergeCell ref="AT30:AV30"/>
    <mergeCell ref="AW30:AY30"/>
    <mergeCell ref="AZ30:BB30"/>
    <mergeCell ref="BC30:BE30"/>
    <mergeCell ref="BF30:BH30"/>
    <mergeCell ref="L29:N29"/>
  </mergeCells>
  <dataValidations count="1">
    <dataValidation type="whole" allowBlank="1" showInputMessage="1" showErrorMessage="1" errorTitle="GESP SY 2022-2023" error="Please enter valid number between 0-999." sqref="L11:T22 X11:AM22 AT11:AY22 AT25:AY32 O25:T32" xr:uid="{00000000-0002-0000-0D00-000000000000}">
      <formula1>0</formula1>
      <formula2>999</formula2>
    </dataValidation>
  </dataValidations>
  <printOptions horizontalCentered="1" verticalCentered="1"/>
  <pageMargins left="0.25" right="0.25" top="0.2" bottom="0.2" header="0" footer="0.1"/>
  <pageSetup paperSize="9" scale="44" orientation="landscape" r:id="rId1"/>
  <headerFooter alignWithMargins="0">
    <oddFooter>&amp;L&amp;10&amp;F &amp;A&amp;R&amp;11Page 10 of 60</oddFooter>
  </headerFooter>
  <ignoredErrors>
    <ignoredError sqref="V11:W11" formulaRange="1"/>
    <ignoredError sqref="U23"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BD48"/>
  <sheetViews>
    <sheetView showGridLines="0" topLeftCell="A9" zoomScaleNormal="100" zoomScaleSheetLayoutView="100" workbookViewId="0">
      <selection activeCell="AB18" sqref="AB18:AG18"/>
    </sheetView>
  </sheetViews>
  <sheetFormatPr defaultColWidth="9" defaultRowHeight="15.5"/>
  <cols>
    <col min="1" max="1" width="2.08203125" style="180" customWidth="1"/>
    <col min="2" max="45" width="3.58203125" style="180" customWidth="1"/>
    <col min="46" max="46" width="2.08203125" style="180" customWidth="1"/>
    <col min="47" max="48" width="4.58203125" style="180" customWidth="1"/>
    <col min="49" max="49" width="7.58203125" style="180" customWidth="1"/>
    <col min="50" max="16384" width="9" style="180"/>
  </cols>
  <sheetData>
    <row r="1" spans="1:49" ht="12" customHeight="1"/>
    <row r="2" spans="1:49" ht="17" thickBot="1">
      <c r="B2" s="487" t="s">
        <v>11757</v>
      </c>
      <c r="C2" s="488"/>
      <c r="D2" s="488"/>
      <c r="E2" s="488"/>
      <c r="F2" s="488"/>
      <c r="G2" s="488"/>
      <c r="H2" s="488"/>
      <c r="I2" s="488"/>
      <c r="J2" s="488"/>
      <c r="K2" s="488"/>
      <c r="L2" s="488"/>
      <c r="M2" s="488"/>
      <c r="N2" s="488"/>
      <c r="O2" s="488"/>
      <c r="P2" s="488"/>
      <c r="Q2" s="488"/>
      <c r="R2" s="488"/>
      <c r="S2" s="488"/>
      <c r="T2" s="488"/>
      <c r="U2" s="488"/>
      <c r="V2" s="488"/>
      <c r="W2" s="488"/>
      <c r="X2" s="488"/>
      <c r="Y2" s="488"/>
      <c r="Z2" s="488"/>
      <c r="AA2" s="488"/>
      <c r="AB2" s="488"/>
      <c r="AC2" s="488"/>
      <c r="AD2" s="488"/>
      <c r="AE2" s="489"/>
      <c r="AF2" s="490"/>
      <c r="AG2" s="490"/>
      <c r="AH2" s="491"/>
      <c r="AI2" s="491"/>
      <c r="AJ2" s="491"/>
      <c r="AK2" s="491"/>
      <c r="AL2" s="491"/>
      <c r="AM2" s="491"/>
      <c r="AN2" s="491"/>
      <c r="AO2" s="491"/>
      <c r="AP2" s="491"/>
      <c r="AQ2" s="491"/>
      <c r="AR2" s="492"/>
      <c r="AS2" s="492"/>
      <c r="AT2" s="492"/>
      <c r="AU2" s="492"/>
      <c r="AV2" s="492"/>
      <c r="AW2" s="492"/>
    </row>
    <row r="3" spans="1:49" s="128" customFormat="1" ht="35.25" customHeight="1" thickBot="1">
      <c r="A3" s="493"/>
      <c r="B3" s="2472" t="s">
        <v>46</v>
      </c>
      <c r="C3" s="2473"/>
      <c r="D3" s="2473"/>
      <c r="E3" s="2473"/>
      <c r="F3" s="2473"/>
      <c r="G3" s="2473"/>
      <c r="H3" s="2473"/>
      <c r="I3" s="2474"/>
      <c r="J3" s="2478" t="s">
        <v>1048</v>
      </c>
      <c r="K3" s="2442"/>
      <c r="L3" s="2442"/>
      <c r="M3" s="2442"/>
      <c r="N3" s="2442"/>
      <c r="O3" s="2442"/>
      <c r="P3" s="2442"/>
      <c r="Q3" s="2442"/>
      <c r="R3" s="2442"/>
      <c r="S3" s="2442"/>
      <c r="T3" s="2442"/>
      <c r="U3" s="2479"/>
      <c r="V3" s="2480" t="s">
        <v>1049</v>
      </c>
      <c r="W3" s="2442"/>
      <c r="X3" s="2442"/>
      <c r="Y3" s="2442"/>
      <c r="Z3" s="2442"/>
      <c r="AA3" s="2442"/>
      <c r="AB3" s="2442"/>
      <c r="AC3" s="2442"/>
      <c r="AD3" s="2442"/>
      <c r="AE3" s="2442"/>
      <c r="AF3" s="2442"/>
      <c r="AG3" s="2479"/>
      <c r="AH3" s="2480" t="s">
        <v>51</v>
      </c>
      <c r="AI3" s="2442"/>
      <c r="AJ3" s="2442"/>
      <c r="AK3" s="2442"/>
      <c r="AL3" s="2442"/>
      <c r="AM3" s="2481"/>
      <c r="AN3" s="2441" t="s">
        <v>1050</v>
      </c>
      <c r="AO3" s="2442"/>
      <c r="AP3" s="2442"/>
      <c r="AQ3" s="2442"/>
      <c r="AR3" s="2442"/>
      <c r="AS3" s="2443"/>
      <c r="AU3" s="461"/>
    </row>
    <row r="4" spans="1:49" s="128" customFormat="1" ht="13.75" customHeight="1">
      <c r="A4" s="493"/>
      <c r="B4" s="2475"/>
      <c r="C4" s="2476"/>
      <c r="D4" s="2476"/>
      <c r="E4" s="2476"/>
      <c r="F4" s="2476"/>
      <c r="G4" s="2476"/>
      <c r="H4" s="2476"/>
      <c r="I4" s="2477"/>
      <c r="J4" s="2447" t="s">
        <v>47</v>
      </c>
      <c r="K4" s="2448"/>
      <c r="L4" s="2448"/>
      <c r="M4" s="2448"/>
      <c r="N4" s="2448"/>
      <c r="O4" s="2449"/>
      <c r="P4" s="2453" t="s">
        <v>386</v>
      </c>
      <c r="Q4" s="2448"/>
      <c r="R4" s="2448"/>
      <c r="S4" s="2448"/>
      <c r="T4" s="2448"/>
      <c r="U4" s="2454"/>
      <c r="V4" s="2457" t="s">
        <v>50</v>
      </c>
      <c r="W4" s="2448"/>
      <c r="X4" s="2448"/>
      <c r="Y4" s="2448"/>
      <c r="Z4" s="2448"/>
      <c r="AA4" s="2449"/>
      <c r="AB4" s="2453" t="s">
        <v>49</v>
      </c>
      <c r="AC4" s="2448"/>
      <c r="AD4" s="2448"/>
      <c r="AE4" s="2448"/>
      <c r="AF4" s="2448"/>
      <c r="AG4" s="2454"/>
      <c r="AH4" s="2482"/>
      <c r="AI4" s="2445"/>
      <c r="AJ4" s="2445"/>
      <c r="AK4" s="2445"/>
      <c r="AL4" s="2445"/>
      <c r="AM4" s="2483"/>
      <c r="AN4" s="2444"/>
      <c r="AO4" s="2445"/>
      <c r="AP4" s="2445"/>
      <c r="AQ4" s="2445"/>
      <c r="AR4" s="2445"/>
      <c r="AS4" s="2446"/>
      <c r="AU4" s="461"/>
    </row>
    <row r="5" spans="1:49" s="128" customFormat="1" ht="13.75" customHeight="1">
      <c r="A5" s="493"/>
      <c r="B5" s="2475"/>
      <c r="C5" s="2476"/>
      <c r="D5" s="2476"/>
      <c r="E5" s="2476"/>
      <c r="F5" s="2476"/>
      <c r="G5" s="2476"/>
      <c r="H5" s="2476"/>
      <c r="I5" s="2477"/>
      <c r="J5" s="2450"/>
      <c r="K5" s="2451"/>
      <c r="L5" s="2451"/>
      <c r="M5" s="2451"/>
      <c r="N5" s="2451"/>
      <c r="O5" s="2452"/>
      <c r="P5" s="2455"/>
      <c r="Q5" s="2451"/>
      <c r="R5" s="2451"/>
      <c r="S5" s="2451"/>
      <c r="T5" s="2451"/>
      <c r="U5" s="2456"/>
      <c r="V5" s="2458"/>
      <c r="W5" s="2451"/>
      <c r="X5" s="2451"/>
      <c r="Y5" s="2451"/>
      <c r="Z5" s="2451"/>
      <c r="AA5" s="2452"/>
      <c r="AB5" s="2455"/>
      <c r="AC5" s="2451"/>
      <c r="AD5" s="2451"/>
      <c r="AE5" s="2451"/>
      <c r="AF5" s="2451"/>
      <c r="AG5" s="2456"/>
      <c r="AH5" s="2482"/>
      <c r="AI5" s="2445"/>
      <c r="AJ5" s="2445"/>
      <c r="AK5" s="2445"/>
      <c r="AL5" s="2445"/>
      <c r="AM5" s="2483"/>
      <c r="AN5" s="2444"/>
      <c r="AO5" s="2445"/>
      <c r="AP5" s="2445"/>
      <c r="AQ5" s="2445"/>
      <c r="AR5" s="2445"/>
      <c r="AS5" s="2446"/>
      <c r="AU5" s="461"/>
    </row>
    <row r="6" spans="1:49" s="494" customFormat="1" ht="11" thickBot="1">
      <c r="B6" s="2484" t="s">
        <v>48</v>
      </c>
      <c r="C6" s="2460"/>
      <c r="D6" s="2460"/>
      <c r="E6" s="2460"/>
      <c r="F6" s="2460"/>
      <c r="G6" s="2460"/>
      <c r="H6" s="2460"/>
      <c r="I6" s="2463"/>
      <c r="J6" s="2464" t="s">
        <v>30</v>
      </c>
      <c r="K6" s="2465"/>
      <c r="L6" s="2465"/>
      <c r="M6" s="2465"/>
      <c r="N6" s="2465"/>
      <c r="O6" s="2466"/>
      <c r="P6" s="2467" t="s">
        <v>31</v>
      </c>
      <c r="Q6" s="2460"/>
      <c r="R6" s="2460"/>
      <c r="S6" s="2460"/>
      <c r="T6" s="2460"/>
      <c r="U6" s="2468"/>
      <c r="V6" s="2459" t="s">
        <v>32</v>
      </c>
      <c r="W6" s="2460"/>
      <c r="X6" s="2460"/>
      <c r="Y6" s="2460"/>
      <c r="Z6" s="2460"/>
      <c r="AA6" s="2469"/>
      <c r="AB6" s="2467" t="s">
        <v>33</v>
      </c>
      <c r="AC6" s="2460"/>
      <c r="AD6" s="2460"/>
      <c r="AE6" s="2460"/>
      <c r="AF6" s="2460"/>
      <c r="AG6" s="2468"/>
      <c r="AH6" s="2459" t="s">
        <v>34</v>
      </c>
      <c r="AI6" s="2460"/>
      <c r="AJ6" s="2460"/>
      <c r="AK6" s="2460"/>
      <c r="AL6" s="2460"/>
      <c r="AM6" s="2461"/>
      <c r="AN6" s="2462" t="s">
        <v>35</v>
      </c>
      <c r="AO6" s="2460"/>
      <c r="AP6" s="2460"/>
      <c r="AQ6" s="2460"/>
      <c r="AR6" s="2460"/>
      <c r="AS6" s="2463"/>
      <c r="AU6" s="495"/>
    </row>
    <row r="7" spans="1:49" s="162" customFormat="1" ht="20.149999999999999" customHeight="1">
      <c r="B7" s="475"/>
      <c r="C7" s="476" t="s">
        <v>179</v>
      </c>
      <c r="D7" s="476"/>
      <c r="E7" s="476"/>
      <c r="F7" s="476"/>
      <c r="G7" s="476"/>
      <c r="H7" s="476"/>
      <c r="I7" s="477"/>
      <c r="J7" s="2275">
        <v>0</v>
      </c>
      <c r="K7" s="2268"/>
      <c r="L7" s="2268"/>
      <c r="M7" s="2268"/>
      <c r="N7" s="2268"/>
      <c r="O7" s="2440"/>
      <c r="P7" s="2267">
        <v>0</v>
      </c>
      <c r="Q7" s="2268"/>
      <c r="R7" s="2268"/>
      <c r="S7" s="2268"/>
      <c r="T7" s="2268"/>
      <c r="U7" s="2269"/>
      <c r="V7" s="2270">
        <v>0</v>
      </c>
      <c r="W7" s="2268"/>
      <c r="X7" s="2268"/>
      <c r="Y7" s="2268"/>
      <c r="Z7" s="2268"/>
      <c r="AA7" s="2440"/>
      <c r="AB7" s="2267">
        <v>0</v>
      </c>
      <c r="AC7" s="2268"/>
      <c r="AD7" s="2268"/>
      <c r="AE7" s="2268"/>
      <c r="AF7" s="2268"/>
      <c r="AG7" s="2269"/>
      <c r="AH7" s="2270">
        <v>0</v>
      </c>
      <c r="AI7" s="2268"/>
      <c r="AJ7" s="2268"/>
      <c r="AK7" s="2268"/>
      <c r="AL7" s="2268"/>
      <c r="AM7" s="2271"/>
      <c r="AN7" s="2272">
        <f>SUM(J7:AM7)</f>
        <v>0</v>
      </c>
      <c r="AO7" s="2181"/>
      <c r="AP7" s="2181"/>
      <c r="AQ7" s="2181"/>
      <c r="AR7" s="2181"/>
      <c r="AS7" s="2182"/>
      <c r="AU7" s="474" t="str">
        <f>IF(AN7&lt;&gt;'Table11 '!$BI$11, "Column 7 must tally with entries in Table 11a Column 18.","")</f>
        <v/>
      </c>
    </row>
    <row r="8" spans="1:49" s="162" customFormat="1" ht="20.149999999999999" customHeight="1">
      <c r="B8" s="478"/>
      <c r="C8" s="479" t="s">
        <v>72</v>
      </c>
      <c r="D8" s="479"/>
      <c r="E8" s="479"/>
      <c r="F8" s="479"/>
      <c r="G8" s="479"/>
      <c r="H8" s="479"/>
      <c r="I8" s="480"/>
      <c r="J8" s="2192">
        <v>0</v>
      </c>
      <c r="K8" s="2193"/>
      <c r="L8" s="2193"/>
      <c r="M8" s="2193"/>
      <c r="N8" s="2193"/>
      <c r="O8" s="2432"/>
      <c r="P8" s="2197">
        <v>0</v>
      </c>
      <c r="Q8" s="2193"/>
      <c r="R8" s="2193"/>
      <c r="S8" s="2193"/>
      <c r="T8" s="2193"/>
      <c r="U8" s="2198"/>
      <c r="V8" s="2195">
        <v>0</v>
      </c>
      <c r="W8" s="2193"/>
      <c r="X8" s="2193"/>
      <c r="Y8" s="2193"/>
      <c r="Z8" s="2193"/>
      <c r="AA8" s="2432"/>
      <c r="AB8" s="2197">
        <v>0</v>
      </c>
      <c r="AC8" s="2193"/>
      <c r="AD8" s="2193"/>
      <c r="AE8" s="2193"/>
      <c r="AF8" s="2193"/>
      <c r="AG8" s="2198"/>
      <c r="AH8" s="2195">
        <v>0</v>
      </c>
      <c r="AI8" s="2193"/>
      <c r="AJ8" s="2193"/>
      <c r="AK8" s="2193"/>
      <c r="AL8" s="2193"/>
      <c r="AM8" s="2196"/>
      <c r="AN8" s="2209">
        <f t="shared" ref="AN8:AN19" si="0">SUM(J8:AM8)</f>
        <v>0</v>
      </c>
      <c r="AO8" s="2166"/>
      <c r="AP8" s="2166"/>
      <c r="AQ8" s="2166"/>
      <c r="AR8" s="2166"/>
      <c r="AS8" s="2167"/>
      <c r="AU8" s="474" t="str">
        <f>IF(AN8&lt;&gt;'Table11 '!BI12, "Column 7 must tally with entries in Table 11a Column 18.","")</f>
        <v/>
      </c>
    </row>
    <row r="9" spans="1:49" s="162" customFormat="1" ht="20.149999999999999" customHeight="1">
      <c r="B9" s="478"/>
      <c r="C9" s="479" t="s">
        <v>41</v>
      </c>
      <c r="D9" s="479"/>
      <c r="E9" s="479"/>
      <c r="F9" s="479"/>
      <c r="G9" s="479"/>
      <c r="H9" s="479"/>
      <c r="I9" s="480"/>
      <c r="J9" s="2192">
        <v>0</v>
      </c>
      <c r="K9" s="2193"/>
      <c r="L9" s="2193"/>
      <c r="M9" s="2193"/>
      <c r="N9" s="2193"/>
      <c r="O9" s="2432"/>
      <c r="P9" s="2197">
        <v>1</v>
      </c>
      <c r="Q9" s="2193"/>
      <c r="R9" s="2193"/>
      <c r="S9" s="2193"/>
      <c r="T9" s="2193"/>
      <c r="U9" s="2198"/>
      <c r="V9" s="2195">
        <v>0</v>
      </c>
      <c r="W9" s="2193"/>
      <c r="X9" s="2193"/>
      <c r="Y9" s="2193"/>
      <c r="Z9" s="2193"/>
      <c r="AA9" s="2432"/>
      <c r="AB9" s="2197">
        <v>0</v>
      </c>
      <c r="AC9" s="2193"/>
      <c r="AD9" s="2193"/>
      <c r="AE9" s="2193"/>
      <c r="AF9" s="2193"/>
      <c r="AG9" s="2198"/>
      <c r="AH9" s="2195">
        <v>0</v>
      </c>
      <c r="AI9" s="2193"/>
      <c r="AJ9" s="2193"/>
      <c r="AK9" s="2193"/>
      <c r="AL9" s="2193"/>
      <c r="AM9" s="2196"/>
      <c r="AN9" s="2209">
        <f t="shared" si="0"/>
        <v>1</v>
      </c>
      <c r="AO9" s="2166"/>
      <c r="AP9" s="2166"/>
      <c r="AQ9" s="2166"/>
      <c r="AR9" s="2166"/>
      <c r="AS9" s="2167"/>
      <c r="AU9" s="474" t="str">
        <f>IF(AN9&lt;&gt;'Table11 '!BI13, "Column 7 must tally with entries in Table 11a Column 18.","")</f>
        <v/>
      </c>
    </row>
    <row r="10" spans="1:49" s="162" customFormat="1" ht="20.149999999999999" customHeight="1">
      <c r="B10" s="481"/>
      <c r="C10" s="482" t="s">
        <v>42</v>
      </c>
      <c r="D10" s="482"/>
      <c r="E10" s="482"/>
      <c r="F10" s="482"/>
      <c r="G10" s="482"/>
      <c r="H10" s="482"/>
      <c r="I10" s="483"/>
      <c r="J10" s="2192">
        <v>0</v>
      </c>
      <c r="K10" s="2193"/>
      <c r="L10" s="2193"/>
      <c r="M10" s="2193"/>
      <c r="N10" s="2193"/>
      <c r="O10" s="2432"/>
      <c r="P10" s="2197">
        <v>4</v>
      </c>
      <c r="Q10" s="2193"/>
      <c r="R10" s="2193"/>
      <c r="S10" s="2193"/>
      <c r="T10" s="2193"/>
      <c r="U10" s="2198"/>
      <c r="V10" s="2195">
        <v>0</v>
      </c>
      <c r="W10" s="2193"/>
      <c r="X10" s="2193"/>
      <c r="Y10" s="2193"/>
      <c r="Z10" s="2193"/>
      <c r="AA10" s="2432"/>
      <c r="AB10" s="2197">
        <v>0</v>
      </c>
      <c r="AC10" s="2193"/>
      <c r="AD10" s="2193"/>
      <c r="AE10" s="2193"/>
      <c r="AF10" s="2193"/>
      <c r="AG10" s="2198"/>
      <c r="AH10" s="2195">
        <v>0</v>
      </c>
      <c r="AI10" s="2193"/>
      <c r="AJ10" s="2193"/>
      <c r="AK10" s="2193"/>
      <c r="AL10" s="2193"/>
      <c r="AM10" s="2196"/>
      <c r="AN10" s="2208">
        <f t="shared" si="0"/>
        <v>4</v>
      </c>
      <c r="AO10" s="2183"/>
      <c r="AP10" s="2183"/>
      <c r="AQ10" s="2183"/>
      <c r="AR10" s="2183"/>
      <c r="AS10" s="2184"/>
      <c r="AU10" s="474" t="str">
        <f>IF(AN10&lt;&gt;'Table11 '!BI14, "Column 7 must tally with entries in Table 11a Column 18.","")</f>
        <v/>
      </c>
    </row>
    <row r="11" spans="1:49" s="162" customFormat="1" ht="20.149999999999999" customHeight="1">
      <c r="B11" s="484"/>
      <c r="C11" s="485" t="s">
        <v>43</v>
      </c>
      <c r="D11" s="485"/>
      <c r="E11" s="485"/>
      <c r="F11" s="485"/>
      <c r="G11" s="485"/>
      <c r="H11" s="485"/>
      <c r="I11" s="477"/>
      <c r="J11" s="2275">
        <v>0</v>
      </c>
      <c r="K11" s="2268"/>
      <c r="L11" s="2268"/>
      <c r="M11" s="2268"/>
      <c r="N11" s="2268"/>
      <c r="O11" s="2440"/>
      <c r="P11" s="2267">
        <v>11</v>
      </c>
      <c r="Q11" s="2268"/>
      <c r="R11" s="2268"/>
      <c r="S11" s="2268"/>
      <c r="T11" s="2268"/>
      <c r="U11" s="2269"/>
      <c r="V11" s="2270">
        <v>0</v>
      </c>
      <c r="W11" s="2268"/>
      <c r="X11" s="2268"/>
      <c r="Y11" s="2268"/>
      <c r="Z11" s="2268"/>
      <c r="AA11" s="2440"/>
      <c r="AB11" s="2267">
        <v>0</v>
      </c>
      <c r="AC11" s="2268"/>
      <c r="AD11" s="2268"/>
      <c r="AE11" s="2268"/>
      <c r="AF11" s="2268"/>
      <c r="AG11" s="2269"/>
      <c r="AH11" s="2270">
        <v>0</v>
      </c>
      <c r="AI11" s="2268"/>
      <c r="AJ11" s="2268"/>
      <c r="AK11" s="2268"/>
      <c r="AL11" s="2268"/>
      <c r="AM11" s="2271"/>
      <c r="AN11" s="2272">
        <f t="shared" si="0"/>
        <v>11</v>
      </c>
      <c r="AO11" s="2181"/>
      <c r="AP11" s="2181"/>
      <c r="AQ11" s="2181"/>
      <c r="AR11" s="2181"/>
      <c r="AS11" s="2182"/>
      <c r="AU11" s="474" t="str">
        <f>IF(AN11&lt;&gt;'Table11 '!BI15, "Column 7 must tally with entries in Table 11a Column 18.","")</f>
        <v/>
      </c>
    </row>
    <row r="12" spans="1:49" s="162" customFormat="1" ht="20.149999999999999" customHeight="1">
      <c r="B12" s="478"/>
      <c r="C12" s="479" t="s">
        <v>44</v>
      </c>
      <c r="D12" s="479"/>
      <c r="E12" s="479"/>
      <c r="F12" s="479"/>
      <c r="G12" s="479"/>
      <c r="H12" s="479"/>
      <c r="I12" s="480"/>
      <c r="J12" s="2192">
        <v>0</v>
      </c>
      <c r="K12" s="2193"/>
      <c r="L12" s="2193"/>
      <c r="M12" s="2193"/>
      <c r="N12" s="2193"/>
      <c r="O12" s="2432"/>
      <c r="P12" s="2197">
        <v>6</v>
      </c>
      <c r="Q12" s="2193"/>
      <c r="R12" s="2193"/>
      <c r="S12" s="2193"/>
      <c r="T12" s="2193"/>
      <c r="U12" s="2198"/>
      <c r="V12" s="2195">
        <v>0</v>
      </c>
      <c r="W12" s="2193"/>
      <c r="X12" s="2193"/>
      <c r="Y12" s="2193"/>
      <c r="Z12" s="2193"/>
      <c r="AA12" s="2432"/>
      <c r="AB12" s="2197">
        <v>0</v>
      </c>
      <c r="AC12" s="2193"/>
      <c r="AD12" s="2193"/>
      <c r="AE12" s="2193"/>
      <c r="AF12" s="2193"/>
      <c r="AG12" s="2198"/>
      <c r="AH12" s="2195">
        <v>0</v>
      </c>
      <c r="AI12" s="2193"/>
      <c r="AJ12" s="2193"/>
      <c r="AK12" s="2193"/>
      <c r="AL12" s="2193"/>
      <c r="AM12" s="2196"/>
      <c r="AN12" s="2209">
        <f t="shared" si="0"/>
        <v>6</v>
      </c>
      <c r="AO12" s="2166"/>
      <c r="AP12" s="2166"/>
      <c r="AQ12" s="2166"/>
      <c r="AR12" s="2166"/>
      <c r="AS12" s="2167"/>
      <c r="AU12" s="474" t="str">
        <f>IF(AN12&lt;&gt;'Table11 '!BI16, "Column 7 must tally with entries in Table 11a Column 18.","")</f>
        <v/>
      </c>
    </row>
    <row r="13" spans="1:49" s="162" customFormat="1" ht="20.149999999999999" customHeight="1">
      <c r="B13" s="481"/>
      <c r="C13" s="482" t="s">
        <v>45</v>
      </c>
      <c r="D13" s="482"/>
      <c r="E13" s="482"/>
      <c r="F13" s="482"/>
      <c r="G13" s="482"/>
      <c r="H13" s="482"/>
      <c r="I13" s="483"/>
      <c r="J13" s="2202">
        <v>0</v>
      </c>
      <c r="K13" s="2190"/>
      <c r="L13" s="2190"/>
      <c r="M13" s="2190"/>
      <c r="N13" s="2190"/>
      <c r="O13" s="2433"/>
      <c r="P13" s="2189">
        <v>14</v>
      </c>
      <c r="Q13" s="2190"/>
      <c r="R13" s="2190"/>
      <c r="S13" s="2190"/>
      <c r="T13" s="2190"/>
      <c r="U13" s="2191"/>
      <c r="V13" s="2204">
        <v>0</v>
      </c>
      <c r="W13" s="2190"/>
      <c r="X13" s="2190"/>
      <c r="Y13" s="2190"/>
      <c r="Z13" s="2190"/>
      <c r="AA13" s="2433"/>
      <c r="AB13" s="2189">
        <v>0</v>
      </c>
      <c r="AC13" s="2190"/>
      <c r="AD13" s="2190"/>
      <c r="AE13" s="2190"/>
      <c r="AF13" s="2190"/>
      <c r="AG13" s="2191"/>
      <c r="AH13" s="2204">
        <v>0</v>
      </c>
      <c r="AI13" s="2190"/>
      <c r="AJ13" s="2190"/>
      <c r="AK13" s="2190"/>
      <c r="AL13" s="2190"/>
      <c r="AM13" s="2205"/>
      <c r="AN13" s="2208">
        <f t="shared" si="0"/>
        <v>14</v>
      </c>
      <c r="AO13" s="2183"/>
      <c r="AP13" s="2183"/>
      <c r="AQ13" s="2183"/>
      <c r="AR13" s="2183"/>
      <c r="AS13" s="2184"/>
      <c r="AU13" s="474" t="str">
        <f>IF(AN13&lt;&gt;'Table11 '!BI17, "Column 7 must tally with entries in Table 11a Column 18.","")</f>
        <v/>
      </c>
    </row>
    <row r="14" spans="1:49" s="162" customFormat="1" ht="20.149999999999999" customHeight="1">
      <c r="B14" s="484"/>
      <c r="C14" s="485" t="s">
        <v>144</v>
      </c>
      <c r="D14" s="485"/>
      <c r="E14" s="485"/>
      <c r="F14" s="485"/>
      <c r="G14" s="485"/>
      <c r="H14" s="485"/>
      <c r="I14" s="477"/>
      <c r="J14" s="2199">
        <v>0</v>
      </c>
      <c r="K14" s="2173"/>
      <c r="L14" s="2173"/>
      <c r="M14" s="2173"/>
      <c r="N14" s="2173"/>
      <c r="O14" s="2439"/>
      <c r="P14" s="2172">
        <v>0</v>
      </c>
      <c r="Q14" s="2173"/>
      <c r="R14" s="2173"/>
      <c r="S14" s="2173"/>
      <c r="T14" s="2173"/>
      <c r="U14" s="2174"/>
      <c r="V14" s="2175">
        <v>0</v>
      </c>
      <c r="W14" s="2173"/>
      <c r="X14" s="2173"/>
      <c r="Y14" s="2173"/>
      <c r="Z14" s="2173"/>
      <c r="AA14" s="2439"/>
      <c r="AB14" s="2172">
        <v>0</v>
      </c>
      <c r="AC14" s="2173"/>
      <c r="AD14" s="2173"/>
      <c r="AE14" s="2173"/>
      <c r="AF14" s="2173"/>
      <c r="AG14" s="2174"/>
      <c r="AH14" s="2175">
        <v>0</v>
      </c>
      <c r="AI14" s="2173"/>
      <c r="AJ14" s="2173"/>
      <c r="AK14" s="2173"/>
      <c r="AL14" s="2173"/>
      <c r="AM14" s="2176"/>
      <c r="AN14" s="2272">
        <f t="shared" si="0"/>
        <v>0</v>
      </c>
      <c r="AO14" s="2181"/>
      <c r="AP14" s="2181"/>
      <c r="AQ14" s="2181"/>
      <c r="AR14" s="2181"/>
      <c r="AS14" s="2182"/>
      <c r="AU14" s="474" t="str">
        <f>IF(AN14&lt;&gt;'Table11 '!BI18, "Column 7 must tally with entries in Table 11a Column 18.","")</f>
        <v/>
      </c>
    </row>
    <row r="15" spans="1:49" s="162" customFormat="1" ht="20.149999999999999" customHeight="1">
      <c r="B15" s="478"/>
      <c r="C15" s="479" t="s">
        <v>145</v>
      </c>
      <c r="D15" s="479"/>
      <c r="E15" s="479"/>
      <c r="F15" s="479"/>
      <c r="G15" s="479"/>
      <c r="H15" s="479"/>
      <c r="I15" s="480"/>
      <c r="J15" s="2192">
        <v>0</v>
      </c>
      <c r="K15" s="2193"/>
      <c r="L15" s="2193"/>
      <c r="M15" s="2193"/>
      <c r="N15" s="2193"/>
      <c r="O15" s="2432"/>
      <c r="P15" s="2197">
        <v>0</v>
      </c>
      <c r="Q15" s="2193"/>
      <c r="R15" s="2193"/>
      <c r="S15" s="2193"/>
      <c r="T15" s="2193"/>
      <c r="U15" s="2198"/>
      <c r="V15" s="2195">
        <v>0</v>
      </c>
      <c r="W15" s="2193"/>
      <c r="X15" s="2193"/>
      <c r="Y15" s="2193"/>
      <c r="Z15" s="2193"/>
      <c r="AA15" s="2432"/>
      <c r="AB15" s="2197">
        <v>0</v>
      </c>
      <c r="AC15" s="2193"/>
      <c r="AD15" s="2193"/>
      <c r="AE15" s="2193"/>
      <c r="AF15" s="2193"/>
      <c r="AG15" s="2198"/>
      <c r="AH15" s="2195">
        <v>0</v>
      </c>
      <c r="AI15" s="2193"/>
      <c r="AJ15" s="2193"/>
      <c r="AK15" s="2193"/>
      <c r="AL15" s="2193"/>
      <c r="AM15" s="2196"/>
      <c r="AN15" s="2209">
        <f t="shared" si="0"/>
        <v>0</v>
      </c>
      <c r="AO15" s="2166"/>
      <c r="AP15" s="2166"/>
      <c r="AQ15" s="2166"/>
      <c r="AR15" s="2166"/>
      <c r="AS15" s="2167"/>
      <c r="AU15" s="474" t="str">
        <f>IF(AN15&lt;&gt;'Table11 '!BI19, "Column 7 must tally with entries in Table 11a Column 18.","")</f>
        <v/>
      </c>
    </row>
    <row r="16" spans="1:49" s="162" customFormat="1" ht="20.149999999999999" customHeight="1">
      <c r="B16" s="478"/>
      <c r="C16" s="479" t="s">
        <v>146</v>
      </c>
      <c r="D16" s="479"/>
      <c r="E16" s="479"/>
      <c r="F16" s="479"/>
      <c r="G16" s="479"/>
      <c r="H16" s="479"/>
      <c r="I16" s="480"/>
      <c r="J16" s="2192">
        <v>0</v>
      </c>
      <c r="K16" s="2193"/>
      <c r="L16" s="2193"/>
      <c r="M16" s="2193"/>
      <c r="N16" s="2193"/>
      <c r="O16" s="2432"/>
      <c r="P16" s="2197">
        <v>0</v>
      </c>
      <c r="Q16" s="2193"/>
      <c r="R16" s="2193"/>
      <c r="S16" s="2193"/>
      <c r="T16" s="2193"/>
      <c r="U16" s="2198"/>
      <c r="V16" s="2195">
        <v>0</v>
      </c>
      <c r="W16" s="2193"/>
      <c r="X16" s="2193"/>
      <c r="Y16" s="2193"/>
      <c r="Z16" s="2193"/>
      <c r="AA16" s="2432"/>
      <c r="AB16" s="2197">
        <v>0</v>
      </c>
      <c r="AC16" s="2193"/>
      <c r="AD16" s="2193"/>
      <c r="AE16" s="2193"/>
      <c r="AF16" s="2193"/>
      <c r="AG16" s="2198"/>
      <c r="AH16" s="2195">
        <v>0</v>
      </c>
      <c r="AI16" s="2193"/>
      <c r="AJ16" s="2193"/>
      <c r="AK16" s="2193"/>
      <c r="AL16" s="2193"/>
      <c r="AM16" s="2196"/>
      <c r="AN16" s="2209">
        <f t="shared" si="0"/>
        <v>0</v>
      </c>
      <c r="AO16" s="2166"/>
      <c r="AP16" s="2166"/>
      <c r="AQ16" s="2166"/>
      <c r="AR16" s="2166"/>
      <c r="AS16" s="2167"/>
      <c r="AU16" s="474" t="str">
        <f>IF(AN16&lt;&gt;'Table11 '!BI20, "Column 7 must tally with entries in Table 11a Column 18.","")</f>
        <v/>
      </c>
    </row>
    <row r="17" spans="1:56" s="162" customFormat="1" ht="20.149999999999999" customHeight="1">
      <c r="B17" s="478"/>
      <c r="C17" s="479" t="s">
        <v>147</v>
      </c>
      <c r="D17" s="479"/>
      <c r="E17" s="479"/>
      <c r="F17" s="479"/>
      <c r="G17" s="479"/>
      <c r="H17" s="479"/>
      <c r="I17" s="480"/>
      <c r="J17" s="2192">
        <v>0</v>
      </c>
      <c r="K17" s="2193"/>
      <c r="L17" s="2193"/>
      <c r="M17" s="2193"/>
      <c r="N17" s="2193"/>
      <c r="O17" s="2432"/>
      <c r="P17" s="2197">
        <v>0</v>
      </c>
      <c r="Q17" s="2193"/>
      <c r="R17" s="2193"/>
      <c r="S17" s="2193"/>
      <c r="T17" s="2193"/>
      <c r="U17" s="2198"/>
      <c r="V17" s="2195">
        <v>0</v>
      </c>
      <c r="W17" s="2193"/>
      <c r="X17" s="2193"/>
      <c r="Y17" s="2193"/>
      <c r="Z17" s="2193"/>
      <c r="AA17" s="2432"/>
      <c r="AB17" s="2197">
        <v>0</v>
      </c>
      <c r="AC17" s="2193"/>
      <c r="AD17" s="2193"/>
      <c r="AE17" s="2193"/>
      <c r="AF17" s="2193"/>
      <c r="AG17" s="2198"/>
      <c r="AH17" s="2195">
        <v>0</v>
      </c>
      <c r="AI17" s="2193"/>
      <c r="AJ17" s="2193"/>
      <c r="AK17" s="2193"/>
      <c r="AL17" s="2193"/>
      <c r="AM17" s="2196"/>
      <c r="AN17" s="2209">
        <f t="shared" si="0"/>
        <v>0</v>
      </c>
      <c r="AO17" s="2166"/>
      <c r="AP17" s="2166"/>
      <c r="AQ17" s="2166"/>
      <c r="AR17" s="2166"/>
      <c r="AS17" s="2167"/>
      <c r="AU17" s="474" t="str">
        <f>IF(AN17&lt;&gt;'Table11 '!BI21, "Column 7 must tally with entries in Table 11a Column 18.","")</f>
        <v/>
      </c>
    </row>
    <row r="18" spans="1:56" s="162" customFormat="1" ht="20.149999999999999" customHeight="1" thickBot="1">
      <c r="B18" s="481"/>
      <c r="C18" s="482" t="s">
        <v>148</v>
      </c>
      <c r="D18" s="482"/>
      <c r="E18" s="482"/>
      <c r="F18" s="482"/>
      <c r="G18" s="482"/>
      <c r="H18" s="482"/>
      <c r="I18" s="486"/>
      <c r="J18" s="2192">
        <v>0</v>
      </c>
      <c r="K18" s="2193"/>
      <c r="L18" s="2193"/>
      <c r="M18" s="2193"/>
      <c r="N18" s="2193"/>
      <c r="O18" s="2432"/>
      <c r="P18" s="2197">
        <v>5</v>
      </c>
      <c r="Q18" s="2193"/>
      <c r="R18" s="2193"/>
      <c r="S18" s="2193"/>
      <c r="T18" s="2193"/>
      <c r="U18" s="2198"/>
      <c r="V18" s="2195">
        <v>0</v>
      </c>
      <c r="W18" s="2193"/>
      <c r="X18" s="2193"/>
      <c r="Y18" s="2193"/>
      <c r="Z18" s="2193"/>
      <c r="AA18" s="2432"/>
      <c r="AB18" s="2197">
        <v>0</v>
      </c>
      <c r="AC18" s="2193"/>
      <c r="AD18" s="2193"/>
      <c r="AE18" s="2193"/>
      <c r="AF18" s="2193"/>
      <c r="AG18" s="2198"/>
      <c r="AH18" s="2195">
        <v>0</v>
      </c>
      <c r="AI18" s="2193"/>
      <c r="AJ18" s="2193"/>
      <c r="AK18" s="2193"/>
      <c r="AL18" s="2193"/>
      <c r="AM18" s="2196"/>
      <c r="AN18" s="2245">
        <f t="shared" si="0"/>
        <v>5</v>
      </c>
      <c r="AO18" s="2237"/>
      <c r="AP18" s="2237"/>
      <c r="AQ18" s="2237"/>
      <c r="AR18" s="2237"/>
      <c r="AS18" s="2238"/>
      <c r="AU18" s="474" t="str">
        <f>IF(AN18&lt;&gt;'Table11 '!BI22, "Column 7 must tally with entries in Table 11a Column 18.","")</f>
        <v/>
      </c>
    </row>
    <row r="19" spans="1:56" s="162" customFormat="1" ht="20.149999999999999" customHeight="1" thickTop="1" thickBot="1">
      <c r="B19" s="2436" t="s">
        <v>29</v>
      </c>
      <c r="C19" s="2437"/>
      <c r="D19" s="2437"/>
      <c r="E19" s="2437"/>
      <c r="F19" s="2437"/>
      <c r="G19" s="2437"/>
      <c r="H19" s="2437"/>
      <c r="I19" s="2438"/>
      <c r="J19" s="2250">
        <f>SUM(J7:O18)</f>
        <v>0</v>
      </c>
      <c r="K19" s="2232"/>
      <c r="L19" s="2232"/>
      <c r="M19" s="2232"/>
      <c r="N19" s="2232"/>
      <c r="O19" s="2424"/>
      <c r="P19" s="2231">
        <f t="shared" ref="P19" si="1">SUM(P7:U18)</f>
        <v>41</v>
      </c>
      <c r="Q19" s="2232"/>
      <c r="R19" s="2232"/>
      <c r="S19" s="2232"/>
      <c r="T19" s="2232"/>
      <c r="U19" s="2233"/>
      <c r="V19" s="2234">
        <f t="shared" ref="V19" si="2">SUM(V7:AA18)</f>
        <v>0</v>
      </c>
      <c r="W19" s="2232"/>
      <c r="X19" s="2232"/>
      <c r="Y19" s="2232"/>
      <c r="Z19" s="2232"/>
      <c r="AA19" s="2424"/>
      <c r="AB19" s="2231">
        <f t="shared" ref="AB19" si="3">SUM(AB7:AG18)</f>
        <v>0</v>
      </c>
      <c r="AC19" s="2232"/>
      <c r="AD19" s="2232"/>
      <c r="AE19" s="2232"/>
      <c r="AF19" s="2232"/>
      <c r="AG19" s="2233"/>
      <c r="AH19" s="2234">
        <f t="shared" ref="AH19" si="4">SUM(AH7:AM18)</f>
        <v>0</v>
      </c>
      <c r="AI19" s="2232"/>
      <c r="AJ19" s="2232"/>
      <c r="AK19" s="2232"/>
      <c r="AL19" s="2232"/>
      <c r="AM19" s="2235"/>
      <c r="AN19" s="2239">
        <f t="shared" si="0"/>
        <v>41</v>
      </c>
      <c r="AO19" s="2232"/>
      <c r="AP19" s="2232"/>
      <c r="AQ19" s="2232"/>
      <c r="AR19" s="2232"/>
      <c r="AS19" s="2236"/>
      <c r="AU19" s="461"/>
    </row>
    <row r="20" spans="1:56" s="191" customFormat="1" ht="5.15" customHeight="1">
      <c r="B20" s="340"/>
      <c r="C20" s="340"/>
      <c r="D20" s="340"/>
      <c r="E20" s="340"/>
      <c r="F20" s="340"/>
      <c r="G20" s="340"/>
      <c r="H20" s="340"/>
      <c r="I20" s="378"/>
      <c r="J20" s="378"/>
      <c r="K20" s="378"/>
      <c r="L20" s="378"/>
      <c r="M20" s="378"/>
      <c r="N20" s="378"/>
      <c r="O20" s="378"/>
      <c r="P20" s="378"/>
      <c r="Q20" s="378"/>
      <c r="R20" s="378"/>
      <c r="S20" s="378"/>
      <c r="T20" s="378"/>
      <c r="U20" s="378"/>
      <c r="V20" s="378"/>
      <c r="W20" s="378"/>
      <c r="X20" s="378"/>
      <c r="Y20" s="378"/>
      <c r="Z20" s="378"/>
      <c r="AA20" s="378"/>
      <c r="AB20" s="378"/>
      <c r="AC20" s="378"/>
      <c r="AD20" s="378"/>
      <c r="AE20" s="378"/>
      <c r="AF20" s="378"/>
      <c r="AG20" s="378"/>
      <c r="AH20" s="378"/>
      <c r="AI20" s="378"/>
      <c r="AJ20" s="378"/>
      <c r="AK20" s="378"/>
      <c r="AL20" s="378"/>
      <c r="AM20" s="462"/>
      <c r="AN20" s="462"/>
      <c r="AO20" s="462"/>
      <c r="AP20" s="462"/>
      <c r="AQ20" s="462"/>
      <c r="AR20" s="462"/>
      <c r="AT20" s="463"/>
    </row>
    <row r="21" spans="1:56" s="237" customFormat="1" ht="17.149999999999999" customHeight="1">
      <c r="B21" s="235" t="s">
        <v>944</v>
      </c>
      <c r="D21" s="464"/>
      <c r="E21" s="464"/>
      <c r="F21" s="464"/>
      <c r="G21" s="464"/>
      <c r="H21" s="464"/>
      <c r="I21" s="465"/>
      <c r="J21" s="465"/>
      <c r="K21" s="465"/>
      <c r="L21" s="465"/>
      <c r="M21" s="465"/>
      <c r="N21" s="465"/>
      <c r="O21" s="465"/>
      <c r="P21" s="465"/>
      <c r="Q21" s="465"/>
      <c r="R21" s="465"/>
      <c r="S21" s="465"/>
      <c r="T21" s="465"/>
      <c r="U21" s="465"/>
      <c r="V21" s="465"/>
      <c r="W21" s="465"/>
      <c r="X21" s="465"/>
      <c r="Y21" s="465"/>
      <c r="Z21" s="465"/>
      <c r="AA21" s="465"/>
      <c r="AB21" s="465"/>
      <c r="AC21" s="465"/>
      <c r="AD21" s="465"/>
      <c r="AE21" s="465"/>
      <c r="AF21" s="465"/>
      <c r="AG21" s="465"/>
      <c r="AH21" s="465"/>
      <c r="AI21" s="465"/>
      <c r="AJ21" s="465"/>
      <c r="AK21" s="465"/>
      <c r="AL21" s="465"/>
      <c r="AM21" s="466"/>
      <c r="AN21" s="466"/>
      <c r="AO21" s="466"/>
      <c r="AP21" s="466"/>
      <c r="AQ21" s="466"/>
      <c r="AR21" s="466"/>
      <c r="AT21" s="467"/>
    </row>
    <row r="22" spans="1:56" s="237" customFormat="1" ht="17.149999999999999" customHeight="1">
      <c r="B22" s="235" t="s">
        <v>1321</v>
      </c>
      <c r="D22" s="464"/>
      <c r="E22" s="464"/>
      <c r="F22" s="464"/>
      <c r="G22" s="464"/>
      <c r="H22" s="464"/>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6"/>
      <c r="AN22" s="466"/>
      <c r="AO22" s="466"/>
      <c r="AP22" s="466"/>
      <c r="AQ22" s="466"/>
      <c r="AR22" s="466"/>
      <c r="AT22" s="467"/>
    </row>
    <row r="23" spans="1:56" s="211" customFormat="1" ht="17.149999999999999" customHeight="1">
      <c r="B23" s="468" t="s">
        <v>1322</v>
      </c>
      <c r="D23" s="210"/>
      <c r="E23" s="210"/>
      <c r="F23" s="210"/>
      <c r="G23" s="210"/>
      <c r="H23" s="210"/>
      <c r="I23" s="210"/>
      <c r="J23" s="210"/>
      <c r="K23" s="210"/>
      <c r="L23" s="210"/>
      <c r="M23" s="210"/>
      <c r="AS23" s="210"/>
      <c r="AT23" s="210"/>
    </row>
    <row r="24" spans="1:56" s="345" customFormat="1" ht="20.5">
      <c r="B24" s="344" t="s">
        <v>143</v>
      </c>
      <c r="E24" s="344" t="s">
        <v>1335</v>
      </c>
      <c r="F24" s="469"/>
      <c r="G24" s="469"/>
      <c r="H24" s="469"/>
      <c r="I24" s="469"/>
      <c r="J24" s="469"/>
      <c r="K24" s="469"/>
      <c r="L24" s="469"/>
      <c r="M24" s="469"/>
      <c r="N24" s="469"/>
      <c r="O24" s="469"/>
      <c r="P24" s="469"/>
      <c r="Q24" s="469"/>
      <c r="R24" s="469"/>
      <c r="S24" s="469"/>
      <c r="T24" s="469"/>
      <c r="U24" s="469"/>
      <c r="V24" s="469"/>
      <c r="W24" s="469"/>
      <c r="X24" s="469"/>
      <c r="Y24" s="469"/>
      <c r="Z24" s="469"/>
      <c r="AA24" s="469"/>
      <c r="AB24" s="469"/>
      <c r="BA24" s="470"/>
      <c r="BB24" s="471"/>
      <c r="BC24" s="470"/>
      <c r="BD24" s="470"/>
    </row>
    <row r="25" spans="1:56" s="312" customFormat="1" ht="30" customHeight="1">
      <c r="B25" s="128"/>
      <c r="C25" s="128"/>
      <c r="D25" s="128"/>
      <c r="E25" s="128"/>
      <c r="F25" s="128"/>
      <c r="G25" s="128"/>
      <c r="H25" s="128"/>
      <c r="I25" s="128"/>
      <c r="J25" s="128"/>
      <c r="K25" s="128"/>
      <c r="L25" s="128"/>
      <c r="M25" s="128"/>
      <c r="N25" s="128"/>
      <c r="O25" s="180"/>
      <c r="P25" s="180"/>
      <c r="Q25" s="180"/>
      <c r="R25" s="128"/>
      <c r="S25" s="128"/>
      <c r="T25" s="128"/>
      <c r="U25" s="128"/>
      <c r="V25" s="128"/>
      <c r="W25" s="128"/>
      <c r="X25" s="128"/>
      <c r="Y25" s="128"/>
      <c r="Z25" s="128"/>
      <c r="AA25" s="128"/>
      <c r="AB25" s="128"/>
      <c r="AC25" s="128"/>
      <c r="AD25" s="128"/>
      <c r="AF25" s="128"/>
      <c r="AG25" s="128"/>
      <c r="AH25" s="128"/>
      <c r="AI25" s="128"/>
      <c r="AJ25" s="128"/>
      <c r="AK25" s="128"/>
      <c r="AL25" s="128"/>
      <c r="AM25" s="128"/>
      <c r="AN25" s="128"/>
      <c r="AO25" s="128"/>
      <c r="AP25" s="128"/>
      <c r="AQ25" s="128"/>
      <c r="AR25" s="128"/>
      <c r="AS25" s="128"/>
      <c r="AT25" s="128"/>
      <c r="AU25" s="180"/>
    </row>
    <row r="26" spans="1:56" s="312" customFormat="1" ht="39" customHeight="1" thickBot="1">
      <c r="A26" s="211"/>
      <c r="B26" s="2163" t="s">
        <v>11758</v>
      </c>
      <c r="C26" s="2163"/>
      <c r="D26" s="2163"/>
      <c r="E26" s="2163"/>
      <c r="F26" s="2163"/>
      <c r="G26" s="2163"/>
      <c r="H26" s="2163"/>
      <c r="I26" s="2163"/>
      <c r="J26" s="2163"/>
      <c r="K26" s="2163"/>
      <c r="L26" s="2163"/>
      <c r="M26" s="2163"/>
      <c r="N26" s="2163"/>
      <c r="O26" s="2163"/>
      <c r="P26" s="2163"/>
      <c r="Q26" s="2163"/>
      <c r="R26" s="2163"/>
      <c r="S26" s="2163"/>
      <c r="T26" s="2163"/>
      <c r="U26" s="2163"/>
      <c r="V26" s="2163"/>
      <c r="W26" s="2163"/>
      <c r="X26" s="2163"/>
      <c r="Y26" s="2163"/>
      <c r="Z26" s="2163"/>
      <c r="AA26" s="2163"/>
      <c r="AB26" s="2163"/>
      <c r="AC26" s="2163"/>
      <c r="AD26" s="2163"/>
      <c r="AE26" s="2163"/>
      <c r="AF26" s="2163"/>
      <c r="AX26" s="472"/>
    </row>
    <row r="27" spans="1:56" s="312" customFormat="1" ht="27.75" customHeight="1">
      <c r="B27" s="2128" t="s">
        <v>46</v>
      </c>
      <c r="C27" s="1793"/>
      <c r="D27" s="1793"/>
      <c r="E27" s="1793"/>
      <c r="F27" s="1793"/>
      <c r="G27" s="1793"/>
      <c r="H27" s="1793"/>
      <c r="I27" s="1794"/>
      <c r="J27" s="2138" t="s">
        <v>868</v>
      </c>
      <c r="K27" s="2139"/>
      <c r="L27" s="2139"/>
      <c r="M27" s="2139"/>
      <c r="N27" s="2139"/>
      <c r="O27" s="2139"/>
      <c r="P27" s="2139"/>
      <c r="Q27" s="2139"/>
      <c r="R27" s="2139"/>
      <c r="S27" s="2139"/>
      <c r="T27" s="2139"/>
      <c r="U27" s="2139"/>
      <c r="V27" s="2139"/>
      <c r="W27" s="2139"/>
      <c r="X27" s="2139"/>
      <c r="Y27" s="2139"/>
      <c r="Z27" s="2139"/>
      <c r="AA27" s="2485"/>
      <c r="AC27" s="473"/>
      <c r="AD27" s="473"/>
    </row>
    <row r="28" spans="1:56" s="312" customFormat="1" ht="21.75" customHeight="1" thickBot="1">
      <c r="B28" s="2132"/>
      <c r="C28" s="2133"/>
      <c r="D28" s="2133"/>
      <c r="E28" s="2133"/>
      <c r="F28" s="2133"/>
      <c r="G28" s="2133"/>
      <c r="H28" s="2133"/>
      <c r="I28" s="2134"/>
      <c r="J28" s="1827" t="s">
        <v>15</v>
      </c>
      <c r="K28" s="1799"/>
      <c r="L28" s="1799"/>
      <c r="M28" s="1799"/>
      <c r="N28" s="1799"/>
      <c r="O28" s="2148"/>
      <c r="P28" s="2486" t="s">
        <v>16</v>
      </c>
      <c r="Q28" s="2470"/>
      <c r="R28" s="2470"/>
      <c r="S28" s="2470"/>
      <c r="T28" s="2470"/>
      <c r="U28" s="2487"/>
      <c r="V28" s="2470" t="s">
        <v>29</v>
      </c>
      <c r="W28" s="2470"/>
      <c r="X28" s="2470"/>
      <c r="Y28" s="2470"/>
      <c r="Z28" s="2470"/>
      <c r="AA28" s="2471"/>
    </row>
    <row r="29" spans="1:56" s="312" customFormat="1" ht="20.149999999999999" customHeight="1">
      <c r="B29" s="449"/>
      <c r="C29" s="450" t="s">
        <v>179</v>
      </c>
      <c r="D29" s="450"/>
      <c r="E29" s="450"/>
      <c r="F29" s="450"/>
      <c r="G29" s="450"/>
      <c r="H29" s="450"/>
      <c r="I29" s="451"/>
      <c r="J29" s="2282">
        <v>0</v>
      </c>
      <c r="K29" s="2224"/>
      <c r="L29" s="2224"/>
      <c r="M29" s="2224"/>
      <c r="N29" s="2224"/>
      <c r="O29" s="2488"/>
      <c r="P29" s="2223">
        <v>0</v>
      </c>
      <c r="Q29" s="2224"/>
      <c r="R29" s="2224"/>
      <c r="S29" s="2224"/>
      <c r="T29" s="2224"/>
      <c r="U29" s="2278"/>
      <c r="V29" s="2279">
        <f>SUM(J29:U29)</f>
        <v>0</v>
      </c>
      <c r="W29" s="2280"/>
      <c r="X29" s="2280"/>
      <c r="Y29" s="2280"/>
      <c r="Z29" s="2280"/>
      <c r="AA29" s="2325"/>
    </row>
    <row r="30" spans="1:56" s="312" customFormat="1" ht="20.149999999999999" customHeight="1">
      <c r="B30" s="350"/>
      <c r="C30" s="452" t="s">
        <v>72</v>
      </c>
      <c r="D30" s="452"/>
      <c r="E30" s="452"/>
      <c r="F30" s="452"/>
      <c r="G30" s="452"/>
      <c r="H30" s="452"/>
      <c r="I30" s="453"/>
      <c r="J30" s="2192">
        <v>0</v>
      </c>
      <c r="K30" s="2193"/>
      <c r="L30" s="2193"/>
      <c r="M30" s="2193"/>
      <c r="N30" s="2193"/>
      <c r="O30" s="2432"/>
      <c r="P30" s="2197">
        <v>0</v>
      </c>
      <c r="Q30" s="2193"/>
      <c r="R30" s="2193"/>
      <c r="S30" s="2193"/>
      <c r="T30" s="2193"/>
      <c r="U30" s="2196"/>
      <c r="V30" s="2209">
        <f t="shared" ref="V30:V40" si="5">SUM(J30:U30)</f>
        <v>0</v>
      </c>
      <c r="W30" s="2166"/>
      <c r="X30" s="2166"/>
      <c r="Y30" s="2166"/>
      <c r="Z30" s="2166"/>
      <c r="AA30" s="2167"/>
    </row>
    <row r="31" spans="1:56" s="312" customFormat="1" ht="20.149999999999999" customHeight="1">
      <c r="B31" s="350"/>
      <c r="C31" s="452" t="s">
        <v>41</v>
      </c>
      <c r="D31" s="452"/>
      <c r="E31" s="452"/>
      <c r="F31" s="452"/>
      <c r="G31" s="452"/>
      <c r="H31" s="452"/>
      <c r="I31" s="453"/>
      <c r="J31" s="2192">
        <v>0</v>
      </c>
      <c r="K31" s="2193"/>
      <c r="L31" s="2193"/>
      <c r="M31" s="2193"/>
      <c r="N31" s="2193"/>
      <c r="O31" s="2432"/>
      <c r="P31" s="2197">
        <v>1</v>
      </c>
      <c r="Q31" s="2193"/>
      <c r="R31" s="2193"/>
      <c r="S31" s="2193"/>
      <c r="T31" s="2193"/>
      <c r="U31" s="2196"/>
      <c r="V31" s="2209">
        <f t="shared" si="5"/>
        <v>1</v>
      </c>
      <c r="W31" s="2166"/>
      <c r="X31" s="2166"/>
      <c r="Y31" s="2166"/>
      <c r="Z31" s="2166"/>
      <c r="AA31" s="2167"/>
    </row>
    <row r="32" spans="1:56" s="312" customFormat="1" ht="20.149999999999999" customHeight="1">
      <c r="B32" s="359"/>
      <c r="C32" s="454" t="s">
        <v>42</v>
      </c>
      <c r="D32" s="454"/>
      <c r="E32" s="454"/>
      <c r="F32" s="454"/>
      <c r="G32" s="454"/>
      <c r="H32" s="454"/>
      <c r="I32" s="455"/>
      <c r="J32" s="2202">
        <v>0</v>
      </c>
      <c r="K32" s="2190"/>
      <c r="L32" s="2190"/>
      <c r="M32" s="2190"/>
      <c r="N32" s="2190"/>
      <c r="O32" s="2433"/>
      <c r="P32" s="2189">
        <v>4</v>
      </c>
      <c r="Q32" s="2190"/>
      <c r="R32" s="2190"/>
      <c r="S32" s="2190"/>
      <c r="T32" s="2190"/>
      <c r="U32" s="2205"/>
      <c r="V32" s="2208">
        <f t="shared" si="5"/>
        <v>4</v>
      </c>
      <c r="W32" s="2183"/>
      <c r="X32" s="2183"/>
      <c r="Y32" s="2183"/>
      <c r="Z32" s="2183"/>
      <c r="AA32" s="2184"/>
      <c r="AG32" s="335" t="s">
        <v>762</v>
      </c>
      <c r="AH32" s="225"/>
      <c r="AI32" s="336"/>
      <c r="AJ32" s="336"/>
      <c r="AK32" s="225"/>
      <c r="AL32" s="225"/>
      <c r="AM32" s="225"/>
      <c r="AN32" s="225"/>
      <c r="AO32" s="225"/>
      <c r="AP32" s="225"/>
      <c r="AQ32" s="225"/>
      <c r="AR32" s="225"/>
      <c r="AS32" s="225"/>
    </row>
    <row r="33" spans="2:45" s="312" customFormat="1" ht="20.149999999999999" customHeight="1">
      <c r="B33" s="356"/>
      <c r="C33" s="456" t="s">
        <v>43</v>
      </c>
      <c r="D33" s="456"/>
      <c r="E33" s="456"/>
      <c r="F33" s="456"/>
      <c r="G33" s="456"/>
      <c r="H33" s="456"/>
      <c r="I33" s="457"/>
      <c r="J33" s="2275">
        <v>1</v>
      </c>
      <c r="K33" s="2268"/>
      <c r="L33" s="2268"/>
      <c r="M33" s="2268"/>
      <c r="N33" s="2268"/>
      <c r="O33" s="2440"/>
      <c r="P33" s="2267">
        <v>10</v>
      </c>
      <c r="Q33" s="2268"/>
      <c r="R33" s="2268"/>
      <c r="S33" s="2268"/>
      <c r="T33" s="2268"/>
      <c r="U33" s="2271"/>
      <c r="V33" s="2177">
        <f t="shared" si="5"/>
        <v>11</v>
      </c>
      <c r="W33" s="2178"/>
      <c r="X33" s="2178"/>
      <c r="Y33" s="2178"/>
      <c r="Z33" s="2178"/>
      <c r="AA33" s="2180"/>
      <c r="AG33" s="2434" t="str">
        <f>activesheet!E676</f>
        <v>QUEENIE DARRAH S. TAŇAMOR</v>
      </c>
      <c r="AH33" s="2434"/>
      <c r="AI33" s="2434"/>
      <c r="AJ33" s="2434"/>
      <c r="AK33" s="2434"/>
      <c r="AL33" s="2434"/>
      <c r="AM33" s="2434"/>
      <c r="AN33" s="2434"/>
      <c r="AO33" s="2434"/>
      <c r="AP33" s="2434"/>
      <c r="AQ33" s="2434"/>
      <c r="AR33" s="2434"/>
      <c r="AS33" s="2434"/>
    </row>
    <row r="34" spans="2:45" s="312" customFormat="1" ht="20.149999999999999" customHeight="1">
      <c r="B34" s="350"/>
      <c r="C34" s="452" t="s">
        <v>44</v>
      </c>
      <c r="D34" s="452"/>
      <c r="E34" s="452"/>
      <c r="F34" s="452"/>
      <c r="G34" s="452"/>
      <c r="H34" s="452"/>
      <c r="I34" s="453"/>
      <c r="J34" s="2192">
        <v>0</v>
      </c>
      <c r="K34" s="2193"/>
      <c r="L34" s="2193"/>
      <c r="M34" s="2193"/>
      <c r="N34" s="2193"/>
      <c r="O34" s="2432"/>
      <c r="P34" s="2197">
        <v>6</v>
      </c>
      <c r="Q34" s="2193"/>
      <c r="R34" s="2193"/>
      <c r="S34" s="2193"/>
      <c r="T34" s="2193"/>
      <c r="U34" s="2196"/>
      <c r="V34" s="2209">
        <f t="shared" si="5"/>
        <v>6</v>
      </c>
      <c r="W34" s="2166"/>
      <c r="X34" s="2166"/>
      <c r="Y34" s="2166"/>
      <c r="Z34" s="2166"/>
      <c r="AA34" s="2167"/>
      <c r="AG34" s="2435"/>
      <c r="AH34" s="2435"/>
      <c r="AI34" s="2435"/>
      <c r="AJ34" s="2435"/>
      <c r="AK34" s="2435"/>
      <c r="AL34" s="2435"/>
      <c r="AM34" s="2435"/>
      <c r="AN34" s="2435"/>
      <c r="AO34" s="2435"/>
      <c r="AP34" s="2435"/>
      <c r="AQ34" s="2435"/>
      <c r="AR34" s="2435"/>
      <c r="AS34" s="2435"/>
    </row>
    <row r="35" spans="2:45" s="312" customFormat="1" ht="20.149999999999999" customHeight="1">
      <c r="B35" s="359"/>
      <c r="C35" s="454" t="s">
        <v>45</v>
      </c>
      <c r="D35" s="454"/>
      <c r="E35" s="454"/>
      <c r="F35" s="454"/>
      <c r="G35" s="454"/>
      <c r="H35" s="454"/>
      <c r="I35" s="455"/>
      <c r="J35" s="2202">
        <v>1</v>
      </c>
      <c r="K35" s="2190"/>
      <c r="L35" s="2190"/>
      <c r="M35" s="2190"/>
      <c r="N35" s="2190"/>
      <c r="O35" s="2433"/>
      <c r="P35" s="2189">
        <v>13</v>
      </c>
      <c r="Q35" s="2190"/>
      <c r="R35" s="2190"/>
      <c r="S35" s="2190"/>
      <c r="T35" s="2190"/>
      <c r="U35" s="2205"/>
      <c r="V35" s="2208">
        <f t="shared" si="5"/>
        <v>14</v>
      </c>
      <c r="W35" s="2183"/>
      <c r="X35" s="2183"/>
      <c r="Y35" s="2183"/>
      <c r="Z35" s="2183"/>
      <c r="AA35" s="2184"/>
      <c r="AG35" s="1776" t="s">
        <v>943</v>
      </c>
      <c r="AH35" s="1776"/>
      <c r="AI35" s="1776"/>
      <c r="AJ35" s="1776"/>
      <c r="AK35" s="1776"/>
      <c r="AL35" s="1776"/>
      <c r="AM35" s="1776"/>
      <c r="AN35" s="1776"/>
      <c r="AO35" s="1776"/>
      <c r="AP35" s="1776"/>
      <c r="AQ35" s="1776"/>
      <c r="AR35" s="1776"/>
      <c r="AS35" s="1776"/>
    </row>
    <row r="36" spans="2:45" s="312" customFormat="1" ht="20.149999999999999" customHeight="1">
      <c r="B36" s="356"/>
      <c r="C36" s="456" t="s">
        <v>144</v>
      </c>
      <c r="D36" s="456"/>
      <c r="E36" s="456"/>
      <c r="F36" s="456"/>
      <c r="G36" s="456"/>
      <c r="H36" s="456"/>
      <c r="I36" s="457"/>
      <c r="J36" s="2275">
        <v>0</v>
      </c>
      <c r="K36" s="2268"/>
      <c r="L36" s="2268"/>
      <c r="M36" s="2268"/>
      <c r="N36" s="2268"/>
      <c r="O36" s="2440"/>
      <c r="P36" s="2267">
        <v>0</v>
      </c>
      <c r="Q36" s="2268"/>
      <c r="R36" s="2268"/>
      <c r="S36" s="2268"/>
      <c r="T36" s="2268"/>
      <c r="U36" s="2271"/>
      <c r="V36" s="2177">
        <f t="shared" si="5"/>
        <v>0</v>
      </c>
      <c r="W36" s="2178"/>
      <c r="X36" s="2178"/>
      <c r="Y36" s="2178"/>
      <c r="Z36" s="2178"/>
      <c r="AA36" s="2180"/>
    </row>
    <row r="37" spans="2:45" s="312" customFormat="1" ht="20.149999999999999" customHeight="1">
      <c r="B37" s="350"/>
      <c r="C37" s="452" t="s">
        <v>145</v>
      </c>
      <c r="D37" s="452"/>
      <c r="E37" s="452"/>
      <c r="F37" s="452"/>
      <c r="G37" s="452"/>
      <c r="H37" s="452"/>
      <c r="I37" s="453"/>
      <c r="J37" s="2192">
        <v>0</v>
      </c>
      <c r="K37" s="2193"/>
      <c r="L37" s="2193"/>
      <c r="M37" s="2193"/>
      <c r="N37" s="2193"/>
      <c r="O37" s="2432"/>
      <c r="P37" s="2197">
        <v>0</v>
      </c>
      <c r="Q37" s="2193"/>
      <c r="R37" s="2193"/>
      <c r="S37" s="2193"/>
      <c r="T37" s="2193"/>
      <c r="U37" s="2196"/>
      <c r="V37" s="2209">
        <f t="shared" si="5"/>
        <v>0</v>
      </c>
      <c r="W37" s="2166"/>
      <c r="X37" s="2166"/>
      <c r="Y37" s="2166"/>
      <c r="Z37" s="2166"/>
      <c r="AA37" s="2167"/>
      <c r="AH37" s="447"/>
      <c r="AI37" s="225"/>
      <c r="AJ37" s="336"/>
      <c r="AK37" s="180"/>
      <c r="AL37" s="180"/>
      <c r="AM37" s="180"/>
      <c r="AN37" s="180"/>
      <c r="AO37" s="180"/>
      <c r="AP37" s="180"/>
      <c r="AQ37" s="180"/>
      <c r="AR37" s="180"/>
      <c r="AS37" s="180"/>
    </row>
    <row r="38" spans="2:45" s="312" customFormat="1" ht="20.149999999999999" customHeight="1">
      <c r="B38" s="350"/>
      <c r="C38" s="452" t="s">
        <v>146</v>
      </c>
      <c r="D38" s="452"/>
      <c r="E38" s="452"/>
      <c r="F38" s="452"/>
      <c r="G38" s="452"/>
      <c r="H38" s="452"/>
      <c r="I38" s="453"/>
      <c r="J38" s="2192">
        <v>0</v>
      </c>
      <c r="K38" s="2193"/>
      <c r="L38" s="2193"/>
      <c r="M38" s="2193"/>
      <c r="N38" s="2193"/>
      <c r="O38" s="2432"/>
      <c r="P38" s="2197">
        <v>0</v>
      </c>
      <c r="Q38" s="2193"/>
      <c r="R38" s="2193"/>
      <c r="S38" s="2193"/>
      <c r="T38" s="2193"/>
      <c r="U38" s="2196"/>
      <c r="V38" s="2209">
        <f t="shared" si="5"/>
        <v>0</v>
      </c>
      <c r="W38" s="2166"/>
      <c r="X38" s="2166"/>
      <c r="Y38" s="2166"/>
      <c r="Z38" s="2166"/>
      <c r="AA38" s="2167"/>
      <c r="AF38" s="125"/>
      <c r="AG38" s="125"/>
      <c r="AH38" s="125"/>
      <c r="AI38" s="180"/>
      <c r="AJ38" s="180"/>
      <c r="AK38" s="180"/>
      <c r="AL38" s="180"/>
      <c r="AM38" s="180"/>
      <c r="AN38" s="180"/>
      <c r="AO38" s="180"/>
      <c r="AP38" s="180"/>
      <c r="AQ38" s="180"/>
    </row>
    <row r="39" spans="2:45" s="312" customFormat="1" ht="20.149999999999999" customHeight="1">
      <c r="B39" s="350"/>
      <c r="C39" s="452" t="s">
        <v>147</v>
      </c>
      <c r="D39" s="452"/>
      <c r="E39" s="452"/>
      <c r="F39" s="452"/>
      <c r="G39" s="452"/>
      <c r="H39" s="452"/>
      <c r="I39" s="453"/>
      <c r="J39" s="2192">
        <v>0</v>
      </c>
      <c r="K39" s="2193"/>
      <c r="L39" s="2193"/>
      <c r="M39" s="2193"/>
      <c r="N39" s="2193"/>
      <c r="O39" s="2432"/>
      <c r="P39" s="2197">
        <v>0</v>
      </c>
      <c r="Q39" s="2193"/>
      <c r="R39" s="2193"/>
      <c r="S39" s="2193"/>
      <c r="T39" s="2193"/>
      <c r="U39" s="2196"/>
      <c r="V39" s="2209">
        <f t="shared" si="5"/>
        <v>0</v>
      </c>
      <c r="W39" s="2166"/>
      <c r="X39" s="2166"/>
      <c r="Y39" s="2166"/>
      <c r="Z39" s="2166"/>
      <c r="AA39" s="2167"/>
      <c r="AF39" s="448"/>
      <c r="AG39" s="448"/>
      <c r="AH39" s="448"/>
      <c r="AI39" s="180"/>
      <c r="AJ39" s="180"/>
      <c r="AK39" s="180"/>
      <c r="AL39" s="180"/>
      <c r="AM39" s="180"/>
      <c r="AN39" s="180"/>
      <c r="AO39" s="180"/>
      <c r="AP39" s="180"/>
      <c r="AQ39" s="180"/>
    </row>
    <row r="40" spans="2:45" s="312" customFormat="1" ht="20.149999999999999" customHeight="1" thickBot="1">
      <c r="B40" s="458"/>
      <c r="C40" s="459" t="s">
        <v>148</v>
      </c>
      <c r="D40" s="459"/>
      <c r="E40" s="459"/>
      <c r="F40" s="459"/>
      <c r="G40" s="459"/>
      <c r="H40" s="459"/>
      <c r="I40" s="460"/>
      <c r="J40" s="2260">
        <v>0</v>
      </c>
      <c r="K40" s="2241"/>
      <c r="L40" s="2241"/>
      <c r="M40" s="2241"/>
      <c r="N40" s="2241"/>
      <c r="O40" s="2428"/>
      <c r="P40" s="2240">
        <v>5</v>
      </c>
      <c r="Q40" s="2241"/>
      <c r="R40" s="2241"/>
      <c r="S40" s="2241"/>
      <c r="T40" s="2241"/>
      <c r="U40" s="2244"/>
      <c r="V40" s="2429">
        <f t="shared" si="5"/>
        <v>5</v>
      </c>
      <c r="W40" s="2430"/>
      <c r="X40" s="2430"/>
      <c r="Y40" s="2430"/>
      <c r="Z40" s="2430"/>
      <c r="AA40" s="2431"/>
      <c r="AE40" s="128"/>
      <c r="AF40" s="177"/>
      <c r="AG40" s="314"/>
      <c r="AH40" s="177"/>
      <c r="AI40" s="180"/>
      <c r="AJ40" s="180"/>
      <c r="AK40" s="180"/>
      <c r="AL40" s="180"/>
      <c r="AM40" s="180"/>
      <c r="AN40" s="180"/>
      <c r="AO40" s="180"/>
      <c r="AP40" s="180"/>
      <c r="AQ40" s="180"/>
    </row>
    <row r="41" spans="2:45" s="312" customFormat="1" ht="20.149999999999999" customHeight="1" thickTop="1" thickBot="1">
      <c r="B41" s="2425" t="s">
        <v>29</v>
      </c>
      <c r="C41" s="2426"/>
      <c r="D41" s="2426"/>
      <c r="E41" s="2426"/>
      <c r="F41" s="2426"/>
      <c r="G41" s="2426"/>
      <c r="H41" s="2426"/>
      <c r="I41" s="2427"/>
      <c r="J41" s="2250">
        <f>SUM(J29:O40)</f>
        <v>2</v>
      </c>
      <c r="K41" s="2232"/>
      <c r="L41" s="2232"/>
      <c r="M41" s="2232"/>
      <c r="N41" s="2232"/>
      <c r="O41" s="2424"/>
      <c r="P41" s="2231">
        <f t="shared" ref="P41" si="6">SUM(P29:U40)</f>
        <v>39</v>
      </c>
      <c r="Q41" s="2232"/>
      <c r="R41" s="2232"/>
      <c r="S41" s="2232"/>
      <c r="T41" s="2232"/>
      <c r="U41" s="2235"/>
      <c r="V41" s="2239">
        <f t="shared" ref="V41" si="7">SUM(V29:AA40)</f>
        <v>41</v>
      </c>
      <c r="W41" s="2232"/>
      <c r="X41" s="2232"/>
      <c r="Y41" s="2232"/>
      <c r="Z41" s="2232"/>
      <c r="AA41" s="2236"/>
      <c r="AF41" s="128"/>
      <c r="AG41" s="128"/>
      <c r="AH41" s="128"/>
      <c r="AI41" s="128"/>
      <c r="AJ41" s="128"/>
      <c r="AK41" s="128"/>
      <c r="AL41" s="128"/>
      <c r="AM41" s="128"/>
      <c r="AN41" s="128"/>
    </row>
    <row r="42" spans="2:45" s="312" customFormat="1" ht="9" customHeight="1">
      <c r="B42" s="446"/>
      <c r="C42" s="343"/>
      <c r="D42" s="343"/>
      <c r="E42" s="343"/>
      <c r="F42" s="343"/>
      <c r="G42" s="343"/>
      <c r="H42" s="343"/>
      <c r="I42" s="343"/>
      <c r="J42" s="343"/>
      <c r="K42" s="343"/>
      <c r="L42" s="343"/>
      <c r="M42" s="343"/>
    </row>
    <row r="43" spans="2:45" s="312" customFormat="1" ht="20.5" customHeight="1">
      <c r="B43" s="309" t="s">
        <v>920</v>
      </c>
      <c r="C43" s="343"/>
      <c r="D43" s="343"/>
      <c r="E43" s="343"/>
      <c r="F43" s="343"/>
      <c r="G43" s="343"/>
      <c r="H43" s="343"/>
      <c r="I43" s="343"/>
      <c r="J43" s="343"/>
      <c r="K43" s="343"/>
      <c r="L43" s="343"/>
      <c r="M43" s="343"/>
    </row>
    <row r="44" spans="2:45" s="312" customFormat="1" ht="25" customHeight="1">
      <c r="B44" s="446"/>
      <c r="C44" s="187"/>
      <c r="D44" s="343"/>
      <c r="E44" s="343"/>
      <c r="F44" s="343"/>
      <c r="G44" s="343"/>
      <c r="H44" s="343"/>
      <c r="I44" s="343"/>
      <c r="J44" s="343"/>
      <c r="K44" s="343"/>
      <c r="L44" s="343"/>
      <c r="M44" s="343"/>
    </row>
    <row r="45" spans="2:45" s="242" customFormat="1" ht="14">
      <c r="B45" s="241" t="s">
        <v>847</v>
      </c>
      <c r="R45" s="241" t="s">
        <v>779</v>
      </c>
      <c r="S45" s="241"/>
      <c r="AG45" s="241" t="s">
        <v>783</v>
      </c>
    </row>
    <row r="46" spans="2:45" s="242" customFormat="1" ht="21.75" customHeight="1">
      <c r="B46" s="241" t="s">
        <v>756</v>
      </c>
      <c r="F46" s="1959" t="str">
        <f>activesheet!E29</f>
        <v>RICO S. MISPEROS</v>
      </c>
      <c r="G46" s="1959"/>
      <c r="H46" s="1959"/>
      <c r="I46" s="1959"/>
      <c r="J46" s="1959"/>
      <c r="K46" s="1959"/>
      <c r="L46" s="1959"/>
      <c r="M46" s="1959"/>
      <c r="N46" s="1959"/>
      <c r="O46" s="1959"/>
      <c r="P46" s="290"/>
      <c r="Q46" s="290"/>
      <c r="R46" s="1959" t="str">
        <f>activesheet!E658</f>
        <v>ELMA CEZARIE Y. ROMERO</v>
      </c>
      <c r="S46" s="1959"/>
      <c r="T46" s="1959"/>
      <c r="U46" s="1959"/>
      <c r="V46" s="1959"/>
      <c r="W46" s="1959"/>
      <c r="X46" s="1959"/>
      <c r="Y46" s="1959"/>
      <c r="Z46" s="1959"/>
      <c r="AA46" s="1959"/>
      <c r="AB46" s="1959"/>
      <c r="AC46" s="1959"/>
      <c r="AD46" s="1959"/>
      <c r="AG46" s="1956" t="str">
        <f>activesheet!E31</f>
        <v>MICHAEL T. JAMIS</v>
      </c>
      <c r="AH46" s="1956"/>
      <c r="AI46" s="1956"/>
      <c r="AJ46" s="1956"/>
      <c r="AK46" s="1956"/>
      <c r="AL46" s="1956"/>
      <c r="AM46" s="1956"/>
      <c r="AN46" s="1956"/>
      <c r="AO46" s="1956"/>
      <c r="AP46" s="1956"/>
      <c r="AQ46" s="1956"/>
      <c r="AR46" s="1956"/>
      <c r="AS46" s="1956"/>
    </row>
    <row r="47" spans="2:45" s="307" customFormat="1" ht="12" customHeight="1">
      <c r="B47" s="245"/>
      <c r="F47" s="1776" t="s">
        <v>741</v>
      </c>
      <c r="G47" s="1776"/>
      <c r="H47" s="1776"/>
      <c r="I47" s="1776"/>
      <c r="J47" s="1776"/>
      <c r="K47" s="1776"/>
      <c r="L47" s="1776"/>
      <c r="M47" s="1776"/>
      <c r="N47" s="1776"/>
      <c r="O47" s="1776"/>
      <c r="P47" s="151"/>
      <c r="Q47" s="151"/>
      <c r="R47" s="1776" t="s">
        <v>741</v>
      </c>
      <c r="S47" s="1776"/>
      <c r="T47" s="1776"/>
      <c r="U47" s="1776"/>
      <c r="V47" s="1776"/>
      <c r="W47" s="1776"/>
      <c r="X47" s="1776"/>
      <c r="Y47" s="1776"/>
      <c r="Z47" s="1776"/>
      <c r="AA47" s="1776"/>
      <c r="AB47" s="1776"/>
      <c r="AC47" s="1776"/>
      <c r="AD47" s="1776"/>
      <c r="AE47" s="153"/>
      <c r="AF47" s="245"/>
      <c r="AG47" s="1957"/>
      <c r="AH47" s="1957"/>
      <c r="AI47" s="1957"/>
      <c r="AJ47" s="1957"/>
      <c r="AK47" s="1957"/>
      <c r="AL47" s="1957"/>
      <c r="AM47" s="1957"/>
      <c r="AN47" s="1957"/>
      <c r="AO47" s="1957"/>
      <c r="AP47" s="1957"/>
      <c r="AQ47" s="1957"/>
      <c r="AR47" s="1957"/>
      <c r="AS47" s="1957"/>
    </row>
    <row r="48" spans="2:45" s="242" customFormat="1" ht="21.75" customHeight="1">
      <c r="B48" s="241" t="s">
        <v>71</v>
      </c>
      <c r="F48" s="1959" t="str">
        <f>activesheet!E30</f>
        <v>SCHOOL PRINCIPAL II</v>
      </c>
      <c r="G48" s="1959"/>
      <c r="H48" s="1959"/>
      <c r="I48" s="1959"/>
      <c r="J48" s="1959"/>
      <c r="K48" s="1959"/>
      <c r="L48" s="1959"/>
      <c r="M48" s="1959"/>
      <c r="N48" s="1959"/>
      <c r="O48" s="1959"/>
      <c r="P48" s="290"/>
      <c r="Q48" s="290"/>
      <c r="R48" s="241" t="s">
        <v>71</v>
      </c>
      <c r="S48" s="241"/>
      <c r="V48" s="1959" t="str">
        <f>activesheet!E659</f>
        <v>Administrative Officer IV</v>
      </c>
      <c r="W48" s="1959"/>
      <c r="X48" s="1959"/>
      <c r="Y48" s="1959"/>
      <c r="Z48" s="1959"/>
      <c r="AA48" s="1959"/>
      <c r="AB48" s="1959"/>
      <c r="AC48" s="1959"/>
      <c r="AD48" s="1959"/>
      <c r="AG48" s="1776" t="s">
        <v>741</v>
      </c>
      <c r="AH48" s="1776"/>
      <c r="AI48" s="1776"/>
      <c r="AJ48" s="1776"/>
      <c r="AK48" s="1776"/>
      <c r="AL48" s="1776"/>
      <c r="AM48" s="1776"/>
      <c r="AN48" s="1776"/>
      <c r="AO48" s="1776"/>
      <c r="AP48" s="1776"/>
      <c r="AQ48" s="1776"/>
      <c r="AR48" s="1776"/>
      <c r="AS48" s="1776"/>
    </row>
  </sheetData>
  <sheetProtection algorithmName="SHA-512" hashValue="W1vmFQGG+W7EAu3H4HNO/c+t6bueSzZdfz6oZkwI0c5svPbOp6kbDsVB3JMhcylkkFRnTKHZMkJwyId1rU6fmg==" saltValue="ejTev6LmiaGzjAr3szFxRQ==" spinCount="100000" sheet="1" selectLockedCells="1"/>
  <mergeCells count="151">
    <mergeCell ref="V28:AA28"/>
    <mergeCell ref="J36:O36"/>
    <mergeCell ref="P36:U36"/>
    <mergeCell ref="V36:AA36"/>
    <mergeCell ref="J37:O37"/>
    <mergeCell ref="B3:I5"/>
    <mergeCell ref="J3:U3"/>
    <mergeCell ref="V3:AG3"/>
    <mergeCell ref="AH3:AM5"/>
    <mergeCell ref="B6:I6"/>
    <mergeCell ref="J32:O32"/>
    <mergeCell ref="P32:U32"/>
    <mergeCell ref="V32:AA32"/>
    <mergeCell ref="J33:O33"/>
    <mergeCell ref="P33:U33"/>
    <mergeCell ref="V33:AA33"/>
    <mergeCell ref="B26:AF26"/>
    <mergeCell ref="B27:I28"/>
    <mergeCell ref="J27:AA27"/>
    <mergeCell ref="J28:O28"/>
    <mergeCell ref="P28:U28"/>
    <mergeCell ref="J29:O29"/>
    <mergeCell ref="P29:U29"/>
    <mergeCell ref="V29:AA29"/>
    <mergeCell ref="AN3:AS5"/>
    <mergeCell ref="J4:O5"/>
    <mergeCell ref="P4:U5"/>
    <mergeCell ref="V4:AA5"/>
    <mergeCell ref="AB4:AG5"/>
    <mergeCell ref="AH6:AM6"/>
    <mergeCell ref="AN6:AS6"/>
    <mergeCell ref="J7:O7"/>
    <mergeCell ref="P7:U7"/>
    <mergeCell ref="V7:AA7"/>
    <mergeCell ref="AB7:AG7"/>
    <mergeCell ref="AH7:AM7"/>
    <mergeCell ref="AN7:AS7"/>
    <mergeCell ref="J6:O6"/>
    <mergeCell ref="P6:U6"/>
    <mergeCell ref="V6:AA6"/>
    <mergeCell ref="AB6:AG6"/>
    <mergeCell ref="AN8:AS8"/>
    <mergeCell ref="J9:O9"/>
    <mergeCell ref="P9:U9"/>
    <mergeCell ref="V9:AA9"/>
    <mergeCell ref="AB9:AG9"/>
    <mergeCell ref="AH9:AM9"/>
    <mergeCell ref="AN9:AS9"/>
    <mergeCell ref="J8:O8"/>
    <mergeCell ref="P8:U8"/>
    <mergeCell ref="V8:AA8"/>
    <mergeCell ref="AB8:AG8"/>
    <mergeCell ref="AH8:AM8"/>
    <mergeCell ref="AN10:AS10"/>
    <mergeCell ref="J11:O11"/>
    <mergeCell ref="P11:U11"/>
    <mergeCell ref="V11:AA11"/>
    <mergeCell ref="AB11:AG11"/>
    <mergeCell ref="AH11:AM11"/>
    <mergeCell ref="AN11:AS11"/>
    <mergeCell ref="J10:O10"/>
    <mergeCell ref="P10:U10"/>
    <mergeCell ref="V10:AA10"/>
    <mergeCell ref="AB10:AG10"/>
    <mergeCell ref="AH10:AM10"/>
    <mergeCell ref="AN12:AS12"/>
    <mergeCell ref="J13:O13"/>
    <mergeCell ref="P13:U13"/>
    <mergeCell ref="V13:AA13"/>
    <mergeCell ref="AB13:AG13"/>
    <mergeCell ref="AH13:AM13"/>
    <mergeCell ref="AN13:AS13"/>
    <mergeCell ref="J12:O12"/>
    <mergeCell ref="P12:U12"/>
    <mergeCell ref="V12:AA12"/>
    <mergeCell ref="AB12:AG12"/>
    <mergeCell ref="AH12:AM12"/>
    <mergeCell ref="AN14:AS14"/>
    <mergeCell ref="J15:O15"/>
    <mergeCell ref="P15:U15"/>
    <mergeCell ref="V15:AA15"/>
    <mergeCell ref="AB15:AG15"/>
    <mergeCell ref="AH15:AM15"/>
    <mergeCell ref="AN15:AS15"/>
    <mergeCell ref="J14:O14"/>
    <mergeCell ref="P14:U14"/>
    <mergeCell ref="V14:AA14"/>
    <mergeCell ref="AB14:AG14"/>
    <mergeCell ref="AH14:AM14"/>
    <mergeCell ref="AN16:AS16"/>
    <mergeCell ref="J17:O17"/>
    <mergeCell ref="P17:U17"/>
    <mergeCell ref="V17:AA17"/>
    <mergeCell ref="AB17:AG17"/>
    <mergeCell ref="AH17:AM17"/>
    <mergeCell ref="AN17:AS17"/>
    <mergeCell ref="J16:O16"/>
    <mergeCell ref="P16:U16"/>
    <mergeCell ref="V16:AA16"/>
    <mergeCell ref="AB16:AG16"/>
    <mergeCell ref="AH16:AM16"/>
    <mergeCell ref="AN18:AS18"/>
    <mergeCell ref="B19:I19"/>
    <mergeCell ref="J19:O19"/>
    <mergeCell ref="P19:U19"/>
    <mergeCell ref="V19:AA19"/>
    <mergeCell ref="AB19:AG19"/>
    <mergeCell ref="AH19:AM19"/>
    <mergeCell ref="AN19:AS19"/>
    <mergeCell ref="J18:O18"/>
    <mergeCell ref="P18:U18"/>
    <mergeCell ref="V18:AA18"/>
    <mergeCell ref="AB18:AG18"/>
    <mergeCell ref="AH18:AM18"/>
    <mergeCell ref="J30:O30"/>
    <mergeCell ref="P30:U30"/>
    <mergeCell ref="V30:AA30"/>
    <mergeCell ref="J31:O31"/>
    <mergeCell ref="P31:U31"/>
    <mergeCell ref="V31:AA31"/>
    <mergeCell ref="AG33:AS34"/>
    <mergeCell ref="AG35:AS35"/>
    <mergeCell ref="J39:O39"/>
    <mergeCell ref="P39:U39"/>
    <mergeCell ref="V39:AA39"/>
    <mergeCell ref="J40:O40"/>
    <mergeCell ref="P40:U40"/>
    <mergeCell ref="V40:AA40"/>
    <mergeCell ref="P37:U37"/>
    <mergeCell ref="V37:AA37"/>
    <mergeCell ref="J38:O38"/>
    <mergeCell ref="P38:U38"/>
    <mergeCell ref="V38:AA38"/>
    <mergeCell ref="J34:O34"/>
    <mergeCell ref="P34:U34"/>
    <mergeCell ref="V34:AA34"/>
    <mergeCell ref="J35:O35"/>
    <mergeCell ref="P35:U35"/>
    <mergeCell ref="V35:AA35"/>
    <mergeCell ref="F48:O48"/>
    <mergeCell ref="V48:AD48"/>
    <mergeCell ref="AG48:AS48"/>
    <mergeCell ref="F46:O46"/>
    <mergeCell ref="R46:AD46"/>
    <mergeCell ref="AG46:AS47"/>
    <mergeCell ref="F47:O47"/>
    <mergeCell ref="R47:AD47"/>
    <mergeCell ref="J41:O41"/>
    <mergeCell ref="P41:U41"/>
    <mergeCell ref="V41:AA41"/>
    <mergeCell ref="B41:I41"/>
  </mergeCells>
  <dataValidations count="2">
    <dataValidation type="whole" allowBlank="1" showInputMessage="1" showErrorMessage="1" errorTitle="GESP SY 2021-2022" error="Please enter valid number between 0-999._x000a_" sqref="J29:U40" xr:uid="{00000000-0002-0000-0E00-000000000000}">
      <formula1>0</formula1>
      <formula2>999</formula2>
    </dataValidation>
    <dataValidation type="whole" allowBlank="1" showInputMessage="1" showErrorMessage="1" errorTitle="GESP SY 2022-2023" error="Please enter valid number between 0-999._x000a_" sqref="J7:AM18" xr:uid="{00000000-0002-0000-0E00-000001000000}">
      <formula1>0</formula1>
      <formula2>999</formula2>
    </dataValidation>
  </dataValidations>
  <printOptions horizontalCentered="1" verticalCentered="1"/>
  <pageMargins left="0.25" right="0.25" top="0.2" bottom="0.2" header="0" footer="0.1"/>
  <pageSetup paperSize="9" scale="55" orientation="landscape" r:id="rId1"/>
  <headerFooter alignWithMargins="0">
    <oddFooter>&amp;L&amp;10&amp;F &amp;A&amp;R&amp;11Page 11 of 60</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B1:BF51"/>
  <sheetViews>
    <sheetView showGridLines="0" zoomScaleNormal="100" zoomScaleSheetLayoutView="100" workbookViewId="0">
      <selection activeCell="X7" sqref="X7:Z7"/>
    </sheetView>
  </sheetViews>
  <sheetFormatPr defaultColWidth="9" defaultRowHeight="15.5"/>
  <cols>
    <col min="1" max="1" width="2.08203125" style="180" customWidth="1"/>
    <col min="2" max="41" width="3.58203125" style="180" customWidth="1"/>
    <col min="42" max="42" width="2.08203125" style="180" customWidth="1"/>
    <col min="43" max="44" width="3.58203125" style="180" customWidth="1"/>
    <col min="45" max="45" width="4.08203125" style="180" customWidth="1"/>
    <col min="46" max="46" width="4.58203125" style="180" hidden="1" customWidth="1"/>
    <col min="47" max="47" width="8.58203125" style="180" customWidth="1"/>
    <col min="48" max="50" width="4.58203125" style="180" customWidth="1"/>
    <col min="51" max="51" width="5.33203125" style="180" customWidth="1"/>
    <col min="52" max="56" width="4.58203125" style="180" customWidth="1"/>
    <col min="57" max="16384" width="9" style="180"/>
  </cols>
  <sheetData>
    <row r="1" spans="4:58" ht="12" customHeight="1"/>
    <row r="2" spans="4:58" s="225" customFormat="1" ht="16.5" customHeight="1">
      <c r="E2" s="219" t="s">
        <v>1051</v>
      </c>
      <c r="F2" s="229"/>
      <c r="G2" s="229"/>
      <c r="H2" s="229"/>
      <c r="I2" s="229"/>
      <c r="J2" s="229"/>
      <c r="K2" s="229"/>
      <c r="L2" s="229"/>
      <c r="M2" s="229"/>
      <c r="N2" s="229"/>
      <c r="O2" s="229"/>
      <c r="P2" s="229"/>
      <c r="Q2" s="229"/>
      <c r="R2" s="230"/>
      <c r="S2" s="230"/>
      <c r="T2" s="230"/>
      <c r="U2" s="229"/>
      <c r="V2" s="229"/>
      <c r="W2" s="229"/>
      <c r="X2" s="229"/>
      <c r="Y2" s="229"/>
      <c r="Z2" s="229"/>
      <c r="AA2" s="230"/>
      <c r="AB2" s="230"/>
      <c r="AC2" s="230"/>
      <c r="AD2" s="230"/>
      <c r="AE2" s="230"/>
      <c r="AZ2" s="229"/>
      <c r="BA2" s="229"/>
      <c r="BB2" s="180"/>
    </row>
    <row r="3" spans="4:58" s="522" customFormat="1" ht="17" thickBot="1">
      <c r="E3" s="339" t="s">
        <v>11759</v>
      </c>
      <c r="F3" s="228"/>
      <c r="G3" s="529"/>
      <c r="H3" s="228"/>
      <c r="I3" s="228"/>
      <c r="J3" s="228"/>
      <c r="K3" s="228"/>
      <c r="L3" s="228"/>
      <c r="M3" s="228"/>
      <c r="N3" s="228"/>
      <c r="O3" s="228"/>
      <c r="P3" s="228"/>
      <c r="Q3" s="228"/>
      <c r="R3" s="523"/>
      <c r="S3" s="523"/>
      <c r="T3" s="523"/>
      <c r="U3" s="228"/>
      <c r="V3" s="228"/>
      <c r="W3" s="228"/>
      <c r="X3" s="228"/>
      <c r="Y3" s="228"/>
      <c r="Z3" s="228"/>
      <c r="AA3" s="523"/>
      <c r="AB3" s="523"/>
      <c r="AC3" s="523"/>
      <c r="AD3" s="523"/>
      <c r="AE3" s="523"/>
      <c r="AF3" s="188"/>
      <c r="AG3" s="188"/>
      <c r="AH3" s="188"/>
      <c r="AI3" s="524"/>
      <c r="AJ3" s="229"/>
      <c r="AK3" s="229"/>
      <c r="AL3" s="229"/>
      <c r="AM3" s="229"/>
      <c r="AN3" s="229"/>
      <c r="AO3" s="229"/>
      <c r="AQ3" s="229"/>
      <c r="AR3" s="229"/>
      <c r="AS3" s="229"/>
      <c r="AT3" s="229"/>
      <c r="AU3" s="229"/>
      <c r="AV3" s="229"/>
      <c r="AW3" s="229"/>
      <c r="AX3" s="229"/>
      <c r="AY3" s="229"/>
      <c r="AZ3" s="525"/>
      <c r="BA3" s="525"/>
      <c r="BB3" s="525"/>
      <c r="BC3" s="180"/>
      <c r="BD3" s="526"/>
      <c r="BE3" s="526"/>
      <c r="BF3" s="526"/>
    </row>
    <row r="4" spans="4:58" s="225" customFormat="1">
      <c r="D4" s="522"/>
      <c r="E4" s="2128" t="s">
        <v>647</v>
      </c>
      <c r="F4" s="1793"/>
      <c r="G4" s="1793"/>
      <c r="H4" s="1793"/>
      <c r="I4" s="1793"/>
      <c r="J4" s="1793"/>
      <c r="K4" s="1794"/>
      <c r="L4" s="2537" t="s">
        <v>125</v>
      </c>
      <c r="M4" s="2538"/>
      <c r="N4" s="2538"/>
      <c r="O4" s="2538"/>
      <c r="P4" s="2538"/>
      <c r="Q4" s="2538"/>
      <c r="R4" s="2538"/>
      <c r="S4" s="2538"/>
      <c r="T4" s="2538"/>
      <c r="U4" s="2538"/>
      <c r="V4" s="2538"/>
      <c r="W4" s="2538"/>
      <c r="X4" s="2538"/>
      <c r="Y4" s="2538"/>
      <c r="Z4" s="2538"/>
      <c r="AA4" s="2538"/>
      <c r="AB4" s="2538"/>
      <c r="AC4" s="2538"/>
      <c r="AD4" s="2538"/>
      <c r="AE4" s="2538"/>
      <c r="AF4" s="2538"/>
      <c r="AG4" s="2538"/>
      <c r="AH4" s="2538"/>
      <c r="AI4" s="2538"/>
      <c r="AJ4" s="2538"/>
      <c r="AK4" s="2538"/>
      <c r="AL4" s="2539"/>
      <c r="AM4" s="530"/>
      <c r="AN4" s="229"/>
      <c r="AO4" s="229"/>
      <c r="AP4" s="229"/>
      <c r="AQ4" s="2536"/>
      <c r="AR4" s="2536"/>
      <c r="AS4" s="2536"/>
      <c r="AT4" s="2536"/>
      <c r="AU4" s="2536"/>
      <c r="AV4" s="2536"/>
      <c r="AW4" s="180"/>
      <c r="AX4" s="2536"/>
      <c r="AY4" s="2536"/>
      <c r="AZ4" s="2536"/>
      <c r="BA4" s="2536"/>
      <c r="BB4" s="2536"/>
    </row>
    <row r="5" spans="4:58" s="225" customFormat="1" ht="18" customHeight="1">
      <c r="D5" s="522"/>
      <c r="E5" s="2129"/>
      <c r="F5" s="2130"/>
      <c r="G5" s="2130"/>
      <c r="H5" s="2130"/>
      <c r="I5" s="2130"/>
      <c r="J5" s="2130"/>
      <c r="K5" s="2131"/>
      <c r="L5" s="2550" t="s">
        <v>57</v>
      </c>
      <c r="M5" s="2551"/>
      <c r="N5" s="2551"/>
      <c r="O5" s="2551"/>
      <c r="P5" s="2551"/>
      <c r="Q5" s="2551"/>
      <c r="R5" s="2551"/>
      <c r="S5" s="2551"/>
      <c r="T5" s="2552"/>
      <c r="U5" s="2550" t="s">
        <v>274</v>
      </c>
      <c r="V5" s="2551"/>
      <c r="W5" s="2551"/>
      <c r="X5" s="2551"/>
      <c r="Y5" s="2551"/>
      <c r="Z5" s="2551"/>
      <c r="AA5" s="2551"/>
      <c r="AB5" s="2551"/>
      <c r="AC5" s="2553"/>
      <c r="AD5" s="2551" t="s">
        <v>1271</v>
      </c>
      <c r="AE5" s="2551"/>
      <c r="AF5" s="2551"/>
      <c r="AG5" s="2551"/>
      <c r="AH5" s="2551"/>
      <c r="AI5" s="2551"/>
      <c r="AJ5" s="2551"/>
      <c r="AK5" s="2551"/>
      <c r="AL5" s="2552"/>
      <c r="AM5" s="229"/>
      <c r="AN5" s="229"/>
      <c r="AO5" s="229"/>
      <c r="AP5" s="229"/>
      <c r="AQ5" s="527"/>
      <c r="AR5" s="527"/>
      <c r="AS5" s="527"/>
      <c r="AT5" s="527"/>
      <c r="AU5" s="527"/>
      <c r="AV5" s="527"/>
      <c r="AW5" s="180"/>
      <c r="AX5" s="527"/>
      <c r="AY5" s="527"/>
      <c r="AZ5" s="527"/>
      <c r="BA5" s="527"/>
      <c r="BB5" s="527"/>
    </row>
    <row r="6" spans="4:58" s="225" customFormat="1" ht="16" thickBot="1">
      <c r="D6" s="320"/>
      <c r="E6" s="2132"/>
      <c r="F6" s="2133"/>
      <c r="G6" s="2133"/>
      <c r="H6" s="2133"/>
      <c r="I6" s="2133"/>
      <c r="J6" s="2133"/>
      <c r="K6" s="2134"/>
      <c r="L6" s="2554" t="s">
        <v>15</v>
      </c>
      <c r="M6" s="2545"/>
      <c r="N6" s="2547"/>
      <c r="O6" s="2548" t="s">
        <v>16</v>
      </c>
      <c r="P6" s="2545"/>
      <c r="Q6" s="2546"/>
      <c r="R6" s="2544" t="s">
        <v>29</v>
      </c>
      <c r="S6" s="2545"/>
      <c r="T6" s="2549"/>
      <c r="U6" s="2554" t="s">
        <v>15</v>
      </c>
      <c r="V6" s="2545"/>
      <c r="W6" s="2547"/>
      <c r="X6" s="2548" t="s">
        <v>16</v>
      </c>
      <c r="Y6" s="2545"/>
      <c r="Z6" s="2546"/>
      <c r="AA6" s="2544" t="s">
        <v>29</v>
      </c>
      <c r="AB6" s="2545"/>
      <c r="AC6" s="2546"/>
      <c r="AD6" s="2545" t="s">
        <v>15</v>
      </c>
      <c r="AE6" s="2545"/>
      <c r="AF6" s="2547"/>
      <c r="AG6" s="2548" t="s">
        <v>16</v>
      </c>
      <c r="AH6" s="2545"/>
      <c r="AI6" s="2546"/>
      <c r="AJ6" s="2544" t="s">
        <v>29</v>
      </c>
      <c r="AK6" s="2545"/>
      <c r="AL6" s="2549"/>
      <c r="AM6" s="229"/>
      <c r="AN6" s="229"/>
      <c r="AO6" s="229"/>
      <c r="AP6" s="229"/>
      <c r="AQ6" s="2536"/>
      <c r="AR6" s="2536"/>
      <c r="AS6" s="2536"/>
      <c r="AT6" s="2536"/>
      <c r="AU6" s="2536"/>
      <c r="AV6" s="2536"/>
      <c r="AW6" s="180"/>
      <c r="AX6" s="527"/>
      <c r="AY6" s="2536"/>
      <c r="AZ6" s="2536"/>
      <c r="BA6" s="2536"/>
      <c r="BB6" s="2536"/>
    </row>
    <row r="7" spans="4:58" s="237" customFormat="1" ht="17.149999999999999" customHeight="1">
      <c r="D7" s="512"/>
      <c r="E7" s="513"/>
      <c r="F7" s="514" t="s">
        <v>637</v>
      </c>
      <c r="G7" s="515"/>
      <c r="H7" s="515"/>
      <c r="I7" s="515"/>
      <c r="J7" s="515"/>
      <c r="K7" s="516"/>
      <c r="L7" s="2526">
        <v>0</v>
      </c>
      <c r="M7" s="2527"/>
      <c r="N7" s="2528"/>
      <c r="O7" s="2529">
        <v>3</v>
      </c>
      <c r="P7" s="2530"/>
      <c r="Q7" s="2531"/>
      <c r="R7" s="2515">
        <f>SUM(L7:Q7)</f>
        <v>3</v>
      </c>
      <c r="S7" s="2513"/>
      <c r="T7" s="2516"/>
      <c r="U7" s="2526">
        <v>2</v>
      </c>
      <c r="V7" s="2527"/>
      <c r="W7" s="2528"/>
      <c r="X7" s="2529">
        <v>29</v>
      </c>
      <c r="Y7" s="2530"/>
      <c r="Z7" s="2531"/>
      <c r="AA7" s="2515">
        <f>SUM(U7:Z7)</f>
        <v>31</v>
      </c>
      <c r="AB7" s="2513"/>
      <c r="AC7" s="2514"/>
      <c r="AD7" s="2510">
        <f>SUM(L7,U7)</f>
        <v>2</v>
      </c>
      <c r="AE7" s="2510"/>
      <c r="AF7" s="2511"/>
      <c r="AG7" s="2512">
        <f>SUM(O7,X7)</f>
        <v>32</v>
      </c>
      <c r="AH7" s="2513"/>
      <c r="AI7" s="2514"/>
      <c r="AJ7" s="2515">
        <f>SUM(AD7:AI7)</f>
        <v>34</v>
      </c>
      <c r="AK7" s="2513"/>
      <c r="AL7" s="2516"/>
      <c r="AM7" s="191"/>
      <c r="AN7" s="191"/>
      <c r="AO7" s="191"/>
      <c r="AP7" s="191"/>
      <c r="AQ7" s="509"/>
      <c r="AR7" s="509"/>
      <c r="AS7" s="509"/>
      <c r="AT7" s="509"/>
      <c r="AU7" s="509"/>
      <c r="AV7" s="509"/>
      <c r="AX7" s="509"/>
      <c r="AY7" s="509"/>
      <c r="AZ7" s="509"/>
      <c r="BA7" s="509"/>
      <c r="BB7" s="509"/>
    </row>
    <row r="8" spans="4:58" s="237" customFormat="1" ht="17.149999999999999" customHeight="1">
      <c r="E8" s="350"/>
      <c r="F8" s="517" t="s">
        <v>638</v>
      </c>
      <c r="G8" s="452"/>
      <c r="H8" s="452"/>
      <c r="I8" s="452"/>
      <c r="J8" s="452"/>
      <c r="K8" s="518"/>
      <c r="L8" s="2533">
        <v>0</v>
      </c>
      <c r="M8" s="2534"/>
      <c r="N8" s="2535"/>
      <c r="O8" s="2517">
        <v>3</v>
      </c>
      <c r="P8" s="2518"/>
      <c r="Q8" s="2519"/>
      <c r="R8" s="2499">
        <f t="shared" ref="R8:R11" si="0">SUM(L8:Q8)</f>
        <v>3</v>
      </c>
      <c r="S8" s="2497"/>
      <c r="T8" s="2500"/>
      <c r="U8" s="2533">
        <v>2</v>
      </c>
      <c r="V8" s="2534"/>
      <c r="W8" s="2535"/>
      <c r="X8" s="2517">
        <v>29</v>
      </c>
      <c r="Y8" s="2518"/>
      <c r="Z8" s="2519"/>
      <c r="AA8" s="2499">
        <f t="shared" ref="AA8:AA11" si="1">SUM(U8:Z8)</f>
        <v>31</v>
      </c>
      <c r="AB8" s="2497"/>
      <c r="AC8" s="2498"/>
      <c r="AD8" s="2494">
        <f t="shared" ref="AD8:AD11" si="2">SUM(L8,U8)</f>
        <v>2</v>
      </c>
      <c r="AE8" s="2494"/>
      <c r="AF8" s="2495"/>
      <c r="AG8" s="2496">
        <f t="shared" ref="AG8:AG11" si="3">SUM(O8,X8)</f>
        <v>32</v>
      </c>
      <c r="AH8" s="2497"/>
      <c r="AI8" s="2498"/>
      <c r="AJ8" s="2499">
        <f t="shared" ref="AJ8:AJ11" si="4">SUM(AD8:AI8)</f>
        <v>34</v>
      </c>
      <c r="AK8" s="2497"/>
      <c r="AL8" s="2500"/>
      <c r="AM8" s="191"/>
      <c r="AN8" s="191"/>
      <c r="AO8" s="191"/>
      <c r="AP8" s="191"/>
      <c r="AQ8" s="509"/>
      <c r="AR8" s="509"/>
      <c r="AS8" s="509"/>
      <c r="AT8" s="509"/>
      <c r="AU8" s="509"/>
      <c r="AV8" s="509"/>
      <c r="AX8" s="509"/>
      <c r="AY8" s="509"/>
      <c r="AZ8" s="509"/>
      <c r="BA8" s="509"/>
      <c r="BB8" s="509"/>
    </row>
    <row r="9" spans="4:58" s="237" customFormat="1" ht="17.149999999999999" customHeight="1">
      <c r="E9" s="350"/>
      <c r="F9" s="517" t="s">
        <v>639</v>
      </c>
      <c r="G9" s="452"/>
      <c r="H9" s="452"/>
      <c r="I9" s="452"/>
      <c r="J9" s="452"/>
      <c r="K9" s="518"/>
      <c r="L9" s="2533">
        <v>0</v>
      </c>
      <c r="M9" s="2534"/>
      <c r="N9" s="2535"/>
      <c r="O9" s="2517">
        <v>3</v>
      </c>
      <c r="P9" s="2518"/>
      <c r="Q9" s="2519"/>
      <c r="R9" s="2499">
        <f t="shared" si="0"/>
        <v>3</v>
      </c>
      <c r="S9" s="2497"/>
      <c r="T9" s="2500"/>
      <c r="U9" s="2533">
        <v>2</v>
      </c>
      <c r="V9" s="2534"/>
      <c r="W9" s="2535"/>
      <c r="X9" s="2517">
        <v>29</v>
      </c>
      <c r="Y9" s="2518"/>
      <c r="Z9" s="2519"/>
      <c r="AA9" s="2499">
        <f t="shared" si="1"/>
        <v>31</v>
      </c>
      <c r="AB9" s="2497"/>
      <c r="AC9" s="2498"/>
      <c r="AD9" s="2494">
        <f t="shared" si="2"/>
        <v>2</v>
      </c>
      <c r="AE9" s="2494"/>
      <c r="AF9" s="2495"/>
      <c r="AG9" s="2496">
        <f t="shared" si="3"/>
        <v>32</v>
      </c>
      <c r="AH9" s="2497"/>
      <c r="AI9" s="2498"/>
      <c r="AJ9" s="2499">
        <f t="shared" si="4"/>
        <v>34</v>
      </c>
      <c r="AK9" s="2497"/>
      <c r="AL9" s="2500"/>
      <c r="AM9" s="191"/>
      <c r="AN9" s="191"/>
      <c r="AO9" s="191"/>
      <c r="AP9" s="191"/>
      <c r="AQ9" s="509"/>
      <c r="AR9" s="509"/>
      <c r="AS9" s="509"/>
      <c r="AT9" s="509"/>
      <c r="AU9" s="509"/>
      <c r="AV9" s="509"/>
      <c r="AX9" s="509"/>
      <c r="AY9" s="509"/>
      <c r="AZ9" s="509"/>
      <c r="BA9" s="509"/>
      <c r="BB9" s="509"/>
    </row>
    <row r="10" spans="4:58" s="511" customFormat="1" ht="17.149999999999999" customHeight="1">
      <c r="D10" s="237"/>
      <c r="E10" s="350"/>
      <c r="F10" s="517" t="s">
        <v>640</v>
      </c>
      <c r="G10" s="452"/>
      <c r="H10" s="452"/>
      <c r="I10" s="452"/>
      <c r="J10" s="452"/>
      <c r="K10" s="518"/>
      <c r="L10" s="2533">
        <v>0</v>
      </c>
      <c r="M10" s="2534"/>
      <c r="N10" s="2535"/>
      <c r="O10" s="2517">
        <v>3</v>
      </c>
      <c r="P10" s="2518"/>
      <c r="Q10" s="2519"/>
      <c r="R10" s="2499">
        <f t="shared" si="0"/>
        <v>3</v>
      </c>
      <c r="S10" s="2497"/>
      <c r="T10" s="2500"/>
      <c r="U10" s="2533">
        <v>2</v>
      </c>
      <c r="V10" s="2534"/>
      <c r="W10" s="2535"/>
      <c r="X10" s="2517">
        <v>29</v>
      </c>
      <c r="Y10" s="2518"/>
      <c r="Z10" s="2519"/>
      <c r="AA10" s="2499">
        <f t="shared" si="1"/>
        <v>31</v>
      </c>
      <c r="AB10" s="2497"/>
      <c r="AC10" s="2498"/>
      <c r="AD10" s="2494">
        <f t="shared" si="2"/>
        <v>2</v>
      </c>
      <c r="AE10" s="2494"/>
      <c r="AF10" s="2495"/>
      <c r="AG10" s="2496">
        <f t="shared" si="3"/>
        <v>32</v>
      </c>
      <c r="AH10" s="2497"/>
      <c r="AI10" s="2498"/>
      <c r="AJ10" s="2499">
        <f t="shared" si="4"/>
        <v>34</v>
      </c>
      <c r="AK10" s="2497"/>
      <c r="AL10" s="2500"/>
      <c r="AM10" s="191"/>
      <c r="AN10" s="191"/>
      <c r="AO10" s="191"/>
      <c r="AP10" s="191"/>
      <c r="AQ10" s="509"/>
      <c r="AR10" s="509"/>
      <c r="AS10" s="509"/>
      <c r="AT10" s="509"/>
      <c r="AU10" s="509"/>
      <c r="AV10" s="509"/>
      <c r="AW10" s="510"/>
      <c r="AX10" s="509"/>
      <c r="AY10" s="509"/>
      <c r="AZ10" s="509"/>
      <c r="BA10" s="509"/>
      <c r="BB10" s="509"/>
    </row>
    <row r="11" spans="4:58" s="237" customFormat="1" ht="17.149999999999999" customHeight="1" thickBot="1">
      <c r="E11" s="350"/>
      <c r="F11" s="452" t="s">
        <v>25</v>
      </c>
      <c r="G11" s="456"/>
      <c r="H11" s="456"/>
      <c r="I11" s="456"/>
      <c r="J11" s="456"/>
      <c r="K11" s="528"/>
      <c r="L11" s="2520">
        <v>0</v>
      </c>
      <c r="M11" s="2521"/>
      <c r="N11" s="2522"/>
      <c r="O11" s="2523">
        <v>3</v>
      </c>
      <c r="P11" s="2524"/>
      <c r="Q11" s="2525"/>
      <c r="R11" s="2506">
        <f t="shared" si="0"/>
        <v>3</v>
      </c>
      <c r="S11" s="2504"/>
      <c r="T11" s="2507"/>
      <c r="U11" s="2520">
        <v>2</v>
      </c>
      <c r="V11" s="2521"/>
      <c r="W11" s="2522"/>
      <c r="X11" s="2523">
        <v>29</v>
      </c>
      <c r="Y11" s="2524"/>
      <c r="Z11" s="2525"/>
      <c r="AA11" s="2506">
        <f t="shared" si="1"/>
        <v>31</v>
      </c>
      <c r="AB11" s="2504"/>
      <c r="AC11" s="2505"/>
      <c r="AD11" s="2501">
        <f t="shared" si="2"/>
        <v>2</v>
      </c>
      <c r="AE11" s="2501"/>
      <c r="AF11" s="2502"/>
      <c r="AG11" s="2503">
        <f t="shared" si="3"/>
        <v>32</v>
      </c>
      <c r="AH11" s="2504"/>
      <c r="AI11" s="2505"/>
      <c r="AJ11" s="2506">
        <f t="shared" si="4"/>
        <v>34</v>
      </c>
      <c r="AK11" s="2504"/>
      <c r="AL11" s="2507"/>
      <c r="AM11" s="191"/>
      <c r="AN11" s="191"/>
      <c r="AO11" s="191"/>
      <c r="AP11" s="191"/>
      <c r="AQ11" s="496"/>
      <c r="AR11" s="496"/>
      <c r="AS11" s="496"/>
      <c r="AT11" s="496"/>
      <c r="AU11" s="496"/>
      <c r="AV11" s="496"/>
      <c r="AW11" s="230"/>
      <c r="AX11" s="496"/>
      <c r="AY11" s="496"/>
      <c r="AZ11" s="496"/>
      <c r="BA11" s="496"/>
      <c r="BB11" s="496"/>
    </row>
    <row r="12" spans="4:58" s="237" customFormat="1" ht="18" customHeight="1" thickTop="1" thickBot="1">
      <c r="E12" s="2425" t="s">
        <v>29</v>
      </c>
      <c r="F12" s="2426"/>
      <c r="G12" s="2426"/>
      <c r="H12" s="2426"/>
      <c r="I12" s="2426"/>
      <c r="J12" s="2426"/>
      <c r="K12" s="2427"/>
      <c r="L12" s="2532">
        <f>SUM(L7:N11)</f>
        <v>0</v>
      </c>
      <c r="M12" s="2508"/>
      <c r="N12" s="2509"/>
      <c r="O12" s="2489">
        <f t="shared" ref="O12" si="5">SUM(O7:Q11)</f>
        <v>15</v>
      </c>
      <c r="P12" s="2490"/>
      <c r="Q12" s="2491"/>
      <c r="R12" s="2492">
        <f t="shared" ref="R12" si="6">SUM(R7:T11)</f>
        <v>15</v>
      </c>
      <c r="S12" s="2490"/>
      <c r="T12" s="2493"/>
      <c r="U12" s="2532">
        <f t="shared" ref="U12" si="7">SUM(U7:W11)</f>
        <v>10</v>
      </c>
      <c r="V12" s="2508"/>
      <c r="W12" s="2509"/>
      <c r="X12" s="2489">
        <f t="shared" ref="X12" si="8">SUM(X7:Z11)</f>
        <v>145</v>
      </c>
      <c r="Y12" s="2490"/>
      <c r="Z12" s="2491"/>
      <c r="AA12" s="2492">
        <f t="shared" ref="AA12" si="9">SUM(AA7:AC11)</f>
        <v>155</v>
      </c>
      <c r="AB12" s="2490"/>
      <c r="AC12" s="2491"/>
      <c r="AD12" s="2508">
        <f t="shared" ref="AD12" si="10">SUM(AD7:AF11)</f>
        <v>10</v>
      </c>
      <c r="AE12" s="2508"/>
      <c r="AF12" s="2509"/>
      <c r="AG12" s="2489">
        <f t="shared" ref="AG12" si="11">SUM(AG7:AI11)</f>
        <v>160</v>
      </c>
      <c r="AH12" s="2490"/>
      <c r="AI12" s="2491"/>
      <c r="AJ12" s="2492">
        <f t="shared" ref="AJ12" si="12">SUM(AJ7:AL11)</f>
        <v>170</v>
      </c>
      <c r="AK12" s="2490"/>
      <c r="AL12" s="2493"/>
      <c r="AM12" s="188"/>
      <c r="AN12" s="188"/>
      <c r="AO12" s="188"/>
      <c r="AP12" s="188"/>
      <c r="AQ12" s="496"/>
      <c r="AR12" s="496"/>
      <c r="AS12" s="496"/>
      <c r="AT12" s="496"/>
      <c r="AU12" s="496"/>
      <c r="AV12" s="496"/>
      <c r="AW12" s="230"/>
      <c r="AX12" s="496"/>
      <c r="AY12" s="496"/>
      <c r="AZ12" s="496"/>
      <c r="BA12" s="496"/>
      <c r="BB12" s="496"/>
    </row>
    <row r="13" spans="4:58" s="211" customFormat="1" ht="6" customHeight="1">
      <c r="D13" s="225"/>
      <c r="E13" s="191"/>
      <c r="F13" s="188"/>
      <c r="G13" s="191"/>
      <c r="H13" s="191"/>
      <c r="I13" s="191"/>
      <c r="J13" s="191"/>
      <c r="K13" s="191"/>
      <c r="L13" s="509"/>
      <c r="M13" s="509"/>
      <c r="N13" s="509"/>
      <c r="O13" s="509"/>
      <c r="P13" s="509"/>
      <c r="Q13" s="509"/>
      <c r="R13" s="509"/>
      <c r="S13" s="509"/>
      <c r="T13" s="509"/>
      <c r="U13" s="509"/>
      <c r="V13" s="509"/>
      <c r="W13" s="509"/>
      <c r="X13" s="509"/>
      <c r="Y13" s="509"/>
      <c r="Z13" s="509"/>
      <c r="AA13" s="509"/>
      <c r="AB13" s="509"/>
      <c r="AC13" s="509"/>
      <c r="AD13" s="499"/>
      <c r="AE13" s="499"/>
      <c r="AF13" s="225"/>
      <c r="AN13" s="499"/>
      <c r="AO13" s="499"/>
      <c r="AP13" s="499"/>
      <c r="AQ13" s="499"/>
      <c r="AR13" s="499"/>
      <c r="AS13" s="499"/>
      <c r="AT13" s="499"/>
      <c r="AU13" s="499"/>
      <c r="AV13" s="499"/>
      <c r="AW13" s="225"/>
      <c r="AX13" s="225"/>
      <c r="AY13" s="225"/>
      <c r="AZ13" s="225"/>
      <c r="BA13" s="225"/>
      <c r="BB13" s="225"/>
      <c r="BC13" s="225"/>
    </row>
    <row r="14" spans="4:58" s="211" customFormat="1" ht="33" customHeight="1">
      <c r="D14" s="225"/>
      <c r="E14" s="380" t="s">
        <v>151</v>
      </c>
      <c r="F14" s="2540" t="s">
        <v>720</v>
      </c>
      <c r="G14" s="2540"/>
      <c r="H14" s="2540"/>
      <c r="I14" s="2540"/>
      <c r="J14" s="2540"/>
      <c r="K14" s="2540"/>
      <c r="L14" s="2540"/>
      <c r="M14" s="2540"/>
      <c r="N14" s="2540"/>
      <c r="O14" s="2540"/>
      <c r="P14" s="2540"/>
      <c r="Q14" s="2540"/>
      <c r="R14" s="2540"/>
      <c r="S14" s="2540"/>
      <c r="T14" s="2540"/>
      <c r="U14" s="2540"/>
      <c r="V14" s="2540"/>
      <c r="W14" s="2540"/>
      <c r="X14" s="2540"/>
      <c r="Y14" s="2540"/>
      <c r="Z14" s="2540"/>
      <c r="AA14" s="2540"/>
      <c r="AB14" s="2540"/>
      <c r="AC14" s="2540"/>
      <c r="AD14" s="2540"/>
      <c r="AE14" s="2540"/>
      <c r="AF14" s="2540"/>
      <c r="AG14" s="2540"/>
      <c r="AH14" s="2540"/>
      <c r="AI14" s="2540"/>
      <c r="AJ14" s="2540"/>
      <c r="AK14" s="2540"/>
      <c r="AL14" s="2540"/>
      <c r="AM14" s="502"/>
      <c r="AN14" s="502"/>
      <c r="AO14" s="502"/>
      <c r="AP14" s="519"/>
      <c r="AQ14" s="501"/>
      <c r="AR14" s="501"/>
      <c r="AS14" s="501"/>
      <c r="AT14" s="501"/>
      <c r="AU14" s="499"/>
      <c r="AV14" s="499"/>
      <c r="AW14" s="499"/>
      <c r="AX14" s="499"/>
      <c r="AY14" s="499"/>
      <c r="AZ14" s="499"/>
      <c r="BA14" s="499"/>
      <c r="BB14" s="499"/>
      <c r="BC14" s="299"/>
    </row>
    <row r="15" spans="4:58" s="211" customFormat="1" ht="34.5" customHeight="1">
      <c r="D15" s="225"/>
      <c r="E15" s="380" t="s">
        <v>152</v>
      </c>
      <c r="F15" s="2540" t="s">
        <v>721</v>
      </c>
      <c r="G15" s="2540"/>
      <c r="H15" s="2540"/>
      <c r="I15" s="2540"/>
      <c r="J15" s="2540"/>
      <c r="K15" s="2540"/>
      <c r="L15" s="2540"/>
      <c r="M15" s="2540"/>
      <c r="N15" s="2540"/>
      <c r="O15" s="2540"/>
      <c r="P15" s="2540"/>
      <c r="Q15" s="2540"/>
      <c r="R15" s="2540"/>
      <c r="S15" s="2540"/>
      <c r="T15" s="2540"/>
      <c r="U15" s="2540"/>
      <c r="V15" s="2540"/>
      <c r="W15" s="2540"/>
      <c r="X15" s="2540"/>
      <c r="Y15" s="2540"/>
      <c r="Z15" s="2540"/>
      <c r="AA15" s="2540"/>
      <c r="AB15" s="2540"/>
      <c r="AC15" s="2540"/>
      <c r="AD15" s="2540"/>
      <c r="AE15" s="2540"/>
      <c r="AF15" s="2540"/>
      <c r="AG15" s="2540"/>
      <c r="AH15" s="2540"/>
      <c r="AI15" s="2540"/>
      <c r="AJ15" s="2540"/>
      <c r="AK15" s="2540"/>
      <c r="AL15" s="2540"/>
      <c r="AM15" s="502"/>
      <c r="AN15" s="502"/>
      <c r="AO15" s="502"/>
      <c r="AP15" s="519"/>
      <c r="AS15" s="499"/>
      <c r="AT15" s="499"/>
      <c r="AU15" s="499"/>
      <c r="AV15" s="499"/>
      <c r="AW15" s="499"/>
      <c r="AX15" s="499"/>
      <c r="AY15" s="499"/>
      <c r="AZ15" s="499"/>
      <c r="BA15" s="499"/>
      <c r="BB15" s="499"/>
    </row>
    <row r="16" spans="4:58" s="211" customFormat="1">
      <c r="D16" s="225"/>
      <c r="E16" s="500" t="s">
        <v>153</v>
      </c>
      <c r="F16" s="2542" t="s">
        <v>800</v>
      </c>
      <c r="G16" s="2542"/>
      <c r="H16" s="2542"/>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499"/>
      <c r="AN16" s="499"/>
      <c r="AO16" s="499"/>
      <c r="AP16" s="499"/>
      <c r="AQ16" s="499"/>
      <c r="AR16" s="499"/>
      <c r="AS16" s="499"/>
      <c r="AT16" s="499"/>
      <c r="AU16" s="499"/>
      <c r="AV16" s="499"/>
      <c r="AW16" s="499"/>
      <c r="AX16" s="499"/>
      <c r="AY16" s="499"/>
      <c r="AZ16" s="499"/>
      <c r="BA16" s="499"/>
      <c r="BB16" s="499"/>
    </row>
    <row r="17" spans="4:58" s="225" customFormat="1">
      <c r="E17" s="500" t="s">
        <v>154</v>
      </c>
      <c r="F17" s="2542" t="s">
        <v>801</v>
      </c>
      <c r="G17" s="2542"/>
      <c r="H17" s="2542"/>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Y17" s="508"/>
    </row>
    <row r="18" spans="4:58" s="225" customFormat="1">
      <c r="E18" s="500" t="s">
        <v>155</v>
      </c>
      <c r="F18" s="2397" t="s">
        <v>802</v>
      </c>
      <c r="G18" s="2397"/>
      <c r="H18" s="2397"/>
      <c r="I18" s="2397"/>
      <c r="J18" s="2397"/>
      <c r="K18" s="2397"/>
      <c r="L18" s="2397"/>
      <c r="M18" s="2397"/>
      <c r="N18" s="2397"/>
      <c r="O18" s="2397"/>
      <c r="P18" s="2397"/>
      <c r="Q18" s="2397"/>
      <c r="R18" s="2397"/>
      <c r="S18" s="2397"/>
      <c r="T18" s="2397"/>
      <c r="U18" s="2397"/>
      <c r="V18" s="2397"/>
      <c r="W18" s="2397"/>
      <c r="X18" s="2397"/>
      <c r="Y18" s="2397"/>
      <c r="Z18" s="2397"/>
      <c r="AA18" s="2397"/>
      <c r="AB18" s="2397"/>
      <c r="AC18" s="2397"/>
      <c r="AD18" s="2397"/>
      <c r="AE18" s="2397"/>
      <c r="AF18" s="2397"/>
      <c r="AG18" s="2397"/>
      <c r="AH18" s="2397"/>
      <c r="AI18" s="2397"/>
      <c r="AJ18" s="2397"/>
      <c r="AK18" s="2397"/>
      <c r="AL18" s="2397"/>
      <c r="AY18" s="508"/>
    </row>
    <row r="19" spans="4:58" s="225" customFormat="1" ht="10.4" customHeight="1">
      <c r="E19" s="500"/>
      <c r="F19" s="520"/>
      <c r="G19" s="520"/>
      <c r="H19" s="520"/>
      <c r="I19" s="520"/>
      <c r="J19" s="520"/>
      <c r="K19" s="520"/>
      <c r="L19" s="520"/>
      <c r="M19" s="520"/>
      <c r="N19" s="520"/>
      <c r="O19" s="520"/>
      <c r="P19" s="520"/>
      <c r="Q19" s="520"/>
      <c r="R19" s="520"/>
      <c r="S19" s="520"/>
      <c r="T19" s="520"/>
      <c r="U19" s="520"/>
      <c r="V19" s="520"/>
      <c r="W19" s="520"/>
      <c r="X19" s="520"/>
      <c r="Y19" s="520"/>
      <c r="Z19" s="520"/>
      <c r="AA19" s="520"/>
      <c r="AB19" s="520"/>
      <c r="AC19" s="520"/>
      <c r="AD19" s="520"/>
      <c r="AE19" s="520"/>
      <c r="AF19" s="520"/>
      <c r="AG19" s="520"/>
      <c r="AH19" s="520"/>
      <c r="AI19" s="520"/>
      <c r="AJ19" s="520"/>
      <c r="AK19" s="520"/>
      <c r="AL19" s="520"/>
      <c r="AY19" s="508"/>
    </row>
    <row r="20" spans="4:58" s="225" customFormat="1" ht="20.25" customHeight="1">
      <c r="E20" s="506" t="s">
        <v>921</v>
      </c>
      <c r="F20" s="215"/>
      <c r="K20" s="508"/>
      <c r="AY20" s="508"/>
    </row>
    <row r="21" spans="4:58" s="225" customFormat="1" ht="25" customHeight="1">
      <c r="E21" s="521"/>
      <c r="F21" s="215"/>
      <c r="G21" s="223"/>
      <c r="AY21" s="508"/>
    </row>
    <row r="22" spans="4:58" s="225" customFormat="1" ht="16.5" customHeight="1">
      <c r="E22" s="219" t="s">
        <v>1320</v>
      </c>
      <c r="F22" s="229"/>
      <c r="G22" s="229"/>
      <c r="H22" s="229"/>
      <c r="I22" s="229"/>
      <c r="J22" s="229"/>
      <c r="K22" s="229"/>
      <c r="L22" s="229"/>
      <c r="M22" s="229"/>
      <c r="N22" s="229"/>
      <c r="O22" s="229"/>
      <c r="P22" s="229"/>
      <c r="Q22" s="229"/>
      <c r="R22" s="230"/>
      <c r="S22" s="230"/>
      <c r="T22" s="230"/>
      <c r="U22" s="229"/>
      <c r="V22" s="229"/>
      <c r="W22" s="229"/>
      <c r="X22" s="229"/>
      <c r="Y22" s="229"/>
      <c r="Z22" s="229"/>
      <c r="AA22" s="230"/>
      <c r="AB22" s="230"/>
      <c r="AC22" s="230"/>
      <c r="AD22" s="230"/>
      <c r="AE22" s="230"/>
      <c r="AZ22" s="229"/>
      <c r="BA22" s="229"/>
      <c r="BB22" s="180"/>
    </row>
    <row r="23" spans="4:58" s="522" customFormat="1" ht="17" thickBot="1">
      <c r="E23" s="339" t="s">
        <v>11760</v>
      </c>
      <c r="F23" s="523"/>
      <c r="G23" s="228"/>
      <c r="H23" s="228"/>
      <c r="I23" s="228"/>
      <c r="J23" s="228"/>
      <c r="K23" s="228"/>
      <c r="L23" s="228"/>
      <c r="M23" s="228"/>
      <c r="N23" s="228"/>
      <c r="O23" s="228"/>
      <c r="P23" s="228"/>
      <c r="Q23" s="228"/>
      <c r="R23" s="523"/>
      <c r="S23" s="523"/>
      <c r="T23" s="523"/>
      <c r="U23" s="228"/>
      <c r="V23" s="228"/>
      <c r="W23" s="228"/>
      <c r="X23" s="228"/>
      <c r="Y23" s="228"/>
      <c r="Z23" s="228"/>
      <c r="AA23" s="523"/>
      <c r="AB23" s="523"/>
      <c r="AC23" s="523"/>
      <c r="AD23" s="524"/>
      <c r="AE23" s="524"/>
      <c r="AF23" s="188"/>
      <c r="AG23" s="188"/>
      <c r="AH23" s="188"/>
      <c r="AI23" s="229"/>
      <c r="AJ23" s="229"/>
      <c r="AK23" s="229"/>
      <c r="AL23" s="229"/>
      <c r="AM23" s="229"/>
      <c r="AQ23" s="229"/>
      <c r="AR23" s="229"/>
      <c r="AS23" s="229"/>
      <c r="AT23" s="229"/>
      <c r="AU23" s="229"/>
      <c r="AV23" s="229"/>
      <c r="AW23" s="229"/>
      <c r="AX23" s="229"/>
      <c r="AY23" s="229"/>
      <c r="AZ23" s="525"/>
      <c r="BA23" s="525"/>
      <c r="BB23" s="525"/>
      <c r="BC23" s="180"/>
      <c r="BD23" s="526"/>
      <c r="BE23" s="526"/>
      <c r="BF23" s="526"/>
    </row>
    <row r="24" spans="4:58" s="225" customFormat="1">
      <c r="D24" s="522"/>
      <c r="E24" s="2128" t="s">
        <v>740</v>
      </c>
      <c r="F24" s="1793"/>
      <c r="G24" s="1793"/>
      <c r="H24" s="1793"/>
      <c r="I24" s="1793"/>
      <c r="J24" s="1793"/>
      <c r="K24" s="1794"/>
      <c r="L24" s="2537" t="s">
        <v>869</v>
      </c>
      <c r="M24" s="2538"/>
      <c r="N24" s="2538"/>
      <c r="O24" s="2538"/>
      <c r="P24" s="2538"/>
      <c r="Q24" s="2538"/>
      <c r="R24" s="2538"/>
      <c r="S24" s="2538"/>
      <c r="T24" s="2538"/>
      <c r="U24" s="2538"/>
      <c r="V24" s="2538"/>
      <c r="W24" s="2538"/>
      <c r="X24" s="2538"/>
      <c r="Y24" s="2538"/>
      <c r="Z24" s="2538"/>
      <c r="AA24" s="2538"/>
      <c r="AB24" s="2538"/>
      <c r="AC24" s="2538"/>
      <c r="AD24" s="2538"/>
      <c r="AE24" s="2538"/>
      <c r="AF24" s="2538"/>
      <c r="AG24" s="2538"/>
      <c r="AH24" s="2538"/>
      <c r="AI24" s="2538"/>
      <c r="AJ24" s="2538"/>
      <c r="AK24" s="2538"/>
      <c r="AL24" s="2539"/>
      <c r="AM24" s="229"/>
      <c r="AN24" s="229"/>
      <c r="AO24" s="229"/>
      <c r="AP24" s="229"/>
      <c r="AQ24" s="2536"/>
      <c r="AR24" s="2536"/>
      <c r="AS24" s="2536"/>
      <c r="AT24" s="2536"/>
      <c r="AU24" s="2536"/>
      <c r="AV24" s="2536"/>
      <c r="AW24" s="180"/>
      <c r="AX24" s="2536"/>
      <c r="AY24" s="2536"/>
      <c r="AZ24" s="2536"/>
      <c r="BA24" s="2536"/>
      <c r="BB24" s="2536"/>
    </row>
    <row r="25" spans="4:58" s="225" customFormat="1" ht="15.65" customHeight="1">
      <c r="D25" s="522"/>
      <c r="E25" s="2129"/>
      <c r="F25" s="2130"/>
      <c r="G25" s="2130"/>
      <c r="H25" s="2130"/>
      <c r="I25" s="2130"/>
      <c r="J25" s="2130"/>
      <c r="K25" s="2131"/>
      <c r="L25" s="2550" t="s">
        <v>57</v>
      </c>
      <c r="M25" s="2551"/>
      <c r="N25" s="2551"/>
      <c r="O25" s="2551"/>
      <c r="P25" s="2551"/>
      <c r="Q25" s="2551"/>
      <c r="R25" s="2551"/>
      <c r="S25" s="2551"/>
      <c r="T25" s="2552"/>
      <c r="U25" s="2550" t="s">
        <v>274</v>
      </c>
      <c r="V25" s="2551"/>
      <c r="W25" s="2551"/>
      <c r="X25" s="2551"/>
      <c r="Y25" s="2551"/>
      <c r="Z25" s="2551"/>
      <c r="AA25" s="2551"/>
      <c r="AB25" s="2551"/>
      <c r="AC25" s="2553"/>
      <c r="AD25" s="2551" t="s">
        <v>1271</v>
      </c>
      <c r="AE25" s="2551"/>
      <c r="AF25" s="2551"/>
      <c r="AG25" s="2551"/>
      <c r="AH25" s="2551"/>
      <c r="AI25" s="2551"/>
      <c r="AJ25" s="2551"/>
      <c r="AK25" s="2551"/>
      <c r="AL25" s="2552"/>
      <c r="AM25" s="229"/>
      <c r="AN25" s="229"/>
      <c r="AO25" s="229"/>
      <c r="AP25" s="229"/>
      <c r="AQ25" s="527"/>
      <c r="AR25" s="527"/>
      <c r="AS25" s="527"/>
      <c r="AT25" s="527"/>
      <c r="AU25" s="527"/>
      <c r="AV25" s="527"/>
      <c r="AW25" s="180"/>
      <c r="AX25" s="527"/>
      <c r="AY25" s="527"/>
      <c r="AZ25" s="527"/>
      <c r="BA25" s="527"/>
      <c r="BB25" s="527"/>
    </row>
    <row r="26" spans="4:58" s="225" customFormat="1" ht="16" thickBot="1">
      <c r="D26" s="320"/>
      <c r="E26" s="2132"/>
      <c r="F26" s="2133"/>
      <c r="G26" s="2133"/>
      <c r="H26" s="2133"/>
      <c r="I26" s="2133"/>
      <c r="J26" s="2133"/>
      <c r="K26" s="2134"/>
      <c r="L26" s="2554" t="s">
        <v>15</v>
      </c>
      <c r="M26" s="2545"/>
      <c r="N26" s="2547"/>
      <c r="O26" s="2548" t="s">
        <v>16</v>
      </c>
      <c r="P26" s="2545"/>
      <c r="Q26" s="2546"/>
      <c r="R26" s="2544" t="s">
        <v>29</v>
      </c>
      <c r="S26" s="2545"/>
      <c r="T26" s="2549"/>
      <c r="U26" s="2554" t="s">
        <v>15</v>
      </c>
      <c r="V26" s="2545"/>
      <c r="W26" s="2547"/>
      <c r="X26" s="2548" t="s">
        <v>16</v>
      </c>
      <c r="Y26" s="2545"/>
      <c r="Z26" s="2546"/>
      <c r="AA26" s="2544" t="s">
        <v>29</v>
      </c>
      <c r="AB26" s="2545"/>
      <c r="AC26" s="2546"/>
      <c r="AD26" s="2545" t="s">
        <v>15</v>
      </c>
      <c r="AE26" s="2545"/>
      <c r="AF26" s="2547"/>
      <c r="AG26" s="2548" t="s">
        <v>16</v>
      </c>
      <c r="AH26" s="2545"/>
      <c r="AI26" s="2546"/>
      <c r="AJ26" s="2544" t="s">
        <v>29</v>
      </c>
      <c r="AK26" s="2545"/>
      <c r="AL26" s="2549"/>
      <c r="AM26" s="229"/>
      <c r="AN26" s="229"/>
      <c r="AO26" s="229"/>
      <c r="AP26" s="229"/>
      <c r="AQ26" s="2536"/>
      <c r="AR26" s="2536"/>
      <c r="AS26" s="2536"/>
      <c r="AT26" s="2536"/>
      <c r="AU26" s="2536"/>
      <c r="AV26" s="2536"/>
      <c r="AW26" s="180"/>
      <c r="AX26" s="527"/>
      <c r="AY26" s="2536"/>
      <c r="AZ26" s="2536"/>
      <c r="BA26" s="2536"/>
      <c r="BB26" s="2536"/>
    </row>
    <row r="27" spans="4:58" s="237" customFormat="1" ht="17.149999999999999" customHeight="1">
      <c r="D27" s="512"/>
      <c r="E27" s="513"/>
      <c r="F27" s="514" t="s">
        <v>641</v>
      </c>
      <c r="G27" s="515"/>
      <c r="H27" s="515"/>
      <c r="I27" s="515"/>
      <c r="J27" s="515"/>
      <c r="K27" s="516"/>
      <c r="L27" s="2526">
        <v>0</v>
      </c>
      <c r="M27" s="2527"/>
      <c r="N27" s="2528"/>
      <c r="O27" s="2529">
        <v>3</v>
      </c>
      <c r="P27" s="2530"/>
      <c r="Q27" s="2531"/>
      <c r="R27" s="2515">
        <f>SUM(L27:Q27)</f>
        <v>3</v>
      </c>
      <c r="S27" s="2513"/>
      <c r="T27" s="2516"/>
      <c r="U27" s="2526">
        <v>2</v>
      </c>
      <c r="V27" s="2527"/>
      <c r="W27" s="2528"/>
      <c r="X27" s="2529">
        <v>29</v>
      </c>
      <c r="Y27" s="2530"/>
      <c r="Z27" s="2531"/>
      <c r="AA27" s="2515">
        <f t="shared" ref="AA27:AA33" si="13">SUM(U27:Z27)</f>
        <v>31</v>
      </c>
      <c r="AB27" s="2513"/>
      <c r="AC27" s="2514"/>
      <c r="AD27" s="2510">
        <f>SUM(L27,U27)</f>
        <v>2</v>
      </c>
      <c r="AE27" s="2510"/>
      <c r="AF27" s="2511"/>
      <c r="AG27" s="2512">
        <f>SUM(O27,X27)</f>
        <v>32</v>
      </c>
      <c r="AH27" s="2513"/>
      <c r="AI27" s="2514"/>
      <c r="AJ27" s="2515">
        <f t="shared" ref="AJ27:AJ33" si="14">SUM(AD27:AI27)</f>
        <v>34</v>
      </c>
      <c r="AK27" s="2513"/>
      <c r="AL27" s="2516"/>
      <c r="AM27" s="191"/>
      <c r="AN27" s="191"/>
      <c r="AO27" s="191"/>
      <c r="AP27" s="191"/>
      <c r="AQ27" s="509"/>
      <c r="AR27" s="509"/>
      <c r="AS27" s="509"/>
      <c r="AT27" s="509"/>
      <c r="AU27" s="509"/>
      <c r="AV27" s="509"/>
      <c r="AX27" s="509"/>
      <c r="AY27" s="509"/>
      <c r="AZ27" s="509"/>
      <c r="BA27" s="509"/>
      <c r="BB27" s="509"/>
    </row>
    <row r="28" spans="4:58" s="237" customFormat="1" ht="17.149999999999999" customHeight="1">
      <c r="E28" s="350"/>
      <c r="F28" s="517" t="s">
        <v>642</v>
      </c>
      <c r="G28" s="452"/>
      <c r="H28" s="452"/>
      <c r="I28" s="452"/>
      <c r="J28" s="452"/>
      <c r="K28" s="518"/>
      <c r="L28" s="2533">
        <v>0</v>
      </c>
      <c r="M28" s="2534"/>
      <c r="N28" s="2535"/>
      <c r="O28" s="2517">
        <v>3</v>
      </c>
      <c r="P28" s="2518"/>
      <c r="Q28" s="2519"/>
      <c r="R28" s="2499">
        <f t="shared" ref="R28:R33" si="15">SUM(L28:Q28)</f>
        <v>3</v>
      </c>
      <c r="S28" s="2497"/>
      <c r="T28" s="2500"/>
      <c r="U28" s="2533">
        <v>2</v>
      </c>
      <c r="V28" s="2534"/>
      <c r="W28" s="2535"/>
      <c r="X28" s="2517">
        <v>29</v>
      </c>
      <c r="Y28" s="2518"/>
      <c r="Z28" s="2519"/>
      <c r="AA28" s="2499">
        <f t="shared" si="13"/>
        <v>31</v>
      </c>
      <c r="AB28" s="2497"/>
      <c r="AC28" s="2498"/>
      <c r="AD28" s="2494">
        <f t="shared" ref="AD28:AD33" si="16">SUM(L28,U28)</f>
        <v>2</v>
      </c>
      <c r="AE28" s="2494"/>
      <c r="AF28" s="2495"/>
      <c r="AG28" s="2496">
        <f t="shared" ref="AG28:AG33" si="17">SUM(O28,X28)</f>
        <v>32</v>
      </c>
      <c r="AH28" s="2497"/>
      <c r="AI28" s="2498"/>
      <c r="AJ28" s="2499">
        <f t="shared" si="14"/>
        <v>34</v>
      </c>
      <c r="AK28" s="2497"/>
      <c r="AL28" s="2500"/>
      <c r="AM28" s="191"/>
      <c r="AN28" s="191"/>
      <c r="AO28" s="191"/>
      <c r="AP28" s="191"/>
      <c r="AQ28" s="509"/>
      <c r="AR28" s="509"/>
      <c r="AS28" s="509"/>
      <c r="AT28" s="509"/>
      <c r="AU28" s="509"/>
      <c r="AV28" s="509"/>
      <c r="AX28" s="509"/>
      <c r="AY28" s="509"/>
      <c r="AZ28" s="509"/>
      <c r="BA28" s="509"/>
      <c r="BB28" s="509"/>
    </row>
    <row r="29" spans="4:58" s="237" customFormat="1" ht="17.149999999999999" customHeight="1">
      <c r="E29" s="350"/>
      <c r="F29" s="517" t="s">
        <v>643</v>
      </c>
      <c r="G29" s="452"/>
      <c r="H29" s="452"/>
      <c r="I29" s="452"/>
      <c r="J29" s="452"/>
      <c r="K29" s="518"/>
      <c r="L29" s="2533">
        <v>0</v>
      </c>
      <c r="M29" s="2534"/>
      <c r="N29" s="2535"/>
      <c r="O29" s="2517">
        <v>3</v>
      </c>
      <c r="P29" s="2518"/>
      <c r="Q29" s="2519"/>
      <c r="R29" s="2499">
        <f t="shared" si="15"/>
        <v>3</v>
      </c>
      <c r="S29" s="2497"/>
      <c r="T29" s="2500"/>
      <c r="U29" s="2533">
        <v>2</v>
      </c>
      <c r="V29" s="2534"/>
      <c r="W29" s="2535"/>
      <c r="X29" s="2517">
        <v>29</v>
      </c>
      <c r="Y29" s="2518"/>
      <c r="Z29" s="2519"/>
      <c r="AA29" s="2499">
        <f t="shared" si="13"/>
        <v>31</v>
      </c>
      <c r="AB29" s="2497"/>
      <c r="AC29" s="2498"/>
      <c r="AD29" s="2494">
        <f t="shared" si="16"/>
        <v>2</v>
      </c>
      <c r="AE29" s="2494"/>
      <c r="AF29" s="2495"/>
      <c r="AG29" s="2496">
        <f t="shared" si="17"/>
        <v>32</v>
      </c>
      <c r="AH29" s="2497"/>
      <c r="AI29" s="2498"/>
      <c r="AJ29" s="2499">
        <f t="shared" si="14"/>
        <v>34</v>
      </c>
      <c r="AK29" s="2497"/>
      <c r="AL29" s="2500"/>
      <c r="AM29" s="191"/>
      <c r="AN29" s="191"/>
      <c r="AO29" s="191"/>
      <c r="AP29" s="191"/>
      <c r="AQ29" s="509"/>
      <c r="AR29" s="509"/>
      <c r="AS29" s="509"/>
      <c r="AT29" s="509"/>
      <c r="AU29" s="509"/>
      <c r="AV29" s="509"/>
      <c r="AX29" s="509"/>
      <c r="AY29" s="509"/>
      <c r="AZ29" s="509"/>
      <c r="BA29" s="509"/>
      <c r="BB29" s="509"/>
    </row>
    <row r="30" spans="4:58" s="237" customFormat="1" ht="17.149999999999999" customHeight="1">
      <c r="E30" s="350"/>
      <c r="F30" s="517" t="s">
        <v>644</v>
      </c>
      <c r="G30" s="452"/>
      <c r="H30" s="452"/>
      <c r="I30" s="452"/>
      <c r="J30" s="452"/>
      <c r="K30" s="518"/>
      <c r="L30" s="2533">
        <v>0</v>
      </c>
      <c r="M30" s="2534"/>
      <c r="N30" s="2535"/>
      <c r="O30" s="2517">
        <v>3</v>
      </c>
      <c r="P30" s="2518"/>
      <c r="Q30" s="2519"/>
      <c r="R30" s="2499">
        <f t="shared" si="15"/>
        <v>3</v>
      </c>
      <c r="S30" s="2497"/>
      <c r="T30" s="2500"/>
      <c r="U30" s="2533">
        <v>2</v>
      </c>
      <c r="V30" s="2534"/>
      <c r="W30" s="2535"/>
      <c r="X30" s="2517">
        <v>29</v>
      </c>
      <c r="Y30" s="2518"/>
      <c r="Z30" s="2519"/>
      <c r="AA30" s="2499">
        <f t="shared" si="13"/>
        <v>31</v>
      </c>
      <c r="AB30" s="2497"/>
      <c r="AC30" s="2498"/>
      <c r="AD30" s="2494">
        <f t="shared" si="16"/>
        <v>2</v>
      </c>
      <c r="AE30" s="2494"/>
      <c r="AF30" s="2495"/>
      <c r="AG30" s="2496">
        <f t="shared" si="17"/>
        <v>32</v>
      </c>
      <c r="AH30" s="2497"/>
      <c r="AI30" s="2498"/>
      <c r="AJ30" s="2499">
        <f t="shared" si="14"/>
        <v>34</v>
      </c>
      <c r="AK30" s="2497"/>
      <c r="AL30" s="2500"/>
      <c r="AM30" s="191"/>
      <c r="AN30" s="191"/>
      <c r="AO30" s="191"/>
      <c r="AP30" s="191"/>
      <c r="AQ30" s="509"/>
      <c r="AR30" s="509"/>
      <c r="AS30" s="509"/>
      <c r="AT30" s="509"/>
      <c r="AU30" s="509"/>
      <c r="AV30" s="509"/>
      <c r="AX30" s="509"/>
      <c r="AY30" s="509"/>
      <c r="AZ30" s="509"/>
      <c r="BA30" s="509"/>
      <c r="BB30" s="509"/>
    </row>
    <row r="31" spans="4:58" s="237" customFormat="1" ht="17.149999999999999" customHeight="1">
      <c r="E31" s="350"/>
      <c r="F31" s="517" t="s">
        <v>645</v>
      </c>
      <c r="G31" s="452"/>
      <c r="H31" s="452"/>
      <c r="I31" s="452"/>
      <c r="J31" s="452"/>
      <c r="K31" s="518"/>
      <c r="L31" s="2533">
        <v>0</v>
      </c>
      <c r="M31" s="2534"/>
      <c r="N31" s="2535"/>
      <c r="O31" s="2517">
        <v>3</v>
      </c>
      <c r="P31" s="2518"/>
      <c r="Q31" s="2519"/>
      <c r="R31" s="2499">
        <f t="shared" si="15"/>
        <v>3</v>
      </c>
      <c r="S31" s="2497"/>
      <c r="T31" s="2500"/>
      <c r="U31" s="2533">
        <v>2</v>
      </c>
      <c r="V31" s="2534"/>
      <c r="W31" s="2535"/>
      <c r="X31" s="2517">
        <v>29</v>
      </c>
      <c r="Y31" s="2518"/>
      <c r="Z31" s="2519"/>
      <c r="AA31" s="2499">
        <f t="shared" si="13"/>
        <v>31</v>
      </c>
      <c r="AB31" s="2497"/>
      <c r="AC31" s="2498"/>
      <c r="AD31" s="2494">
        <f t="shared" si="16"/>
        <v>2</v>
      </c>
      <c r="AE31" s="2494"/>
      <c r="AF31" s="2495"/>
      <c r="AG31" s="2496">
        <f t="shared" si="17"/>
        <v>32</v>
      </c>
      <c r="AH31" s="2497"/>
      <c r="AI31" s="2498"/>
      <c r="AJ31" s="2499">
        <f t="shared" si="14"/>
        <v>34</v>
      </c>
      <c r="AK31" s="2497"/>
      <c r="AL31" s="2500"/>
      <c r="AM31" s="191"/>
      <c r="AN31" s="191"/>
      <c r="AO31" s="191"/>
      <c r="AP31" s="191"/>
      <c r="AQ31" s="509"/>
      <c r="AR31" s="509"/>
      <c r="AS31" s="509"/>
      <c r="AT31" s="509"/>
      <c r="AU31" s="509"/>
      <c r="AV31" s="509"/>
      <c r="AX31" s="509"/>
      <c r="AY31" s="509"/>
      <c r="AZ31" s="509"/>
      <c r="BA31" s="509"/>
      <c r="BB31" s="509"/>
    </row>
    <row r="32" spans="4:58" s="511" customFormat="1" ht="17.149999999999999" customHeight="1">
      <c r="D32" s="237"/>
      <c r="E32" s="350"/>
      <c r="F32" s="517" t="s">
        <v>646</v>
      </c>
      <c r="G32" s="452"/>
      <c r="H32" s="452"/>
      <c r="I32" s="452"/>
      <c r="J32" s="452"/>
      <c r="K32" s="518"/>
      <c r="L32" s="2533">
        <v>0</v>
      </c>
      <c r="M32" s="2534"/>
      <c r="N32" s="2535"/>
      <c r="O32" s="2517">
        <v>3</v>
      </c>
      <c r="P32" s="2518"/>
      <c r="Q32" s="2519"/>
      <c r="R32" s="2499">
        <f t="shared" si="15"/>
        <v>3</v>
      </c>
      <c r="S32" s="2497"/>
      <c r="T32" s="2500"/>
      <c r="U32" s="2533">
        <v>2</v>
      </c>
      <c r="V32" s="2534"/>
      <c r="W32" s="2535"/>
      <c r="X32" s="2517">
        <v>29</v>
      </c>
      <c r="Y32" s="2518"/>
      <c r="Z32" s="2519"/>
      <c r="AA32" s="2499">
        <f t="shared" si="13"/>
        <v>31</v>
      </c>
      <c r="AB32" s="2497"/>
      <c r="AC32" s="2498"/>
      <c r="AD32" s="2494">
        <f t="shared" si="16"/>
        <v>2</v>
      </c>
      <c r="AE32" s="2494"/>
      <c r="AF32" s="2495"/>
      <c r="AG32" s="2496">
        <f t="shared" si="17"/>
        <v>32</v>
      </c>
      <c r="AH32" s="2497"/>
      <c r="AI32" s="2498"/>
      <c r="AJ32" s="2499">
        <f t="shared" si="14"/>
        <v>34</v>
      </c>
      <c r="AK32" s="2497"/>
      <c r="AL32" s="2500"/>
      <c r="AM32" s="191"/>
      <c r="AN32" s="191"/>
      <c r="AO32" s="191"/>
      <c r="AP32" s="191"/>
      <c r="AQ32" s="509"/>
      <c r="AR32" s="509"/>
      <c r="AS32" s="509"/>
      <c r="AT32" s="509"/>
      <c r="AU32" s="509"/>
      <c r="AV32" s="509"/>
      <c r="AW32" s="510"/>
      <c r="AX32" s="509"/>
      <c r="AY32" s="509"/>
      <c r="AZ32" s="509"/>
      <c r="BA32" s="509"/>
      <c r="BB32" s="509"/>
    </row>
    <row r="33" spans="2:55" s="237" customFormat="1" ht="17.149999999999999" customHeight="1" thickBot="1">
      <c r="E33" s="350"/>
      <c r="F33" s="452" t="s">
        <v>25</v>
      </c>
      <c r="G33" s="452"/>
      <c r="H33" s="452"/>
      <c r="I33" s="452"/>
      <c r="J33" s="452"/>
      <c r="K33" s="518"/>
      <c r="L33" s="2520">
        <v>0</v>
      </c>
      <c r="M33" s="2521"/>
      <c r="N33" s="2522"/>
      <c r="O33" s="2523">
        <v>3</v>
      </c>
      <c r="P33" s="2524"/>
      <c r="Q33" s="2525"/>
      <c r="R33" s="2506">
        <f t="shared" si="15"/>
        <v>3</v>
      </c>
      <c r="S33" s="2504"/>
      <c r="T33" s="2507"/>
      <c r="U33" s="2520">
        <v>2</v>
      </c>
      <c r="V33" s="2521"/>
      <c r="W33" s="2522"/>
      <c r="X33" s="2523">
        <v>29</v>
      </c>
      <c r="Y33" s="2524"/>
      <c r="Z33" s="2525"/>
      <c r="AA33" s="2506">
        <f t="shared" si="13"/>
        <v>31</v>
      </c>
      <c r="AB33" s="2504"/>
      <c r="AC33" s="2505"/>
      <c r="AD33" s="2501">
        <f t="shared" si="16"/>
        <v>2</v>
      </c>
      <c r="AE33" s="2501"/>
      <c r="AF33" s="2502"/>
      <c r="AG33" s="2503">
        <f t="shared" si="17"/>
        <v>32</v>
      </c>
      <c r="AH33" s="2504"/>
      <c r="AI33" s="2505"/>
      <c r="AJ33" s="2506">
        <f t="shared" si="14"/>
        <v>34</v>
      </c>
      <c r="AK33" s="2504"/>
      <c r="AL33" s="2507"/>
      <c r="AM33" s="191"/>
      <c r="AN33" s="191"/>
      <c r="AO33" s="191"/>
      <c r="AP33" s="191"/>
      <c r="AQ33" s="496"/>
      <c r="AR33" s="496"/>
      <c r="AS33" s="496"/>
      <c r="AT33" s="496"/>
      <c r="AU33" s="496"/>
      <c r="AV33" s="496"/>
      <c r="AW33" s="230"/>
      <c r="AX33" s="496"/>
      <c r="AY33" s="496"/>
      <c r="AZ33" s="496"/>
      <c r="BA33" s="496"/>
      <c r="BB33" s="496"/>
    </row>
    <row r="34" spans="2:55" s="237" customFormat="1" ht="18" customHeight="1" thickTop="1" thickBot="1">
      <c r="E34" s="2425" t="s">
        <v>29</v>
      </c>
      <c r="F34" s="2426"/>
      <c r="G34" s="2426"/>
      <c r="H34" s="2426"/>
      <c r="I34" s="2426"/>
      <c r="J34" s="2426"/>
      <c r="K34" s="2427"/>
      <c r="L34" s="2532">
        <f>SUM(L27:N33)</f>
        <v>0</v>
      </c>
      <c r="M34" s="2508"/>
      <c r="N34" s="2509"/>
      <c r="O34" s="2489">
        <f t="shared" ref="O34" si="18">SUM(O27:Q33)</f>
        <v>21</v>
      </c>
      <c r="P34" s="2490"/>
      <c r="Q34" s="2491"/>
      <c r="R34" s="2492">
        <f t="shared" ref="R34" si="19">SUM(R27:T33)</f>
        <v>21</v>
      </c>
      <c r="S34" s="2490"/>
      <c r="T34" s="2493"/>
      <c r="U34" s="2532">
        <f t="shared" ref="U34" si="20">SUM(U27:W33)</f>
        <v>14</v>
      </c>
      <c r="V34" s="2508"/>
      <c r="W34" s="2509"/>
      <c r="X34" s="2489">
        <f t="shared" ref="X34" si="21">SUM(X27:Z33)</f>
        <v>203</v>
      </c>
      <c r="Y34" s="2490"/>
      <c r="Z34" s="2491"/>
      <c r="AA34" s="2492">
        <f t="shared" ref="AA34" si="22">SUM(AA27:AC33)</f>
        <v>217</v>
      </c>
      <c r="AB34" s="2490"/>
      <c r="AC34" s="2491"/>
      <c r="AD34" s="2508">
        <f t="shared" ref="AD34" si="23">SUM(AD27:AF33)</f>
        <v>14</v>
      </c>
      <c r="AE34" s="2508"/>
      <c r="AF34" s="2509"/>
      <c r="AG34" s="2489">
        <f t="shared" ref="AG34" si="24">SUM(AG27:AI33)</f>
        <v>224</v>
      </c>
      <c r="AH34" s="2490"/>
      <c r="AI34" s="2491"/>
      <c r="AJ34" s="2492">
        <f t="shared" ref="AJ34" si="25">SUM(AJ27:AL33)</f>
        <v>238</v>
      </c>
      <c r="AK34" s="2490"/>
      <c r="AL34" s="2493"/>
      <c r="AM34" s="188"/>
      <c r="AN34" s="188"/>
      <c r="AO34" s="188"/>
      <c r="AP34" s="188"/>
      <c r="AQ34" s="496"/>
      <c r="AR34" s="496"/>
      <c r="AS34" s="496"/>
      <c r="AT34" s="496"/>
      <c r="AU34" s="496"/>
      <c r="AV34" s="496"/>
      <c r="AW34" s="230"/>
      <c r="AX34" s="496"/>
      <c r="AY34" s="496"/>
      <c r="AZ34" s="496"/>
      <c r="BA34" s="496"/>
      <c r="BB34" s="496"/>
    </row>
    <row r="35" spans="2:55" s="211" customFormat="1" ht="6" customHeight="1">
      <c r="D35" s="225"/>
      <c r="E35" s="191"/>
      <c r="F35" s="188"/>
      <c r="G35" s="191"/>
      <c r="H35" s="191"/>
      <c r="I35" s="191"/>
      <c r="J35" s="191"/>
      <c r="K35" s="497"/>
      <c r="L35" s="498"/>
      <c r="M35" s="498"/>
      <c r="N35" s="498"/>
      <c r="O35" s="498"/>
      <c r="P35" s="498"/>
      <c r="Q35" s="498"/>
      <c r="R35" s="498"/>
      <c r="S35" s="498"/>
      <c r="T35" s="498"/>
      <c r="U35" s="498"/>
      <c r="V35" s="498"/>
      <c r="W35" s="498"/>
      <c r="X35" s="498"/>
      <c r="Y35" s="498"/>
      <c r="Z35" s="498"/>
      <c r="AA35" s="498"/>
      <c r="AB35" s="498"/>
      <c r="AC35" s="498"/>
      <c r="AD35" s="499"/>
      <c r="AE35" s="499"/>
      <c r="AF35" s="225"/>
      <c r="AN35" s="499"/>
      <c r="AO35" s="499"/>
      <c r="AP35" s="499"/>
      <c r="AQ35" s="499"/>
      <c r="AR35" s="499"/>
      <c r="AS35" s="499"/>
      <c r="AT35" s="499"/>
      <c r="AU35" s="499"/>
      <c r="AV35" s="499"/>
      <c r="AW35" s="225"/>
      <c r="AX35" s="225"/>
      <c r="AY35" s="225"/>
      <c r="AZ35" s="225"/>
      <c r="BA35" s="225"/>
      <c r="BB35" s="225"/>
      <c r="BC35" s="225"/>
    </row>
    <row r="36" spans="2:55" s="215" customFormat="1">
      <c r="D36" s="180"/>
      <c r="E36" s="500" t="s">
        <v>151</v>
      </c>
      <c r="F36" s="2543" t="s">
        <v>1319</v>
      </c>
      <c r="G36" s="2543"/>
      <c r="H36" s="2543"/>
      <c r="I36" s="2543"/>
      <c r="J36" s="2543"/>
      <c r="K36" s="2543"/>
      <c r="L36" s="2543"/>
      <c r="M36" s="2543"/>
      <c r="N36" s="2543"/>
      <c r="O36" s="2543"/>
      <c r="P36" s="2543"/>
      <c r="Q36" s="2543"/>
      <c r="R36" s="2543"/>
      <c r="S36" s="2543"/>
      <c r="T36" s="2543"/>
      <c r="U36" s="2543"/>
      <c r="V36" s="2543"/>
      <c r="W36" s="2543"/>
      <c r="X36" s="2543"/>
      <c r="Y36" s="2543"/>
      <c r="Z36" s="2543"/>
      <c r="AA36" s="2543"/>
      <c r="AB36" s="2543"/>
      <c r="AC36" s="2543"/>
      <c r="AD36" s="2543"/>
      <c r="AE36" s="2543"/>
      <c r="AF36" s="2543"/>
      <c r="AG36" s="2543"/>
      <c r="AH36" s="2543"/>
      <c r="AI36" s="2543"/>
      <c r="AJ36" s="2543"/>
      <c r="AK36" s="2543"/>
      <c r="AL36" s="2543"/>
      <c r="AM36" s="501"/>
      <c r="AN36" s="501"/>
      <c r="AO36" s="501"/>
      <c r="AP36" s="501"/>
      <c r="AQ36" s="501"/>
      <c r="AR36" s="501"/>
      <c r="AS36" s="501"/>
      <c r="AT36" s="501"/>
      <c r="AU36" s="501"/>
      <c r="AV36" s="501"/>
      <c r="AW36" s="501"/>
      <c r="AX36" s="501"/>
      <c r="AY36" s="501"/>
      <c r="AZ36" s="501"/>
      <c r="BA36" s="501"/>
      <c r="BB36" s="501"/>
      <c r="BC36" s="222"/>
    </row>
    <row r="37" spans="2:55" s="215" customFormat="1" ht="31.5" customHeight="1">
      <c r="D37" s="180"/>
      <c r="E37" s="380" t="s">
        <v>152</v>
      </c>
      <c r="F37" s="2540" t="s">
        <v>1052</v>
      </c>
      <c r="G37" s="2540"/>
      <c r="H37" s="2540"/>
      <c r="I37" s="2540"/>
      <c r="J37" s="2540"/>
      <c r="K37" s="2540"/>
      <c r="L37" s="2540"/>
      <c r="M37" s="2540"/>
      <c r="N37" s="2540"/>
      <c r="O37" s="2540"/>
      <c r="P37" s="2540"/>
      <c r="Q37" s="2540"/>
      <c r="R37" s="2540"/>
      <c r="S37" s="2540"/>
      <c r="T37" s="2540"/>
      <c r="U37" s="2540"/>
      <c r="V37" s="2540"/>
      <c r="W37" s="2540"/>
      <c r="X37" s="2540"/>
      <c r="Y37" s="2540"/>
      <c r="Z37" s="2540"/>
      <c r="AA37" s="2540"/>
      <c r="AB37" s="2540"/>
      <c r="AC37" s="2540"/>
      <c r="AD37" s="2540"/>
      <c r="AE37" s="2540"/>
      <c r="AF37" s="2540"/>
      <c r="AG37" s="2540"/>
      <c r="AH37" s="2540"/>
      <c r="AI37" s="2540"/>
      <c r="AJ37" s="2540"/>
      <c r="AK37" s="2540"/>
      <c r="AL37" s="2540"/>
      <c r="AM37" s="502"/>
      <c r="AN37" s="502"/>
      <c r="AO37" s="502"/>
      <c r="AS37" s="501"/>
      <c r="AT37" s="501"/>
      <c r="AU37" s="501"/>
      <c r="AV37" s="501"/>
      <c r="AW37" s="501"/>
      <c r="AX37" s="501"/>
      <c r="AY37" s="501"/>
      <c r="AZ37" s="501"/>
      <c r="BA37" s="501"/>
      <c r="BB37" s="501"/>
    </row>
    <row r="38" spans="2:55" s="215" customFormat="1" ht="31.5" customHeight="1">
      <c r="D38" s="180"/>
      <c r="E38" s="380" t="s">
        <v>153</v>
      </c>
      <c r="F38" s="2540" t="s">
        <v>1053</v>
      </c>
      <c r="G38" s="2540"/>
      <c r="H38" s="2540"/>
      <c r="I38" s="2540"/>
      <c r="J38" s="2540"/>
      <c r="K38" s="2540"/>
      <c r="L38" s="2540"/>
      <c r="M38" s="2540"/>
      <c r="N38" s="2540"/>
      <c r="O38" s="2540"/>
      <c r="P38" s="2540"/>
      <c r="Q38" s="2540"/>
      <c r="R38" s="2540"/>
      <c r="S38" s="2540"/>
      <c r="T38" s="2540"/>
      <c r="U38" s="2540"/>
      <c r="V38" s="2540"/>
      <c r="W38" s="2540"/>
      <c r="X38" s="2540"/>
      <c r="Y38" s="2540"/>
      <c r="Z38" s="2540"/>
      <c r="AA38" s="2540"/>
      <c r="AB38" s="2540"/>
      <c r="AC38" s="2540"/>
      <c r="AD38" s="2540"/>
      <c r="AE38" s="2540"/>
      <c r="AF38" s="2540"/>
      <c r="AG38" s="2540"/>
      <c r="AH38" s="2540"/>
      <c r="AI38" s="2540"/>
      <c r="AJ38" s="2540"/>
      <c r="AK38" s="2540"/>
      <c r="AL38" s="2540"/>
      <c r="AM38" s="502"/>
      <c r="AN38" s="502"/>
      <c r="AO38" s="502"/>
      <c r="AP38" s="501"/>
      <c r="AQ38" s="501"/>
      <c r="AR38" s="501"/>
      <c r="AS38" s="501"/>
      <c r="AT38" s="501"/>
      <c r="AU38" s="501"/>
      <c r="AV38" s="501"/>
      <c r="AW38" s="501"/>
      <c r="AX38" s="501"/>
      <c r="AY38" s="501"/>
      <c r="AZ38" s="501"/>
      <c r="BA38" s="501"/>
      <c r="BB38" s="501"/>
    </row>
    <row r="39" spans="2:55" ht="30" customHeight="1">
      <c r="E39" s="380" t="s">
        <v>154</v>
      </c>
      <c r="F39" s="2540" t="s">
        <v>1054</v>
      </c>
      <c r="G39" s="2540"/>
      <c r="H39" s="2540"/>
      <c r="I39" s="2540"/>
      <c r="J39" s="2540"/>
      <c r="K39" s="2540"/>
      <c r="L39" s="2540"/>
      <c r="M39" s="2540"/>
      <c r="N39" s="2540"/>
      <c r="O39" s="2540"/>
      <c r="P39" s="2540"/>
      <c r="Q39" s="2540"/>
      <c r="R39" s="2540"/>
      <c r="S39" s="2540"/>
      <c r="T39" s="2540"/>
      <c r="U39" s="2540"/>
      <c r="V39" s="2540"/>
      <c r="W39" s="2540"/>
      <c r="X39" s="2540"/>
      <c r="Y39" s="2540"/>
      <c r="Z39" s="2540"/>
      <c r="AA39" s="2540"/>
      <c r="AB39" s="2540"/>
      <c r="AC39" s="2540"/>
      <c r="AD39" s="2540"/>
      <c r="AE39" s="2540"/>
      <c r="AF39" s="2540"/>
      <c r="AG39" s="2540"/>
      <c r="AH39" s="2540"/>
      <c r="AI39" s="2540"/>
      <c r="AJ39" s="2540"/>
      <c r="AK39" s="2540"/>
      <c r="AL39" s="2540"/>
      <c r="AM39" s="502"/>
      <c r="AN39" s="502"/>
      <c r="AO39" s="502"/>
      <c r="AY39" s="503"/>
    </row>
    <row r="40" spans="2:55" ht="34" customHeight="1">
      <c r="E40" s="380" t="s">
        <v>155</v>
      </c>
      <c r="F40" s="2540" t="s">
        <v>1055</v>
      </c>
      <c r="G40" s="2540"/>
      <c r="H40" s="2540"/>
      <c r="I40" s="2540"/>
      <c r="J40" s="2540"/>
      <c r="K40" s="2540"/>
      <c r="L40" s="2540"/>
      <c r="M40" s="2540"/>
      <c r="N40" s="2540"/>
      <c r="O40" s="2540"/>
      <c r="P40" s="2540"/>
      <c r="Q40" s="2540"/>
      <c r="R40" s="2540"/>
      <c r="S40" s="2540"/>
      <c r="T40" s="2540"/>
      <c r="U40" s="2540"/>
      <c r="V40" s="2540"/>
      <c r="W40" s="2540"/>
      <c r="X40" s="2540"/>
      <c r="Y40" s="2540"/>
      <c r="Z40" s="2540"/>
      <c r="AA40" s="2540"/>
      <c r="AB40" s="2540"/>
      <c r="AC40" s="2540"/>
      <c r="AD40" s="2540"/>
      <c r="AE40" s="2540"/>
      <c r="AF40" s="2540"/>
      <c r="AG40" s="2540"/>
      <c r="AH40" s="2540"/>
      <c r="AI40" s="2540"/>
      <c r="AJ40" s="2540"/>
      <c r="AK40" s="2540"/>
      <c r="AL40" s="2540"/>
      <c r="AY40" s="503"/>
    </row>
    <row r="41" spans="2:55" ht="32.15" customHeight="1">
      <c r="E41" s="380" t="s">
        <v>156</v>
      </c>
      <c r="F41" s="2540" t="s">
        <v>1317</v>
      </c>
      <c r="G41" s="2540"/>
      <c r="H41" s="2540"/>
      <c r="I41" s="2540"/>
      <c r="J41" s="2540"/>
      <c r="K41" s="2540"/>
      <c r="L41" s="2540"/>
      <c r="M41" s="2540"/>
      <c r="N41" s="2540"/>
      <c r="O41" s="2540"/>
      <c r="P41" s="2540"/>
      <c r="Q41" s="2540"/>
      <c r="R41" s="2540"/>
      <c r="S41" s="2540"/>
      <c r="T41" s="2540"/>
      <c r="U41" s="2540"/>
      <c r="V41" s="2540"/>
      <c r="W41" s="2540"/>
      <c r="X41" s="2540"/>
      <c r="Y41" s="2540"/>
      <c r="Z41" s="2540"/>
      <c r="AA41" s="2540"/>
      <c r="AB41" s="2540"/>
      <c r="AC41" s="2540"/>
      <c r="AD41" s="2540"/>
      <c r="AE41" s="2540"/>
      <c r="AF41" s="2540"/>
      <c r="AG41" s="2540"/>
      <c r="AH41" s="2540"/>
      <c r="AI41" s="2540"/>
      <c r="AJ41" s="2540"/>
      <c r="AK41" s="2540"/>
      <c r="AL41" s="2540"/>
      <c r="AM41" s="502"/>
      <c r="AN41" s="502"/>
      <c r="AO41" s="502"/>
      <c r="AY41" s="503"/>
    </row>
    <row r="42" spans="2:55" ht="29.5" customHeight="1">
      <c r="E42" s="380" t="s">
        <v>157</v>
      </c>
      <c r="F42" s="2540" t="s">
        <v>1318</v>
      </c>
      <c r="G42" s="2540"/>
      <c r="H42" s="2540"/>
      <c r="I42" s="2540"/>
      <c r="J42" s="2540"/>
      <c r="K42" s="2540"/>
      <c r="L42" s="2540"/>
      <c r="M42" s="2540"/>
      <c r="N42" s="2540"/>
      <c r="O42" s="2540"/>
      <c r="P42" s="2540"/>
      <c r="Q42" s="2540"/>
      <c r="R42" s="2540"/>
      <c r="S42" s="2540"/>
      <c r="T42" s="2540"/>
      <c r="U42" s="2540"/>
      <c r="V42" s="2540"/>
      <c r="W42" s="2540"/>
      <c r="X42" s="2540"/>
      <c r="Y42" s="2540"/>
      <c r="Z42" s="2540"/>
      <c r="AA42" s="2540"/>
      <c r="AB42" s="2540"/>
      <c r="AC42" s="2540"/>
      <c r="AD42" s="2540"/>
      <c r="AE42" s="2540"/>
      <c r="AF42" s="2540"/>
      <c r="AG42" s="2540"/>
      <c r="AH42" s="2540"/>
      <c r="AI42" s="2540"/>
      <c r="AJ42" s="2540"/>
      <c r="AK42" s="2540"/>
      <c r="AL42" s="2540"/>
      <c r="AM42" s="502"/>
      <c r="AN42" s="502"/>
      <c r="AO42" s="502"/>
      <c r="AY42" s="503"/>
    </row>
    <row r="43" spans="2:55" ht="18.649999999999999" customHeight="1">
      <c r="E43" s="500" t="s">
        <v>158</v>
      </c>
      <c r="F43" s="2541" t="s">
        <v>1056</v>
      </c>
      <c r="G43" s="2541"/>
      <c r="H43" s="2541"/>
      <c r="I43" s="2541"/>
      <c r="J43" s="2541"/>
      <c r="K43" s="2541"/>
      <c r="L43" s="2541"/>
      <c r="M43" s="2541"/>
      <c r="N43" s="2541"/>
      <c r="O43" s="2541"/>
      <c r="P43" s="2541"/>
      <c r="Q43" s="2541"/>
      <c r="R43" s="2541"/>
      <c r="S43" s="2541"/>
      <c r="T43" s="2541"/>
      <c r="U43" s="2541"/>
      <c r="V43" s="2541"/>
      <c r="W43" s="2541"/>
      <c r="X43" s="2541"/>
      <c r="Y43" s="2541"/>
      <c r="Z43" s="2541"/>
      <c r="AA43" s="2541"/>
      <c r="AB43" s="2541"/>
      <c r="AC43" s="2541"/>
      <c r="AD43" s="2541"/>
      <c r="AE43" s="2541"/>
      <c r="AF43" s="2541"/>
      <c r="AG43" s="2541"/>
      <c r="AH43" s="2541"/>
      <c r="AI43" s="2541"/>
      <c r="AJ43" s="2541"/>
      <c r="AK43" s="2541"/>
      <c r="AL43" s="2541"/>
      <c r="AM43" s="504"/>
      <c r="AN43" s="504"/>
      <c r="AO43" s="504"/>
      <c r="AY43" s="503"/>
    </row>
    <row r="44" spans="2:55" ht="15.65" customHeight="1">
      <c r="E44" s="500"/>
      <c r="F44" s="505"/>
      <c r="G44" s="505"/>
      <c r="H44" s="505"/>
      <c r="I44" s="505"/>
      <c r="J44" s="505"/>
      <c r="K44" s="505"/>
      <c r="L44" s="505"/>
      <c r="M44" s="505"/>
      <c r="N44" s="505"/>
      <c r="O44" s="505"/>
      <c r="P44" s="505"/>
      <c r="Q44" s="505"/>
      <c r="R44" s="505"/>
      <c r="S44" s="505"/>
      <c r="T44" s="505"/>
      <c r="U44" s="505"/>
      <c r="V44" s="505"/>
      <c r="W44" s="505"/>
      <c r="X44" s="505"/>
      <c r="Y44" s="505"/>
      <c r="Z44" s="505"/>
      <c r="AA44" s="505"/>
      <c r="AB44" s="505"/>
      <c r="AC44" s="505"/>
      <c r="AD44" s="505"/>
      <c r="AE44" s="505"/>
      <c r="AF44" s="505"/>
      <c r="AG44" s="505"/>
      <c r="AH44" s="505"/>
      <c r="AI44" s="505"/>
      <c r="AJ44" s="505"/>
      <c r="AK44" s="505"/>
      <c r="AL44" s="505"/>
      <c r="AM44" s="504"/>
      <c r="AN44" s="504"/>
      <c r="AO44" s="504"/>
      <c r="AY44" s="503"/>
    </row>
    <row r="45" spans="2:55" s="225" customFormat="1" ht="16" customHeight="1">
      <c r="E45" s="506" t="s">
        <v>922</v>
      </c>
      <c r="F45" s="507"/>
      <c r="G45" s="507"/>
      <c r="H45" s="507"/>
      <c r="I45" s="507"/>
      <c r="J45" s="507"/>
      <c r="K45" s="507"/>
      <c r="L45" s="507"/>
      <c r="M45" s="507"/>
      <c r="N45" s="507"/>
      <c r="O45" s="507"/>
      <c r="P45" s="507"/>
      <c r="Q45" s="507"/>
      <c r="R45" s="507"/>
      <c r="S45" s="507"/>
      <c r="T45" s="507"/>
      <c r="U45" s="507"/>
      <c r="V45" s="507"/>
      <c r="W45" s="507"/>
      <c r="X45" s="507"/>
      <c r="Y45" s="507"/>
      <c r="Z45" s="507"/>
      <c r="AA45" s="507"/>
      <c r="AB45" s="507"/>
      <c r="AC45" s="507"/>
      <c r="AD45" s="507"/>
      <c r="AE45" s="507"/>
      <c r="AF45" s="507"/>
      <c r="AG45" s="507"/>
      <c r="AH45" s="507"/>
      <c r="AI45" s="507"/>
      <c r="AJ45" s="507"/>
      <c r="AK45" s="507"/>
      <c r="AL45" s="507"/>
      <c r="AM45" s="507"/>
      <c r="AN45" s="507"/>
      <c r="AO45" s="507"/>
      <c r="AY45" s="508"/>
    </row>
    <row r="46" spans="2:55" s="238" customFormat="1" ht="30" customHeight="1">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row>
    <row r="47" spans="2:55" s="242" customFormat="1" ht="14">
      <c r="B47" s="241" t="s">
        <v>847</v>
      </c>
      <c r="P47" s="241" t="s">
        <v>762</v>
      </c>
      <c r="Q47" s="241"/>
      <c r="AE47" s="241" t="s">
        <v>783</v>
      </c>
    </row>
    <row r="48" spans="2:55" s="242" customFormat="1" ht="21.75" customHeight="1">
      <c r="B48" s="241" t="s">
        <v>756</v>
      </c>
      <c r="F48" s="1959" t="str">
        <f>activesheet!E29</f>
        <v>RICO S. MISPEROS</v>
      </c>
      <c r="G48" s="1959"/>
      <c r="H48" s="1959"/>
      <c r="I48" s="1959"/>
      <c r="J48" s="1959"/>
      <c r="K48" s="1959"/>
      <c r="L48" s="1959"/>
      <c r="M48" s="1959"/>
      <c r="P48" s="1956" t="str">
        <f>activesheet!E676</f>
        <v>QUEENIE DARRAH S. TAŇAMOR</v>
      </c>
      <c r="Q48" s="1956"/>
      <c r="R48" s="1956"/>
      <c r="S48" s="1956"/>
      <c r="T48" s="1956"/>
      <c r="U48" s="1956"/>
      <c r="V48" s="1956"/>
      <c r="W48" s="1956"/>
      <c r="X48" s="1956"/>
      <c r="Y48" s="1956"/>
      <c r="Z48" s="1956"/>
      <c r="AA48" s="1956"/>
      <c r="AB48" s="1956"/>
      <c r="AE48" s="1956" t="str">
        <f>activesheet!E31</f>
        <v>MICHAEL T. JAMIS</v>
      </c>
      <c r="AF48" s="1956"/>
      <c r="AG48" s="1956"/>
      <c r="AH48" s="1956"/>
      <c r="AI48" s="1956"/>
      <c r="AJ48" s="1956"/>
      <c r="AK48" s="1956"/>
      <c r="AL48" s="1956"/>
      <c r="AM48" s="1956"/>
      <c r="AN48" s="1956"/>
      <c r="AO48" s="1956"/>
      <c r="AP48" s="241"/>
      <c r="AQ48" s="241"/>
    </row>
    <row r="49" spans="2:43" s="307" customFormat="1" ht="12" customHeight="1">
      <c r="B49" s="245"/>
      <c r="F49" s="1776" t="s">
        <v>741</v>
      </c>
      <c r="G49" s="1776"/>
      <c r="H49" s="1776"/>
      <c r="I49" s="1776"/>
      <c r="J49" s="1776"/>
      <c r="K49" s="1776"/>
      <c r="L49" s="1776"/>
      <c r="M49" s="1776"/>
      <c r="N49" s="153"/>
      <c r="O49" s="153"/>
      <c r="P49" s="1957"/>
      <c r="Q49" s="1957"/>
      <c r="R49" s="1957"/>
      <c r="S49" s="1957"/>
      <c r="T49" s="1957"/>
      <c r="U49" s="1957"/>
      <c r="V49" s="1957"/>
      <c r="W49" s="1957"/>
      <c r="X49" s="1957"/>
      <c r="Y49" s="1957"/>
      <c r="Z49" s="1957"/>
      <c r="AA49" s="1957"/>
      <c r="AB49" s="1957"/>
      <c r="AE49" s="1957"/>
      <c r="AF49" s="1957"/>
      <c r="AG49" s="1957"/>
      <c r="AH49" s="1957"/>
      <c r="AI49" s="1957"/>
      <c r="AJ49" s="1957"/>
      <c r="AK49" s="1957"/>
      <c r="AL49" s="1957"/>
      <c r="AM49" s="1957"/>
      <c r="AN49" s="1957"/>
      <c r="AO49" s="1957"/>
      <c r="AP49" s="241"/>
      <c r="AQ49" s="241"/>
    </row>
    <row r="50" spans="2:43" s="242" customFormat="1" ht="21.75" customHeight="1">
      <c r="B50" s="241" t="s">
        <v>71</v>
      </c>
      <c r="F50" s="1959" t="str">
        <f>activesheet!E30</f>
        <v>SCHOOL PRINCIPAL II</v>
      </c>
      <c r="G50" s="1959"/>
      <c r="H50" s="1959"/>
      <c r="I50" s="1959"/>
      <c r="J50" s="1959"/>
      <c r="K50" s="1959"/>
      <c r="L50" s="1959"/>
      <c r="M50" s="1959"/>
      <c r="P50" s="1776" t="s">
        <v>741</v>
      </c>
      <c r="Q50" s="1776"/>
      <c r="R50" s="1776"/>
      <c r="S50" s="1776"/>
      <c r="T50" s="1776"/>
      <c r="U50" s="1776"/>
      <c r="V50" s="1776"/>
      <c r="W50" s="1776"/>
      <c r="X50" s="1776"/>
      <c r="Y50" s="1776"/>
      <c r="Z50" s="1776"/>
      <c r="AA50" s="1776"/>
      <c r="AB50" s="1776"/>
      <c r="AE50" s="1776" t="s">
        <v>741</v>
      </c>
      <c r="AF50" s="1776"/>
      <c r="AG50" s="1776"/>
      <c r="AH50" s="1776"/>
      <c r="AI50" s="1776"/>
      <c r="AJ50" s="1776"/>
      <c r="AK50" s="1776"/>
      <c r="AL50" s="1776"/>
      <c r="AM50" s="1776"/>
      <c r="AN50" s="1776"/>
      <c r="AO50" s="1776"/>
      <c r="AP50" s="153"/>
      <c r="AQ50" s="153"/>
    </row>
    <row r="51" spans="2:43" ht="15.65" customHeight="1">
      <c r="B51" s="128"/>
      <c r="C51" s="128"/>
      <c r="D51" s="128"/>
      <c r="E51" s="128"/>
      <c r="F51" s="128"/>
      <c r="G51" s="128"/>
      <c r="H51" s="128"/>
      <c r="I51" s="128"/>
      <c r="J51" s="128"/>
      <c r="K51" s="128"/>
      <c r="L51" s="128"/>
      <c r="M51" s="128"/>
      <c r="N51" s="128"/>
      <c r="O51" s="128"/>
      <c r="P51" s="239"/>
      <c r="Q51" s="239"/>
      <c r="R51" s="239"/>
      <c r="S51" s="239"/>
      <c r="T51" s="239"/>
      <c r="U51" s="239"/>
      <c r="V51" s="239"/>
      <c r="W51" s="239"/>
      <c r="X51" s="239"/>
      <c r="Y51" s="239"/>
      <c r="Z51" s="239"/>
      <c r="AA51" s="239"/>
      <c r="AB51" s="239"/>
      <c r="AC51" s="239"/>
      <c r="AD51" s="239"/>
      <c r="AE51" s="239"/>
      <c r="AF51" s="239"/>
      <c r="AG51" s="239"/>
      <c r="AH51" s="239"/>
      <c r="AI51" s="239"/>
      <c r="AJ51" s="239"/>
      <c r="AK51" s="239"/>
      <c r="AL51" s="239"/>
      <c r="AM51" s="239"/>
      <c r="AN51" s="239"/>
      <c r="AO51" s="239"/>
      <c r="AP51" s="239"/>
      <c r="AQ51" s="239"/>
    </row>
  </sheetData>
  <sheetProtection algorithmName="SHA-512" hashValue="3fIa7AysJmOY7xVPV3ChLBxRWI3ousxlxPDsy9u/ult0syfKYnnaoAsjgfvWZT9i+XLHMziqWUa2+WTF6Xl/3g==" saltValue="KlHXg/EpvoycFfdbtyFhIw==" spinCount="100000" sheet="1" objects="1" scenarios="1" selectLockedCells="1"/>
  <mergeCells count="190">
    <mergeCell ref="E4:K6"/>
    <mergeCell ref="L4:AL4"/>
    <mergeCell ref="AQ4:AV4"/>
    <mergeCell ref="AX4:BB4"/>
    <mergeCell ref="L5:T5"/>
    <mergeCell ref="U5:AC5"/>
    <mergeCell ref="AD5:AL5"/>
    <mergeCell ref="L6:N6"/>
    <mergeCell ref="O6:Q6"/>
    <mergeCell ref="R6:T6"/>
    <mergeCell ref="AX24:BB24"/>
    <mergeCell ref="L25:T25"/>
    <mergeCell ref="U25:AC25"/>
    <mergeCell ref="AD25:AL25"/>
    <mergeCell ref="L26:N26"/>
    <mergeCell ref="O26:Q26"/>
    <mergeCell ref="AQ6:AR6"/>
    <mergeCell ref="AS6:AT6"/>
    <mergeCell ref="AU6:AV6"/>
    <mergeCell ref="AY6:AZ6"/>
    <mergeCell ref="BA6:BB6"/>
    <mergeCell ref="U6:W6"/>
    <mergeCell ref="X6:Z6"/>
    <mergeCell ref="AA6:AC6"/>
    <mergeCell ref="AD6:AF6"/>
    <mergeCell ref="AG6:AI6"/>
    <mergeCell ref="AJ6:AL6"/>
    <mergeCell ref="AS26:AT26"/>
    <mergeCell ref="AU26:AV26"/>
    <mergeCell ref="AY26:AZ26"/>
    <mergeCell ref="BA26:BB26"/>
    <mergeCell ref="R26:T26"/>
    <mergeCell ref="U26:W26"/>
    <mergeCell ref="X26:Z26"/>
    <mergeCell ref="AA26:AC26"/>
    <mergeCell ref="AD26:AF26"/>
    <mergeCell ref="AG26:AI26"/>
    <mergeCell ref="P48:AB49"/>
    <mergeCell ref="P50:AB50"/>
    <mergeCell ref="E12:K12"/>
    <mergeCell ref="E34:K34"/>
    <mergeCell ref="F14:AL14"/>
    <mergeCell ref="F15:AL15"/>
    <mergeCell ref="F16:AL16"/>
    <mergeCell ref="AJ26:AL26"/>
    <mergeCell ref="L27:N27"/>
    <mergeCell ref="O27:Q27"/>
    <mergeCell ref="R27:T27"/>
    <mergeCell ref="L28:N28"/>
    <mergeCell ref="O28:Q28"/>
    <mergeCell ref="R28:T28"/>
    <mergeCell ref="L29:N29"/>
    <mergeCell ref="O29:Q29"/>
    <mergeCell ref="R29:T29"/>
    <mergeCell ref="L30:N30"/>
    <mergeCell ref="O30:Q30"/>
    <mergeCell ref="R30:T30"/>
    <mergeCell ref="L33:N33"/>
    <mergeCell ref="AQ26:AR26"/>
    <mergeCell ref="E24:K26"/>
    <mergeCell ref="L24:AL24"/>
    <mergeCell ref="AQ24:AV24"/>
    <mergeCell ref="F50:M50"/>
    <mergeCell ref="AE48:AO49"/>
    <mergeCell ref="AE50:AO50"/>
    <mergeCell ref="L7:N7"/>
    <mergeCell ref="O7:Q7"/>
    <mergeCell ref="R7:T7"/>
    <mergeCell ref="L8:N8"/>
    <mergeCell ref="O8:Q8"/>
    <mergeCell ref="F40:AL40"/>
    <mergeCell ref="F41:AL41"/>
    <mergeCell ref="F42:AL42"/>
    <mergeCell ref="F43:AL43"/>
    <mergeCell ref="F48:M48"/>
    <mergeCell ref="F49:M49"/>
    <mergeCell ref="F17:AL17"/>
    <mergeCell ref="F18:AL18"/>
    <mergeCell ref="F36:AL36"/>
    <mergeCell ref="F37:AL37"/>
    <mergeCell ref="F38:AL38"/>
    <mergeCell ref="F39:AL39"/>
    <mergeCell ref="U7:W7"/>
    <mergeCell ref="X7:Z7"/>
    <mergeCell ref="AA7:AC7"/>
    <mergeCell ref="U8:W8"/>
    <mergeCell ref="L11:N11"/>
    <mergeCell ref="O11:Q11"/>
    <mergeCell ref="R11:T11"/>
    <mergeCell ref="L12:N12"/>
    <mergeCell ref="O12:Q12"/>
    <mergeCell ref="R12:T12"/>
    <mergeCell ref="R8:T8"/>
    <mergeCell ref="L9:N9"/>
    <mergeCell ref="O9:Q9"/>
    <mergeCell ref="R9:T9"/>
    <mergeCell ref="L10:N10"/>
    <mergeCell ref="O10:Q10"/>
    <mergeCell ref="R10:T10"/>
    <mergeCell ref="X8:Z8"/>
    <mergeCell ref="AA8:AC8"/>
    <mergeCell ref="U9:W9"/>
    <mergeCell ref="X9:Z9"/>
    <mergeCell ref="AA9:AC9"/>
    <mergeCell ref="U10:W10"/>
    <mergeCell ref="X10:Z10"/>
    <mergeCell ref="AA10:AC10"/>
    <mergeCell ref="U11:W11"/>
    <mergeCell ref="X11:Z11"/>
    <mergeCell ref="AA11:AC11"/>
    <mergeCell ref="AJ10:AL10"/>
    <mergeCell ref="AD11:AF11"/>
    <mergeCell ref="AG11:AI11"/>
    <mergeCell ref="AJ11:AL11"/>
    <mergeCell ref="AD12:AF12"/>
    <mergeCell ref="AG12:AI12"/>
    <mergeCell ref="AJ12:AL12"/>
    <mergeCell ref="AD10:AF10"/>
    <mergeCell ref="AG10:AI10"/>
    <mergeCell ref="X12:Z12"/>
    <mergeCell ref="AA12:AC12"/>
    <mergeCell ref="U12:W12"/>
    <mergeCell ref="AD7:AF7"/>
    <mergeCell ref="AG7:AI7"/>
    <mergeCell ref="AJ7:AL7"/>
    <mergeCell ref="AD8:AF8"/>
    <mergeCell ref="AG8:AI8"/>
    <mergeCell ref="AJ8:AL8"/>
    <mergeCell ref="AD9:AF9"/>
    <mergeCell ref="AG9:AI9"/>
    <mergeCell ref="AJ9:AL9"/>
    <mergeCell ref="O33:Q33"/>
    <mergeCell ref="R33:T33"/>
    <mergeCell ref="L34:N34"/>
    <mergeCell ref="O34:Q34"/>
    <mergeCell ref="R34:T34"/>
    <mergeCell ref="L31:N31"/>
    <mergeCell ref="O31:Q31"/>
    <mergeCell ref="R31:T31"/>
    <mergeCell ref="L32:N32"/>
    <mergeCell ref="O32:Q32"/>
    <mergeCell ref="R32:T32"/>
    <mergeCell ref="U34:W34"/>
    <mergeCell ref="X34:Z34"/>
    <mergeCell ref="AA34:AC34"/>
    <mergeCell ref="X28:Z28"/>
    <mergeCell ref="AA28:AC28"/>
    <mergeCell ref="U29:W29"/>
    <mergeCell ref="X29:Z29"/>
    <mergeCell ref="AA29:AC29"/>
    <mergeCell ref="U30:W30"/>
    <mergeCell ref="X30:Z30"/>
    <mergeCell ref="AA30:AC30"/>
    <mergeCell ref="U31:W31"/>
    <mergeCell ref="X31:Z31"/>
    <mergeCell ref="AA31:AC31"/>
    <mergeCell ref="U32:W32"/>
    <mergeCell ref="U28:W28"/>
    <mergeCell ref="AD27:AF27"/>
    <mergeCell ref="AG27:AI27"/>
    <mergeCell ref="AJ27:AL27"/>
    <mergeCell ref="AD28:AF28"/>
    <mergeCell ref="AG28:AI28"/>
    <mergeCell ref="AJ28:AL28"/>
    <mergeCell ref="X32:Z32"/>
    <mergeCell ref="AA32:AC32"/>
    <mergeCell ref="U33:W33"/>
    <mergeCell ref="X33:Z33"/>
    <mergeCell ref="AA33:AC33"/>
    <mergeCell ref="AD29:AF29"/>
    <mergeCell ref="U27:W27"/>
    <mergeCell ref="X27:Z27"/>
    <mergeCell ref="AA27:AC27"/>
    <mergeCell ref="AG34:AI34"/>
    <mergeCell ref="AJ34:AL34"/>
    <mergeCell ref="AD32:AF32"/>
    <mergeCell ref="AG32:AI32"/>
    <mergeCell ref="AJ32:AL32"/>
    <mergeCell ref="AD33:AF33"/>
    <mergeCell ref="AG33:AI33"/>
    <mergeCell ref="AJ33:AL33"/>
    <mergeCell ref="AG29:AI29"/>
    <mergeCell ref="AJ29:AL29"/>
    <mergeCell ref="AD30:AF30"/>
    <mergeCell ref="AG30:AI30"/>
    <mergeCell ref="AJ30:AL30"/>
    <mergeCell ref="AD31:AF31"/>
    <mergeCell ref="AG31:AI31"/>
    <mergeCell ref="AJ31:AL31"/>
    <mergeCell ref="AD34:AF34"/>
  </mergeCells>
  <dataValidations count="1">
    <dataValidation type="whole" allowBlank="1" showInputMessage="1" showErrorMessage="1" errorTitle="GESP SY 2022-2023" error="Please enter valid number between 0-999." sqref="L7:Q11 U7:Z11 L27:Q33 U27:Z33" xr:uid="{00000000-0002-0000-0F00-000000000000}">
      <formula1>0</formula1>
      <formula2>999</formula2>
    </dataValidation>
  </dataValidations>
  <printOptions horizontalCentered="1" verticalCentered="1"/>
  <pageMargins left="0.25" right="0.25" top="0.2" bottom="0.2" header="0" footer="0.1"/>
  <pageSetup paperSize="9" scale="58" orientation="landscape" r:id="rId1"/>
  <headerFooter alignWithMargins="0">
    <oddFooter>&amp;L&amp;10&amp;F &amp;A&amp;R&amp;11Page 12 of 60</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CE30"/>
  <sheetViews>
    <sheetView showGridLines="0" zoomScale="44" zoomScaleNormal="44" zoomScaleSheetLayoutView="90" workbookViewId="0">
      <selection activeCell="S13" sqref="S13:U13"/>
    </sheetView>
  </sheetViews>
  <sheetFormatPr defaultColWidth="9" defaultRowHeight="15.5"/>
  <cols>
    <col min="1" max="1" width="2.08203125" style="180" customWidth="1"/>
    <col min="2" max="17" width="3.58203125" style="180" customWidth="1"/>
    <col min="18" max="18" width="4.5" style="180" customWidth="1"/>
    <col min="19" max="25" width="3.58203125" style="180" customWidth="1"/>
    <col min="26" max="26" width="4.58203125" style="180" customWidth="1"/>
    <col min="27" max="27" width="3.83203125" style="180" customWidth="1"/>
    <col min="28" max="69" width="3.58203125" style="180" customWidth="1"/>
    <col min="70" max="70" width="2.08203125" style="180" customWidth="1"/>
    <col min="71" max="77" width="3.58203125" style="180" customWidth="1"/>
    <col min="78" max="16384" width="9" style="180"/>
  </cols>
  <sheetData>
    <row r="1" spans="1:73" ht="12" customHeight="1"/>
    <row r="2" spans="1:73" s="522" customFormat="1" ht="16.5">
      <c r="B2" s="219" t="s">
        <v>1300</v>
      </c>
      <c r="C2" s="229"/>
      <c r="D2" s="229"/>
      <c r="E2" s="229"/>
      <c r="F2" s="229"/>
      <c r="G2" s="229"/>
      <c r="H2" s="229"/>
      <c r="I2" s="229"/>
      <c r="J2" s="229"/>
      <c r="K2" s="229"/>
      <c r="L2" s="229"/>
      <c r="M2" s="229"/>
      <c r="N2" s="230"/>
      <c r="O2" s="230"/>
      <c r="P2" s="230"/>
      <c r="Q2" s="229"/>
      <c r="R2" s="229"/>
      <c r="S2" s="229"/>
      <c r="T2" s="229"/>
      <c r="U2" s="229"/>
      <c r="V2" s="229"/>
      <c r="W2" s="230"/>
      <c r="X2" s="230"/>
      <c r="Y2" s="230"/>
      <c r="Z2" s="230"/>
      <c r="AD2" s="219" t="s">
        <v>1301</v>
      </c>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180"/>
      <c r="BJ2" s="229"/>
      <c r="BK2" s="180"/>
      <c r="BL2" s="229"/>
      <c r="BM2" s="229"/>
      <c r="BN2" s="229"/>
      <c r="BO2" s="229"/>
      <c r="BP2" s="229"/>
      <c r="BQ2" s="229"/>
    </row>
    <row r="3" spans="1:73" s="522" customFormat="1" ht="17" thickBot="1">
      <c r="B3" s="219" t="s">
        <v>11759</v>
      </c>
      <c r="C3" s="228"/>
      <c r="D3" s="228"/>
      <c r="E3" s="228"/>
      <c r="F3" s="228"/>
      <c r="G3" s="228"/>
      <c r="H3" s="228"/>
      <c r="I3" s="228"/>
      <c r="J3" s="228"/>
      <c r="K3" s="228"/>
      <c r="L3" s="228"/>
      <c r="M3" s="228"/>
      <c r="N3" s="523"/>
      <c r="O3" s="523"/>
      <c r="P3" s="523"/>
      <c r="Q3" s="228"/>
      <c r="R3" s="228"/>
      <c r="S3" s="228"/>
      <c r="T3" s="228"/>
      <c r="U3" s="228"/>
      <c r="V3" s="228"/>
      <c r="W3" s="523"/>
      <c r="X3" s="523"/>
      <c r="Y3" s="523"/>
      <c r="Z3" s="523"/>
      <c r="AA3" s="188"/>
      <c r="AB3" s="188"/>
      <c r="AC3" s="188"/>
      <c r="AD3" s="219" t="s">
        <v>11759</v>
      </c>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525"/>
      <c r="BO3" s="525"/>
      <c r="BP3" s="525"/>
      <c r="BQ3" s="525"/>
      <c r="BR3" s="180"/>
      <c r="BS3" s="526"/>
      <c r="BT3" s="526"/>
      <c r="BU3" s="526"/>
    </row>
    <row r="4" spans="1:73" s="225" customFormat="1" ht="15.65" customHeight="1">
      <c r="A4" s="522"/>
      <c r="B4" s="1823" t="s">
        <v>124</v>
      </c>
      <c r="C4" s="1824"/>
      <c r="D4" s="1824"/>
      <c r="E4" s="1824"/>
      <c r="F4" s="1824"/>
      <c r="G4" s="1824"/>
      <c r="H4" s="1824"/>
      <c r="I4" s="1840"/>
      <c r="J4" s="2601" t="s">
        <v>125</v>
      </c>
      <c r="K4" s="2602"/>
      <c r="L4" s="2602"/>
      <c r="M4" s="2602"/>
      <c r="N4" s="2602"/>
      <c r="O4" s="2602"/>
      <c r="P4" s="2602"/>
      <c r="Q4" s="2602"/>
      <c r="R4" s="2602"/>
      <c r="S4" s="2602"/>
      <c r="T4" s="2602"/>
      <c r="U4" s="2602"/>
      <c r="V4" s="2602"/>
      <c r="W4" s="2602"/>
      <c r="X4" s="2602"/>
      <c r="Y4" s="2602"/>
      <c r="Z4" s="2602"/>
      <c r="AA4" s="2603"/>
      <c r="AB4" s="377"/>
      <c r="AC4" s="188"/>
      <c r="AD4" s="2128" t="s">
        <v>387</v>
      </c>
      <c r="AE4" s="1793"/>
      <c r="AF4" s="1793"/>
      <c r="AG4" s="1793"/>
      <c r="AH4" s="1793"/>
      <c r="AI4" s="1793"/>
      <c r="AJ4" s="1793"/>
      <c r="AK4" s="1793"/>
      <c r="AL4" s="1793"/>
      <c r="AM4" s="1793"/>
      <c r="AN4" s="1793"/>
      <c r="AO4" s="1793"/>
      <c r="AP4" s="1794"/>
      <c r="AQ4" s="2569" t="s">
        <v>22</v>
      </c>
      <c r="AR4" s="2570"/>
      <c r="AS4" s="2570"/>
      <c r="AT4" s="2570"/>
      <c r="AU4" s="2570"/>
      <c r="AV4" s="2570"/>
      <c r="AW4" s="2570"/>
      <c r="AX4" s="2570"/>
      <c r="AY4" s="2571"/>
      <c r="AZ4" s="2569" t="s">
        <v>23</v>
      </c>
      <c r="BA4" s="2570"/>
      <c r="BB4" s="2570"/>
      <c r="BC4" s="2570"/>
      <c r="BD4" s="2570"/>
      <c r="BE4" s="2570"/>
      <c r="BF4" s="2570"/>
      <c r="BG4" s="2570"/>
      <c r="BH4" s="2571"/>
      <c r="BI4" s="2569" t="s">
        <v>24</v>
      </c>
      <c r="BJ4" s="2570"/>
      <c r="BK4" s="2570"/>
      <c r="BL4" s="2570"/>
      <c r="BM4" s="2570"/>
      <c r="BN4" s="2570"/>
      <c r="BO4" s="2570"/>
      <c r="BP4" s="2570"/>
      <c r="BQ4" s="2571"/>
    </row>
    <row r="5" spans="1:73" s="225" customFormat="1" ht="15.65" customHeight="1">
      <c r="A5" s="522"/>
      <c r="B5" s="1851"/>
      <c r="C5" s="1852"/>
      <c r="D5" s="1852"/>
      <c r="E5" s="1852"/>
      <c r="F5" s="1852"/>
      <c r="G5" s="1852"/>
      <c r="H5" s="1852"/>
      <c r="I5" s="2599"/>
      <c r="J5" s="2604" t="s">
        <v>1267</v>
      </c>
      <c r="K5" s="2605"/>
      <c r="L5" s="2605"/>
      <c r="M5" s="2605"/>
      <c r="N5" s="2605"/>
      <c r="O5" s="2605"/>
      <c r="P5" s="2605"/>
      <c r="Q5" s="2605"/>
      <c r="R5" s="2606"/>
      <c r="S5" s="2604" t="s">
        <v>1268</v>
      </c>
      <c r="T5" s="2605"/>
      <c r="U5" s="2605"/>
      <c r="V5" s="2605"/>
      <c r="W5" s="2605"/>
      <c r="X5" s="2605"/>
      <c r="Y5" s="2605"/>
      <c r="Z5" s="2605"/>
      <c r="AA5" s="2606"/>
      <c r="AB5" s="377"/>
      <c r="AC5" s="188"/>
      <c r="AD5" s="2129"/>
      <c r="AE5" s="2130"/>
      <c r="AF5" s="2130"/>
      <c r="AG5" s="2130"/>
      <c r="AH5" s="2130"/>
      <c r="AI5" s="2130"/>
      <c r="AJ5" s="2130"/>
      <c r="AK5" s="2130"/>
      <c r="AL5" s="2130"/>
      <c r="AM5" s="2130"/>
      <c r="AN5" s="2130"/>
      <c r="AO5" s="2130"/>
      <c r="AP5" s="2131"/>
      <c r="AQ5" s="2550"/>
      <c r="AR5" s="2551"/>
      <c r="AS5" s="2551"/>
      <c r="AT5" s="2551"/>
      <c r="AU5" s="2551"/>
      <c r="AV5" s="2551"/>
      <c r="AW5" s="2551"/>
      <c r="AX5" s="2551"/>
      <c r="AY5" s="2552"/>
      <c r="AZ5" s="2550"/>
      <c r="BA5" s="2551"/>
      <c r="BB5" s="2551"/>
      <c r="BC5" s="2551"/>
      <c r="BD5" s="2551"/>
      <c r="BE5" s="2551"/>
      <c r="BF5" s="2551"/>
      <c r="BG5" s="2551"/>
      <c r="BH5" s="2552"/>
      <c r="BI5" s="2550"/>
      <c r="BJ5" s="2551"/>
      <c r="BK5" s="2551"/>
      <c r="BL5" s="2551"/>
      <c r="BM5" s="2551"/>
      <c r="BN5" s="2551"/>
      <c r="BO5" s="2551"/>
      <c r="BP5" s="2551"/>
      <c r="BQ5" s="2552"/>
    </row>
    <row r="6" spans="1:73" s="225" customFormat="1" ht="16" customHeight="1" thickBot="1">
      <c r="A6" s="320"/>
      <c r="B6" s="1853"/>
      <c r="C6" s="1854"/>
      <c r="D6" s="1854"/>
      <c r="E6" s="1854"/>
      <c r="F6" s="1854"/>
      <c r="G6" s="1854"/>
      <c r="H6" s="1854"/>
      <c r="I6" s="2600"/>
      <c r="J6" s="2554" t="s">
        <v>15</v>
      </c>
      <c r="K6" s="2545"/>
      <c r="L6" s="2547"/>
      <c r="M6" s="2548" t="s">
        <v>16</v>
      </c>
      <c r="N6" s="2545"/>
      <c r="O6" s="2546"/>
      <c r="P6" s="2544" t="s">
        <v>29</v>
      </c>
      <c r="Q6" s="2545"/>
      <c r="R6" s="2549"/>
      <c r="S6" s="2554" t="s">
        <v>15</v>
      </c>
      <c r="T6" s="2545"/>
      <c r="U6" s="2547"/>
      <c r="V6" s="2548" t="s">
        <v>16</v>
      </c>
      <c r="W6" s="2545"/>
      <c r="X6" s="2546"/>
      <c r="Y6" s="2544" t="s">
        <v>29</v>
      </c>
      <c r="Z6" s="2545"/>
      <c r="AA6" s="2549"/>
      <c r="AB6" s="527"/>
      <c r="AC6" s="188"/>
      <c r="AD6" s="2132"/>
      <c r="AE6" s="2133"/>
      <c r="AF6" s="2133"/>
      <c r="AG6" s="2133"/>
      <c r="AH6" s="2133"/>
      <c r="AI6" s="2133"/>
      <c r="AJ6" s="2133"/>
      <c r="AK6" s="2133"/>
      <c r="AL6" s="2133"/>
      <c r="AM6" s="2133"/>
      <c r="AN6" s="2133"/>
      <c r="AO6" s="2133"/>
      <c r="AP6" s="2134"/>
      <c r="AQ6" s="2554" t="s">
        <v>15</v>
      </c>
      <c r="AR6" s="2545"/>
      <c r="AS6" s="2547"/>
      <c r="AT6" s="2548" t="s">
        <v>16</v>
      </c>
      <c r="AU6" s="2545"/>
      <c r="AV6" s="2546"/>
      <c r="AW6" s="2544" t="s">
        <v>29</v>
      </c>
      <c r="AX6" s="2545"/>
      <c r="AY6" s="2549"/>
      <c r="AZ6" s="2554" t="s">
        <v>15</v>
      </c>
      <c r="BA6" s="2545"/>
      <c r="BB6" s="2547"/>
      <c r="BC6" s="2548" t="s">
        <v>16</v>
      </c>
      <c r="BD6" s="2545"/>
      <c r="BE6" s="2546"/>
      <c r="BF6" s="2544" t="s">
        <v>29</v>
      </c>
      <c r="BG6" s="2545"/>
      <c r="BH6" s="2549"/>
      <c r="BI6" s="2554" t="s">
        <v>15</v>
      </c>
      <c r="BJ6" s="2545"/>
      <c r="BK6" s="2547"/>
      <c r="BL6" s="2548" t="s">
        <v>16</v>
      </c>
      <c r="BM6" s="2545"/>
      <c r="BN6" s="2546"/>
      <c r="BO6" s="2544" t="s">
        <v>29</v>
      </c>
      <c r="BP6" s="2545"/>
      <c r="BQ6" s="2549"/>
    </row>
    <row r="7" spans="1:73" s="237" customFormat="1" ht="40" customHeight="1">
      <c r="A7" s="512"/>
      <c r="B7" s="513"/>
      <c r="C7" s="514"/>
      <c r="D7" s="514" t="s">
        <v>57</v>
      </c>
      <c r="E7" s="515"/>
      <c r="F7" s="515"/>
      <c r="G7" s="515"/>
      <c r="H7" s="515"/>
      <c r="I7" s="516"/>
      <c r="J7" s="2579">
        <v>0</v>
      </c>
      <c r="K7" s="2580"/>
      <c r="L7" s="2581"/>
      <c r="M7" s="2582">
        <v>3</v>
      </c>
      <c r="N7" s="2580"/>
      <c r="O7" s="2583"/>
      <c r="P7" s="2584">
        <f>SUM(J7:O7)</f>
        <v>3</v>
      </c>
      <c r="Q7" s="2585"/>
      <c r="R7" s="2586"/>
      <c r="S7" s="2579">
        <v>0</v>
      </c>
      <c r="T7" s="2580"/>
      <c r="U7" s="2581"/>
      <c r="V7" s="2582">
        <v>0</v>
      </c>
      <c r="W7" s="2580"/>
      <c r="X7" s="2583"/>
      <c r="Y7" s="2584">
        <f t="shared" ref="Y7:Y14" si="0">SUM(S7:X7)</f>
        <v>0</v>
      </c>
      <c r="Z7" s="2585"/>
      <c r="AA7" s="2586"/>
      <c r="AB7" s="559"/>
      <c r="AC7" s="191"/>
      <c r="AD7" s="2597" t="s">
        <v>1057</v>
      </c>
      <c r="AE7" s="2598"/>
      <c r="AF7" s="2598"/>
      <c r="AG7" s="2598"/>
      <c r="AH7" s="2598"/>
      <c r="AI7" s="2598"/>
      <c r="AJ7" s="2598"/>
      <c r="AK7" s="2598"/>
      <c r="AL7" s="2598"/>
      <c r="AM7" s="2598"/>
      <c r="AN7" s="2598"/>
      <c r="AO7" s="2598"/>
      <c r="AP7" s="2598"/>
      <c r="AQ7" s="2579">
        <v>0</v>
      </c>
      <c r="AR7" s="2580"/>
      <c r="AS7" s="2581"/>
      <c r="AT7" s="2582">
        <v>1</v>
      </c>
      <c r="AU7" s="2580"/>
      <c r="AV7" s="2583"/>
      <c r="AW7" s="2584">
        <f t="shared" ref="AW7:AW14" si="1">SUM(AQ7:AV7)</f>
        <v>1</v>
      </c>
      <c r="AX7" s="2585"/>
      <c r="AY7" s="2586"/>
      <c r="AZ7" s="2579">
        <v>0</v>
      </c>
      <c r="BA7" s="2580"/>
      <c r="BB7" s="2581"/>
      <c r="BC7" s="2582">
        <v>1</v>
      </c>
      <c r="BD7" s="2580"/>
      <c r="BE7" s="2583"/>
      <c r="BF7" s="2584">
        <f>SUM(AZ7:BE7)</f>
        <v>1</v>
      </c>
      <c r="BG7" s="2585"/>
      <c r="BH7" s="2586"/>
      <c r="BI7" s="2579">
        <v>0</v>
      </c>
      <c r="BJ7" s="2580"/>
      <c r="BK7" s="2581"/>
      <c r="BL7" s="2582">
        <v>1</v>
      </c>
      <c r="BM7" s="2580"/>
      <c r="BN7" s="2583"/>
      <c r="BO7" s="2584">
        <f>SUM(BI7:BN7)</f>
        <v>1</v>
      </c>
      <c r="BP7" s="2585"/>
      <c r="BQ7" s="2586"/>
    </row>
    <row r="8" spans="1:73" s="237" customFormat="1" ht="40" customHeight="1">
      <c r="B8" s="350"/>
      <c r="C8" s="517"/>
      <c r="D8" s="517" t="s">
        <v>19</v>
      </c>
      <c r="E8" s="452"/>
      <c r="F8" s="452"/>
      <c r="G8" s="452"/>
      <c r="H8" s="452"/>
      <c r="I8" s="518"/>
      <c r="J8" s="2572">
        <v>0</v>
      </c>
      <c r="K8" s="2518"/>
      <c r="L8" s="2573"/>
      <c r="M8" s="2517">
        <v>5</v>
      </c>
      <c r="N8" s="2518"/>
      <c r="O8" s="2519"/>
      <c r="P8" s="2499">
        <f t="shared" ref="P8:P14" si="2">SUM(J8:O8)</f>
        <v>5</v>
      </c>
      <c r="Q8" s="2497"/>
      <c r="R8" s="2500"/>
      <c r="S8" s="2572">
        <v>0</v>
      </c>
      <c r="T8" s="2518"/>
      <c r="U8" s="2573"/>
      <c r="V8" s="2517">
        <v>0</v>
      </c>
      <c r="W8" s="2518"/>
      <c r="X8" s="2519"/>
      <c r="Y8" s="2499">
        <f t="shared" si="0"/>
        <v>0</v>
      </c>
      <c r="Z8" s="2497"/>
      <c r="AA8" s="2500"/>
      <c r="AB8" s="559"/>
      <c r="AC8" s="191"/>
      <c r="AD8" s="2592" t="s">
        <v>84</v>
      </c>
      <c r="AE8" s="2593"/>
      <c r="AF8" s="2593"/>
      <c r="AG8" s="2593"/>
      <c r="AH8" s="2593"/>
      <c r="AI8" s="2593"/>
      <c r="AJ8" s="2593"/>
      <c r="AK8" s="2593"/>
      <c r="AL8" s="2593"/>
      <c r="AM8" s="2593"/>
      <c r="AN8" s="2593"/>
      <c r="AO8" s="2593"/>
      <c r="AP8" s="2593"/>
      <c r="AQ8" s="2572">
        <v>0</v>
      </c>
      <c r="AR8" s="2518"/>
      <c r="AS8" s="2573"/>
      <c r="AT8" s="2517">
        <v>1</v>
      </c>
      <c r="AU8" s="2518"/>
      <c r="AV8" s="2519"/>
      <c r="AW8" s="2499">
        <f t="shared" si="1"/>
        <v>1</v>
      </c>
      <c r="AX8" s="2497"/>
      <c r="AY8" s="2500"/>
      <c r="AZ8" s="2572">
        <v>0</v>
      </c>
      <c r="BA8" s="2518"/>
      <c r="BB8" s="2573"/>
      <c r="BC8" s="2517">
        <v>1</v>
      </c>
      <c r="BD8" s="2518"/>
      <c r="BE8" s="2519"/>
      <c r="BF8" s="2499">
        <f t="shared" ref="BF8:BF14" si="3">SUM(AZ8:BE8)</f>
        <v>1</v>
      </c>
      <c r="BG8" s="2497"/>
      <c r="BH8" s="2500"/>
      <c r="BI8" s="2572">
        <v>0</v>
      </c>
      <c r="BJ8" s="2518"/>
      <c r="BK8" s="2573"/>
      <c r="BL8" s="2517">
        <v>1</v>
      </c>
      <c r="BM8" s="2518"/>
      <c r="BN8" s="2519"/>
      <c r="BO8" s="2499">
        <f t="shared" ref="BO8:BO14" si="4">SUM(BI8:BN8)</f>
        <v>1</v>
      </c>
      <c r="BP8" s="2497"/>
      <c r="BQ8" s="2500"/>
    </row>
    <row r="9" spans="1:73" s="237" customFormat="1" ht="40" customHeight="1">
      <c r="B9" s="350"/>
      <c r="C9" s="517"/>
      <c r="D9" s="517" t="s">
        <v>20</v>
      </c>
      <c r="E9" s="452"/>
      <c r="F9" s="452"/>
      <c r="G9" s="452"/>
      <c r="H9" s="452"/>
      <c r="I9" s="518"/>
      <c r="J9" s="2572">
        <v>0</v>
      </c>
      <c r="K9" s="2518"/>
      <c r="L9" s="2573"/>
      <c r="M9" s="2517">
        <v>5</v>
      </c>
      <c r="N9" s="2518"/>
      <c r="O9" s="2519"/>
      <c r="P9" s="2499">
        <f t="shared" si="2"/>
        <v>5</v>
      </c>
      <c r="Q9" s="2497"/>
      <c r="R9" s="2500"/>
      <c r="S9" s="2572">
        <v>0</v>
      </c>
      <c r="T9" s="2518"/>
      <c r="U9" s="2573"/>
      <c r="V9" s="2517">
        <v>0</v>
      </c>
      <c r="W9" s="2518"/>
      <c r="X9" s="2519"/>
      <c r="Y9" s="2499">
        <f t="shared" si="0"/>
        <v>0</v>
      </c>
      <c r="Z9" s="2497"/>
      <c r="AA9" s="2500"/>
      <c r="AB9" s="559"/>
      <c r="AC9" s="191"/>
      <c r="AD9" s="2592" t="s">
        <v>80</v>
      </c>
      <c r="AE9" s="2593"/>
      <c r="AF9" s="2593"/>
      <c r="AG9" s="2593"/>
      <c r="AH9" s="2593"/>
      <c r="AI9" s="2593"/>
      <c r="AJ9" s="2593"/>
      <c r="AK9" s="2593"/>
      <c r="AL9" s="2593"/>
      <c r="AM9" s="2593"/>
      <c r="AN9" s="2593"/>
      <c r="AO9" s="2593"/>
      <c r="AP9" s="2593"/>
      <c r="AQ9" s="2572">
        <v>0</v>
      </c>
      <c r="AR9" s="2518"/>
      <c r="AS9" s="2573"/>
      <c r="AT9" s="2517">
        <v>1</v>
      </c>
      <c r="AU9" s="2518"/>
      <c r="AV9" s="2519"/>
      <c r="AW9" s="2499">
        <f t="shared" si="1"/>
        <v>1</v>
      </c>
      <c r="AX9" s="2497"/>
      <c r="AY9" s="2500"/>
      <c r="AZ9" s="2572">
        <v>0</v>
      </c>
      <c r="BA9" s="2518"/>
      <c r="BB9" s="2573"/>
      <c r="BC9" s="2517">
        <v>1</v>
      </c>
      <c r="BD9" s="2518"/>
      <c r="BE9" s="2519"/>
      <c r="BF9" s="2499">
        <f t="shared" si="3"/>
        <v>1</v>
      </c>
      <c r="BG9" s="2497"/>
      <c r="BH9" s="2500"/>
      <c r="BI9" s="2572">
        <v>0</v>
      </c>
      <c r="BJ9" s="2518"/>
      <c r="BK9" s="2573"/>
      <c r="BL9" s="2517">
        <v>1</v>
      </c>
      <c r="BM9" s="2518"/>
      <c r="BN9" s="2519"/>
      <c r="BO9" s="2499">
        <f t="shared" si="4"/>
        <v>1</v>
      </c>
      <c r="BP9" s="2497"/>
      <c r="BQ9" s="2500"/>
    </row>
    <row r="10" spans="1:73" s="511" customFormat="1" ht="40" customHeight="1">
      <c r="A10" s="237"/>
      <c r="B10" s="350"/>
      <c r="C10" s="517"/>
      <c r="D10" s="517" t="s">
        <v>21</v>
      </c>
      <c r="E10" s="452"/>
      <c r="F10" s="452"/>
      <c r="G10" s="452"/>
      <c r="H10" s="452"/>
      <c r="I10" s="518"/>
      <c r="J10" s="2572">
        <v>1</v>
      </c>
      <c r="K10" s="2518"/>
      <c r="L10" s="2573"/>
      <c r="M10" s="2517">
        <v>4</v>
      </c>
      <c r="N10" s="2518"/>
      <c r="O10" s="2519"/>
      <c r="P10" s="2499">
        <f t="shared" si="2"/>
        <v>5</v>
      </c>
      <c r="Q10" s="2497"/>
      <c r="R10" s="2500"/>
      <c r="S10" s="2572">
        <v>0</v>
      </c>
      <c r="T10" s="2518"/>
      <c r="U10" s="2573"/>
      <c r="V10" s="2517">
        <v>0</v>
      </c>
      <c r="W10" s="2518"/>
      <c r="X10" s="2519"/>
      <c r="Y10" s="2499">
        <f t="shared" si="0"/>
        <v>0</v>
      </c>
      <c r="Z10" s="2497"/>
      <c r="AA10" s="2500"/>
      <c r="AB10" s="559"/>
      <c r="AC10" s="191"/>
      <c r="AD10" s="2592" t="s">
        <v>81</v>
      </c>
      <c r="AE10" s="2593"/>
      <c r="AF10" s="2593"/>
      <c r="AG10" s="2593"/>
      <c r="AH10" s="2593"/>
      <c r="AI10" s="2593"/>
      <c r="AJ10" s="2593"/>
      <c r="AK10" s="2593"/>
      <c r="AL10" s="2593"/>
      <c r="AM10" s="2593"/>
      <c r="AN10" s="2593"/>
      <c r="AO10" s="2593"/>
      <c r="AP10" s="2593"/>
      <c r="AQ10" s="2572">
        <v>0</v>
      </c>
      <c r="AR10" s="2518"/>
      <c r="AS10" s="2573"/>
      <c r="AT10" s="2517">
        <v>1</v>
      </c>
      <c r="AU10" s="2518"/>
      <c r="AV10" s="2519"/>
      <c r="AW10" s="2499">
        <f t="shared" si="1"/>
        <v>1</v>
      </c>
      <c r="AX10" s="2497"/>
      <c r="AY10" s="2500"/>
      <c r="AZ10" s="2572">
        <v>0</v>
      </c>
      <c r="BA10" s="2518"/>
      <c r="BB10" s="2573"/>
      <c r="BC10" s="2517">
        <v>1</v>
      </c>
      <c r="BD10" s="2518"/>
      <c r="BE10" s="2519"/>
      <c r="BF10" s="2499">
        <f t="shared" si="3"/>
        <v>1</v>
      </c>
      <c r="BG10" s="2497"/>
      <c r="BH10" s="2500"/>
      <c r="BI10" s="2572">
        <v>0</v>
      </c>
      <c r="BJ10" s="2518"/>
      <c r="BK10" s="2573"/>
      <c r="BL10" s="2517">
        <v>1</v>
      </c>
      <c r="BM10" s="2518"/>
      <c r="BN10" s="2519"/>
      <c r="BO10" s="2499">
        <f t="shared" si="4"/>
        <v>1</v>
      </c>
      <c r="BP10" s="2497"/>
      <c r="BQ10" s="2500"/>
    </row>
    <row r="11" spans="1:73" s="511" customFormat="1" ht="40" customHeight="1">
      <c r="A11" s="237"/>
      <c r="B11" s="560"/>
      <c r="C11" s="517"/>
      <c r="D11" s="517" t="s">
        <v>22</v>
      </c>
      <c r="E11" s="517"/>
      <c r="F11" s="517"/>
      <c r="G11" s="517"/>
      <c r="H11" s="517"/>
      <c r="I11" s="518"/>
      <c r="J11" s="2572">
        <v>0</v>
      </c>
      <c r="K11" s="2518"/>
      <c r="L11" s="2573"/>
      <c r="M11" s="2517">
        <v>5</v>
      </c>
      <c r="N11" s="2518"/>
      <c r="O11" s="2519"/>
      <c r="P11" s="2499">
        <f t="shared" si="2"/>
        <v>5</v>
      </c>
      <c r="Q11" s="2497"/>
      <c r="R11" s="2500"/>
      <c r="S11" s="2572">
        <v>0</v>
      </c>
      <c r="T11" s="2518"/>
      <c r="U11" s="2573"/>
      <c r="V11" s="2517">
        <v>0</v>
      </c>
      <c r="W11" s="2518"/>
      <c r="X11" s="2519"/>
      <c r="Y11" s="2499">
        <f t="shared" si="0"/>
        <v>0</v>
      </c>
      <c r="Z11" s="2497"/>
      <c r="AA11" s="2500"/>
      <c r="AB11" s="559"/>
      <c r="AC11" s="191"/>
      <c r="AD11" s="2592" t="s">
        <v>405</v>
      </c>
      <c r="AE11" s="2593"/>
      <c r="AF11" s="2593"/>
      <c r="AG11" s="2593"/>
      <c r="AH11" s="2593"/>
      <c r="AI11" s="2593"/>
      <c r="AJ11" s="2593"/>
      <c r="AK11" s="2593"/>
      <c r="AL11" s="2593"/>
      <c r="AM11" s="2593"/>
      <c r="AN11" s="2593"/>
      <c r="AO11" s="2593"/>
      <c r="AP11" s="2593"/>
      <c r="AQ11" s="2572">
        <v>0</v>
      </c>
      <c r="AR11" s="2518"/>
      <c r="AS11" s="2573"/>
      <c r="AT11" s="2517">
        <v>1</v>
      </c>
      <c r="AU11" s="2518"/>
      <c r="AV11" s="2519"/>
      <c r="AW11" s="2499">
        <f t="shared" si="1"/>
        <v>1</v>
      </c>
      <c r="AX11" s="2497"/>
      <c r="AY11" s="2500"/>
      <c r="AZ11" s="2572">
        <v>0</v>
      </c>
      <c r="BA11" s="2518"/>
      <c r="BB11" s="2573"/>
      <c r="BC11" s="2517">
        <v>1</v>
      </c>
      <c r="BD11" s="2518"/>
      <c r="BE11" s="2519"/>
      <c r="BF11" s="2499">
        <f t="shared" si="3"/>
        <v>1</v>
      </c>
      <c r="BG11" s="2497"/>
      <c r="BH11" s="2500"/>
      <c r="BI11" s="2572">
        <v>1</v>
      </c>
      <c r="BJ11" s="2518"/>
      <c r="BK11" s="2573"/>
      <c r="BL11" s="2517">
        <v>0</v>
      </c>
      <c r="BM11" s="2518"/>
      <c r="BN11" s="2519"/>
      <c r="BO11" s="2499">
        <f t="shared" si="4"/>
        <v>1</v>
      </c>
      <c r="BP11" s="2497"/>
      <c r="BQ11" s="2500"/>
    </row>
    <row r="12" spans="1:73" s="328" customFormat="1" ht="40" customHeight="1">
      <c r="A12" s="237"/>
      <c r="B12" s="350"/>
      <c r="C12" s="452"/>
      <c r="D12" s="452" t="s">
        <v>23</v>
      </c>
      <c r="E12" s="452"/>
      <c r="F12" s="452"/>
      <c r="G12" s="452"/>
      <c r="H12" s="452"/>
      <c r="I12" s="518"/>
      <c r="J12" s="2572">
        <v>0</v>
      </c>
      <c r="K12" s="2518"/>
      <c r="L12" s="2573"/>
      <c r="M12" s="2517">
        <v>5</v>
      </c>
      <c r="N12" s="2518"/>
      <c r="O12" s="2519"/>
      <c r="P12" s="2499">
        <f t="shared" si="2"/>
        <v>5</v>
      </c>
      <c r="Q12" s="2497"/>
      <c r="R12" s="2500"/>
      <c r="S12" s="2572">
        <v>0</v>
      </c>
      <c r="T12" s="2518"/>
      <c r="U12" s="2573"/>
      <c r="V12" s="2517">
        <v>0</v>
      </c>
      <c r="W12" s="2518"/>
      <c r="X12" s="2519"/>
      <c r="Y12" s="2499">
        <f t="shared" si="0"/>
        <v>0</v>
      </c>
      <c r="Z12" s="2497"/>
      <c r="AA12" s="2500"/>
      <c r="AB12" s="559"/>
      <c r="AC12" s="191"/>
      <c r="AD12" s="2592" t="s">
        <v>277</v>
      </c>
      <c r="AE12" s="2593"/>
      <c r="AF12" s="2593"/>
      <c r="AG12" s="2593"/>
      <c r="AH12" s="2593"/>
      <c r="AI12" s="2593"/>
      <c r="AJ12" s="2593"/>
      <c r="AK12" s="2593"/>
      <c r="AL12" s="2593"/>
      <c r="AM12" s="2593"/>
      <c r="AN12" s="2593"/>
      <c r="AO12" s="2593"/>
      <c r="AP12" s="2593"/>
      <c r="AQ12" s="2572">
        <v>0</v>
      </c>
      <c r="AR12" s="2518"/>
      <c r="AS12" s="2573"/>
      <c r="AT12" s="2517">
        <v>1</v>
      </c>
      <c r="AU12" s="2518"/>
      <c r="AV12" s="2519"/>
      <c r="AW12" s="2499">
        <f t="shared" si="1"/>
        <v>1</v>
      </c>
      <c r="AX12" s="2497"/>
      <c r="AY12" s="2500"/>
      <c r="AZ12" s="2572">
        <v>0</v>
      </c>
      <c r="BA12" s="2518"/>
      <c r="BB12" s="2573"/>
      <c r="BC12" s="2517">
        <v>1</v>
      </c>
      <c r="BD12" s="2518"/>
      <c r="BE12" s="2519"/>
      <c r="BF12" s="2499">
        <f t="shared" si="3"/>
        <v>1</v>
      </c>
      <c r="BG12" s="2497"/>
      <c r="BH12" s="2500"/>
      <c r="BI12" s="2572">
        <v>0</v>
      </c>
      <c r="BJ12" s="2518"/>
      <c r="BK12" s="2573"/>
      <c r="BL12" s="2517">
        <v>1</v>
      </c>
      <c r="BM12" s="2518"/>
      <c r="BN12" s="2519"/>
      <c r="BO12" s="2499">
        <f t="shared" si="4"/>
        <v>1</v>
      </c>
      <c r="BP12" s="2497"/>
      <c r="BQ12" s="2500"/>
    </row>
    <row r="13" spans="1:73" s="328" customFormat="1" ht="40" customHeight="1">
      <c r="A13" s="237"/>
      <c r="B13" s="350"/>
      <c r="C13" s="452"/>
      <c r="D13" s="452" t="s">
        <v>24</v>
      </c>
      <c r="E13" s="452"/>
      <c r="F13" s="452"/>
      <c r="G13" s="452"/>
      <c r="H13" s="452"/>
      <c r="I13" s="518"/>
      <c r="J13" s="2572">
        <v>1</v>
      </c>
      <c r="K13" s="2518"/>
      <c r="L13" s="2573"/>
      <c r="M13" s="2517">
        <v>5</v>
      </c>
      <c r="N13" s="2518"/>
      <c r="O13" s="2519"/>
      <c r="P13" s="2499">
        <f t="shared" si="2"/>
        <v>6</v>
      </c>
      <c r="Q13" s="2497"/>
      <c r="R13" s="2500"/>
      <c r="S13" s="2572">
        <v>0</v>
      </c>
      <c r="T13" s="2518"/>
      <c r="U13" s="2573"/>
      <c r="V13" s="2517">
        <v>0</v>
      </c>
      <c r="W13" s="2518"/>
      <c r="X13" s="2519"/>
      <c r="Y13" s="2499">
        <f t="shared" si="0"/>
        <v>0</v>
      </c>
      <c r="Z13" s="2497"/>
      <c r="AA13" s="2500"/>
      <c r="AB13" s="559"/>
      <c r="AC13" s="191"/>
      <c r="AD13" s="2592" t="s">
        <v>1058</v>
      </c>
      <c r="AE13" s="2593"/>
      <c r="AF13" s="2593"/>
      <c r="AG13" s="2593"/>
      <c r="AH13" s="2593"/>
      <c r="AI13" s="2593"/>
      <c r="AJ13" s="2593"/>
      <c r="AK13" s="2593"/>
      <c r="AL13" s="2593"/>
      <c r="AM13" s="2593"/>
      <c r="AN13" s="2593"/>
      <c r="AO13" s="2593"/>
      <c r="AP13" s="2594"/>
      <c r="AQ13" s="2572">
        <v>0</v>
      </c>
      <c r="AR13" s="2518"/>
      <c r="AS13" s="2573"/>
      <c r="AT13" s="2517">
        <v>1</v>
      </c>
      <c r="AU13" s="2518"/>
      <c r="AV13" s="2519"/>
      <c r="AW13" s="2499">
        <f t="shared" si="1"/>
        <v>1</v>
      </c>
      <c r="AX13" s="2497"/>
      <c r="AY13" s="2500"/>
      <c r="AZ13" s="2572">
        <v>0</v>
      </c>
      <c r="BA13" s="2518"/>
      <c r="BB13" s="2573"/>
      <c r="BC13" s="2517">
        <v>1</v>
      </c>
      <c r="BD13" s="2518"/>
      <c r="BE13" s="2519"/>
      <c r="BF13" s="2499">
        <f t="shared" si="3"/>
        <v>1</v>
      </c>
      <c r="BG13" s="2497"/>
      <c r="BH13" s="2500"/>
      <c r="BI13" s="2572">
        <v>0</v>
      </c>
      <c r="BJ13" s="2518"/>
      <c r="BK13" s="2573"/>
      <c r="BL13" s="2517">
        <v>1</v>
      </c>
      <c r="BM13" s="2518"/>
      <c r="BN13" s="2519"/>
      <c r="BO13" s="2499">
        <f t="shared" si="4"/>
        <v>1</v>
      </c>
      <c r="BP13" s="2497"/>
      <c r="BQ13" s="2500"/>
    </row>
    <row r="14" spans="1:73" s="237" customFormat="1" ht="40" customHeight="1" thickBot="1">
      <c r="B14" s="350"/>
      <c r="C14" s="452"/>
      <c r="D14" s="452" t="s">
        <v>136</v>
      </c>
      <c r="E14" s="452"/>
      <c r="F14" s="452"/>
      <c r="G14" s="452"/>
      <c r="H14" s="452"/>
      <c r="I14" s="518"/>
      <c r="J14" s="2587">
        <v>0</v>
      </c>
      <c r="K14" s="2588"/>
      <c r="L14" s="2589"/>
      <c r="M14" s="2590">
        <v>4</v>
      </c>
      <c r="N14" s="2588"/>
      <c r="O14" s="2591"/>
      <c r="P14" s="2576">
        <f t="shared" si="2"/>
        <v>4</v>
      </c>
      <c r="Q14" s="2577"/>
      <c r="R14" s="2578"/>
      <c r="S14" s="2587">
        <v>0</v>
      </c>
      <c r="T14" s="2588"/>
      <c r="U14" s="2589"/>
      <c r="V14" s="2590">
        <v>0</v>
      </c>
      <c r="W14" s="2588"/>
      <c r="X14" s="2591"/>
      <c r="Y14" s="2576">
        <f t="shared" si="0"/>
        <v>0</v>
      </c>
      <c r="Z14" s="2577"/>
      <c r="AA14" s="2578"/>
      <c r="AB14" s="496"/>
      <c r="AC14" s="191"/>
      <c r="AD14" s="2595" t="s">
        <v>234</v>
      </c>
      <c r="AE14" s="2596"/>
      <c r="AF14" s="2596"/>
      <c r="AG14" s="2596"/>
      <c r="AH14" s="2596"/>
      <c r="AI14" s="2596"/>
      <c r="AJ14" s="2596"/>
      <c r="AK14" s="2596"/>
      <c r="AL14" s="2596"/>
      <c r="AM14" s="2596"/>
      <c r="AN14" s="2596"/>
      <c r="AO14" s="2596"/>
      <c r="AP14" s="2596"/>
      <c r="AQ14" s="2574">
        <v>0</v>
      </c>
      <c r="AR14" s="2524"/>
      <c r="AS14" s="2575"/>
      <c r="AT14" s="2523">
        <v>1</v>
      </c>
      <c r="AU14" s="2524"/>
      <c r="AV14" s="2525"/>
      <c r="AW14" s="2576">
        <f t="shared" si="1"/>
        <v>1</v>
      </c>
      <c r="AX14" s="2577"/>
      <c r="AY14" s="2578"/>
      <c r="AZ14" s="2574">
        <v>0</v>
      </c>
      <c r="BA14" s="2524"/>
      <c r="BB14" s="2575"/>
      <c r="BC14" s="2523">
        <v>1</v>
      </c>
      <c r="BD14" s="2524"/>
      <c r="BE14" s="2525"/>
      <c r="BF14" s="2576">
        <f t="shared" si="3"/>
        <v>1</v>
      </c>
      <c r="BG14" s="2577"/>
      <c r="BH14" s="2578"/>
      <c r="BI14" s="2574">
        <v>0</v>
      </c>
      <c r="BJ14" s="2524"/>
      <c r="BK14" s="2575"/>
      <c r="BL14" s="2523">
        <v>1</v>
      </c>
      <c r="BM14" s="2524"/>
      <c r="BN14" s="2525"/>
      <c r="BO14" s="2576">
        <f t="shared" si="4"/>
        <v>1</v>
      </c>
      <c r="BP14" s="2577"/>
      <c r="BQ14" s="2578"/>
    </row>
    <row r="15" spans="1:73" s="237" customFormat="1" ht="40" customHeight="1" thickTop="1" thickBot="1">
      <c r="B15" s="2425" t="s">
        <v>29</v>
      </c>
      <c r="C15" s="2426"/>
      <c r="D15" s="2426"/>
      <c r="E15" s="2426"/>
      <c r="F15" s="2426"/>
      <c r="G15" s="2426"/>
      <c r="H15" s="2426"/>
      <c r="I15" s="2427"/>
      <c r="J15" s="2555">
        <f>SUM(J7:L14)</f>
        <v>2</v>
      </c>
      <c r="K15" s="2556"/>
      <c r="L15" s="2557"/>
      <c r="M15" s="2558">
        <f t="shared" ref="M15" si="5">SUM(M7:O14)</f>
        <v>36</v>
      </c>
      <c r="N15" s="2556"/>
      <c r="O15" s="2559"/>
      <c r="P15" s="2560">
        <f t="shared" ref="P15" si="6">SUM(P7:R14)</f>
        <v>38</v>
      </c>
      <c r="Q15" s="2556"/>
      <c r="R15" s="2561"/>
      <c r="S15" s="2555">
        <f t="shared" ref="S15" si="7">SUM(S7:U14)</f>
        <v>0</v>
      </c>
      <c r="T15" s="2556"/>
      <c r="U15" s="2557"/>
      <c r="V15" s="2558">
        <f t="shared" ref="V15" si="8">SUM(V7:X14)</f>
        <v>0</v>
      </c>
      <c r="W15" s="2556"/>
      <c r="X15" s="2559"/>
      <c r="Y15" s="2560">
        <f t="shared" ref="Y15" si="9">SUM(Y7:AA14)</f>
        <v>0</v>
      </c>
      <c r="Z15" s="2556"/>
      <c r="AA15" s="2561"/>
      <c r="AB15" s="496"/>
      <c r="AC15" s="191"/>
      <c r="AD15" s="2425" t="s">
        <v>29</v>
      </c>
      <c r="AE15" s="2426"/>
      <c r="AF15" s="2426"/>
      <c r="AG15" s="2426"/>
      <c r="AH15" s="2426"/>
      <c r="AI15" s="2426"/>
      <c r="AJ15" s="2426"/>
      <c r="AK15" s="2426"/>
      <c r="AL15" s="2426"/>
      <c r="AM15" s="2426"/>
      <c r="AN15" s="2426"/>
      <c r="AO15" s="2426"/>
      <c r="AP15" s="2427"/>
      <c r="AQ15" s="2555">
        <f t="shared" ref="AQ15" si="10">SUM(AQ7:AS14)</f>
        <v>0</v>
      </c>
      <c r="AR15" s="2556"/>
      <c r="AS15" s="2557"/>
      <c r="AT15" s="2558">
        <f t="shared" ref="AT15" si="11">SUM(AT7:AV14)</f>
        <v>8</v>
      </c>
      <c r="AU15" s="2556"/>
      <c r="AV15" s="2559"/>
      <c r="AW15" s="2560">
        <f t="shared" ref="AW15" si="12">SUM(AW7:AY14)</f>
        <v>8</v>
      </c>
      <c r="AX15" s="2556"/>
      <c r="AY15" s="2561"/>
      <c r="AZ15" s="2555">
        <f t="shared" ref="AZ15" si="13">SUM(AZ7:BB14)</f>
        <v>0</v>
      </c>
      <c r="BA15" s="2556"/>
      <c r="BB15" s="2557"/>
      <c r="BC15" s="2558">
        <f t="shared" ref="BC15" si="14">SUM(BC7:BE14)</f>
        <v>8</v>
      </c>
      <c r="BD15" s="2556"/>
      <c r="BE15" s="2559"/>
      <c r="BF15" s="2560">
        <f t="shared" ref="BF15" si="15">SUM(BF7:BH14)</f>
        <v>8</v>
      </c>
      <c r="BG15" s="2556"/>
      <c r="BH15" s="2561"/>
      <c r="BI15" s="2555">
        <f t="shared" ref="BI15" si="16">SUM(BI7:BK14)</f>
        <v>1</v>
      </c>
      <c r="BJ15" s="2556"/>
      <c r="BK15" s="2557"/>
      <c r="BL15" s="2558">
        <f t="shared" ref="BL15" si="17">SUM(BL7:BN14)</f>
        <v>7</v>
      </c>
      <c r="BM15" s="2556"/>
      <c r="BN15" s="2559"/>
      <c r="BO15" s="2560">
        <f t="shared" ref="BO15" si="18">SUM(BO7:BQ14)</f>
        <v>8</v>
      </c>
      <c r="BP15" s="2556"/>
      <c r="BQ15" s="2561"/>
    </row>
    <row r="16" spans="1:73" s="237" customFormat="1" ht="62.5" customHeight="1">
      <c r="B16" s="531"/>
      <c r="C16" s="531"/>
      <c r="D16" s="531"/>
      <c r="E16" s="531"/>
      <c r="F16" s="531"/>
      <c r="G16" s="531"/>
      <c r="H16" s="531"/>
      <c r="I16" s="531"/>
      <c r="J16" s="2567" t="str" cm="1">
        <f t="array" ref="J16">IF(OR(numteach_kinder_m&lt;&gt;'Table11 '!BC25:BE25, numteach_kinder_F&lt;&gt;'Table11 '!BF25:BH25, SUM(P8:R13)&lt;&gt;'Table11 '!BI26:BK26, numteach_sped_m&lt;&gt;'Table11 '!BC27:BE27, numteach_sped_f&lt;&gt;'Table11 '!BF26:BH26), "Entries in the Number of teachers (counted only once) shall tally with the entries in Handling Kindergarten classes, Handling Grades 1-6 and Handling SPED classes in columns 16, 17 &amp; 18 in Table 11b.", "")</f>
        <v>Entries in the Number of teachers (counted only once) shall tally with the entries in Handling Kindergarten classes, Handling Grades 1-6 and Handling SPED classes in columns 16, 17 &amp; 18 in Table 11b.</v>
      </c>
      <c r="K16" s="2567"/>
      <c r="L16" s="2567"/>
      <c r="M16" s="2567"/>
      <c r="N16" s="2567"/>
      <c r="O16" s="2567"/>
      <c r="P16" s="2567"/>
      <c r="Q16" s="2567"/>
      <c r="R16" s="2567"/>
      <c r="S16" s="2567"/>
      <c r="T16" s="2567"/>
      <c r="U16" s="2567"/>
      <c r="V16" s="2567"/>
      <c r="W16" s="2567"/>
      <c r="X16" s="2567"/>
      <c r="Y16" s="2567"/>
      <c r="Z16" s="2567"/>
      <c r="AA16" s="2567"/>
      <c r="AB16" s="2567"/>
      <c r="AC16" s="191"/>
      <c r="AD16" s="531"/>
      <c r="AE16" s="531"/>
      <c r="AF16" s="531"/>
      <c r="AG16" s="531"/>
      <c r="AH16" s="531"/>
      <c r="AI16" s="531"/>
      <c r="AJ16" s="531"/>
      <c r="AK16" s="531"/>
      <c r="AL16" s="531"/>
      <c r="AM16" s="531"/>
      <c r="AN16" s="531"/>
      <c r="AO16" s="531"/>
      <c r="AP16" s="531"/>
      <c r="AQ16" s="2568" t="str">
        <f>IF(OR(J11&gt;AQ15,M11&gt;AT15,P11&gt;AW15, J12&gt;AZ15,M12&gt;BC15, P12&gt;BF15,J13&gt;BI15,M13&gt;BL15,P13&gt;BO15),"Totals of Grades 4, 5 and 6  of this table shall be greater than or equal to totals of Grade 4, 5 and 6 (counted only once) in Table 16.","")</f>
        <v/>
      </c>
      <c r="AR16" s="2568"/>
      <c r="AS16" s="2568"/>
      <c r="AT16" s="2568"/>
      <c r="AU16" s="2568"/>
      <c r="AV16" s="2568"/>
      <c r="AW16" s="2568"/>
      <c r="AX16" s="2568"/>
      <c r="AY16" s="2568"/>
      <c r="AZ16" s="2568"/>
      <c r="BA16" s="2568"/>
      <c r="BB16" s="2568"/>
      <c r="BC16" s="2568"/>
      <c r="BD16" s="2568"/>
      <c r="BE16" s="2568"/>
      <c r="BF16" s="2568"/>
      <c r="BG16" s="2568"/>
      <c r="BH16" s="2568"/>
      <c r="BI16" s="2568"/>
      <c r="BJ16" s="2568"/>
      <c r="BK16" s="2568"/>
      <c r="BL16" s="2568"/>
      <c r="BM16" s="2568"/>
      <c r="BN16" s="2568"/>
      <c r="BO16" s="2568"/>
      <c r="BP16" s="2568"/>
      <c r="BQ16" s="2568"/>
    </row>
    <row r="17" spans="1:83" s="522" customFormat="1" ht="30.65" customHeight="1">
      <c r="A17" s="225"/>
      <c r="B17" s="532" t="s">
        <v>945</v>
      </c>
      <c r="C17" s="526"/>
      <c r="D17" s="533"/>
      <c r="E17" s="533"/>
      <c r="F17" s="534"/>
      <c r="G17" s="534"/>
      <c r="H17" s="534"/>
      <c r="I17" s="534"/>
      <c r="J17" s="535"/>
      <c r="K17" s="535"/>
      <c r="L17" s="535"/>
      <c r="M17" s="535"/>
      <c r="N17" s="535"/>
      <c r="O17" s="535"/>
      <c r="P17" s="535"/>
      <c r="Q17" s="536"/>
      <c r="R17" s="536"/>
      <c r="S17" s="537"/>
      <c r="T17" s="537"/>
      <c r="U17" s="537"/>
      <c r="V17" s="537"/>
      <c r="W17" s="537"/>
      <c r="X17" s="537"/>
      <c r="Y17" s="537"/>
      <c r="Z17" s="180"/>
      <c r="AA17" s="180"/>
      <c r="AB17" s="180"/>
      <c r="AC17" s="180"/>
      <c r="AD17" s="538" t="s">
        <v>183</v>
      </c>
      <c r="AE17" s="539"/>
      <c r="AF17" s="319"/>
      <c r="AH17" s="319"/>
      <c r="AI17" s="319"/>
      <c r="AJ17" s="319"/>
      <c r="AK17" s="319"/>
      <c r="AL17" s="319"/>
      <c r="AM17" s="319"/>
      <c r="AN17" s="501"/>
      <c r="AO17" s="501"/>
      <c r="AP17" s="501"/>
      <c r="AQ17" s="501"/>
      <c r="AR17" s="501"/>
      <c r="AS17" s="501"/>
      <c r="AT17" s="501"/>
      <c r="AU17" s="501"/>
      <c r="AV17" s="501"/>
      <c r="AW17" s="501"/>
      <c r="AX17" s="501"/>
      <c r="AY17" s="501"/>
      <c r="AZ17" s="501"/>
      <c r="BA17" s="501"/>
      <c r="BB17" s="501"/>
      <c r="BC17" s="501"/>
      <c r="BD17" s="501"/>
      <c r="BE17" s="501"/>
      <c r="BF17" s="499"/>
      <c r="BG17" s="499"/>
      <c r="BH17" s="499"/>
      <c r="BI17" s="499"/>
      <c r="BJ17" s="501"/>
      <c r="BK17" s="499"/>
      <c r="BL17" s="499"/>
      <c r="BM17" s="499"/>
      <c r="BN17" s="499"/>
      <c r="BO17" s="499"/>
      <c r="BP17" s="499"/>
      <c r="BQ17" s="499"/>
      <c r="BR17" s="299"/>
    </row>
    <row r="18" spans="1:83" s="522" customFormat="1" ht="75" customHeight="1">
      <c r="A18" s="225"/>
      <c r="B18" s="533"/>
      <c r="C18" s="2562" t="s">
        <v>923</v>
      </c>
      <c r="D18" s="2562"/>
      <c r="E18" s="2562"/>
      <c r="F18" s="2562"/>
      <c r="G18" s="2562"/>
      <c r="H18" s="2562"/>
      <c r="I18" s="2562"/>
      <c r="J18" s="2562"/>
      <c r="K18" s="2562"/>
      <c r="L18" s="2562"/>
      <c r="M18" s="2562"/>
      <c r="N18" s="2562"/>
      <c r="O18" s="2562"/>
      <c r="P18" s="2562"/>
      <c r="Q18" s="2562"/>
      <c r="R18" s="2562"/>
      <c r="S18" s="2562"/>
      <c r="T18" s="2562"/>
      <c r="U18" s="2562"/>
      <c r="V18" s="2562"/>
      <c r="W18" s="2562"/>
      <c r="X18" s="2562"/>
      <c r="Y18" s="2562"/>
      <c r="Z18" s="2562"/>
      <c r="AA18" s="2562"/>
      <c r="AB18" s="180"/>
      <c r="AC18" s="180"/>
      <c r="AD18" s="540"/>
      <c r="AE18" s="541" t="s">
        <v>1504</v>
      </c>
      <c r="AF18" s="2566" t="s">
        <v>1503</v>
      </c>
      <c r="AG18" s="2566"/>
      <c r="AH18" s="2566"/>
      <c r="AI18" s="2566"/>
      <c r="AJ18" s="2566"/>
      <c r="AK18" s="2566"/>
      <c r="AL18" s="2566"/>
      <c r="AM18" s="2566"/>
      <c r="AN18" s="2566"/>
      <c r="AO18" s="2566"/>
      <c r="AP18" s="2566"/>
      <c r="AQ18" s="2566"/>
      <c r="AR18" s="2566"/>
      <c r="AS18" s="2566"/>
      <c r="AT18" s="2566"/>
      <c r="AU18" s="2566"/>
      <c r="AV18" s="2566"/>
      <c r="AW18" s="2566"/>
      <c r="AX18" s="2566"/>
      <c r="AY18" s="2566"/>
      <c r="AZ18" s="2566"/>
      <c r="BA18" s="2566"/>
      <c r="BB18" s="2566"/>
      <c r="BC18" s="2566"/>
      <c r="BD18" s="2566"/>
      <c r="BE18" s="2566"/>
      <c r="BF18" s="2566"/>
      <c r="BG18" s="2566"/>
      <c r="BH18" s="2566"/>
      <c r="BI18" s="2566"/>
      <c r="BJ18" s="526"/>
      <c r="BK18" s="499"/>
      <c r="BL18" s="499"/>
      <c r="BM18" s="499"/>
      <c r="BN18" s="499"/>
      <c r="BO18" s="499"/>
      <c r="BP18" s="499"/>
      <c r="BQ18" s="499"/>
    </row>
    <row r="19" spans="1:83" s="522" customFormat="1" ht="8.5" customHeight="1">
      <c r="A19" s="225"/>
      <c r="B19" s="533"/>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c r="AB19" s="180"/>
      <c r="AC19" s="180"/>
      <c r="AD19" s="540"/>
      <c r="AE19" s="541"/>
      <c r="AF19" s="543"/>
      <c r="AG19" s="543"/>
      <c r="AH19" s="543"/>
      <c r="AI19" s="543"/>
      <c r="AJ19" s="543"/>
      <c r="AK19" s="543"/>
      <c r="AL19" s="543"/>
      <c r="AM19" s="543"/>
      <c r="AN19" s="543"/>
      <c r="AO19" s="543"/>
      <c r="AP19" s="543"/>
      <c r="AQ19" s="543"/>
      <c r="AR19" s="543"/>
      <c r="AS19" s="543"/>
      <c r="AT19" s="543"/>
      <c r="AU19" s="543"/>
      <c r="AV19" s="543"/>
      <c r="AW19" s="543"/>
      <c r="AX19" s="543"/>
      <c r="AY19" s="543"/>
      <c r="AZ19" s="543"/>
      <c r="BA19" s="543"/>
      <c r="BB19" s="543"/>
      <c r="BC19" s="543"/>
      <c r="BD19" s="543"/>
      <c r="BE19" s="543"/>
      <c r="BF19" s="543"/>
      <c r="BG19" s="543"/>
      <c r="BH19" s="543"/>
      <c r="BI19" s="543"/>
      <c r="BJ19" s="526"/>
      <c r="BK19" s="499"/>
      <c r="BL19" s="499"/>
      <c r="BM19" s="499"/>
      <c r="BN19" s="499"/>
      <c r="BO19" s="499"/>
      <c r="BP19" s="499"/>
      <c r="BQ19" s="499"/>
    </row>
    <row r="20" spans="1:83" s="522" customFormat="1" ht="27" customHeight="1">
      <c r="A20" s="225"/>
      <c r="B20" s="532" t="s">
        <v>1059</v>
      </c>
      <c r="C20" s="526"/>
      <c r="D20" s="544"/>
      <c r="E20" s="544"/>
      <c r="F20" s="534"/>
      <c r="G20" s="534"/>
      <c r="H20" s="534"/>
      <c r="I20" s="534"/>
      <c r="J20" s="534"/>
      <c r="K20" s="534"/>
      <c r="L20" s="534"/>
      <c r="M20" s="534"/>
      <c r="N20" s="534"/>
      <c r="O20" s="534"/>
      <c r="P20" s="534"/>
      <c r="Q20" s="537"/>
      <c r="R20" s="537"/>
      <c r="S20" s="537"/>
      <c r="T20" s="537"/>
      <c r="U20" s="537"/>
      <c r="V20" s="537"/>
      <c r="W20" s="537"/>
      <c r="X20" s="537"/>
      <c r="Y20" s="537"/>
      <c r="Z20" s="180"/>
      <c r="AA20" s="180"/>
      <c r="AB20" s="180"/>
      <c r="AD20" s="501"/>
      <c r="AE20" s="545"/>
      <c r="AF20" s="546"/>
      <c r="AG20" s="547"/>
      <c r="AH20" s="319"/>
      <c r="AI20" s="501"/>
      <c r="AJ20" s="501"/>
      <c r="AK20" s="501"/>
      <c r="AL20" s="501"/>
      <c r="AM20" s="501"/>
      <c r="AN20" s="501"/>
      <c r="AT20" s="225"/>
      <c r="AU20" s="225"/>
      <c r="AV20" s="225"/>
      <c r="AW20" s="225"/>
      <c r="AX20" s="225"/>
      <c r="AY20" s="225"/>
      <c r="BC20" s="548"/>
      <c r="BD20" s="548"/>
      <c r="BE20" s="548"/>
      <c r="BF20" s="548"/>
      <c r="BG20" s="548"/>
      <c r="BH20" s="548"/>
      <c r="BI20" s="548"/>
      <c r="BK20" s="548"/>
      <c r="BL20" s="548"/>
      <c r="BM20" s="548"/>
      <c r="BN20" s="499"/>
      <c r="BO20" s="499"/>
    </row>
    <row r="21" spans="1:83" s="522" customFormat="1" ht="46.75" customHeight="1">
      <c r="A21" s="225"/>
      <c r="C21" s="2565" t="s">
        <v>11761</v>
      </c>
      <c r="D21" s="2565"/>
      <c r="E21" s="2565"/>
      <c r="F21" s="2565"/>
      <c r="G21" s="2565"/>
      <c r="H21" s="2565"/>
      <c r="I21" s="2565"/>
      <c r="J21" s="2565"/>
      <c r="K21" s="2565"/>
      <c r="L21" s="2565"/>
      <c r="M21" s="2565"/>
      <c r="N21" s="2565"/>
      <c r="O21" s="2565"/>
      <c r="P21" s="2565"/>
      <c r="Q21" s="2565"/>
      <c r="R21" s="2565"/>
      <c r="S21" s="2565"/>
      <c r="T21" s="2565"/>
      <c r="U21" s="2565"/>
      <c r="V21" s="2565"/>
      <c r="W21" s="2565"/>
      <c r="X21" s="2565"/>
      <c r="Y21" s="2565"/>
      <c r="Z21" s="2565"/>
      <c r="AA21" s="2565"/>
      <c r="AB21" s="180"/>
      <c r="AD21" s="540"/>
      <c r="AO21" s="501"/>
      <c r="AP21" s="501"/>
      <c r="AQ21" s="501"/>
      <c r="AR21" s="501"/>
      <c r="AS21" s="501"/>
      <c r="AT21" s="501"/>
      <c r="AU21" s="501"/>
      <c r="AV21" s="501"/>
      <c r="AW21" s="501"/>
      <c r="AX21" s="501"/>
      <c r="AY21" s="501"/>
      <c r="AZ21" s="501"/>
      <c r="BA21" s="501"/>
      <c r="BB21" s="501"/>
      <c r="BC21" s="501"/>
      <c r="BD21" s="501"/>
      <c r="BE21" s="501"/>
      <c r="BF21" s="499"/>
      <c r="BG21" s="499"/>
      <c r="BH21" s="499"/>
      <c r="BI21" s="499"/>
      <c r="BJ21" s="501"/>
      <c r="BK21" s="499"/>
      <c r="BL21" s="499"/>
      <c r="BM21" s="499"/>
      <c r="BN21" s="499"/>
      <c r="BO21" s="499"/>
    </row>
    <row r="22" spans="1:83" s="225" customFormat="1" ht="40" customHeight="1">
      <c r="B22" s="549" t="s">
        <v>183</v>
      </c>
      <c r="D22" s="550"/>
      <c r="E22" s="550"/>
      <c r="F22" s="503"/>
      <c r="H22" s="526"/>
      <c r="I22" s="526"/>
      <c r="J22" s="526"/>
      <c r="K22" s="526"/>
      <c r="L22" s="526"/>
      <c r="M22" s="526"/>
      <c r="N22" s="180"/>
      <c r="O22" s="180"/>
      <c r="P22" s="180"/>
      <c r="Q22" s="526"/>
      <c r="R22" s="526"/>
      <c r="S22" s="526"/>
      <c r="T22" s="526"/>
      <c r="U22" s="526"/>
      <c r="V22" s="526"/>
      <c r="W22" s="180"/>
      <c r="X22" s="180"/>
      <c r="Y22" s="180"/>
      <c r="Z22" s="180"/>
      <c r="AA22" s="180"/>
      <c r="AB22" s="180"/>
      <c r="AD22" s="501"/>
      <c r="AE22" s="522"/>
      <c r="AF22" s="551"/>
      <c r="AG22" s="547"/>
      <c r="AH22" s="552"/>
      <c r="AI22" s="526"/>
      <c r="AJ22" s="526"/>
      <c r="AK22" s="526"/>
      <c r="AL22" s="526"/>
      <c r="AM22" s="180"/>
      <c r="AN22" s="526"/>
      <c r="AO22" s="526"/>
      <c r="AP22" s="526"/>
      <c r="AQ22" s="526"/>
      <c r="AR22" s="526"/>
      <c r="AS22" s="526"/>
      <c r="AT22" s="180"/>
      <c r="AU22" s="180"/>
      <c r="AV22" s="180"/>
      <c r="AW22" s="180"/>
      <c r="AX22" s="180"/>
      <c r="AY22" s="180"/>
      <c r="AZ22" s="526"/>
      <c r="BA22" s="526"/>
      <c r="BB22" s="526"/>
      <c r="BC22" s="501"/>
      <c r="BD22" s="501"/>
      <c r="BE22" s="501"/>
      <c r="BF22" s="499"/>
      <c r="BG22" s="499"/>
      <c r="BH22" s="499"/>
      <c r="BI22" s="499"/>
      <c r="BJ22" s="526"/>
      <c r="BK22" s="499"/>
      <c r="BL22" s="499"/>
      <c r="BM22" s="499"/>
    </row>
    <row r="23" spans="1:83" s="225" customFormat="1" ht="43.4" customHeight="1">
      <c r="B23" s="551" t="s">
        <v>151</v>
      </c>
      <c r="C23" s="2564" t="s">
        <v>1956</v>
      </c>
      <c r="D23" s="2564"/>
      <c r="E23" s="2564"/>
      <c r="F23" s="2564"/>
      <c r="G23" s="2564"/>
      <c r="H23" s="2564"/>
      <c r="I23" s="2564"/>
      <c r="J23" s="2564"/>
      <c r="K23" s="2564"/>
      <c r="L23" s="2564"/>
      <c r="M23" s="2564"/>
      <c r="N23" s="2564"/>
      <c r="O23" s="2564"/>
      <c r="P23" s="2564"/>
      <c r="Q23" s="2564"/>
      <c r="R23" s="2564"/>
      <c r="S23" s="2564"/>
      <c r="T23" s="2564"/>
      <c r="U23" s="2564"/>
      <c r="V23" s="2564"/>
      <c r="W23" s="2564"/>
      <c r="X23" s="2564"/>
      <c r="Y23" s="2564"/>
      <c r="Z23" s="2564"/>
      <c r="AA23" s="2564"/>
      <c r="AB23" s="180"/>
      <c r="AC23" s="553"/>
      <c r="AD23" s="553"/>
      <c r="AE23" s="508"/>
      <c r="AF23" s="508"/>
      <c r="AG23" s="508"/>
      <c r="AH23" s="508"/>
      <c r="AI23" s="508"/>
      <c r="AJ23" s="508"/>
      <c r="BG23" s="508"/>
      <c r="BI23" s="508"/>
    </row>
    <row r="24" spans="1:83" s="225" customFormat="1" ht="41.5" customHeight="1">
      <c r="B24" s="551" t="s">
        <v>152</v>
      </c>
      <c r="C24" s="2563" t="s">
        <v>1354</v>
      </c>
      <c r="D24" s="2563"/>
      <c r="E24" s="2563"/>
      <c r="F24" s="2563"/>
      <c r="G24" s="2563"/>
      <c r="H24" s="2563"/>
      <c r="I24" s="2563"/>
      <c r="J24" s="2563"/>
      <c r="K24" s="2563"/>
      <c r="L24" s="2563"/>
      <c r="M24" s="2563"/>
      <c r="N24" s="2563"/>
      <c r="O24" s="2563"/>
      <c r="P24" s="2563"/>
      <c r="Q24" s="2563"/>
      <c r="R24" s="2563"/>
      <c r="S24" s="2563"/>
      <c r="T24" s="2563"/>
      <c r="U24" s="2563"/>
      <c r="V24" s="2563"/>
      <c r="W24" s="2563"/>
      <c r="X24" s="2563"/>
      <c r="Y24" s="2563"/>
      <c r="Z24" s="2563"/>
      <c r="AA24" s="2563"/>
      <c r="AB24" s="554"/>
      <c r="AC24" s="555"/>
      <c r="AD24" s="555"/>
      <c r="AE24" s="319"/>
      <c r="BJ24" s="508"/>
      <c r="BK24" s="508"/>
    </row>
    <row r="25" spans="1:83" ht="41.5" customHeight="1">
      <c r="B25" s="556"/>
      <c r="BH25" s="557"/>
      <c r="BJ25" s="557"/>
      <c r="BN25" s="558"/>
      <c r="BO25" s="558"/>
      <c r="BP25" s="557"/>
    </row>
    <row r="26" spans="1:83" s="128" customFormat="1">
      <c r="B26" s="147" t="s">
        <v>847</v>
      </c>
      <c r="AA26" s="147" t="s">
        <v>779</v>
      </c>
      <c r="AY26" s="147" t="s">
        <v>783</v>
      </c>
    </row>
    <row r="27" spans="1:83" s="128" customFormat="1" ht="21.75" customHeight="1">
      <c r="B27" s="147" t="s">
        <v>756</v>
      </c>
      <c r="F27" s="2399" t="str">
        <f>activesheet!E29</f>
        <v>RICO S. MISPEROS</v>
      </c>
      <c r="G27" s="2399"/>
      <c r="H27" s="2399"/>
      <c r="I27" s="2399"/>
      <c r="J27" s="2399"/>
      <c r="K27" s="2399"/>
      <c r="L27" s="2399"/>
      <c r="M27" s="2399"/>
      <c r="N27" s="2399"/>
      <c r="O27" s="2399"/>
      <c r="P27" s="2399"/>
      <c r="Q27" s="2399"/>
      <c r="R27" s="2399"/>
      <c r="S27" s="2399"/>
      <c r="AA27" s="2399" t="str">
        <f>activesheet!E658</f>
        <v>ELMA CEZARIE Y. ROMERO</v>
      </c>
      <c r="AB27" s="2399"/>
      <c r="AC27" s="2399"/>
      <c r="AD27" s="2399"/>
      <c r="AE27" s="2399"/>
      <c r="AF27" s="2399"/>
      <c r="AG27" s="2399"/>
      <c r="AH27" s="2399"/>
      <c r="AI27" s="2399"/>
      <c r="AJ27" s="2399"/>
      <c r="AK27" s="2399"/>
      <c r="AL27" s="2399"/>
      <c r="AM27" s="2399"/>
      <c r="AN27" s="2399"/>
      <c r="AO27" s="2399"/>
      <c r="AP27" s="2399"/>
      <c r="AQ27" s="2399"/>
      <c r="AY27" s="1786" t="str">
        <f>activesheet!E31</f>
        <v>MICHAEL T. JAMIS</v>
      </c>
      <c r="AZ27" s="1786"/>
      <c r="BA27" s="1786"/>
      <c r="BB27" s="1786"/>
      <c r="BC27" s="1786"/>
      <c r="BD27" s="1786"/>
      <c r="BE27" s="1786"/>
      <c r="BF27" s="1786"/>
      <c r="BG27" s="1786"/>
      <c r="BH27" s="1786"/>
      <c r="BI27" s="1786"/>
      <c r="BJ27" s="1786"/>
      <c r="BK27" s="1786"/>
      <c r="BL27" s="1786"/>
      <c r="BM27" s="1786"/>
      <c r="BN27" s="1786"/>
      <c r="BO27" s="1786"/>
      <c r="BP27" s="1786"/>
    </row>
    <row r="28" spans="1:83" s="174" customFormat="1" ht="15.75" customHeight="1">
      <c r="B28" s="173"/>
      <c r="F28" s="1764" t="s">
        <v>741</v>
      </c>
      <c r="G28" s="1764"/>
      <c r="H28" s="1764"/>
      <c r="I28" s="1764"/>
      <c r="J28" s="1764"/>
      <c r="K28" s="1764"/>
      <c r="L28" s="1764"/>
      <c r="M28" s="1764"/>
      <c r="N28" s="1764"/>
      <c r="O28" s="1764"/>
      <c r="P28" s="1764"/>
      <c r="Q28" s="1764"/>
      <c r="R28" s="1764"/>
      <c r="S28" s="1764"/>
      <c r="T28" s="175"/>
      <c r="U28" s="175"/>
      <c r="V28" s="175"/>
      <c r="W28" s="175"/>
      <c r="X28" s="175"/>
      <c r="Y28" s="175"/>
      <c r="Z28" s="175"/>
      <c r="AA28" s="1764" t="s">
        <v>741</v>
      </c>
      <c r="AB28" s="1764"/>
      <c r="AC28" s="1764"/>
      <c r="AD28" s="1764"/>
      <c r="AE28" s="1764"/>
      <c r="AF28" s="1764"/>
      <c r="AG28" s="1764"/>
      <c r="AH28" s="1764"/>
      <c r="AI28" s="1764"/>
      <c r="AJ28" s="1764"/>
      <c r="AK28" s="1764"/>
      <c r="AL28" s="1764"/>
      <c r="AM28" s="1764"/>
      <c r="AN28" s="1764"/>
      <c r="AO28" s="1764"/>
      <c r="AP28" s="1764"/>
      <c r="AQ28" s="1764"/>
      <c r="AR28" s="175"/>
      <c r="AS28" s="175"/>
      <c r="AT28" s="175"/>
      <c r="AU28" s="175"/>
      <c r="AV28" s="175"/>
      <c r="AW28" s="175"/>
      <c r="AX28" s="175"/>
      <c r="AY28" s="1787"/>
      <c r="AZ28" s="1787"/>
      <c r="BA28" s="1787"/>
      <c r="BB28" s="1787"/>
      <c r="BC28" s="1787"/>
      <c r="BD28" s="1787"/>
      <c r="BE28" s="1787"/>
      <c r="BF28" s="1787"/>
      <c r="BG28" s="1787"/>
      <c r="BH28" s="1787"/>
      <c r="BI28" s="1787"/>
      <c r="BJ28" s="1787"/>
      <c r="BK28" s="1787"/>
      <c r="BL28" s="1787"/>
      <c r="BM28" s="1787"/>
      <c r="BN28" s="1787"/>
      <c r="BO28" s="1787"/>
      <c r="BP28" s="1787"/>
      <c r="BQ28" s="346"/>
      <c r="BR28" s="346"/>
      <c r="BS28" s="346"/>
      <c r="BT28" s="346"/>
      <c r="BU28" s="346"/>
      <c r="BV28" s="346"/>
      <c r="BW28" s="346"/>
      <c r="BX28" s="346"/>
      <c r="BY28" s="346"/>
      <c r="BZ28" s="346"/>
      <c r="CA28" s="346"/>
      <c r="CB28" s="346"/>
      <c r="CC28" s="346"/>
      <c r="CD28" s="346"/>
      <c r="CE28" s="346"/>
    </row>
    <row r="29" spans="1:83" s="128" customFormat="1" ht="21.75" customHeight="1">
      <c r="B29" s="147" t="s">
        <v>1027</v>
      </c>
      <c r="F29" s="2399" t="str">
        <f>activesheet!E30</f>
        <v>SCHOOL PRINCIPAL II</v>
      </c>
      <c r="G29" s="2399"/>
      <c r="H29" s="2399"/>
      <c r="I29" s="2399"/>
      <c r="J29" s="2399"/>
      <c r="K29" s="2399"/>
      <c r="L29" s="2399"/>
      <c r="M29" s="2399"/>
      <c r="N29" s="2399"/>
      <c r="O29" s="2399"/>
      <c r="P29" s="2399"/>
      <c r="Q29" s="2399"/>
      <c r="R29" s="2399"/>
      <c r="S29" s="2399"/>
      <c r="AA29" s="147" t="s">
        <v>11737</v>
      </c>
      <c r="AE29" s="2399" t="str">
        <f>activesheet!E659</f>
        <v>Administrative Officer IV</v>
      </c>
      <c r="AF29" s="2399"/>
      <c r="AG29" s="2399"/>
      <c r="AH29" s="2399"/>
      <c r="AI29" s="2399"/>
      <c r="AJ29" s="2399"/>
      <c r="AK29" s="2399"/>
      <c r="AL29" s="2399"/>
      <c r="AM29" s="2399"/>
      <c r="AN29" s="2399"/>
      <c r="AO29" s="2399"/>
      <c r="AP29" s="2399"/>
      <c r="AQ29" s="2399"/>
      <c r="AY29" s="1764" t="s">
        <v>741</v>
      </c>
      <c r="AZ29" s="1764"/>
      <c r="BA29" s="1764"/>
      <c r="BB29" s="1764"/>
      <c r="BC29" s="1764"/>
      <c r="BD29" s="1764"/>
      <c r="BE29" s="1764"/>
      <c r="BF29" s="1764"/>
      <c r="BG29" s="1764"/>
      <c r="BH29" s="1764"/>
      <c r="BI29" s="1764"/>
      <c r="BJ29" s="1764"/>
      <c r="BK29" s="1764"/>
      <c r="BL29" s="1764"/>
      <c r="BM29" s="1764"/>
      <c r="BN29" s="1764"/>
      <c r="BO29" s="1764"/>
      <c r="BP29" s="1764"/>
    </row>
    <row r="30" spans="1:83">
      <c r="AL30" s="128"/>
      <c r="AM30" s="128"/>
      <c r="AN30" s="128"/>
      <c r="AO30" s="128"/>
      <c r="AP30" s="128"/>
      <c r="AQ30" s="128"/>
      <c r="AR30" s="128"/>
      <c r="AS30" s="128"/>
      <c r="AT30" s="128"/>
      <c r="AU30" s="128"/>
      <c r="AV30" s="128"/>
      <c r="AW30" s="128"/>
    </row>
  </sheetData>
  <sheetProtection algorithmName="SHA-512" hashValue="9Q07b36KahEchklvgZ6f1lks4B1APs2lGBXOaxktY4nwWNT4VBnvvDMzQlJ8PQeS9W3fnYCKPorLTolAp6cx4g==" saltValue="vdvUuTjdEunr5169HldQoA==" spinCount="100000" sheet="1" selectLockedCells="1"/>
  <mergeCells count="183">
    <mergeCell ref="B4:I6"/>
    <mergeCell ref="AD4:AP6"/>
    <mergeCell ref="AZ6:BB6"/>
    <mergeCell ref="BC6:BE6"/>
    <mergeCell ref="BF6:BH6"/>
    <mergeCell ref="J4:AA4"/>
    <mergeCell ref="J5:R5"/>
    <mergeCell ref="S5:AA5"/>
    <mergeCell ref="AQ4:AY5"/>
    <mergeCell ref="AZ4:BH5"/>
    <mergeCell ref="AD7:AP7"/>
    <mergeCell ref="AD8:AP8"/>
    <mergeCell ref="AD9:AP9"/>
    <mergeCell ref="AD10:AP10"/>
    <mergeCell ref="AQ7:AS7"/>
    <mergeCell ref="AT7:AV7"/>
    <mergeCell ref="AW7:AY7"/>
    <mergeCell ref="AQ8:AS8"/>
    <mergeCell ref="J6:L6"/>
    <mergeCell ref="M6:O6"/>
    <mergeCell ref="P6:R6"/>
    <mergeCell ref="S6:U6"/>
    <mergeCell ref="V6:X6"/>
    <mergeCell ref="Y6:AA6"/>
    <mergeCell ref="AQ6:AS6"/>
    <mergeCell ref="AT6:AV6"/>
    <mergeCell ref="AW6:AY6"/>
    <mergeCell ref="S7:U7"/>
    <mergeCell ref="V7:X7"/>
    <mergeCell ref="Y7:AA7"/>
    <mergeCell ref="S8:U8"/>
    <mergeCell ref="V8:X8"/>
    <mergeCell ref="Y8:AA8"/>
    <mergeCell ref="S9:U9"/>
    <mergeCell ref="AD11:AP11"/>
    <mergeCell ref="AD12:AP12"/>
    <mergeCell ref="AD13:AP13"/>
    <mergeCell ref="AD14:AP14"/>
    <mergeCell ref="AD15:AP15"/>
    <mergeCell ref="P14:R14"/>
    <mergeCell ref="J15:L15"/>
    <mergeCell ref="M15:O15"/>
    <mergeCell ref="P15:R15"/>
    <mergeCell ref="J11:L11"/>
    <mergeCell ref="M11:O11"/>
    <mergeCell ref="P11:R11"/>
    <mergeCell ref="S14:U14"/>
    <mergeCell ref="V14:X14"/>
    <mergeCell ref="Y14:AA14"/>
    <mergeCell ref="S15:U15"/>
    <mergeCell ref="V15:X15"/>
    <mergeCell ref="Y15:AA15"/>
    <mergeCell ref="M10:O10"/>
    <mergeCell ref="P10:R10"/>
    <mergeCell ref="J7:L7"/>
    <mergeCell ref="M7:O7"/>
    <mergeCell ref="P7:R7"/>
    <mergeCell ref="J8:L8"/>
    <mergeCell ref="M8:O8"/>
    <mergeCell ref="P8:R8"/>
    <mergeCell ref="J14:L14"/>
    <mergeCell ref="M14:O14"/>
    <mergeCell ref="V9:X9"/>
    <mergeCell ref="Y9:AA9"/>
    <mergeCell ref="S10:U10"/>
    <mergeCell ref="V10:X10"/>
    <mergeCell ref="Y10:AA10"/>
    <mergeCell ref="S11:U11"/>
    <mergeCell ref="V11:X11"/>
    <mergeCell ref="Y11:AA11"/>
    <mergeCell ref="J13:L13"/>
    <mergeCell ref="M13:O13"/>
    <mergeCell ref="P13:R13"/>
    <mergeCell ref="J12:L12"/>
    <mergeCell ref="M12:O12"/>
    <mergeCell ref="P12:R12"/>
    <mergeCell ref="S12:U12"/>
    <mergeCell ref="V12:X12"/>
    <mergeCell ref="Y12:AA12"/>
    <mergeCell ref="S13:U13"/>
    <mergeCell ref="V13:X13"/>
    <mergeCell ref="Y13:AA13"/>
    <mergeCell ref="J9:L9"/>
    <mergeCell ref="M9:O9"/>
    <mergeCell ref="P9:R9"/>
    <mergeCell ref="J10:L10"/>
    <mergeCell ref="AQ11:AS11"/>
    <mergeCell ref="AT11:AV11"/>
    <mergeCell ref="AW11:AY11"/>
    <mergeCell ref="AQ12:AS12"/>
    <mergeCell ref="AT12:AV12"/>
    <mergeCell ref="AW12:AY12"/>
    <mergeCell ref="AT8:AV8"/>
    <mergeCell ref="AW8:AY8"/>
    <mergeCell ref="AQ9:AS9"/>
    <mergeCell ref="AT9:AV9"/>
    <mergeCell ref="AW9:AY9"/>
    <mergeCell ref="AQ10:AS10"/>
    <mergeCell ref="AT10:AV10"/>
    <mergeCell ref="AW10:AY10"/>
    <mergeCell ref="AZ11:BB11"/>
    <mergeCell ref="BC11:BE11"/>
    <mergeCell ref="BF11:BH11"/>
    <mergeCell ref="AQ15:AS15"/>
    <mergeCell ref="AT15:AV15"/>
    <mergeCell ref="AW15:AY15"/>
    <mergeCell ref="AQ14:AS14"/>
    <mergeCell ref="AT14:AV14"/>
    <mergeCell ref="AW14:AY14"/>
    <mergeCell ref="AZ14:BB14"/>
    <mergeCell ref="BC14:BE14"/>
    <mergeCell ref="BF14:BH14"/>
    <mergeCell ref="AZ15:BB15"/>
    <mergeCell ref="BC15:BE15"/>
    <mergeCell ref="BF15:BH15"/>
    <mergeCell ref="AZ12:BB12"/>
    <mergeCell ref="BC12:BE12"/>
    <mergeCell ref="BF12:BH12"/>
    <mergeCell ref="AZ13:BB13"/>
    <mergeCell ref="BC13:BE13"/>
    <mergeCell ref="BF13:BH13"/>
    <mergeCell ref="AQ13:AS13"/>
    <mergeCell ref="AT13:AV13"/>
    <mergeCell ref="AW13:AY13"/>
    <mergeCell ref="BO7:BQ7"/>
    <mergeCell ref="BI8:BK8"/>
    <mergeCell ref="BL8:BN8"/>
    <mergeCell ref="BO8:BQ8"/>
    <mergeCell ref="BL6:BN6"/>
    <mergeCell ref="BO6:BQ6"/>
    <mergeCell ref="AZ10:BB10"/>
    <mergeCell ref="BC10:BE10"/>
    <mergeCell ref="BF10:BH10"/>
    <mergeCell ref="AZ7:BB7"/>
    <mergeCell ref="BC7:BE7"/>
    <mergeCell ref="BF7:BH7"/>
    <mergeCell ref="AZ8:BB8"/>
    <mergeCell ref="BC8:BE8"/>
    <mergeCell ref="BF8:BH8"/>
    <mergeCell ref="AZ9:BB9"/>
    <mergeCell ref="BI4:BQ5"/>
    <mergeCell ref="BI13:BK13"/>
    <mergeCell ref="BL13:BN13"/>
    <mergeCell ref="BO13:BQ13"/>
    <mergeCell ref="BC9:BE9"/>
    <mergeCell ref="BF9:BH9"/>
    <mergeCell ref="BI14:BK14"/>
    <mergeCell ref="BL14:BN14"/>
    <mergeCell ref="BO14:BQ14"/>
    <mergeCell ref="BI11:BK11"/>
    <mergeCell ref="BL11:BN11"/>
    <mergeCell ref="BO11:BQ11"/>
    <mergeCell ref="BI12:BK12"/>
    <mergeCell ref="BL12:BN12"/>
    <mergeCell ref="BO12:BQ12"/>
    <mergeCell ref="BI9:BK9"/>
    <mergeCell ref="BL9:BN9"/>
    <mergeCell ref="BO9:BQ9"/>
    <mergeCell ref="BI10:BK10"/>
    <mergeCell ref="BL10:BN10"/>
    <mergeCell ref="BO10:BQ10"/>
    <mergeCell ref="BI6:BK6"/>
    <mergeCell ref="BI7:BK7"/>
    <mergeCell ref="BL7:BN7"/>
    <mergeCell ref="F29:S29"/>
    <mergeCell ref="AY29:BP29"/>
    <mergeCell ref="BI15:BK15"/>
    <mergeCell ref="BL15:BN15"/>
    <mergeCell ref="BO15:BQ15"/>
    <mergeCell ref="F27:S27"/>
    <mergeCell ref="AA27:AQ27"/>
    <mergeCell ref="AY27:BP28"/>
    <mergeCell ref="F28:S28"/>
    <mergeCell ref="AA28:AQ28"/>
    <mergeCell ref="B15:I15"/>
    <mergeCell ref="C18:AA18"/>
    <mergeCell ref="C24:AA24"/>
    <mergeCell ref="C23:AA23"/>
    <mergeCell ref="C21:AA21"/>
    <mergeCell ref="AF18:BI18"/>
    <mergeCell ref="J16:AB16"/>
    <mergeCell ref="AQ16:BQ16"/>
    <mergeCell ref="AE29:AQ29"/>
  </mergeCells>
  <dataValidations count="1">
    <dataValidation type="whole" allowBlank="1" showInputMessage="1" showErrorMessage="1" errorTitle="GESP 2022-2023" error="Please enter valid number between 0-999._x000a_" sqref="J7:O14 S7:X14 AQ7:AV14 AZ7:BE14 BI7:BN14" xr:uid="{00000000-0002-0000-1000-000000000000}">
      <formula1>0</formula1>
      <formula2>999</formula2>
    </dataValidation>
  </dataValidations>
  <printOptions horizontalCentered="1" verticalCentered="1"/>
  <pageMargins left="0.25" right="0.25" top="0.2" bottom="0.2" header="0" footer="0.1"/>
  <pageSetup paperSize="9" scale="40" orientation="landscape" r:id="rId1"/>
  <headerFooter alignWithMargins="0">
    <oddFooter>&amp;L&amp;10&amp;F &amp;A&amp;R&amp;11Page 13 of 60</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B1:AO44"/>
  <sheetViews>
    <sheetView showGridLines="0" zoomScaleNormal="100" workbookViewId="0">
      <selection activeCell="AE20" sqref="AE20:AO20"/>
    </sheetView>
  </sheetViews>
  <sheetFormatPr defaultColWidth="9" defaultRowHeight="14.5"/>
  <cols>
    <col min="1" max="1" width="2.08203125" style="569" customWidth="1"/>
    <col min="2" max="26" width="3.58203125" style="569" customWidth="1"/>
    <col min="27" max="33" width="3.58203125" style="571" customWidth="1"/>
    <col min="34" max="41" width="3.58203125" style="569" customWidth="1"/>
    <col min="42" max="42" width="2.08203125" style="569" customWidth="1"/>
    <col min="43" max="56" width="3.58203125" style="569" customWidth="1"/>
    <col min="57" max="16384" width="9" style="569"/>
  </cols>
  <sheetData>
    <row r="1" spans="2:41" ht="12" customHeight="1"/>
    <row r="2" spans="2:41" ht="16.5">
      <c r="B2" s="2652" t="s">
        <v>1060</v>
      </c>
      <c r="C2" s="2652"/>
      <c r="D2" s="2652"/>
      <c r="E2" s="2652"/>
      <c r="F2" s="2652"/>
      <c r="G2" s="2652"/>
      <c r="H2" s="2652"/>
      <c r="I2" s="2652"/>
      <c r="J2" s="2652"/>
      <c r="K2" s="2652"/>
      <c r="L2" s="2652"/>
      <c r="M2" s="2652"/>
      <c r="N2" s="2652"/>
      <c r="O2" s="2652"/>
      <c r="P2" s="2652"/>
      <c r="Q2" s="2652"/>
      <c r="R2" s="2652"/>
      <c r="S2" s="2652"/>
      <c r="T2" s="2652"/>
      <c r="U2" s="2652"/>
      <c r="V2" s="2652"/>
      <c r="W2" s="2652"/>
      <c r="X2" s="2652"/>
      <c r="Y2" s="2652"/>
      <c r="Z2" s="597"/>
    </row>
    <row r="3" spans="2:41" ht="17" thickBot="1">
      <c r="B3" s="598" t="s">
        <v>11762</v>
      </c>
      <c r="C3" s="598"/>
      <c r="D3" s="598"/>
      <c r="E3" s="598"/>
      <c r="F3" s="598"/>
      <c r="G3" s="598"/>
      <c r="H3" s="598"/>
      <c r="I3" s="598"/>
      <c r="J3" s="599"/>
      <c r="K3" s="599"/>
      <c r="L3" s="599"/>
      <c r="M3" s="599"/>
      <c r="N3" s="599"/>
      <c r="O3" s="599"/>
      <c r="P3" s="599"/>
      <c r="Q3" s="599"/>
      <c r="R3" s="599"/>
      <c r="S3" s="599"/>
      <c r="T3" s="599"/>
      <c r="U3" s="599"/>
      <c r="V3" s="599"/>
      <c r="W3" s="599"/>
      <c r="X3" s="599"/>
      <c r="Y3" s="599"/>
      <c r="Z3" s="600"/>
    </row>
    <row r="4" spans="2:41" ht="18" customHeight="1">
      <c r="B4" s="2653" t="s">
        <v>592</v>
      </c>
      <c r="C4" s="2654"/>
      <c r="D4" s="2654"/>
      <c r="E4" s="2654"/>
      <c r="F4" s="2654"/>
      <c r="G4" s="2654"/>
      <c r="H4" s="2654"/>
      <c r="I4" s="2654"/>
      <c r="J4" s="2655"/>
      <c r="K4" s="2659" t="s">
        <v>125</v>
      </c>
      <c r="L4" s="2660"/>
      <c r="M4" s="2660"/>
      <c r="N4" s="2660"/>
      <c r="O4" s="2661"/>
      <c r="P4" s="2661"/>
      <c r="Q4" s="2661"/>
      <c r="R4" s="2661"/>
      <c r="S4" s="2661"/>
      <c r="T4" s="2661"/>
      <c r="U4" s="2661"/>
      <c r="V4" s="2662"/>
      <c r="W4" s="2662"/>
      <c r="X4" s="2662"/>
      <c r="Y4" s="2663"/>
      <c r="Z4" s="589"/>
    </row>
    <row r="5" spans="2:41" ht="18" customHeight="1" thickBot="1">
      <c r="B5" s="2656"/>
      <c r="C5" s="2657"/>
      <c r="D5" s="2657"/>
      <c r="E5" s="2657"/>
      <c r="F5" s="2657"/>
      <c r="G5" s="2657"/>
      <c r="H5" s="2657"/>
      <c r="I5" s="2657"/>
      <c r="J5" s="2658"/>
      <c r="K5" s="2664" t="s">
        <v>15</v>
      </c>
      <c r="L5" s="2665"/>
      <c r="M5" s="2665"/>
      <c r="N5" s="2665"/>
      <c r="O5" s="2666"/>
      <c r="P5" s="2666" t="s">
        <v>16</v>
      </c>
      <c r="Q5" s="2667"/>
      <c r="R5" s="2667"/>
      <c r="S5" s="2667"/>
      <c r="T5" s="2667"/>
      <c r="U5" s="2668" t="s">
        <v>29</v>
      </c>
      <c r="V5" s="2669"/>
      <c r="W5" s="2669"/>
      <c r="X5" s="2669"/>
      <c r="Y5" s="2670"/>
      <c r="Z5" s="589"/>
    </row>
    <row r="6" spans="2:41" ht="18" customHeight="1">
      <c r="B6" s="2642" t="s">
        <v>516</v>
      </c>
      <c r="C6" s="2643"/>
      <c r="D6" s="2643"/>
      <c r="E6" s="2643"/>
      <c r="F6" s="2643"/>
      <c r="G6" s="2643"/>
      <c r="H6" s="2643"/>
      <c r="I6" s="2643"/>
      <c r="J6" s="2644"/>
      <c r="K6" s="2645">
        <v>0</v>
      </c>
      <c r="L6" s="2646"/>
      <c r="M6" s="2646"/>
      <c r="N6" s="2646"/>
      <c r="O6" s="2647"/>
      <c r="P6" s="2648">
        <v>0</v>
      </c>
      <c r="Q6" s="2646"/>
      <c r="R6" s="2646"/>
      <c r="S6" s="2646"/>
      <c r="T6" s="2646"/>
      <c r="U6" s="2649">
        <f>SUM(K6:T6)</f>
        <v>0</v>
      </c>
      <c r="V6" s="2650"/>
      <c r="W6" s="2650"/>
      <c r="X6" s="2650"/>
      <c r="Y6" s="2651"/>
      <c r="Z6" s="596"/>
      <c r="AA6" s="169" t="s">
        <v>779</v>
      </c>
      <c r="AB6" s="336"/>
      <c r="AC6" s="336"/>
    </row>
    <row r="7" spans="2:41" ht="18" customHeight="1">
      <c r="B7" s="2632" t="s">
        <v>517</v>
      </c>
      <c r="C7" s="2633"/>
      <c r="D7" s="2633"/>
      <c r="E7" s="2633"/>
      <c r="F7" s="2633"/>
      <c r="G7" s="2633"/>
      <c r="H7" s="2633"/>
      <c r="I7" s="2633"/>
      <c r="J7" s="2634"/>
      <c r="K7" s="2635">
        <v>4</v>
      </c>
      <c r="L7" s="2636"/>
      <c r="M7" s="2636"/>
      <c r="N7" s="2636"/>
      <c r="O7" s="2637"/>
      <c r="P7" s="2638">
        <v>38</v>
      </c>
      <c r="Q7" s="2636"/>
      <c r="R7" s="2636"/>
      <c r="S7" s="2636"/>
      <c r="T7" s="2636"/>
      <c r="U7" s="2639">
        <f>SUM(K7:T7)</f>
        <v>42</v>
      </c>
      <c r="V7" s="2640"/>
      <c r="W7" s="2640"/>
      <c r="X7" s="2640"/>
      <c r="Y7" s="2641"/>
      <c r="Z7" s="596"/>
      <c r="AA7" s="2609" t="str">
        <f>activesheet!E658</f>
        <v>ELMA CEZARIE Y. ROMERO</v>
      </c>
      <c r="AB7" s="2609"/>
      <c r="AC7" s="2609"/>
      <c r="AD7" s="2609"/>
      <c r="AE7" s="2609"/>
      <c r="AF7" s="2609"/>
      <c r="AG7" s="2609"/>
      <c r="AH7" s="2609"/>
      <c r="AI7" s="2609"/>
      <c r="AJ7" s="2609"/>
      <c r="AK7" s="2609"/>
      <c r="AL7" s="2609"/>
      <c r="AM7" s="2609"/>
      <c r="AN7" s="2609"/>
      <c r="AO7" s="2609"/>
    </row>
    <row r="8" spans="2:41" ht="18" customHeight="1">
      <c r="B8" s="2632" t="s">
        <v>519</v>
      </c>
      <c r="C8" s="2633"/>
      <c r="D8" s="2633"/>
      <c r="E8" s="2633"/>
      <c r="F8" s="2633"/>
      <c r="G8" s="2633"/>
      <c r="H8" s="2633"/>
      <c r="I8" s="2633"/>
      <c r="J8" s="2634"/>
      <c r="K8" s="2635">
        <v>0</v>
      </c>
      <c r="L8" s="2636"/>
      <c r="M8" s="2636"/>
      <c r="N8" s="2636"/>
      <c r="O8" s="2637"/>
      <c r="P8" s="2638">
        <v>2</v>
      </c>
      <c r="Q8" s="2636"/>
      <c r="R8" s="2636"/>
      <c r="S8" s="2636"/>
      <c r="T8" s="2636"/>
      <c r="U8" s="2639">
        <f t="shared" ref="U8:U10" si="0">SUM(K8:T8)</f>
        <v>2</v>
      </c>
      <c r="V8" s="2640"/>
      <c r="W8" s="2640"/>
      <c r="X8" s="2640"/>
      <c r="Y8" s="2641"/>
      <c r="Z8" s="596"/>
      <c r="AA8" s="2610"/>
      <c r="AB8" s="2610"/>
      <c r="AC8" s="2610"/>
      <c r="AD8" s="2610"/>
      <c r="AE8" s="2610"/>
      <c r="AF8" s="2610"/>
      <c r="AG8" s="2610"/>
      <c r="AH8" s="2610"/>
      <c r="AI8" s="2610"/>
      <c r="AJ8" s="2610"/>
      <c r="AK8" s="2610"/>
      <c r="AL8" s="2610"/>
      <c r="AM8" s="2610"/>
      <c r="AN8" s="2610"/>
      <c r="AO8" s="2610"/>
    </row>
    <row r="9" spans="2:41" ht="18" customHeight="1">
      <c r="B9" s="2632" t="s">
        <v>518</v>
      </c>
      <c r="C9" s="2633"/>
      <c r="D9" s="2633"/>
      <c r="E9" s="2633"/>
      <c r="F9" s="2633"/>
      <c r="G9" s="2633"/>
      <c r="H9" s="2633"/>
      <c r="I9" s="2633"/>
      <c r="J9" s="2634"/>
      <c r="K9" s="2635">
        <v>0</v>
      </c>
      <c r="L9" s="2636"/>
      <c r="M9" s="2636"/>
      <c r="N9" s="2636"/>
      <c r="O9" s="2637"/>
      <c r="P9" s="2638">
        <v>0</v>
      </c>
      <c r="Q9" s="2636"/>
      <c r="R9" s="2636"/>
      <c r="S9" s="2636"/>
      <c r="T9" s="2636"/>
      <c r="U9" s="2639">
        <f t="shared" si="0"/>
        <v>0</v>
      </c>
      <c r="V9" s="2640"/>
      <c r="W9" s="2640"/>
      <c r="X9" s="2640"/>
      <c r="Y9" s="2641"/>
      <c r="Z9" s="596"/>
      <c r="AA9" s="1764" t="s">
        <v>741</v>
      </c>
      <c r="AB9" s="1764"/>
      <c r="AC9" s="1764"/>
      <c r="AD9" s="1764"/>
      <c r="AE9" s="1764"/>
      <c r="AF9" s="1764"/>
      <c r="AG9" s="1764"/>
      <c r="AH9" s="1764"/>
      <c r="AI9" s="1764"/>
      <c r="AJ9" s="1764"/>
      <c r="AK9" s="1764"/>
      <c r="AL9" s="1764"/>
      <c r="AM9" s="1764"/>
      <c r="AN9" s="1764"/>
      <c r="AO9" s="1764"/>
    </row>
    <row r="10" spans="2:41" ht="18" customHeight="1" thickBot="1">
      <c r="B10" s="2617" t="s">
        <v>520</v>
      </c>
      <c r="C10" s="2618"/>
      <c r="D10" s="2618"/>
      <c r="E10" s="2618"/>
      <c r="F10" s="2618"/>
      <c r="G10" s="2618"/>
      <c r="H10" s="2618"/>
      <c r="I10" s="2618"/>
      <c r="J10" s="2619"/>
      <c r="K10" s="2620">
        <v>0</v>
      </c>
      <c r="L10" s="2621"/>
      <c r="M10" s="2621"/>
      <c r="N10" s="2621"/>
      <c r="O10" s="2622"/>
      <c r="P10" s="2623">
        <v>0</v>
      </c>
      <c r="Q10" s="2621"/>
      <c r="R10" s="2621"/>
      <c r="S10" s="2621"/>
      <c r="T10" s="2621"/>
      <c r="U10" s="2624">
        <f t="shared" si="0"/>
        <v>0</v>
      </c>
      <c r="V10" s="2625"/>
      <c r="W10" s="2625"/>
      <c r="X10" s="2625"/>
      <c r="Y10" s="2626"/>
      <c r="Z10" s="596"/>
      <c r="AA10" s="169" t="s">
        <v>71</v>
      </c>
      <c r="AB10" s="128"/>
      <c r="AC10" s="128"/>
      <c r="AD10" s="128"/>
      <c r="AE10" s="2399" t="str">
        <f>activesheet!E659</f>
        <v>Administrative Officer IV</v>
      </c>
      <c r="AF10" s="2399"/>
      <c r="AG10" s="2399"/>
      <c r="AH10" s="2399"/>
      <c r="AI10" s="2399"/>
      <c r="AJ10" s="2399"/>
      <c r="AK10" s="2399"/>
      <c r="AL10" s="2399"/>
      <c r="AM10" s="2399"/>
      <c r="AN10" s="2399"/>
      <c r="AO10" s="2399"/>
    </row>
    <row r="11" spans="2:41" ht="22.5" customHeight="1" thickTop="1" thickBot="1">
      <c r="B11" s="2627" t="s">
        <v>29</v>
      </c>
      <c r="C11" s="2628"/>
      <c r="D11" s="2628"/>
      <c r="E11" s="2628"/>
      <c r="F11" s="2628"/>
      <c r="G11" s="2628"/>
      <c r="H11" s="2628"/>
      <c r="I11" s="2628"/>
      <c r="J11" s="2628"/>
      <c r="K11" s="2613">
        <f>SUM(K6:O10)</f>
        <v>4</v>
      </c>
      <c r="L11" s="2614"/>
      <c r="M11" s="2614"/>
      <c r="N11" s="2614"/>
      <c r="O11" s="2615"/>
      <c r="P11" s="2629">
        <f t="shared" ref="P11" si="1">SUM(P6:T10)</f>
        <v>40</v>
      </c>
      <c r="Q11" s="2614"/>
      <c r="R11" s="2614"/>
      <c r="S11" s="2614"/>
      <c r="T11" s="2614"/>
      <c r="U11" s="2630">
        <f t="shared" ref="U11" si="2">SUM(U6:Y10)</f>
        <v>44</v>
      </c>
      <c r="V11" s="2614"/>
      <c r="W11" s="2614"/>
      <c r="X11" s="2614"/>
      <c r="Y11" s="2631"/>
      <c r="Z11" s="589"/>
      <c r="AA11" s="566"/>
      <c r="AB11" s="566"/>
      <c r="AC11" s="566"/>
    </row>
    <row r="12" spans="2:41" ht="41.5" customHeight="1">
      <c r="B12" s="2616" t="s">
        <v>924</v>
      </c>
      <c r="C12" s="2616"/>
      <c r="D12" s="2616"/>
      <c r="E12" s="2616"/>
      <c r="F12" s="2616"/>
      <c r="G12" s="2616"/>
      <c r="H12" s="2616"/>
      <c r="I12" s="2616"/>
      <c r="J12" s="2616"/>
      <c r="K12" s="2616"/>
      <c r="L12" s="2616"/>
      <c r="M12" s="2616"/>
      <c r="N12" s="2616"/>
      <c r="O12" s="2616"/>
      <c r="P12" s="2616"/>
      <c r="Q12" s="2616"/>
      <c r="R12" s="2616"/>
      <c r="S12" s="2616"/>
      <c r="T12" s="2616"/>
      <c r="U12" s="2616"/>
      <c r="V12" s="2616"/>
      <c r="W12" s="2616"/>
      <c r="X12" s="2616"/>
      <c r="Y12" s="2616"/>
      <c r="Z12" s="590"/>
      <c r="AA12" s="591"/>
      <c r="AB12" s="591"/>
      <c r="AC12" s="591"/>
      <c r="AD12" s="591"/>
      <c r="AE12" s="591"/>
      <c r="AF12" s="591"/>
      <c r="AG12" s="591"/>
      <c r="AH12" s="592"/>
      <c r="AI12" s="592"/>
      <c r="AJ12" s="592"/>
      <c r="AK12" s="592"/>
      <c r="AL12" s="592"/>
    </row>
    <row r="13" spans="2:41" ht="27.75" customHeight="1">
      <c r="B13" s="593"/>
      <c r="C13" s="593"/>
      <c r="D13" s="593"/>
      <c r="E13" s="593"/>
      <c r="F13" s="593"/>
      <c r="G13" s="593"/>
      <c r="H13" s="593"/>
      <c r="I13" s="593"/>
      <c r="J13" s="594"/>
      <c r="K13" s="595"/>
      <c r="L13" s="595"/>
      <c r="M13" s="595"/>
      <c r="N13" s="595"/>
      <c r="O13" s="595"/>
      <c r="P13" s="595"/>
      <c r="Q13" s="595"/>
      <c r="R13" s="595"/>
      <c r="S13" s="595"/>
      <c r="T13" s="595"/>
      <c r="U13" s="595"/>
      <c r="V13" s="595"/>
      <c r="W13" s="595"/>
      <c r="X13" s="595"/>
      <c r="Y13" s="595"/>
      <c r="Z13" s="595"/>
    </row>
    <row r="14" spans="2:41" ht="16.5">
      <c r="B14" s="579" t="s">
        <v>11763</v>
      </c>
      <c r="C14" s="579"/>
      <c r="D14" s="579"/>
      <c r="E14" s="579"/>
      <c r="F14" s="579"/>
      <c r="G14" s="579"/>
      <c r="H14" s="579"/>
      <c r="I14" s="579"/>
      <c r="J14" s="580"/>
      <c r="K14" s="580"/>
      <c r="L14" s="580"/>
      <c r="M14" s="580"/>
      <c r="N14" s="580"/>
      <c r="O14" s="580"/>
      <c r="P14" s="580"/>
      <c r="Q14" s="580"/>
      <c r="R14" s="580"/>
      <c r="S14" s="580"/>
      <c r="T14" s="580"/>
      <c r="U14" s="580"/>
      <c r="V14" s="580"/>
      <c r="W14" s="580"/>
      <c r="X14" s="580"/>
      <c r="Y14" s="580"/>
      <c r="Z14" s="580"/>
      <c r="AA14" s="581"/>
      <c r="AB14" s="581"/>
      <c r="AC14" s="567"/>
      <c r="AD14" s="567"/>
      <c r="AE14" s="567"/>
      <c r="AF14" s="567"/>
      <c r="AG14" s="567"/>
      <c r="AH14" s="567"/>
      <c r="AI14" s="567"/>
      <c r="AJ14" s="567"/>
      <c r="AK14" s="567"/>
      <c r="AL14" s="567"/>
      <c r="AM14" s="567"/>
      <c r="AN14" s="567"/>
      <c r="AO14" s="567"/>
    </row>
    <row r="15" spans="2:41" ht="16" thickBot="1">
      <c r="B15" s="582" t="s">
        <v>904</v>
      </c>
      <c r="C15" s="582"/>
      <c r="D15" s="582"/>
      <c r="E15" s="582"/>
      <c r="F15" s="582"/>
      <c r="G15" s="582"/>
      <c r="H15" s="582"/>
      <c r="I15" s="582"/>
      <c r="J15" s="568"/>
      <c r="K15" s="568"/>
      <c r="L15" s="568"/>
      <c r="M15" s="568"/>
      <c r="N15" s="568"/>
      <c r="O15" s="568"/>
      <c r="P15" s="568"/>
      <c r="Q15" s="568"/>
      <c r="R15" s="568"/>
      <c r="S15" s="568"/>
      <c r="T15" s="568"/>
      <c r="U15" s="568"/>
      <c r="V15" s="568"/>
      <c r="W15" s="568"/>
      <c r="X15" s="568"/>
      <c r="Y15" s="568"/>
      <c r="Z15" s="568"/>
      <c r="AA15" s="567"/>
      <c r="AB15" s="567"/>
      <c r="AC15" s="567"/>
      <c r="AD15" s="567"/>
      <c r="AE15" s="567"/>
      <c r="AF15" s="567"/>
      <c r="AG15" s="567"/>
      <c r="AH15" s="568"/>
      <c r="AI15" s="568"/>
      <c r="AJ15" s="568"/>
      <c r="AK15" s="568"/>
      <c r="AL15" s="568"/>
      <c r="AM15" s="568"/>
      <c r="AN15" s="568"/>
      <c r="AO15" s="568"/>
    </row>
    <row r="16" spans="2:41" ht="18.75" customHeight="1">
      <c r="B16" s="583"/>
      <c r="C16" s="584"/>
      <c r="D16" s="584"/>
      <c r="E16" s="584"/>
      <c r="F16" s="584"/>
      <c r="G16" s="584"/>
      <c r="H16" s="584"/>
      <c r="I16" s="584"/>
      <c r="J16" s="584"/>
      <c r="K16" s="584"/>
      <c r="L16" s="584"/>
      <c r="M16" s="584"/>
      <c r="N16" s="584"/>
      <c r="O16" s="584"/>
      <c r="P16" s="584"/>
      <c r="Q16" s="584"/>
      <c r="R16" s="584"/>
      <c r="S16" s="584"/>
      <c r="T16" s="584"/>
      <c r="U16" s="584"/>
      <c r="V16" s="584"/>
      <c r="W16" s="584"/>
      <c r="X16" s="584"/>
      <c r="Y16" s="585"/>
      <c r="Z16" s="565"/>
      <c r="AA16" s="169" t="s">
        <v>1066</v>
      </c>
      <c r="AB16" s="128"/>
      <c r="AC16" s="128"/>
      <c r="AD16" s="128"/>
      <c r="AE16" s="128"/>
      <c r="AF16" s="128"/>
      <c r="AG16" s="128"/>
      <c r="AH16" s="128"/>
      <c r="AI16" s="128"/>
      <c r="AJ16" s="128"/>
      <c r="AK16" s="128"/>
      <c r="AL16" s="128"/>
      <c r="AM16" s="128"/>
      <c r="AN16" s="128"/>
      <c r="AO16" s="128"/>
    </row>
    <row r="17" spans="2:41" ht="18" customHeight="1">
      <c r="B17" s="577"/>
      <c r="C17" s="586" t="s">
        <v>151</v>
      </c>
      <c r="D17" s="568" t="s">
        <v>1063</v>
      </c>
      <c r="E17" s="568"/>
      <c r="F17" s="568"/>
      <c r="G17" s="568"/>
      <c r="H17" s="568"/>
      <c r="I17" s="568"/>
      <c r="J17" s="568"/>
      <c r="K17" s="568"/>
      <c r="L17" s="568"/>
      <c r="M17" s="568"/>
      <c r="N17" s="568"/>
      <c r="O17" s="568"/>
      <c r="P17" s="568"/>
      <c r="R17" s="87" t="b">
        <v>1</v>
      </c>
      <c r="S17" s="568" t="s">
        <v>223</v>
      </c>
      <c r="T17" s="587"/>
      <c r="W17" s="88" t="b">
        <v>0</v>
      </c>
      <c r="X17" s="568" t="s">
        <v>0</v>
      </c>
      <c r="Y17" s="574"/>
      <c r="Z17" s="568"/>
      <c r="AA17" s="2607" t="s">
        <v>11873</v>
      </c>
      <c r="AB17" s="2607"/>
      <c r="AC17" s="2607"/>
      <c r="AD17" s="2607"/>
      <c r="AE17" s="2607"/>
      <c r="AF17" s="2607"/>
      <c r="AG17" s="2607"/>
      <c r="AH17" s="2607"/>
      <c r="AI17" s="2607"/>
      <c r="AJ17" s="2607"/>
      <c r="AK17" s="2607"/>
      <c r="AL17" s="2607"/>
      <c r="AM17" s="2607"/>
      <c r="AN17" s="2607"/>
      <c r="AO17" s="2607"/>
    </row>
    <row r="18" spans="2:41" ht="18" customHeight="1">
      <c r="B18" s="577"/>
      <c r="C18" s="568"/>
      <c r="D18" s="568" t="s">
        <v>1064</v>
      </c>
      <c r="E18" s="568"/>
      <c r="F18" s="568"/>
      <c r="G18" s="568"/>
      <c r="H18" s="568"/>
      <c r="I18" s="568"/>
      <c r="J18" s="568"/>
      <c r="K18" s="568"/>
      <c r="L18" s="568"/>
      <c r="M18" s="568"/>
      <c r="N18" s="568"/>
      <c r="O18" s="568"/>
      <c r="P18" s="568"/>
      <c r="Q18" s="568"/>
      <c r="R18" s="568"/>
      <c r="S18" s="568"/>
      <c r="T18" s="568"/>
      <c r="U18" s="568"/>
      <c r="V18" s="568"/>
      <c r="X18" s="568"/>
      <c r="Y18" s="574"/>
      <c r="Z18" s="568"/>
      <c r="AA18" s="2608"/>
      <c r="AB18" s="2608"/>
      <c r="AC18" s="2608"/>
      <c r="AD18" s="2608"/>
      <c r="AE18" s="2608"/>
      <c r="AF18" s="2608"/>
      <c r="AG18" s="2608"/>
      <c r="AH18" s="2608"/>
      <c r="AI18" s="2608"/>
      <c r="AJ18" s="2608"/>
      <c r="AK18" s="2608"/>
      <c r="AL18" s="2608"/>
      <c r="AM18" s="2608"/>
      <c r="AN18" s="2608"/>
      <c r="AO18" s="2608"/>
    </row>
    <row r="19" spans="2:41" ht="18" customHeight="1">
      <c r="B19" s="577"/>
      <c r="C19" s="568"/>
      <c r="D19" s="568"/>
      <c r="E19" s="568"/>
      <c r="F19" s="568"/>
      <c r="G19" s="568" t="s">
        <v>11764</v>
      </c>
      <c r="H19" s="568"/>
      <c r="I19" s="568"/>
      <c r="J19" s="568"/>
      <c r="M19" s="568"/>
      <c r="N19" s="568"/>
      <c r="O19" s="568"/>
      <c r="P19" s="568"/>
      <c r="S19" s="2611">
        <v>12</v>
      </c>
      <c r="T19" s="2611"/>
      <c r="U19" s="2611"/>
      <c r="V19" s="588"/>
      <c r="X19" s="588"/>
      <c r="Y19" s="574"/>
      <c r="Z19" s="568"/>
      <c r="AA19" s="1764" t="s">
        <v>741</v>
      </c>
      <c r="AB19" s="1764"/>
      <c r="AC19" s="1764"/>
      <c r="AD19" s="1764"/>
      <c r="AE19" s="1764"/>
      <c r="AF19" s="1764"/>
      <c r="AG19" s="1764"/>
      <c r="AH19" s="1764"/>
      <c r="AI19" s="1764"/>
      <c r="AJ19" s="1764"/>
      <c r="AK19" s="1764"/>
      <c r="AL19" s="1764"/>
      <c r="AM19" s="1764"/>
      <c r="AN19" s="1764"/>
      <c r="AO19" s="1764"/>
    </row>
    <row r="20" spans="2:41" ht="18" customHeight="1">
      <c r="B20" s="577"/>
      <c r="C20" s="568"/>
      <c r="D20" s="568"/>
      <c r="E20" s="568"/>
      <c r="F20" s="568"/>
      <c r="G20" s="568" t="s">
        <v>11765</v>
      </c>
      <c r="H20" s="568"/>
      <c r="I20" s="568"/>
      <c r="J20" s="568"/>
      <c r="M20" s="568"/>
      <c r="N20" s="568"/>
      <c r="O20" s="568"/>
      <c r="P20" s="568"/>
      <c r="S20" s="2612">
        <v>24</v>
      </c>
      <c r="T20" s="2612"/>
      <c r="U20" s="2612"/>
      <c r="V20" s="588"/>
      <c r="X20" s="588"/>
      <c r="Y20" s="574"/>
      <c r="Z20" s="568"/>
      <c r="AA20" s="169" t="s">
        <v>71</v>
      </c>
      <c r="AB20" s="128"/>
      <c r="AC20" s="128"/>
      <c r="AD20" s="128"/>
      <c r="AE20" s="1763" t="s">
        <v>11876</v>
      </c>
      <c r="AF20" s="1763"/>
      <c r="AG20" s="1763"/>
      <c r="AH20" s="1763"/>
      <c r="AI20" s="1763"/>
      <c r="AJ20" s="1763"/>
      <c r="AK20" s="1763"/>
      <c r="AL20" s="1763"/>
      <c r="AM20" s="1763"/>
      <c r="AN20" s="1763"/>
      <c r="AO20" s="1763"/>
    </row>
    <row r="21" spans="2:41" ht="18.75" customHeight="1" thickBot="1">
      <c r="B21" s="561"/>
      <c r="C21" s="562"/>
      <c r="D21" s="562"/>
      <c r="E21" s="562"/>
      <c r="F21" s="562"/>
      <c r="G21" s="562"/>
      <c r="H21" s="562"/>
      <c r="I21" s="562"/>
      <c r="J21" s="563"/>
      <c r="K21" s="563"/>
      <c r="L21" s="563"/>
      <c r="M21" s="563"/>
      <c r="N21" s="563"/>
      <c r="O21" s="563"/>
      <c r="P21" s="563"/>
      <c r="Q21" s="563"/>
      <c r="R21" s="563"/>
      <c r="S21" s="563"/>
      <c r="T21" s="563"/>
      <c r="U21" s="563"/>
      <c r="V21" s="563"/>
      <c r="W21" s="563"/>
      <c r="X21" s="563"/>
      <c r="Y21" s="564"/>
      <c r="Z21" s="565"/>
      <c r="AA21" s="566"/>
      <c r="AB21" s="566"/>
      <c r="AC21" s="566"/>
      <c r="AM21" s="568"/>
      <c r="AN21" s="568"/>
      <c r="AO21" s="568"/>
    </row>
    <row r="22" spans="2:41" ht="27.75" customHeight="1">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7"/>
      <c r="AB22" s="567"/>
      <c r="AC22" s="578"/>
      <c r="AD22" s="567"/>
      <c r="AE22" s="567"/>
      <c r="AF22" s="567"/>
      <c r="AG22" s="567"/>
      <c r="AH22" s="567"/>
      <c r="AI22" s="567"/>
      <c r="AJ22" s="567"/>
      <c r="AK22" s="567"/>
      <c r="AL22" s="567"/>
      <c r="AM22" s="568"/>
      <c r="AN22" s="568"/>
      <c r="AO22" s="568"/>
    </row>
    <row r="23" spans="2:41" ht="16.5">
      <c r="B23" s="579" t="s">
        <v>11766</v>
      </c>
      <c r="C23" s="579"/>
      <c r="D23" s="579"/>
      <c r="E23" s="579"/>
      <c r="F23" s="579"/>
      <c r="G23" s="579"/>
      <c r="H23" s="579"/>
      <c r="I23" s="579"/>
      <c r="J23" s="580"/>
      <c r="K23" s="580"/>
      <c r="L23" s="580"/>
      <c r="M23" s="580"/>
      <c r="N23" s="580"/>
      <c r="O23" s="580"/>
      <c r="P23" s="580"/>
      <c r="Q23" s="580"/>
      <c r="R23" s="580"/>
      <c r="S23" s="580"/>
      <c r="T23" s="580"/>
      <c r="U23" s="580"/>
      <c r="V23" s="580"/>
      <c r="W23" s="580"/>
      <c r="X23" s="580"/>
      <c r="Y23" s="580"/>
      <c r="Z23" s="580"/>
      <c r="AA23" s="581"/>
      <c r="AB23" s="581"/>
      <c r="AC23" s="567"/>
      <c r="AD23" s="567"/>
      <c r="AE23" s="567"/>
      <c r="AF23" s="567"/>
      <c r="AG23" s="567"/>
      <c r="AH23" s="567"/>
      <c r="AI23" s="567"/>
      <c r="AJ23" s="567"/>
      <c r="AK23" s="567"/>
      <c r="AL23" s="567"/>
      <c r="AM23" s="568"/>
      <c r="AN23" s="568"/>
      <c r="AO23" s="568"/>
    </row>
    <row r="24" spans="2:41" ht="16" thickBot="1">
      <c r="B24" s="582" t="s">
        <v>904</v>
      </c>
      <c r="C24" s="582"/>
      <c r="D24" s="582"/>
      <c r="E24" s="582"/>
      <c r="F24" s="582"/>
      <c r="G24" s="582"/>
      <c r="H24" s="582"/>
      <c r="I24" s="582"/>
      <c r="J24" s="568"/>
      <c r="K24" s="568"/>
      <c r="L24" s="568"/>
      <c r="M24" s="568"/>
      <c r="N24" s="568"/>
      <c r="O24" s="568"/>
      <c r="P24" s="568"/>
      <c r="Q24" s="568"/>
      <c r="R24" s="568"/>
      <c r="S24" s="568"/>
      <c r="T24" s="568"/>
      <c r="U24" s="568"/>
      <c r="V24" s="568"/>
      <c r="W24" s="568"/>
      <c r="X24" s="568"/>
      <c r="Y24" s="568"/>
      <c r="Z24" s="568"/>
      <c r="AA24" s="567"/>
      <c r="AB24" s="567"/>
      <c r="AC24" s="567"/>
      <c r="AD24" s="567"/>
      <c r="AE24" s="567"/>
      <c r="AF24" s="567"/>
      <c r="AG24" s="567"/>
      <c r="AH24" s="567"/>
      <c r="AI24" s="567"/>
      <c r="AJ24" s="567"/>
      <c r="AK24" s="567"/>
      <c r="AL24" s="567"/>
      <c r="AM24" s="568"/>
      <c r="AN24" s="568"/>
      <c r="AO24" s="568"/>
    </row>
    <row r="25" spans="2:41" ht="18.75" customHeight="1">
      <c r="B25" s="583"/>
      <c r="C25" s="584"/>
      <c r="D25" s="584"/>
      <c r="E25" s="584"/>
      <c r="F25" s="584"/>
      <c r="G25" s="584"/>
      <c r="H25" s="584"/>
      <c r="I25" s="584"/>
      <c r="J25" s="584"/>
      <c r="K25" s="584"/>
      <c r="L25" s="584"/>
      <c r="M25" s="584"/>
      <c r="N25" s="584"/>
      <c r="O25" s="584"/>
      <c r="P25" s="584"/>
      <c r="Q25" s="584"/>
      <c r="R25" s="584"/>
      <c r="S25" s="584"/>
      <c r="T25" s="584"/>
      <c r="U25" s="584"/>
      <c r="V25" s="584"/>
      <c r="W25" s="584"/>
      <c r="X25" s="584"/>
      <c r="Y25" s="585"/>
      <c r="Z25" s="565"/>
      <c r="AA25" s="566"/>
      <c r="AB25" s="566"/>
      <c r="AC25" s="567"/>
      <c r="AD25" s="567"/>
      <c r="AE25" s="567"/>
      <c r="AF25" s="567"/>
      <c r="AG25" s="567"/>
      <c r="AH25" s="567"/>
      <c r="AI25" s="567"/>
      <c r="AJ25" s="567"/>
      <c r="AK25" s="567"/>
      <c r="AL25" s="567"/>
      <c r="AM25" s="568"/>
      <c r="AN25" s="568"/>
      <c r="AO25" s="568"/>
    </row>
    <row r="26" spans="2:41" ht="18" customHeight="1">
      <c r="B26" s="577"/>
      <c r="C26" s="586" t="s">
        <v>151</v>
      </c>
      <c r="D26" s="568" t="s">
        <v>1061</v>
      </c>
      <c r="E26" s="568"/>
      <c r="F26" s="568"/>
      <c r="G26" s="568"/>
      <c r="H26" s="568"/>
      <c r="I26" s="568"/>
      <c r="J26" s="568"/>
      <c r="K26" s="568"/>
      <c r="L26" s="568"/>
      <c r="M26" s="568"/>
      <c r="N26" s="568"/>
      <c r="O26" s="568"/>
      <c r="P26" s="568"/>
      <c r="R26" s="601" t="b">
        <v>1</v>
      </c>
      <c r="S26" s="568" t="s">
        <v>223</v>
      </c>
      <c r="T26" s="587"/>
      <c r="W26" s="601" t="b">
        <v>0</v>
      </c>
      <c r="X26" s="568" t="s">
        <v>0</v>
      </c>
      <c r="Y26" s="574"/>
      <c r="Z26" s="568"/>
      <c r="AA26" s="241" t="s">
        <v>942</v>
      </c>
      <c r="AB26" s="336"/>
      <c r="AC26" s="336"/>
      <c r="AE26" s="567"/>
      <c r="AF26" s="567"/>
      <c r="AG26" s="567"/>
      <c r="AH26" s="567"/>
      <c r="AI26" s="567"/>
      <c r="AJ26" s="567"/>
      <c r="AK26" s="567"/>
      <c r="AL26" s="567"/>
      <c r="AM26" s="568"/>
      <c r="AN26" s="568"/>
      <c r="AO26" s="568"/>
    </row>
    <row r="27" spans="2:41" ht="18" customHeight="1">
      <c r="B27" s="577"/>
      <c r="C27" s="568"/>
      <c r="D27" s="568" t="s">
        <v>1062</v>
      </c>
      <c r="E27" s="568"/>
      <c r="F27" s="568"/>
      <c r="G27" s="568"/>
      <c r="H27" s="568"/>
      <c r="I27" s="568"/>
      <c r="J27" s="568"/>
      <c r="K27" s="568"/>
      <c r="L27" s="568"/>
      <c r="M27" s="568"/>
      <c r="N27" s="568"/>
      <c r="O27" s="568"/>
      <c r="P27" s="568"/>
      <c r="Q27" s="568"/>
      <c r="R27" s="568"/>
      <c r="S27" s="568"/>
      <c r="T27" s="568"/>
      <c r="U27" s="568"/>
      <c r="V27" s="568"/>
      <c r="W27" s="568"/>
      <c r="X27" s="568"/>
      <c r="Y27" s="574"/>
      <c r="Z27" s="568"/>
      <c r="AA27" s="2607" t="s">
        <v>11894</v>
      </c>
      <c r="AB27" s="2607"/>
      <c r="AC27" s="2607"/>
      <c r="AD27" s="2607"/>
      <c r="AE27" s="2607"/>
      <c r="AF27" s="2607"/>
      <c r="AG27" s="2607"/>
      <c r="AH27" s="2607"/>
      <c r="AI27" s="2607"/>
      <c r="AJ27" s="2607"/>
      <c r="AK27" s="2607"/>
      <c r="AL27" s="2607"/>
      <c r="AM27" s="2607"/>
      <c r="AN27" s="2607"/>
      <c r="AO27" s="2607"/>
    </row>
    <row r="28" spans="2:41" ht="18" customHeight="1">
      <c r="B28" s="576"/>
      <c r="C28" s="568"/>
      <c r="D28" s="568"/>
      <c r="E28" s="568"/>
      <c r="F28" s="568"/>
      <c r="G28" s="568" t="s">
        <v>11767</v>
      </c>
      <c r="H28" s="568"/>
      <c r="I28" s="568"/>
      <c r="J28" s="568"/>
      <c r="K28" s="568"/>
      <c r="L28" s="568"/>
      <c r="P28" s="568"/>
      <c r="Q28" s="568"/>
      <c r="R28" s="568"/>
      <c r="S28" s="2611">
        <v>0</v>
      </c>
      <c r="T28" s="2611"/>
      <c r="U28" s="2611"/>
      <c r="V28" s="568"/>
      <c r="W28" s="568"/>
      <c r="X28" s="568"/>
      <c r="Y28" s="574"/>
      <c r="Z28" s="568"/>
      <c r="AA28" s="2608"/>
      <c r="AB28" s="2608"/>
      <c r="AC28" s="2608"/>
      <c r="AD28" s="2608"/>
      <c r="AE28" s="2608"/>
      <c r="AF28" s="2608"/>
      <c r="AG28" s="2608"/>
      <c r="AH28" s="2608"/>
      <c r="AI28" s="2608"/>
      <c r="AJ28" s="2608"/>
      <c r="AK28" s="2608"/>
      <c r="AL28" s="2608"/>
      <c r="AM28" s="2608"/>
      <c r="AN28" s="2608"/>
      <c r="AO28" s="2608"/>
    </row>
    <row r="29" spans="2:41" ht="18" customHeight="1">
      <c r="B29" s="576"/>
      <c r="C29" s="568"/>
      <c r="D29" s="568"/>
      <c r="E29" s="568"/>
      <c r="F29" s="568"/>
      <c r="G29" s="568" t="s">
        <v>1065</v>
      </c>
      <c r="H29" s="568"/>
      <c r="I29" s="568"/>
      <c r="J29" s="568"/>
      <c r="K29" s="568"/>
      <c r="L29" s="568"/>
      <c r="P29" s="568"/>
      <c r="Q29" s="568"/>
      <c r="R29" s="568"/>
      <c r="S29" s="2612">
        <v>0</v>
      </c>
      <c r="T29" s="2612"/>
      <c r="U29" s="2612"/>
      <c r="V29" s="568"/>
      <c r="W29" s="568"/>
      <c r="X29" s="568"/>
      <c r="Y29" s="574"/>
      <c r="Z29" s="568"/>
      <c r="AA29" s="1764" t="s">
        <v>741</v>
      </c>
      <c r="AB29" s="1764"/>
      <c r="AC29" s="1764"/>
      <c r="AD29" s="1764"/>
      <c r="AE29" s="1764"/>
      <c r="AF29" s="1764"/>
      <c r="AG29" s="1764"/>
      <c r="AH29" s="1764"/>
      <c r="AI29" s="1764"/>
      <c r="AJ29" s="1764"/>
      <c r="AK29" s="1764"/>
      <c r="AL29" s="1764"/>
      <c r="AM29" s="1764"/>
      <c r="AN29" s="1764"/>
      <c r="AO29" s="1764"/>
    </row>
    <row r="30" spans="2:41" ht="18" customHeight="1">
      <c r="B30" s="576"/>
      <c r="C30" s="568"/>
      <c r="D30" s="568"/>
      <c r="E30" s="568"/>
      <c r="F30" s="568"/>
      <c r="G30" s="568" t="s">
        <v>1353</v>
      </c>
      <c r="H30" s="568"/>
      <c r="I30" s="568"/>
      <c r="J30" s="568"/>
      <c r="K30" s="568"/>
      <c r="L30" s="568"/>
      <c r="P30" s="568"/>
      <c r="Q30" s="568"/>
      <c r="R30" s="568"/>
      <c r="S30" s="2612">
        <v>2</v>
      </c>
      <c r="T30" s="2612"/>
      <c r="U30" s="2612"/>
      <c r="V30" s="568"/>
      <c r="W30" s="568"/>
      <c r="X30" s="568"/>
      <c r="Y30" s="574"/>
      <c r="Z30" s="568"/>
      <c r="AA30" s="169"/>
      <c r="AB30" s="169"/>
      <c r="AC30" s="575"/>
      <c r="AE30" s="567"/>
      <c r="AF30" s="567"/>
      <c r="AG30" s="567"/>
      <c r="AH30" s="567"/>
      <c r="AI30" s="567"/>
      <c r="AJ30" s="567"/>
      <c r="AK30" s="567"/>
      <c r="AL30" s="567"/>
      <c r="AM30" s="568"/>
      <c r="AN30" s="568"/>
      <c r="AO30" s="568"/>
    </row>
    <row r="31" spans="2:41" ht="18.75" customHeight="1" thickBot="1">
      <c r="B31" s="561"/>
      <c r="C31" s="562"/>
      <c r="D31" s="562"/>
      <c r="E31" s="562"/>
      <c r="F31" s="562"/>
      <c r="G31" s="562"/>
      <c r="H31" s="562"/>
      <c r="I31" s="562"/>
      <c r="J31" s="563"/>
      <c r="K31" s="563"/>
      <c r="L31" s="563"/>
      <c r="M31" s="563"/>
      <c r="N31" s="563"/>
      <c r="O31" s="563"/>
      <c r="P31" s="563"/>
      <c r="Q31" s="563"/>
      <c r="R31" s="563"/>
      <c r="S31" s="563"/>
      <c r="T31" s="563"/>
      <c r="U31" s="563"/>
      <c r="V31" s="563"/>
      <c r="W31" s="563"/>
      <c r="X31" s="563"/>
      <c r="Y31" s="564"/>
      <c r="Z31" s="565"/>
      <c r="AA31" s="566"/>
      <c r="AB31" s="566"/>
      <c r="AC31" s="567"/>
      <c r="AD31" s="567"/>
      <c r="AE31" s="567"/>
      <c r="AF31" s="567"/>
      <c r="AG31" s="567"/>
      <c r="AH31" s="567"/>
      <c r="AI31" s="567"/>
      <c r="AJ31" s="567"/>
      <c r="AK31" s="567"/>
      <c r="AL31" s="567"/>
      <c r="AM31" s="568"/>
      <c r="AN31" s="568"/>
      <c r="AO31" s="568"/>
    </row>
    <row r="32" spans="2:41" ht="30" customHeight="1">
      <c r="B32" s="570"/>
      <c r="C32" s="570"/>
      <c r="D32" s="570"/>
      <c r="E32" s="570"/>
      <c r="F32" s="570"/>
      <c r="G32" s="570"/>
      <c r="H32" s="570"/>
      <c r="I32" s="570"/>
    </row>
    <row r="33" spans="2:41" s="242" customFormat="1" ht="14">
      <c r="B33" s="241" t="s">
        <v>847</v>
      </c>
      <c r="AA33" s="241" t="s">
        <v>783</v>
      </c>
    </row>
    <row r="34" spans="2:41" s="242" customFormat="1" ht="21.75" customHeight="1">
      <c r="B34" s="241" t="s">
        <v>756</v>
      </c>
      <c r="F34" s="1959" t="str">
        <f>activesheet!E29</f>
        <v>RICO S. MISPEROS</v>
      </c>
      <c r="G34" s="1959"/>
      <c r="H34" s="1959"/>
      <c r="I34" s="1959"/>
      <c r="J34" s="1959"/>
      <c r="K34" s="1959"/>
      <c r="L34" s="1959"/>
      <c r="M34" s="1959"/>
      <c r="N34" s="1959"/>
      <c r="O34" s="1959"/>
      <c r="P34" s="1959"/>
      <c r="Q34" s="1959"/>
      <c r="R34" s="1959"/>
      <c r="AA34" s="2609" t="str">
        <f>activesheet!E31</f>
        <v>MICHAEL T. JAMIS</v>
      </c>
      <c r="AB34" s="2609"/>
      <c r="AC34" s="2609"/>
      <c r="AD34" s="2609"/>
      <c r="AE34" s="2609"/>
      <c r="AF34" s="2609"/>
      <c r="AG34" s="2609"/>
      <c r="AH34" s="2609"/>
      <c r="AI34" s="2609"/>
      <c r="AJ34" s="2609"/>
      <c r="AK34" s="2609"/>
      <c r="AL34" s="2609"/>
      <c r="AM34" s="2609"/>
      <c r="AN34" s="2609"/>
      <c r="AO34" s="2609"/>
    </row>
    <row r="35" spans="2:41" s="307" customFormat="1" ht="12" customHeight="1">
      <c r="B35" s="245"/>
      <c r="F35" s="1764" t="s">
        <v>741</v>
      </c>
      <c r="G35" s="1764"/>
      <c r="H35" s="1764"/>
      <c r="I35" s="1764"/>
      <c r="J35" s="1764"/>
      <c r="K35" s="1764"/>
      <c r="L35" s="1764"/>
      <c r="M35" s="1764"/>
      <c r="N35" s="1764"/>
      <c r="O35" s="1764"/>
      <c r="P35" s="1764"/>
      <c r="Q35" s="1764"/>
      <c r="R35" s="1764"/>
      <c r="S35" s="153"/>
      <c r="T35" s="153"/>
      <c r="U35" s="153"/>
      <c r="V35" s="153"/>
      <c r="W35" s="153"/>
      <c r="X35" s="153"/>
      <c r="Y35" s="153"/>
      <c r="Z35" s="153"/>
      <c r="AA35" s="2610"/>
      <c r="AB35" s="2610"/>
      <c r="AC35" s="2610"/>
      <c r="AD35" s="2610"/>
      <c r="AE35" s="2610"/>
      <c r="AF35" s="2610"/>
      <c r="AG35" s="2610"/>
      <c r="AH35" s="2610"/>
      <c r="AI35" s="2610"/>
      <c r="AJ35" s="2610"/>
      <c r="AK35" s="2610"/>
      <c r="AL35" s="2610"/>
      <c r="AM35" s="2610"/>
      <c r="AN35" s="2610"/>
      <c r="AO35" s="2610"/>
    </row>
    <row r="36" spans="2:41" s="242" customFormat="1" ht="21.75" customHeight="1">
      <c r="B36" s="241" t="s">
        <v>71</v>
      </c>
      <c r="F36" s="1959" t="str">
        <f>activesheet!E30</f>
        <v>SCHOOL PRINCIPAL II</v>
      </c>
      <c r="G36" s="1959"/>
      <c r="H36" s="1959"/>
      <c r="I36" s="1959"/>
      <c r="J36" s="1959"/>
      <c r="K36" s="1959"/>
      <c r="L36" s="1959"/>
      <c r="M36" s="1959"/>
      <c r="N36" s="1959"/>
      <c r="O36" s="1959"/>
      <c r="P36" s="1959"/>
      <c r="Q36" s="1959"/>
      <c r="R36" s="1959"/>
      <c r="AA36" s="1764" t="s">
        <v>741</v>
      </c>
      <c r="AB36" s="1764"/>
      <c r="AC36" s="1764"/>
      <c r="AD36" s="1764"/>
      <c r="AE36" s="1764"/>
      <c r="AF36" s="1764"/>
      <c r="AG36" s="1764"/>
      <c r="AH36" s="1764"/>
      <c r="AI36" s="1764"/>
      <c r="AJ36" s="1764"/>
      <c r="AK36" s="1764"/>
      <c r="AL36" s="1764"/>
      <c r="AM36" s="1764"/>
      <c r="AN36" s="1764"/>
      <c r="AO36" s="1764"/>
    </row>
    <row r="37" spans="2:41" ht="15.65" customHeight="1">
      <c r="AA37" s="168"/>
      <c r="AB37" s="168"/>
      <c r="AC37" s="168"/>
      <c r="AD37" s="168"/>
      <c r="AE37" s="168"/>
      <c r="AF37" s="168"/>
      <c r="AG37" s="168"/>
      <c r="AH37" s="128"/>
    </row>
    <row r="38" spans="2:41">
      <c r="B38" s="570"/>
      <c r="C38" s="570"/>
      <c r="D38" s="570"/>
      <c r="E38" s="570"/>
      <c r="F38" s="570"/>
      <c r="G38" s="570"/>
      <c r="H38" s="570"/>
      <c r="I38" s="570"/>
    </row>
    <row r="39" spans="2:41" s="180" customFormat="1" ht="15.5">
      <c r="AA39" s="225"/>
      <c r="AB39" s="225"/>
      <c r="AC39" s="225"/>
      <c r="AD39" s="225"/>
      <c r="AE39" s="225"/>
      <c r="AF39" s="225"/>
      <c r="AG39" s="225"/>
    </row>
    <row r="40" spans="2:41" s="180" customFormat="1" ht="15.5">
      <c r="Y40" s="225"/>
      <c r="Z40" s="225"/>
      <c r="AA40" s="225"/>
      <c r="AB40" s="225"/>
      <c r="AC40" s="225"/>
      <c r="AD40" s="225"/>
      <c r="AE40" s="225"/>
      <c r="AF40" s="225"/>
      <c r="AG40" s="225"/>
    </row>
    <row r="41" spans="2:41" s="180" customFormat="1" ht="15.5">
      <c r="Y41" s="572"/>
      <c r="Z41" s="572"/>
      <c r="AA41" s="573"/>
      <c r="AB41" s="225"/>
      <c r="AC41" s="225"/>
      <c r="AD41" s="225"/>
      <c r="AE41" s="225"/>
      <c r="AF41" s="225"/>
      <c r="AG41" s="225"/>
    </row>
    <row r="42" spans="2:41" s="180" customFormat="1" ht="15.5">
      <c r="AA42" s="225"/>
      <c r="AB42" s="225"/>
      <c r="AC42" s="225"/>
      <c r="AD42" s="225"/>
      <c r="AE42" s="225"/>
      <c r="AF42" s="225"/>
      <c r="AG42" s="225"/>
    </row>
    <row r="43" spans="2:41" s="180" customFormat="1" ht="15.5">
      <c r="AA43" s="225"/>
      <c r="AB43" s="225"/>
      <c r="AC43" s="225"/>
      <c r="AD43" s="225"/>
      <c r="AE43" s="225"/>
      <c r="AF43" s="225"/>
      <c r="AG43" s="225"/>
    </row>
    <row r="44" spans="2:41" s="180" customFormat="1" ht="15.5">
      <c r="AA44" s="225"/>
      <c r="AB44" s="225"/>
      <c r="AC44" s="225"/>
      <c r="AD44" s="225"/>
      <c r="AE44" s="225"/>
      <c r="AF44" s="225"/>
      <c r="AG44" s="225"/>
    </row>
  </sheetData>
  <sheetProtection algorithmName="SHA-512" hashValue="5oqzlLpbOSVtJnI4vyirvjZhHynv5mhxM4CCtuH803ak4IXu8rnceOQQlRW2S3HzgKPpxz3H/Pi2PzbSaL8Auw==" saltValue="siJVQAhBNHIksuvpcetk/A==" spinCount="100000" sheet="1" objects="1" scenarios="1" selectLockedCells="1"/>
  <mergeCells count="49">
    <mergeCell ref="B2:Y2"/>
    <mergeCell ref="B4:J5"/>
    <mergeCell ref="K4:Y4"/>
    <mergeCell ref="K5:O5"/>
    <mergeCell ref="P5:T5"/>
    <mergeCell ref="U5:Y5"/>
    <mergeCell ref="B6:J6"/>
    <mergeCell ref="K6:O6"/>
    <mergeCell ref="P6:T6"/>
    <mergeCell ref="U6:Y6"/>
    <mergeCell ref="B7:J7"/>
    <mergeCell ref="K7:O7"/>
    <mergeCell ref="P7:T7"/>
    <mergeCell ref="U7:Y7"/>
    <mergeCell ref="B8:J8"/>
    <mergeCell ref="K8:O8"/>
    <mergeCell ref="P8:T8"/>
    <mergeCell ref="U8:Y8"/>
    <mergeCell ref="B9:J9"/>
    <mergeCell ref="K9:O9"/>
    <mergeCell ref="P9:T9"/>
    <mergeCell ref="U9:Y9"/>
    <mergeCell ref="K11:O11"/>
    <mergeCell ref="S19:U19"/>
    <mergeCell ref="S20:U20"/>
    <mergeCell ref="B12:Y12"/>
    <mergeCell ref="B10:J10"/>
    <mergeCell ref="K10:O10"/>
    <mergeCell ref="P10:T10"/>
    <mergeCell ref="U10:Y10"/>
    <mergeCell ref="B11:J11"/>
    <mergeCell ref="P11:T11"/>
    <mergeCell ref="U11:Y11"/>
    <mergeCell ref="AA7:AO8"/>
    <mergeCell ref="AA9:AO9"/>
    <mergeCell ref="AE10:AO10"/>
    <mergeCell ref="AA27:AO28"/>
    <mergeCell ref="AA29:AO29"/>
    <mergeCell ref="AA36:AO36"/>
    <mergeCell ref="F36:R36"/>
    <mergeCell ref="F35:R35"/>
    <mergeCell ref="F34:R34"/>
    <mergeCell ref="AA17:AO18"/>
    <mergeCell ref="AA19:AO19"/>
    <mergeCell ref="AE20:AO20"/>
    <mergeCell ref="AA34:AO35"/>
    <mergeCell ref="S28:U28"/>
    <mergeCell ref="S29:U29"/>
    <mergeCell ref="S30:U30"/>
  </mergeCells>
  <conditionalFormatting sqref="D18">
    <cfRule type="expression" dxfId="26" priority="3">
      <formula>AND($R$17=TRUE, AND($S$19=FALSE, $S$20=FALSE))</formula>
    </cfRule>
  </conditionalFormatting>
  <conditionalFormatting sqref="D27">
    <cfRule type="expression" dxfId="25" priority="1">
      <formula>AND($R$26=TRUE, AND($S$28=FALSE, $S$29=FALSE, $S$30=FALSE))</formula>
    </cfRule>
  </conditionalFormatting>
  <dataValidations count="3">
    <dataValidation type="whole" allowBlank="1" showInputMessage="1" showErrorMessage="1" errorTitle="GESP SY 2022-2023" error="Please enter valid number between 0-999." sqref="K6:T10" xr:uid="{00000000-0002-0000-1100-000000000000}">
      <formula1>0</formula1>
      <formula2>999</formula2>
    </dataValidation>
    <dataValidation type="whole" allowBlank="1" showInputMessage="1" showErrorMessage="1" errorTitle="GESP SY 2022-2023" error="Please enter valid number between 0-2000." sqref="S28:U30" xr:uid="{00000000-0002-0000-1100-000001000000}">
      <formula1>0</formula1>
      <formula2>2000</formula2>
    </dataValidation>
    <dataValidation type="whole" allowBlank="1" showInputMessage="1" showErrorMessage="1" errorTitle="GESP SY 2022-2023" error="Please enter valid number between 0-2,000." sqref="S19:U20" xr:uid="{00000000-0002-0000-1100-000002000000}">
      <formula1>0</formula1>
      <formula2>2000</formula2>
    </dataValidation>
  </dataValidations>
  <printOptions horizontalCentered="1" verticalCentered="1"/>
  <pageMargins left="0.25" right="0.25" top="0.2" bottom="0.2" header="0" footer="0.1"/>
  <pageSetup paperSize="9" scale="71" orientation="landscape" r:id="rId1"/>
  <headerFooter alignWithMargins="0">
    <oddFooter>&amp;L&amp;10&amp;F &amp;A&amp;R&amp;11Page 14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6625" r:id="rId4" name="Check Box 1">
              <controlPr locked="0" defaultSize="0" autoFill="0" autoLine="0" autoPict="0" altText="">
                <anchor moveWithCells="1">
                  <from>
                    <xdr:col>17</xdr:col>
                    <xdr:colOff>38100</xdr:colOff>
                    <xdr:row>16</xdr:row>
                    <xdr:rowOff>12700</xdr:rowOff>
                  </from>
                  <to>
                    <xdr:col>18</xdr:col>
                    <xdr:colOff>12700</xdr:colOff>
                    <xdr:row>17</xdr:row>
                    <xdr:rowOff>0</xdr:rowOff>
                  </to>
                </anchor>
              </controlPr>
            </control>
          </mc:Choice>
        </mc:AlternateContent>
        <mc:AlternateContent xmlns:mc="http://schemas.openxmlformats.org/markup-compatibility/2006">
          <mc:Choice Requires="x14">
            <control shapeId="26626" r:id="rId5" name="Check Box 2">
              <controlPr locked="0" defaultSize="0" autoFill="0" autoLine="0" autoPict="0" altText="">
                <anchor moveWithCells="1">
                  <from>
                    <xdr:col>22</xdr:col>
                    <xdr:colOff>50800</xdr:colOff>
                    <xdr:row>16</xdr:row>
                    <xdr:rowOff>12700</xdr:rowOff>
                  </from>
                  <to>
                    <xdr:col>23</xdr:col>
                    <xdr:colOff>12700</xdr:colOff>
                    <xdr:row>17</xdr:row>
                    <xdr:rowOff>0</xdr:rowOff>
                  </to>
                </anchor>
              </controlPr>
            </control>
          </mc:Choice>
        </mc:AlternateContent>
        <mc:AlternateContent xmlns:mc="http://schemas.openxmlformats.org/markup-compatibility/2006">
          <mc:Choice Requires="x14">
            <control shapeId="26627" r:id="rId6" name="Check Box 3">
              <controlPr locked="0" defaultSize="0" autoFill="0" autoLine="0" autoPict="0" altText="">
                <anchor moveWithCells="1">
                  <from>
                    <xdr:col>17</xdr:col>
                    <xdr:colOff>38100</xdr:colOff>
                    <xdr:row>25</xdr:row>
                    <xdr:rowOff>12700</xdr:rowOff>
                  </from>
                  <to>
                    <xdr:col>18</xdr:col>
                    <xdr:colOff>12700</xdr:colOff>
                    <xdr:row>26</xdr:row>
                    <xdr:rowOff>0</xdr:rowOff>
                  </to>
                </anchor>
              </controlPr>
            </control>
          </mc:Choice>
        </mc:AlternateContent>
        <mc:AlternateContent xmlns:mc="http://schemas.openxmlformats.org/markup-compatibility/2006">
          <mc:Choice Requires="x14">
            <control shapeId="26628" r:id="rId7" name="Check Box 4">
              <controlPr locked="0" defaultSize="0" autoFill="0" autoLine="0" autoPict="0" altText="">
                <anchor moveWithCells="1">
                  <from>
                    <xdr:col>22</xdr:col>
                    <xdr:colOff>38100</xdr:colOff>
                    <xdr:row>25</xdr:row>
                    <xdr:rowOff>12700</xdr:rowOff>
                  </from>
                  <to>
                    <xdr:col>23</xdr:col>
                    <xdr:colOff>12700</xdr:colOff>
                    <xdr:row>26</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B1:BA56"/>
  <sheetViews>
    <sheetView showGridLines="0" zoomScaleNormal="100" workbookViewId="0">
      <selection activeCell="AF9" sqref="AF9:AL9"/>
    </sheetView>
  </sheetViews>
  <sheetFormatPr defaultColWidth="9" defaultRowHeight="15.5"/>
  <cols>
    <col min="1" max="1" width="2.08203125" style="602" customWidth="1"/>
    <col min="2" max="39" width="3.58203125" style="602" customWidth="1"/>
    <col min="40" max="41" width="2.08203125" style="602" customWidth="1"/>
    <col min="42" max="42" width="9.08203125" style="602" customWidth="1"/>
    <col min="43" max="43" width="3.58203125" style="602" customWidth="1"/>
    <col min="44" max="16384" width="9" style="602"/>
  </cols>
  <sheetData>
    <row r="1" spans="2:53" ht="12" customHeight="1"/>
    <row r="2" spans="2:53" ht="16.5">
      <c r="B2" s="627" t="s">
        <v>11768</v>
      </c>
      <c r="C2" s="628"/>
      <c r="D2" s="628"/>
      <c r="E2" s="628"/>
      <c r="F2" s="628"/>
      <c r="G2" s="628"/>
      <c r="H2" s="628"/>
      <c r="I2" s="628"/>
      <c r="J2" s="628"/>
      <c r="K2" s="628"/>
      <c r="L2" s="629"/>
      <c r="M2" s="629"/>
      <c r="N2" s="629"/>
      <c r="O2" s="629"/>
      <c r="P2" s="629"/>
      <c r="Q2" s="629"/>
      <c r="R2" s="629"/>
      <c r="S2" s="629"/>
      <c r="T2" s="629"/>
      <c r="U2" s="629"/>
      <c r="V2" s="629"/>
      <c r="W2" s="652"/>
      <c r="X2" s="629"/>
      <c r="Y2" s="629"/>
      <c r="Z2" s="629"/>
      <c r="AA2" s="629"/>
      <c r="AB2" s="629"/>
      <c r="AC2" s="629"/>
      <c r="AD2" s="629"/>
      <c r="AE2" s="629"/>
      <c r="AF2" s="629"/>
      <c r="AG2" s="629"/>
      <c r="AH2" s="629"/>
      <c r="AI2" s="629"/>
      <c r="AJ2" s="629"/>
      <c r="AK2" s="629"/>
      <c r="AL2" s="629"/>
    </row>
    <row r="3" spans="2:53" s="568" customFormat="1" ht="16" thickBot="1">
      <c r="B3" s="582" t="s">
        <v>904</v>
      </c>
      <c r="W3" s="582"/>
    </row>
    <row r="4" spans="2:53" ht="5.25" customHeight="1">
      <c r="B4" s="631"/>
      <c r="C4" s="632"/>
      <c r="D4" s="632"/>
      <c r="E4" s="632"/>
      <c r="F4" s="632"/>
      <c r="G4" s="632"/>
      <c r="H4" s="632"/>
      <c r="I4" s="632"/>
      <c r="J4" s="632"/>
      <c r="K4" s="632"/>
      <c r="L4" s="632"/>
      <c r="M4" s="633"/>
      <c r="N4" s="633"/>
      <c r="O4" s="633"/>
      <c r="P4" s="633"/>
      <c r="Q4" s="633"/>
      <c r="R4" s="633"/>
      <c r="S4" s="633"/>
      <c r="T4" s="634"/>
      <c r="U4" s="635"/>
      <c r="V4" s="635"/>
      <c r="W4" s="635"/>
      <c r="X4" s="635"/>
      <c r="Y4" s="635"/>
      <c r="Z4" s="635"/>
      <c r="AA4" s="633"/>
      <c r="AB4" s="633"/>
      <c r="AC4" s="633"/>
      <c r="AD4" s="633"/>
      <c r="AE4" s="633"/>
      <c r="AF4" s="633"/>
      <c r="AG4" s="633"/>
      <c r="AH4" s="633"/>
      <c r="AI4" s="633"/>
      <c r="AJ4" s="633"/>
      <c r="AK4" s="633"/>
      <c r="AL4" s="633"/>
      <c r="AM4" s="633"/>
      <c r="AN4" s="620"/>
      <c r="AX4" s="588"/>
      <c r="AY4" s="588"/>
      <c r="AZ4" s="588"/>
      <c r="BA4" s="588"/>
    </row>
    <row r="5" spans="2:53" s="610" customFormat="1" ht="20.5">
      <c r="B5" s="617"/>
      <c r="C5" s="605" t="s">
        <v>151</v>
      </c>
      <c r="D5" s="606" t="s">
        <v>1071</v>
      </c>
      <c r="E5" s="606"/>
      <c r="H5" s="607"/>
      <c r="I5" s="607"/>
      <c r="J5" s="607"/>
      <c r="K5" s="607"/>
      <c r="L5" s="607"/>
      <c r="M5" s="607"/>
      <c r="N5" s="607"/>
      <c r="O5" s="607"/>
      <c r="P5" s="607"/>
      <c r="Q5" s="607"/>
      <c r="R5" s="607"/>
      <c r="S5" s="619"/>
      <c r="U5" s="619"/>
      <c r="V5" s="568"/>
      <c r="W5" s="568"/>
      <c r="Z5" s="619"/>
      <c r="AA5" s="76" t="b">
        <v>1</v>
      </c>
      <c r="AB5" s="568" t="s">
        <v>64</v>
      </c>
      <c r="AC5" s="568"/>
      <c r="AF5" s="76" t="b">
        <v>0</v>
      </c>
      <c r="AG5" s="568" t="s">
        <v>0</v>
      </c>
      <c r="AH5" s="568"/>
      <c r="AJ5" s="645"/>
      <c r="AK5" s="568"/>
      <c r="AL5" s="568"/>
      <c r="AM5" s="619"/>
      <c r="AN5" s="620"/>
      <c r="AX5" s="568"/>
      <c r="AY5" s="568"/>
      <c r="AZ5" s="568"/>
      <c r="BA5" s="568"/>
    </row>
    <row r="6" spans="2:53" s="610" customFormat="1" ht="20.5">
      <c r="B6" s="617"/>
      <c r="C6" s="605" t="s">
        <v>152</v>
      </c>
      <c r="D6" s="606" t="s">
        <v>1072</v>
      </c>
      <c r="E6" s="606"/>
      <c r="H6" s="607"/>
      <c r="I6" s="607"/>
      <c r="J6" s="607"/>
      <c r="K6" s="607"/>
      <c r="L6" s="607"/>
      <c r="M6" s="607"/>
      <c r="N6" s="607"/>
      <c r="O6" s="607"/>
      <c r="P6" s="607"/>
      <c r="Q6" s="607"/>
      <c r="R6" s="607"/>
      <c r="U6" s="568"/>
      <c r="Z6" s="619"/>
      <c r="AA6" s="76" t="b">
        <v>1</v>
      </c>
      <c r="AB6" s="568" t="s">
        <v>64</v>
      </c>
      <c r="AC6" s="568"/>
      <c r="AF6" s="76" t="b">
        <v>0</v>
      </c>
      <c r="AG6" s="568" t="s">
        <v>0</v>
      </c>
      <c r="AH6" s="568"/>
      <c r="AI6" s="619"/>
      <c r="AJ6" s="645"/>
      <c r="AK6" s="568"/>
      <c r="AL6" s="568"/>
      <c r="AM6" s="619"/>
      <c r="AN6" s="620"/>
      <c r="AX6" s="568"/>
      <c r="AY6" s="568"/>
      <c r="AZ6" s="568"/>
      <c r="BA6" s="568"/>
    </row>
    <row r="7" spans="2:53" s="610" customFormat="1" ht="19.5" customHeight="1">
      <c r="B7" s="636"/>
      <c r="C7" s="644"/>
      <c r="D7" s="650" t="s">
        <v>11739</v>
      </c>
      <c r="K7" s="651"/>
      <c r="L7" s="568"/>
      <c r="P7" s="619"/>
      <c r="R7" s="619"/>
      <c r="S7" s="619"/>
      <c r="T7" s="619"/>
      <c r="U7" s="619"/>
      <c r="V7" s="619"/>
      <c r="W7" s="619"/>
      <c r="X7" s="619"/>
      <c r="Y7" s="568"/>
      <c r="Z7" s="568"/>
      <c r="AA7" s="2672">
        <v>1</v>
      </c>
      <c r="AB7" s="2672"/>
      <c r="AC7" s="2672"/>
      <c r="AD7" s="2672"/>
      <c r="AE7" s="2672"/>
      <c r="AF7" s="2672"/>
      <c r="AG7" s="2672"/>
      <c r="AH7" s="619"/>
      <c r="AI7" s="568"/>
      <c r="AN7" s="636"/>
    </row>
    <row r="8" spans="2:53" s="610" customFormat="1">
      <c r="B8" s="617"/>
      <c r="C8" s="605" t="s">
        <v>153</v>
      </c>
      <c r="D8" s="606" t="s">
        <v>1067</v>
      </c>
      <c r="E8" s="606"/>
      <c r="H8" s="637"/>
      <c r="I8" s="649"/>
      <c r="J8" s="649"/>
      <c r="K8" s="649"/>
      <c r="L8" s="649"/>
      <c r="M8" s="649"/>
      <c r="N8" s="649"/>
      <c r="O8" s="649"/>
      <c r="P8" s="649"/>
      <c r="Q8" s="649"/>
      <c r="R8" s="649"/>
      <c r="S8" s="619"/>
      <c r="T8" s="568"/>
      <c r="U8" s="568"/>
      <c r="V8" s="568"/>
      <c r="W8" s="568"/>
      <c r="X8" s="568"/>
      <c r="Y8" s="626"/>
      <c r="Z8" s="619"/>
      <c r="AA8" s="619"/>
      <c r="AB8" s="619"/>
      <c r="AC8" s="619"/>
      <c r="AD8" s="619"/>
      <c r="AE8" s="619"/>
      <c r="AF8" s="568"/>
      <c r="AG8" s="568"/>
      <c r="AH8" s="568"/>
      <c r="AI8" s="568"/>
      <c r="AJ8" s="568"/>
      <c r="AK8" s="568"/>
      <c r="AL8" s="568"/>
      <c r="AM8" s="568"/>
      <c r="AN8" s="576"/>
      <c r="AX8" s="568"/>
      <c r="AY8" s="568"/>
      <c r="AZ8" s="568"/>
      <c r="BA8" s="568"/>
    </row>
    <row r="9" spans="2:53" s="610" customFormat="1" ht="20.5">
      <c r="B9" s="643"/>
      <c r="C9" s="644"/>
      <c r="D9" s="607"/>
      <c r="E9" s="607"/>
      <c r="G9" s="76" t="b">
        <v>0</v>
      </c>
      <c r="H9" s="568" t="s">
        <v>81</v>
      </c>
      <c r="I9" s="568"/>
      <c r="J9" s="568"/>
      <c r="K9" s="645"/>
      <c r="L9" s="568"/>
      <c r="M9" s="568"/>
      <c r="N9" s="568"/>
      <c r="O9" s="609"/>
      <c r="P9" s="568"/>
      <c r="Q9" s="76" t="b">
        <v>0</v>
      </c>
      <c r="R9" s="568" t="s">
        <v>84</v>
      </c>
      <c r="T9" s="568"/>
      <c r="U9" s="568"/>
      <c r="V9" s="568"/>
      <c r="W9" s="645"/>
      <c r="X9" s="568"/>
      <c r="Y9" s="568"/>
      <c r="Z9" s="568"/>
      <c r="AA9" s="76" t="b">
        <v>1</v>
      </c>
      <c r="AB9" s="648" t="s">
        <v>908</v>
      </c>
      <c r="AF9" s="2672" t="s">
        <v>11892</v>
      </c>
      <c r="AG9" s="2672"/>
      <c r="AH9" s="2672"/>
      <c r="AI9" s="2672"/>
      <c r="AJ9" s="2672"/>
      <c r="AK9" s="2672"/>
      <c r="AL9" s="2672"/>
      <c r="AM9" s="647"/>
      <c r="AN9" s="636"/>
      <c r="AS9" s="568"/>
      <c r="AT9" s="568"/>
      <c r="AU9" s="568"/>
      <c r="AV9" s="568"/>
    </row>
    <row r="10" spans="2:53" s="610" customFormat="1" ht="20.25" customHeight="1">
      <c r="B10" s="643"/>
      <c r="C10" s="644"/>
      <c r="D10" s="607"/>
      <c r="E10" s="607"/>
      <c r="G10" s="76" t="b">
        <v>0</v>
      </c>
      <c r="H10" s="568" t="s">
        <v>80</v>
      </c>
      <c r="I10" s="568"/>
      <c r="J10" s="568"/>
      <c r="K10" s="645"/>
      <c r="L10" s="568"/>
      <c r="M10" s="568"/>
      <c r="N10" s="568"/>
      <c r="O10" s="609"/>
      <c r="P10" s="568"/>
      <c r="Q10" s="76" t="b">
        <v>0</v>
      </c>
      <c r="R10" s="568" t="s">
        <v>405</v>
      </c>
      <c r="T10" s="568"/>
      <c r="U10" s="568"/>
      <c r="V10" s="568"/>
      <c r="W10" s="645"/>
      <c r="X10" s="568"/>
      <c r="Y10" s="568"/>
      <c r="Z10" s="568"/>
      <c r="AA10" s="568"/>
      <c r="AB10" s="568"/>
      <c r="AC10" s="568"/>
      <c r="AD10" s="619"/>
      <c r="AE10" s="568"/>
      <c r="AF10" s="646" t="str">
        <f>IF(AND(sch_spgadviser_subjhandle_others=TRUE,ISBLANK(sch_spgadviser_subjhandle_otherspec)),"Please specify.",IF(AND(sch_spgadviser_subjhandle_others=FALSE,(sch_spgadviser_subjhandle_otherspec&gt;0)),"Please provide details.",""))</f>
        <v/>
      </c>
      <c r="AG10" s="568"/>
      <c r="AH10" s="619"/>
      <c r="AI10" s="568"/>
      <c r="AJ10" s="568"/>
      <c r="AM10" s="568"/>
      <c r="AN10" s="636"/>
      <c r="AS10" s="568"/>
      <c r="AT10" s="568"/>
      <c r="AU10" s="568"/>
      <c r="AV10" s="568"/>
    </row>
    <row r="11" spans="2:53" s="610" customFormat="1" ht="19.5" customHeight="1">
      <c r="B11" s="617"/>
      <c r="C11" s="605" t="s">
        <v>154</v>
      </c>
      <c r="D11" s="606" t="s">
        <v>1068</v>
      </c>
      <c r="E11" s="606"/>
      <c r="H11" s="607"/>
      <c r="I11" s="607"/>
      <c r="J11" s="607"/>
      <c r="K11" s="607"/>
      <c r="L11" s="607"/>
      <c r="M11" s="607"/>
      <c r="N11" s="607"/>
      <c r="O11" s="607"/>
      <c r="P11" s="607"/>
      <c r="Q11" s="607"/>
      <c r="R11" s="607"/>
      <c r="S11" s="619"/>
      <c r="U11" s="619"/>
      <c r="V11" s="568"/>
      <c r="W11" s="568"/>
      <c r="Z11" s="619"/>
      <c r="AA11" s="568"/>
      <c r="AB11" s="619"/>
      <c r="AC11" s="568"/>
      <c r="AD11" s="568"/>
      <c r="AG11" s="619"/>
      <c r="AH11" s="568"/>
      <c r="AI11" s="619"/>
      <c r="AJ11" s="619"/>
      <c r="AK11" s="619"/>
      <c r="AL11" s="619"/>
      <c r="AM11" s="619"/>
      <c r="AN11" s="620"/>
      <c r="AX11" s="568"/>
      <c r="AY11" s="568"/>
      <c r="AZ11" s="568"/>
      <c r="BA11" s="568"/>
    </row>
    <row r="12" spans="2:53" s="610" customFormat="1" ht="20.5">
      <c r="B12" s="643"/>
      <c r="C12" s="644"/>
      <c r="D12" s="607"/>
      <c r="E12" s="607"/>
      <c r="G12" s="76" t="b">
        <v>0</v>
      </c>
      <c r="H12" s="568" t="s">
        <v>516</v>
      </c>
      <c r="I12" s="568"/>
      <c r="J12" s="568"/>
      <c r="K12" s="645"/>
      <c r="M12" s="568"/>
      <c r="N12" s="568"/>
      <c r="O12" s="568"/>
      <c r="P12" s="568"/>
      <c r="Q12" s="76" t="b">
        <v>1</v>
      </c>
      <c r="R12" s="568" t="s">
        <v>519</v>
      </c>
      <c r="T12" s="645"/>
      <c r="U12" s="568"/>
      <c r="V12" s="568"/>
      <c r="W12" s="568"/>
      <c r="X12" s="568"/>
      <c r="Y12" s="568"/>
      <c r="Z12" s="568"/>
      <c r="AA12" s="76" t="b">
        <v>0</v>
      </c>
      <c r="AB12" s="568" t="s">
        <v>520</v>
      </c>
      <c r="AE12" s="568"/>
      <c r="AF12" s="568"/>
      <c r="AG12" s="568"/>
      <c r="AH12" s="568"/>
      <c r="AI12" s="568"/>
      <c r="AJ12" s="568"/>
      <c r="AM12" s="568"/>
      <c r="AN12" s="636"/>
      <c r="AS12" s="568"/>
      <c r="AT12" s="568"/>
      <c r="AU12" s="568"/>
      <c r="AV12" s="568"/>
    </row>
    <row r="13" spans="2:53" s="610" customFormat="1" ht="20.5">
      <c r="B13" s="643"/>
      <c r="C13" s="644"/>
      <c r="D13" s="607"/>
      <c r="E13" s="607"/>
      <c r="G13" s="76" t="b">
        <v>0</v>
      </c>
      <c r="H13" s="568" t="s">
        <v>517</v>
      </c>
      <c r="I13" s="568"/>
      <c r="J13" s="568"/>
      <c r="K13" s="645"/>
      <c r="M13" s="568"/>
      <c r="N13" s="568"/>
      <c r="O13" s="568"/>
      <c r="P13" s="568"/>
      <c r="Q13" s="76" t="b">
        <v>0</v>
      </c>
      <c r="R13" s="568" t="s">
        <v>518</v>
      </c>
      <c r="T13" s="645"/>
      <c r="U13" s="568"/>
      <c r="V13" s="568"/>
      <c r="W13" s="568"/>
      <c r="X13" s="568"/>
      <c r="Y13" s="568"/>
      <c r="Z13" s="568"/>
      <c r="AA13" s="619"/>
      <c r="AB13" s="568"/>
      <c r="AC13" s="568"/>
      <c r="AD13" s="568"/>
      <c r="AE13" s="568"/>
      <c r="AF13" s="568"/>
      <c r="AG13" s="568"/>
      <c r="AH13" s="619"/>
      <c r="AI13" s="568"/>
      <c r="AJ13" s="568"/>
      <c r="AM13" s="568"/>
      <c r="AN13" s="636"/>
      <c r="AS13" s="568"/>
      <c r="AT13" s="568"/>
      <c r="AU13" s="568"/>
      <c r="AV13" s="568"/>
    </row>
    <row r="14" spans="2:53" s="610" customFormat="1" ht="20.5">
      <c r="B14" s="617"/>
      <c r="C14" s="605" t="s">
        <v>155</v>
      </c>
      <c r="D14" s="606" t="s">
        <v>1073</v>
      </c>
      <c r="E14" s="606"/>
      <c r="H14" s="607"/>
      <c r="I14" s="607"/>
      <c r="J14" s="607"/>
      <c r="K14" s="607"/>
      <c r="L14" s="607"/>
      <c r="M14" s="607"/>
      <c r="N14" s="607"/>
      <c r="O14" s="607"/>
      <c r="P14" s="607"/>
      <c r="Q14" s="607"/>
      <c r="R14" s="607"/>
      <c r="S14" s="619"/>
      <c r="U14" s="619"/>
      <c r="V14" s="568"/>
      <c r="W14" s="568"/>
      <c r="Z14" s="619"/>
      <c r="AA14" s="76" t="b">
        <v>1</v>
      </c>
      <c r="AB14" s="568" t="s">
        <v>64</v>
      </c>
      <c r="AC14" s="568"/>
      <c r="AF14" s="76" t="b">
        <v>0</v>
      </c>
      <c r="AG14" s="568" t="s">
        <v>0</v>
      </c>
      <c r="AH14" s="568"/>
      <c r="AI14" s="619"/>
      <c r="AJ14" s="645"/>
      <c r="AK14" s="568"/>
      <c r="AL14" s="568"/>
      <c r="AM14" s="619"/>
      <c r="AN14" s="620"/>
      <c r="AX14" s="568"/>
      <c r="AY14" s="568"/>
      <c r="AZ14" s="568"/>
      <c r="BA14" s="568"/>
    </row>
    <row r="15" spans="2:53" s="610" customFormat="1" ht="20.5">
      <c r="B15" s="617"/>
      <c r="C15" s="605" t="s">
        <v>156</v>
      </c>
      <c r="D15" s="606" t="s">
        <v>1074</v>
      </c>
      <c r="E15" s="606"/>
      <c r="H15" s="607"/>
      <c r="I15" s="607"/>
      <c r="J15" s="607"/>
      <c r="K15" s="607"/>
      <c r="L15" s="607"/>
      <c r="M15" s="607"/>
      <c r="N15" s="607"/>
      <c r="O15" s="607"/>
      <c r="P15" s="607"/>
      <c r="Q15" s="607"/>
      <c r="R15" s="607"/>
      <c r="S15" s="619"/>
      <c r="U15" s="619"/>
      <c r="V15" s="568"/>
      <c r="W15" s="568"/>
      <c r="Z15" s="568"/>
      <c r="AA15" s="76" t="b">
        <v>0</v>
      </c>
      <c r="AB15" s="568" t="s">
        <v>64</v>
      </c>
      <c r="AC15" s="568"/>
      <c r="AF15" s="76" t="b">
        <v>1</v>
      </c>
      <c r="AG15" s="568" t="s">
        <v>0</v>
      </c>
      <c r="AH15" s="568"/>
      <c r="AI15" s="619"/>
      <c r="AJ15" s="645"/>
      <c r="AK15" s="568"/>
      <c r="AL15" s="568"/>
      <c r="AM15" s="619"/>
      <c r="AN15" s="620"/>
      <c r="AX15" s="568"/>
      <c r="AY15" s="568"/>
      <c r="AZ15" s="568"/>
      <c r="BA15" s="568"/>
    </row>
    <row r="16" spans="2:53" s="610" customFormat="1" ht="20.5">
      <c r="B16" s="617"/>
      <c r="C16" s="605" t="s">
        <v>157</v>
      </c>
      <c r="D16" s="606" t="s">
        <v>1075</v>
      </c>
      <c r="E16" s="606"/>
      <c r="H16" s="607"/>
      <c r="I16" s="607"/>
      <c r="J16" s="607"/>
      <c r="K16" s="607"/>
      <c r="L16" s="607"/>
      <c r="M16" s="607"/>
      <c r="N16" s="607"/>
      <c r="O16" s="607"/>
      <c r="P16" s="607"/>
      <c r="Q16" s="607"/>
      <c r="R16" s="607"/>
      <c r="S16" s="619"/>
      <c r="U16" s="619"/>
      <c r="V16" s="568"/>
      <c r="W16" s="568"/>
      <c r="Z16" s="619"/>
      <c r="AA16" s="76" t="b">
        <v>1</v>
      </c>
      <c r="AB16" s="568" t="s">
        <v>64</v>
      </c>
      <c r="AC16" s="568"/>
      <c r="AF16" s="76" t="b">
        <v>0</v>
      </c>
      <c r="AG16" s="568" t="s">
        <v>0</v>
      </c>
      <c r="AH16" s="568"/>
      <c r="AI16" s="619"/>
      <c r="AJ16" s="645"/>
      <c r="AK16" s="568"/>
      <c r="AL16" s="568"/>
      <c r="AM16" s="619"/>
      <c r="AN16" s="620"/>
      <c r="AX16" s="568"/>
      <c r="AY16" s="568"/>
      <c r="AZ16" s="568"/>
      <c r="BA16" s="568"/>
    </row>
    <row r="17" spans="2:53" s="610" customFormat="1" ht="20.5">
      <c r="B17" s="617"/>
      <c r="C17" s="605" t="s">
        <v>158</v>
      </c>
      <c r="D17" s="606" t="s">
        <v>1076</v>
      </c>
      <c r="E17" s="606"/>
      <c r="H17" s="607"/>
      <c r="I17" s="607"/>
      <c r="J17" s="607"/>
      <c r="K17" s="607"/>
      <c r="L17" s="607"/>
      <c r="M17" s="607"/>
      <c r="N17" s="607"/>
      <c r="O17" s="607"/>
      <c r="P17" s="607"/>
      <c r="Q17" s="607"/>
      <c r="R17" s="607"/>
      <c r="S17" s="619"/>
      <c r="U17" s="619"/>
      <c r="V17" s="568"/>
      <c r="W17" s="568"/>
      <c r="Z17" s="619"/>
      <c r="AA17" s="76" t="b">
        <v>0</v>
      </c>
      <c r="AB17" s="568" t="s">
        <v>64</v>
      </c>
      <c r="AC17" s="568"/>
      <c r="AF17" s="76" t="b">
        <v>1</v>
      </c>
      <c r="AG17" s="568" t="s">
        <v>0</v>
      </c>
      <c r="AH17" s="568"/>
      <c r="AI17" s="619"/>
      <c r="AJ17" s="645"/>
      <c r="AK17" s="568"/>
      <c r="AL17" s="568"/>
      <c r="AM17" s="619"/>
      <c r="AN17" s="620"/>
      <c r="AX17" s="568"/>
      <c r="AY17" s="568"/>
      <c r="AZ17" s="568"/>
      <c r="BA17" s="568"/>
    </row>
    <row r="18" spans="2:53" s="610" customFormat="1" ht="20.5">
      <c r="B18" s="617"/>
      <c r="C18" s="605" t="s">
        <v>159</v>
      </c>
      <c r="D18" s="606" t="s">
        <v>1078</v>
      </c>
      <c r="E18" s="606"/>
      <c r="H18" s="607"/>
      <c r="I18" s="607"/>
      <c r="J18" s="607"/>
      <c r="K18" s="607"/>
      <c r="L18" s="607"/>
      <c r="M18" s="607"/>
      <c r="N18" s="607"/>
      <c r="O18" s="607"/>
      <c r="P18" s="607"/>
      <c r="Q18" s="607"/>
      <c r="R18" s="607"/>
      <c r="S18" s="619"/>
      <c r="U18" s="619"/>
      <c r="V18" s="568"/>
      <c r="W18" s="568"/>
      <c r="Z18" s="619"/>
      <c r="AA18" s="76" t="b">
        <v>1</v>
      </c>
      <c r="AB18" s="568" t="s">
        <v>64</v>
      </c>
      <c r="AC18" s="568"/>
      <c r="AF18" s="76" t="b">
        <v>0</v>
      </c>
      <c r="AG18" s="568" t="s">
        <v>0</v>
      </c>
      <c r="AH18" s="568"/>
      <c r="AJ18" s="645"/>
      <c r="AK18" s="568"/>
      <c r="AL18" s="568"/>
      <c r="AM18" s="619"/>
      <c r="AN18" s="620"/>
      <c r="AX18" s="568"/>
      <c r="AY18" s="568"/>
      <c r="AZ18" s="568"/>
      <c r="BA18" s="568"/>
    </row>
    <row r="19" spans="2:53" s="610" customFormat="1" ht="20.5">
      <c r="B19" s="617"/>
      <c r="C19" s="605" t="s">
        <v>160</v>
      </c>
      <c r="D19" s="606" t="s">
        <v>1069</v>
      </c>
      <c r="E19" s="606"/>
      <c r="H19" s="607"/>
      <c r="I19" s="607"/>
      <c r="J19" s="607"/>
      <c r="K19" s="607"/>
      <c r="L19" s="607"/>
      <c r="M19" s="607"/>
      <c r="N19" s="607"/>
      <c r="O19" s="607"/>
      <c r="P19" s="607"/>
      <c r="Q19" s="607"/>
      <c r="R19" s="607"/>
      <c r="S19" s="619"/>
      <c r="U19" s="619"/>
      <c r="X19" s="568"/>
      <c r="AA19" s="76" t="b">
        <v>0</v>
      </c>
      <c r="AB19" s="568" t="s">
        <v>64</v>
      </c>
      <c r="AC19" s="568"/>
      <c r="AF19" s="76" t="b">
        <v>1</v>
      </c>
      <c r="AG19" s="568" t="s">
        <v>0</v>
      </c>
      <c r="AH19" s="568"/>
      <c r="AI19" s="619"/>
      <c r="AJ19" s="645"/>
      <c r="AK19" s="568"/>
      <c r="AL19" s="568"/>
      <c r="AM19" s="619"/>
      <c r="AN19" s="620"/>
      <c r="AX19" s="568"/>
      <c r="AY19" s="568"/>
      <c r="AZ19" s="568"/>
      <c r="BA19" s="568"/>
    </row>
    <row r="20" spans="2:53" s="610" customFormat="1" ht="34.5" customHeight="1">
      <c r="B20" s="617"/>
      <c r="C20" s="618" t="s">
        <v>161</v>
      </c>
      <c r="D20" s="2673" t="s">
        <v>1070</v>
      </c>
      <c r="E20" s="2673"/>
      <c r="F20" s="2673"/>
      <c r="G20" s="2673"/>
      <c r="H20" s="2673"/>
      <c r="I20" s="2673"/>
      <c r="J20" s="2673"/>
      <c r="K20" s="2673"/>
      <c r="L20" s="2673"/>
      <c r="M20" s="2673"/>
      <c r="N20" s="2673"/>
      <c r="O20" s="2673"/>
      <c r="P20" s="2673"/>
      <c r="Q20" s="2673"/>
      <c r="R20" s="2673"/>
      <c r="S20" s="2673"/>
      <c r="T20" s="2673"/>
      <c r="U20" s="2673"/>
      <c r="V20" s="2673"/>
      <c r="W20" s="2673"/>
      <c r="X20" s="2673"/>
      <c r="Y20" s="2673"/>
      <c r="AA20" s="2672"/>
      <c r="AB20" s="2672"/>
      <c r="AC20" s="2672"/>
      <c r="AD20" s="2672"/>
      <c r="AE20" s="2672"/>
      <c r="AF20" s="2672"/>
      <c r="AG20" s="2672"/>
      <c r="AH20" s="568"/>
      <c r="AI20" s="568"/>
      <c r="AJ20" s="619"/>
      <c r="AK20" s="619"/>
      <c r="AL20" s="619"/>
      <c r="AM20" s="619"/>
      <c r="AN20" s="620"/>
      <c r="AX20" s="568"/>
      <c r="AY20" s="568"/>
      <c r="AZ20" s="568"/>
      <c r="BA20" s="568"/>
    </row>
    <row r="21" spans="2:53" s="610" customFormat="1" ht="33" customHeight="1">
      <c r="B21" s="617"/>
      <c r="C21" s="618" t="s">
        <v>162</v>
      </c>
      <c r="D21" s="2673" t="s">
        <v>1077</v>
      </c>
      <c r="E21" s="2673"/>
      <c r="F21" s="2673"/>
      <c r="G21" s="2673"/>
      <c r="H21" s="2673"/>
      <c r="I21" s="2673"/>
      <c r="J21" s="2673"/>
      <c r="K21" s="2673"/>
      <c r="L21" s="2673"/>
      <c r="M21" s="2673"/>
      <c r="N21" s="2673"/>
      <c r="O21" s="2673"/>
      <c r="P21" s="2673"/>
      <c r="Q21" s="2673"/>
      <c r="R21" s="2673"/>
      <c r="S21" s="2673"/>
      <c r="T21" s="2673"/>
      <c r="U21" s="2673"/>
      <c r="V21" s="2673"/>
      <c r="W21" s="2673"/>
      <c r="X21" s="2673"/>
      <c r="Y21" s="2673"/>
      <c r="AA21" s="76" t="b">
        <v>0</v>
      </c>
      <c r="AB21" s="568" t="s">
        <v>64</v>
      </c>
      <c r="AC21" s="568"/>
      <c r="AF21" s="76" t="b">
        <v>1</v>
      </c>
      <c r="AG21" s="568" t="s">
        <v>0</v>
      </c>
      <c r="AH21" s="568"/>
      <c r="AI21" s="568"/>
      <c r="AJ21" s="619"/>
      <c r="AK21" s="619"/>
      <c r="AL21" s="619"/>
      <c r="AM21" s="619"/>
      <c r="AN21" s="620"/>
      <c r="AX21" s="568"/>
      <c r="AY21" s="568"/>
      <c r="AZ21" s="568"/>
      <c r="BA21" s="568"/>
    </row>
    <row r="22" spans="2:53" ht="2.25" customHeight="1">
      <c r="B22" s="621"/>
      <c r="C22" s="568"/>
      <c r="D22" s="568"/>
      <c r="E22" s="568"/>
      <c r="F22" s="568"/>
      <c r="G22" s="568"/>
      <c r="H22" s="568"/>
      <c r="I22" s="568"/>
      <c r="J22" s="568"/>
      <c r="K22" s="568"/>
      <c r="L22" s="568"/>
      <c r="M22" s="568"/>
      <c r="N22" s="568"/>
      <c r="O22" s="619"/>
      <c r="P22" s="619"/>
      <c r="Q22" s="619"/>
      <c r="R22" s="619"/>
      <c r="S22" s="619"/>
      <c r="T22" s="568"/>
      <c r="U22" s="619"/>
      <c r="V22" s="619"/>
      <c r="W22" s="619"/>
      <c r="X22" s="619"/>
      <c r="Y22" s="619"/>
      <c r="Z22" s="619"/>
      <c r="AA22" s="568"/>
      <c r="AB22" s="568"/>
      <c r="AC22" s="568"/>
      <c r="AD22" s="568"/>
      <c r="AE22" s="568"/>
      <c r="AF22" s="568"/>
      <c r="AG22" s="568"/>
      <c r="AH22" s="568"/>
      <c r="AI22" s="568"/>
      <c r="AJ22" s="568"/>
      <c r="AK22" s="568"/>
      <c r="AL22" s="568"/>
      <c r="AM22" s="568"/>
      <c r="AN22" s="576"/>
      <c r="AX22" s="588"/>
      <c r="AY22" s="588"/>
      <c r="AZ22" s="588"/>
      <c r="BA22" s="588"/>
    </row>
    <row r="23" spans="2:53" ht="7.5" customHeight="1" thickBot="1">
      <c r="B23" s="622"/>
      <c r="C23" s="562"/>
      <c r="D23" s="562"/>
      <c r="E23" s="562"/>
      <c r="F23" s="562"/>
      <c r="G23" s="562"/>
      <c r="H23" s="562"/>
      <c r="I23" s="562"/>
      <c r="J23" s="562"/>
      <c r="K23" s="562"/>
      <c r="L23" s="562"/>
      <c r="M23" s="562"/>
      <c r="N23" s="562"/>
      <c r="O23" s="623"/>
      <c r="P23" s="623"/>
      <c r="Q23" s="623"/>
      <c r="R23" s="623"/>
      <c r="S23" s="623"/>
      <c r="T23" s="562"/>
      <c r="U23" s="623"/>
      <c r="V23" s="623"/>
      <c r="W23" s="623"/>
      <c r="X23" s="623"/>
      <c r="Y23" s="623"/>
      <c r="Z23" s="623"/>
      <c r="AA23" s="562"/>
      <c r="AB23" s="562"/>
      <c r="AC23" s="562"/>
      <c r="AD23" s="562"/>
      <c r="AE23" s="562"/>
      <c r="AF23" s="562"/>
      <c r="AG23" s="562"/>
      <c r="AH23" s="562"/>
      <c r="AI23" s="562"/>
      <c r="AJ23" s="562"/>
      <c r="AK23" s="562"/>
      <c r="AL23" s="562"/>
      <c r="AM23" s="562"/>
      <c r="AN23" s="576"/>
    </row>
    <row r="24" spans="2:53" s="588" customFormat="1" ht="23.25" customHeight="1">
      <c r="B24" s="624"/>
      <c r="C24" s="625"/>
      <c r="D24" s="625"/>
      <c r="E24" s="625"/>
      <c r="F24" s="625"/>
      <c r="G24" s="625"/>
      <c r="H24" s="568"/>
      <c r="I24" s="568"/>
      <c r="J24" s="568"/>
      <c r="K24" s="568"/>
      <c r="L24" s="626"/>
      <c r="M24" s="626"/>
      <c r="N24" s="626"/>
      <c r="O24" s="626"/>
      <c r="P24" s="626"/>
      <c r="Q24" s="568"/>
      <c r="R24" s="626"/>
      <c r="S24" s="626"/>
      <c r="T24" s="626"/>
      <c r="U24" s="626"/>
      <c r="V24" s="568"/>
      <c r="W24" s="626"/>
      <c r="X24" s="626"/>
      <c r="Y24" s="626"/>
      <c r="Z24" s="626"/>
    </row>
    <row r="25" spans="2:53" ht="16.5">
      <c r="B25" s="627" t="s">
        <v>11769</v>
      </c>
      <c r="C25" s="628"/>
      <c r="D25" s="628"/>
      <c r="E25" s="628"/>
      <c r="F25" s="628"/>
      <c r="G25" s="628"/>
      <c r="H25" s="628"/>
      <c r="I25" s="628"/>
      <c r="J25" s="628"/>
      <c r="K25" s="628"/>
      <c r="L25" s="629"/>
      <c r="M25" s="629"/>
      <c r="N25" s="629"/>
      <c r="O25" s="629"/>
      <c r="P25" s="629"/>
      <c r="Q25" s="629"/>
      <c r="R25" s="629"/>
      <c r="S25" s="629"/>
      <c r="T25" s="629"/>
      <c r="U25" s="629"/>
      <c r="V25" s="629"/>
      <c r="W25" s="629"/>
      <c r="X25" s="629"/>
      <c r="Y25" s="629"/>
      <c r="Z25" s="629"/>
      <c r="AA25" s="629"/>
      <c r="AB25" s="629"/>
      <c r="AC25" s="629"/>
      <c r="AD25" s="629"/>
      <c r="AE25" s="629"/>
      <c r="AF25" s="629"/>
      <c r="AG25" s="629"/>
      <c r="AH25" s="629"/>
      <c r="AI25" s="629"/>
      <c r="AJ25" s="629"/>
      <c r="AK25" s="629"/>
      <c r="AL25" s="629"/>
    </row>
    <row r="26" spans="2:53" s="568" customFormat="1" ht="16" thickBot="1">
      <c r="B26" s="630" t="s">
        <v>934</v>
      </c>
    </row>
    <row r="27" spans="2:53" ht="5.25" customHeight="1">
      <c r="B27" s="631"/>
      <c r="C27" s="632"/>
      <c r="D27" s="632"/>
      <c r="E27" s="632"/>
      <c r="F27" s="632"/>
      <c r="G27" s="632"/>
      <c r="H27" s="632"/>
      <c r="I27" s="632"/>
      <c r="J27" s="632"/>
      <c r="K27" s="632"/>
      <c r="L27" s="632"/>
      <c r="M27" s="633"/>
      <c r="N27" s="633"/>
      <c r="O27" s="633"/>
      <c r="P27" s="633"/>
      <c r="Q27" s="633"/>
      <c r="R27" s="633"/>
      <c r="S27" s="633"/>
      <c r="T27" s="634"/>
      <c r="U27" s="635"/>
      <c r="V27" s="635"/>
      <c r="W27" s="635"/>
      <c r="X27" s="635"/>
      <c r="Y27" s="635"/>
      <c r="Z27" s="635"/>
      <c r="AA27" s="633"/>
      <c r="AB27" s="633"/>
      <c r="AC27" s="633"/>
      <c r="AD27" s="633"/>
      <c r="AE27" s="633"/>
      <c r="AF27" s="633"/>
      <c r="AG27" s="633"/>
      <c r="AH27" s="633"/>
      <c r="AI27" s="633"/>
      <c r="AJ27" s="633"/>
      <c r="AK27" s="633"/>
      <c r="AL27" s="633"/>
      <c r="AM27" s="633"/>
      <c r="AN27" s="620"/>
      <c r="AX27" s="588"/>
      <c r="AY27" s="588"/>
      <c r="AZ27" s="588"/>
      <c r="BA27" s="588"/>
    </row>
    <row r="28" spans="2:53" s="610" customFormat="1" ht="20">
      <c r="B28" s="636"/>
      <c r="C28" s="605" t="s">
        <v>151</v>
      </c>
      <c r="D28" s="637" t="s">
        <v>1080</v>
      </c>
      <c r="E28" s="637"/>
      <c r="F28" s="607"/>
      <c r="G28" s="607"/>
      <c r="H28" s="607"/>
      <c r="I28" s="607"/>
      <c r="J28" s="607"/>
      <c r="K28" s="607"/>
      <c r="L28" s="607"/>
      <c r="M28" s="619"/>
      <c r="N28" s="619"/>
      <c r="P28" s="619"/>
      <c r="Q28" s="568"/>
      <c r="R28" s="568"/>
      <c r="T28" s="619"/>
      <c r="U28" s="568"/>
      <c r="V28" s="568"/>
      <c r="Y28" s="619"/>
      <c r="Z28" s="568"/>
      <c r="AA28" s="568"/>
      <c r="AD28" s="568"/>
      <c r="AE28" s="76" t="b">
        <v>0</v>
      </c>
      <c r="AF28" s="568" t="s">
        <v>64</v>
      </c>
      <c r="AG28" s="568"/>
      <c r="AJ28" s="76" t="b">
        <v>1</v>
      </c>
      <c r="AK28" s="568" t="s">
        <v>0</v>
      </c>
      <c r="AL28" s="568"/>
      <c r="AM28" s="619"/>
      <c r="AN28" s="620"/>
      <c r="AX28" s="568"/>
      <c r="AY28" s="568"/>
      <c r="AZ28" s="568"/>
      <c r="BA28" s="568"/>
    </row>
    <row r="29" spans="2:53" s="610" customFormat="1" ht="20">
      <c r="B29" s="636"/>
      <c r="C29" s="605" t="s">
        <v>152</v>
      </c>
      <c r="D29" s="637" t="s">
        <v>1079</v>
      </c>
      <c r="E29" s="637"/>
      <c r="F29" s="607"/>
      <c r="G29" s="607"/>
      <c r="H29" s="607"/>
      <c r="I29" s="607"/>
      <c r="J29" s="607"/>
      <c r="K29" s="607"/>
      <c r="L29" s="607"/>
      <c r="M29" s="619"/>
      <c r="N29" s="619"/>
      <c r="P29" s="619"/>
      <c r="Q29" s="568"/>
      <c r="R29" s="568"/>
      <c r="U29" s="568"/>
      <c r="AA29" s="568"/>
      <c r="AB29" s="619"/>
      <c r="AC29" s="568"/>
      <c r="AD29" s="568"/>
      <c r="AE29" s="76" t="b">
        <v>0</v>
      </c>
      <c r="AF29" s="568" t="s">
        <v>64</v>
      </c>
      <c r="AG29" s="568"/>
      <c r="AJ29" s="76" t="b">
        <v>1</v>
      </c>
      <c r="AK29" s="568" t="s">
        <v>0</v>
      </c>
      <c r="AL29" s="568"/>
      <c r="AM29" s="619"/>
      <c r="AN29" s="620"/>
      <c r="AX29" s="568"/>
      <c r="AY29" s="568"/>
      <c r="AZ29" s="568"/>
      <c r="BA29" s="568"/>
    </row>
    <row r="30" spans="2:53" s="610" customFormat="1" ht="33.75" customHeight="1">
      <c r="B30" s="636"/>
      <c r="C30" s="618" t="s">
        <v>153</v>
      </c>
      <c r="D30" s="2673" t="s">
        <v>1087</v>
      </c>
      <c r="E30" s="2673"/>
      <c r="F30" s="2673"/>
      <c r="G30" s="2673"/>
      <c r="H30" s="2673"/>
      <c r="I30" s="2673"/>
      <c r="J30" s="2673"/>
      <c r="K30" s="2673"/>
      <c r="L30" s="2673"/>
      <c r="M30" s="2673"/>
      <c r="N30" s="2673"/>
      <c r="O30" s="2673"/>
      <c r="P30" s="2673"/>
      <c r="Q30" s="2673"/>
      <c r="R30" s="2673"/>
      <c r="S30" s="2673"/>
      <c r="T30" s="2673"/>
      <c r="U30" s="2673"/>
      <c r="V30" s="2673"/>
      <c r="W30" s="2673"/>
      <c r="X30" s="2673"/>
      <c r="Y30" s="2673"/>
      <c r="Z30" s="568"/>
      <c r="AA30" s="568"/>
      <c r="AB30" s="619"/>
      <c r="AC30" s="568"/>
      <c r="AD30" s="568"/>
      <c r="AE30" s="76" t="b">
        <v>0</v>
      </c>
      <c r="AF30" s="568" t="s">
        <v>64</v>
      </c>
      <c r="AG30" s="568"/>
      <c r="AJ30" s="76" t="b">
        <v>1</v>
      </c>
      <c r="AK30" s="568" t="s">
        <v>0</v>
      </c>
      <c r="AL30" s="568"/>
      <c r="AM30" s="619"/>
      <c r="AN30" s="620"/>
      <c r="AX30" s="568"/>
      <c r="AY30" s="568"/>
      <c r="AZ30" s="568"/>
      <c r="BA30" s="568"/>
    </row>
    <row r="31" spans="2:53" s="610" customFormat="1" ht="31.5" customHeight="1">
      <c r="B31" s="636"/>
      <c r="C31" s="618" t="s">
        <v>154</v>
      </c>
      <c r="D31" s="2674" t="s">
        <v>1088</v>
      </c>
      <c r="E31" s="2674"/>
      <c r="F31" s="2674"/>
      <c r="G31" s="2674"/>
      <c r="H31" s="2674"/>
      <c r="I31" s="2674"/>
      <c r="J31" s="2674"/>
      <c r="K31" s="2674"/>
      <c r="L31" s="2674"/>
      <c r="M31" s="2674"/>
      <c r="N31" s="2674"/>
      <c r="O31" s="2674"/>
      <c r="P31" s="2674"/>
      <c r="Q31" s="2674"/>
      <c r="R31" s="2674"/>
      <c r="S31" s="2674"/>
      <c r="T31" s="2674"/>
      <c r="U31" s="2674"/>
      <c r="V31" s="2674"/>
      <c r="W31" s="2674"/>
      <c r="X31" s="2674"/>
      <c r="Y31" s="2674"/>
      <c r="Z31" s="568"/>
      <c r="AA31" s="568"/>
      <c r="AB31" s="619"/>
      <c r="AC31" s="568"/>
      <c r="AD31" s="568"/>
      <c r="AE31" s="76" t="b">
        <v>0</v>
      </c>
      <c r="AF31" s="568" t="s">
        <v>64</v>
      </c>
      <c r="AG31" s="568"/>
      <c r="AJ31" s="76" t="b">
        <v>1</v>
      </c>
      <c r="AK31" s="568" t="s">
        <v>0</v>
      </c>
      <c r="AL31" s="568"/>
      <c r="AN31" s="620"/>
      <c r="AX31" s="568"/>
      <c r="AY31" s="568"/>
      <c r="AZ31" s="568"/>
      <c r="BA31" s="568"/>
    </row>
    <row r="32" spans="2:53" s="610" customFormat="1" ht="20.149999999999999" customHeight="1">
      <c r="B32" s="636"/>
      <c r="C32" s="605" t="s">
        <v>155</v>
      </c>
      <c r="D32" s="637" t="s">
        <v>1081</v>
      </c>
      <c r="E32" s="605"/>
      <c r="F32" s="637"/>
      <c r="G32" s="605"/>
      <c r="H32" s="637"/>
      <c r="I32" s="605"/>
      <c r="J32" s="637"/>
      <c r="K32" s="605"/>
      <c r="L32" s="637"/>
      <c r="M32" s="605"/>
      <c r="N32" s="637"/>
      <c r="O32" s="605"/>
      <c r="P32" s="637"/>
      <c r="Q32" s="605"/>
      <c r="R32" s="637"/>
      <c r="S32" s="605"/>
      <c r="T32" s="637"/>
      <c r="U32" s="605"/>
      <c r="V32" s="637"/>
      <c r="W32" s="605"/>
      <c r="X32" s="637"/>
      <c r="Y32" s="605"/>
      <c r="Z32" s="568"/>
      <c r="AA32" s="568"/>
      <c r="AB32" s="619"/>
      <c r="AC32" s="568"/>
      <c r="AD32" s="568"/>
      <c r="AE32" s="76" t="b">
        <v>0</v>
      </c>
      <c r="AF32" s="568" t="s">
        <v>64</v>
      </c>
      <c r="AG32" s="568"/>
      <c r="AJ32" s="76" t="b">
        <v>1</v>
      </c>
      <c r="AK32" s="568" t="s">
        <v>0</v>
      </c>
      <c r="AL32" s="568"/>
      <c r="AN32" s="620"/>
      <c r="AX32" s="568"/>
      <c r="AY32" s="568"/>
      <c r="AZ32" s="568"/>
      <c r="BA32" s="568"/>
    </row>
    <row r="33" spans="2:53" s="610" customFormat="1" ht="20.149999999999999" customHeight="1">
      <c r="B33" s="636"/>
      <c r="C33" s="605" t="s">
        <v>156</v>
      </c>
      <c r="D33" s="637" t="s">
        <v>1082</v>
      </c>
      <c r="E33" s="605"/>
      <c r="F33" s="637"/>
      <c r="G33" s="605"/>
      <c r="H33" s="637"/>
      <c r="I33" s="605"/>
      <c r="J33" s="637"/>
      <c r="K33" s="605"/>
      <c r="L33" s="637"/>
      <c r="M33" s="605"/>
      <c r="N33" s="637"/>
      <c r="O33" s="605"/>
      <c r="P33" s="637"/>
      <c r="Q33" s="605"/>
      <c r="R33" s="637"/>
      <c r="S33" s="605"/>
      <c r="T33" s="637"/>
      <c r="U33" s="605"/>
      <c r="V33" s="637"/>
      <c r="W33" s="605"/>
      <c r="X33" s="637"/>
      <c r="Y33" s="605"/>
      <c r="Z33" s="568"/>
      <c r="AA33" s="568"/>
      <c r="AB33" s="619"/>
      <c r="AC33" s="568"/>
      <c r="AD33" s="568"/>
      <c r="AE33" s="76" t="b">
        <v>0</v>
      </c>
      <c r="AF33" s="568" t="s">
        <v>64</v>
      </c>
      <c r="AG33" s="568"/>
      <c r="AJ33" s="76" t="b">
        <v>1</v>
      </c>
      <c r="AK33" s="568" t="s">
        <v>0</v>
      </c>
      <c r="AL33" s="568"/>
      <c r="AN33" s="620"/>
      <c r="AX33" s="568"/>
      <c r="AY33" s="568"/>
      <c r="AZ33" s="568"/>
      <c r="BA33" s="568"/>
    </row>
    <row r="34" spans="2:53" s="610" customFormat="1" ht="20.149999999999999" customHeight="1">
      <c r="B34" s="636"/>
      <c r="C34" s="605" t="s">
        <v>157</v>
      </c>
      <c r="D34" s="637" t="s">
        <v>1083</v>
      </c>
      <c r="E34" s="605"/>
      <c r="F34" s="637"/>
      <c r="G34" s="605"/>
      <c r="H34" s="637"/>
      <c r="I34" s="605"/>
      <c r="J34" s="637"/>
      <c r="K34" s="605"/>
      <c r="L34" s="637"/>
      <c r="M34" s="605"/>
      <c r="N34" s="637"/>
      <c r="O34" s="605"/>
      <c r="P34" s="637"/>
      <c r="Q34" s="605"/>
      <c r="R34" s="637"/>
      <c r="S34" s="605"/>
      <c r="T34" s="637"/>
      <c r="U34" s="605"/>
      <c r="V34" s="637"/>
      <c r="W34" s="605"/>
      <c r="X34" s="637"/>
      <c r="Y34" s="605"/>
      <c r="Z34" s="568"/>
      <c r="AA34" s="568"/>
      <c r="AB34" s="619"/>
      <c r="AC34" s="568"/>
      <c r="AD34" s="568"/>
      <c r="AE34" s="76" t="b">
        <v>0</v>
      </c>
      <c r="AF34" s="568" t="s">
        <v>64</v>
      </c>
      <c r="AG34" s="568"/>
      <c r="AJ34" s="76" t="b">
        <v>1</v>
      </c>
      <c r="AK34" s="568" t="s">
        <v>0</v>
      </c>
      <c r="AL34" s="568"/>
      <c r="AN34" s="620"/>
      <c r="AX34" s="568"/>
      <c r="AY34" s="568"/>
      <c r="AZ34" s="568"/>
      <c r="BA34" s="568"/>
    </row>
    <row r="35" spans="2:53" s="610" customFormat="1" ht="20.149999999999999" customHeight="1">
      <c r="B35" s="636"/>
      <c r="C35" s="605" t="s">
        <v>158</v>
      </c>
      <c r="D35" s="637" t="s">
        <v>1084</v>
      </c>
      <c r="E35" s="605"/>
      <c r="F35" s="637"/>
      <c r="G35" s="605"/>
      <c r="H35" s="637"/>
      <c r="I35" s="605"/>
      <c r="J35" s="637"/>
      <c r="K35" s="605"/>
      <c r="L35" s="637"/>
      <c r="M35" s="605"/>
      <c r="N35" s="637"/>
      <c r="O35" s="605"/>
      <c r="P35" s="637"/>
      <c r="Q35" s="605"/>
      <c r="R35" s="637"/>
      <c r="S35" s="605"/>
      <c r="T35" s="637"/>
      <c r="U35" s="605"/>
      <c r="V35" s="637"/>
      <c r="W35" s="605"/>
      <c r="X35" s="637"/>
      <c r="Y35" s="605"/>
      <c r="Z35" s="568"/>
      <c r="AA35" s="568"/>
      <c r="AB35" s="619"/>
      <c r="AC35" s="568"/>
      <c r="AD35" s="568"/>
      <c r="AE35" s="76" t="b">
        <v>0</v>
      </c>
      <c r="AF35" s="568" t="s">
        <v>64</v>
      </c>
      <c r="AG35" s="568"/>
      <c r="AJ35" s="76" t="b">
        <v>1</v>
      </c>
      <c r="AK35" s="568" t="s">
        <v>0</v>
      </c>
      <c r="AL35" s="568"/>
      <c r="AN35" s="620"/>
      <c r="AX35" s="568"/>
      <c r="AY35" s="568"/>
      <c r="AZ35" s="568"/>
      <c r="BA35" s="568"/>
    </row>
    <row r="36" spans="2:53" s="610" customFormat="1" ht="47.15" customHeight="1">
      <c r="B36" s="636"/>
      <c r="C36" s="618" t="s">
        <v>159</v>
      </c>
      <c r="D36" s="2673" t="s">
        <v>1085</v>
      </c>
      <c r="E36" s="2673"/>
      <c r="F36" s="2673"/>
      <c r="G36" s="2673"/>
      <c r="H36" s="2673"/>
      <c r="I36" s="2673"/>
      <c r="J36" s="2673"/>
      <c r="K36" s="2673"/>
      <c r="L36" s="2673"/>
      <c r="M36" s="2673"/>
      <c r="N36" s="2673"/>
      <c r="O36" s="2673"/>
      <c r="P36" s="2673"/>
      <c r="Q36" s="2673"/>
      <c r="R36" s="2673"/>
      <c r="S36" s="2673"/>
      <c r="T36" s="2673"/>
      <c r="U36" s="2673"/>
      <c r="V36" s="2673"/>
      <c r="W36" s="2673"/>
      <c r="X36" s="2673"/>
      <c r="Y36" s="2673"/>
      <c r="Z36" s="568"/>
      <c r="AA36" s="568"/>
      <c r="AB36" s="619"/>
      <c r="AC36" s="568"/>
      <c r="AD36" s="568"/>
      <c r="AE36" s="76" t="b">
        <v>1</v>
      </c>
      <c r="AF36" s="568" t="s">
        <v>64</v>
      </c>
      <c r="AG36" s="568"/>
      <c r="AJ36" s="76" t="b">
        <v>0</v>
      </c>
      <c r="AK36" s="568" t="s">
        <v>0</v>
      </c>
      <c r="AL36" s="568"/>
      <c r="AM36" s="619"/>
      <c r="AN36" s="620"/>
      <c r="AX36" s="568"/>
      <c r="AY36" s="568"/>
      <c r="AZ36" s="568"/>
      <c r="BA36" s="568"/>
    </row>
    <row r="37" spans="2:53" s="610" customFormat="1" ht="31.5" customHeight="1">
      <c r="B37" s="636"/>
      <c r="C37" s="618" t="s">
        <v>160</v>
      </c>
      <c r="D37" s="2674" t="s">
        <v>1086</v>
      </c>
      <c r="E37" s="2674"/>
      <c r="F37" s="2674"/>
      <c r="G37" s="2674"/>
      <c r="H37" s="2674"/>
      <c r="I37" s="2674"/>
      <c r="J37" s="2674"/>
      <c r="K37" s="2674"/>
      <c r="L37" s="2674"/>
      <c r="M37" s="2674"/>
      <c r="N37" s="2674"/>
      <c r="O37" s="2674"/>
      <c r="P37" s="2674"/>
      <c r="Q37" s="2674"/>
      <c r="R37" s="2674"/>
      <c r="S37" s="2674"/>
      <c r="T37" s="2674"/>
      <c r="U37" s="2674"/>
      <c r="V37" s="2674"/>
      <c r="W37" s="2674"/>
      <c r="X37" s="2674"/>
      <c r="Y37" s="2674"/>
      <c r="Z37" s="568"/>
      <c r="AA37" s="568"/>
      <c r="AB37" s="619"/>
      <c r="AC37" s="568"/>
      <c r="AD37" s="568"/>
      <c r="AE37" s="76" t="b">
        <v>0</v>
      </c>
      <c r="AF37" s="568" t="s">
        <v>64</v>
      </c>
      <c r="AG37" s="568"/>
      <c r="AJ37" s="76" t="b">
        <v>1</v>
      </c>
      <c r="AK37" s="568" t="s">
        <v>0</v>
      </c>
      <c r="AL37" s="568"/>
      <c r="AN37" s="620"/>
      <c r="AX37" s="568"/>
      <c r="AY37" s="568"/>
      <c r="AZ37" s="568"/>
      <c r="BA37" s="568"/>
    </row>
    <row r="38" spans="2:53" ht="7.5" customHeight="1" thickBot="1">
      <c r="B38" s="612"/>
      <c r="C38" s="562"/>
      <c r="D38" s="562"/>
      <c r="E38" s="562"/>
      <c r="F38" s="562"/>
      <c r="G38" s="562"/>
      <c r="H38" s="562"/>
      <c r="I38" s="562"/>
      <c r="J38" s="562"/>
      <c r="K38" s="562"/>
      <c r="L38" s="562"/>
      <c r="M38" s="562"/>
      <c r="N38" s="562"/>
      <c r="O38" s="623"/>
      <c r="P38" s="623"/>
      <c r="Q38" s="623"/>
      <c r="R38" s="623"/>
      <c r="S38" s="623"/>
      <c r="T38" s="562"/>
      <c r="U38" s="623"/>
      <c r="V38" s="623"/>
      <c r="W38" s="623"/>
      <c r="X38" s="623"/>
      <c r="Y38" s="623"/>
      <c r="Z38" s="623"/>
      <c r="AA38" s="562"/>
      <c r="AB38" s="562"/>
      <c r="AC38" s="562"/>
      <c r="AD38" s="562"/>
      <c r="AE38" s="562"/>
      <c r="AF38" s="562"/>
      <c r="AG38" s="562"/>
      <c r="AH38" s="562"/>
      <c r="AI38" s="562"/>
      <c r="AJ38" s="562"/>
      <c r="AK38" s="562"/>
      <c r="AL38" s="562"/>
      <c r="AM38" s="562"/>
      <c r="AN38" s="576"/>
    </row>
    <row r="39" spans="2:53" s="588" customFormat="1" ht="23.25" customHeight="1">
      <c r="B39" s="624"/>
      <c r="C39" s="625"/>
      <c r="D39" s="625"/>
      <c r="E39" s="625"/>
      <c r="F39" s="625"/>
      <c r="G39" s="625"/>
      <c r="H39" s="568"/>
      <c r="I39" s="568"/>
      <c r="J39" s="568"/>
      <c r="K39" s="568"/>
      <c r="L39" s="626"/>
      <c r="M39" s="626"/>
      <c r="N39" s="626"/>
      <c r="O39" s="626"/>
      <c r="P39" s="626"/>
      <c r="Q39" s="568"/>
      <c r="R39" s="626"/>
      <c r="S39" s="626"/>
      <c r="T39" s="626"/>
      <c r="U39" s="626"/>
      <c r="V39" s="568"/>
      <c r="W39" s="626"/>
      <c r="X39" s="626"/>
      <c r="Y39" s="626"/>
      <c r="Z39" s="626"/>
    </row>
    <row r="40" spans="2:53" ht="16.5">
      <c r="B40" s="627" t="s">
        <v>11770</v>
      </c>
    </row>
    <row r="41" spans="2:53" s="568" customFormat="1" ht="16" thickBot="1">
      <c r="B41" s="630" t="s">
        <v>902</v>
      </c>
    </row>
    <row r="42" spans="2:53" ht="8.15" customHeight="1">
      <c r="B42" s="638"/>
      <c r="C42" s="639"/>
      <c r="D42" s="639"/>
      <c r="E42" s="639"/>
      <c r="F42" s="639"/>
      <c r="G42" s="639"/>
      <c r="H42" s="640"/>
      <c r="I42" s="640"/>
      <c r="J42" s="640"/>
      <c r="K42" s="640"/>
      <c r="L42" s="640"/>
      <c r="M42" s="640"/>
      <c r="N42" s="640"/>
      <c r="O42" s="640"/>
      <c r="P42" s="640"/>
      <c r="Q42" s="640"/>
      <c r="R42" s="640"/>
      <c r="S42" s="640"/>
      <c r="T42" s="640"/>
      <c r="U42" s="640"/>
      <c r="V42" s="640"/>
      <c r="W42" s="640"/>
      <c r="X42" s="640"/>
      <c r="Y42" s="640"/>
      <c r="Z42" s="634"/>
      <c r="AA42" s="640"/>
      <c r="AB42" s="640"/>
      <c r="AC42" s="640"/>
      <c r="AD42" s="640"/>
      <c r="AE42" s="633"/>
      <c r="AF42" s="640"/>
      <c r="AG42" s="640"/>
      <c r="AH42" s="640"/>
      <c r="AI42" s="640"/>
      <c r="AJ42" s="640"/>
      <c r="AK42" s="640"/>
      <c r="AL42" s="640"/>
      <c r="AM42" s="640"/>
      <c r="AN42" s="614"/>
    </row>
    <row r="43" spans="2:53" ht="20">
      <c r="B43" s="604"/>
      <c r="C43" s="605" t="s">
        <v>151</v>
      </c>
      <c r="D43" s="606" t="s">
        <v>1089</v>
      </c>
      <c r="E43" s="606"/>
      <c r="F43" s="607"/>
      <c r="G43" s="607"/>
      <c r="H43" s="607"/>
      <c r="I43" s="607"/>
      <c r="J43" s="607"/>
      <c r="K43" s="607"/>
      <c r="L43" s="607"/>
      <c r="M43" s="608"/>
      <c r="N43" s="608"/>
      <c r="P43" s="608"/>
      <c r="T43" s="609"/>
      <c r="U43" s="568"/>
      <c r="X43" s="609"/>
      <c r="Y43" s="568"/>
      <c r="Z43" s="568"/>
      <c r="AA43" s="76" t="b">
        <v>0</v>
      </c>
      <c r="AB43" s="568" t="s">
        <v>64</v>
      </c>
      <c r="AC43" s="568"/>
      <c r="AD43" s="610"/>
      <c r="AE43" s="610"/>
      <c r="AF43" s="76" t="b">
        <v>1</v>
      </c>
      <c r="AG43" s="568" t="s">
        <v>0</v>
      </c>
      <c r="AJ43" s="608"/>
      <c r="AK43" s="608"/>
      <c r="AL43" s="608"/>
      <c r="AM43" s="608"/>
      <c r="AN43" s="611"/>
      <c r="AX43" s="588"/>
      <c r="AY43" s="588"/>
      <c r="AZ43" s="588"/>
      <c r="BA43" s="588"/>
    </row>
    <row r="44" spans="2:53" ht="15.75" customHeight="1">
      <c r="B44" s="641"/>
      <c r="C44" s="607"/>
      <c r="D44" s="642" t="s">
        <v>1096</v>
      </c>
      <c r="E44" s="642"/>
      <c r="F44" s="607"/>
      <c r="G44" s="607"/>
      <c r="H44" s="607"/>
      <c r="I44" s="607"/>
      <c r="J44" s="607"/>
      <c r="K44" s="607"/>
      <c r="L44" s="607"/>
      <c r="M44" s="608"/>
      <c r="N44" s="608"/>
      <c r="P44" s="608"/>
      <c r="T44" s="609"/>
      <c r="U44" s="568"/>
      <c r="X44" s="609"/>
      <c r="Y44" s="568"/>
      <c r="Z44" s="568"/>
      <c r="AA44" s="568"/>
      <c r="AJ44" s="608"/>
      <c r="AK44" s="608"/>
      <c r="AL44" s="608"/>
      <c r="AM44" s="608"/>
      <c r="AN44" s="611"/>
      <c r="AX44" s="588"/>
      <c r="AY44" s="588"/>
      <c r="AZ44" s="588"/>
      <c r="BA44" s="588"/>
    </row>
    <row r="45" spans="2:53" ht="20.5">
      <c r="B45" s="604"/>
      <c r="C45" s="605" t="s">
        <v>152</v>
      </c>
      <c r="D45" s="606" t="s">
        <v>1090</v>
      </c>
      <c r="E45" s="606"/>
      <c r="F45" s="607"/>
      <c r="G45" s="607"/>
      <c r="H45" s="607"/>
      <c r="I45" s="607"/>
      <c r="J45" s="607"/>
      <c r="K45" s="607"/>
      <c r="L45" s="607"/>
      <c r="M45" s="608"/>
      <c r="N45" s="608"/>
      <c r="P45" s="608"/>
      <c r="Q45" s="568"/>
      <c r="R45" s="568"/>
      <c r="T45" s="616"/>
      <c r="U45" s="608"/>
      <c r="V45" s="568"/>
      <c r="X45" s="616"/>
      <c r="Y45" s="608"/>
      <c r="Z45" s="568"/>
      <c r="AA45" s="2672"/>
      <c r="AB45" s="2672"/>
      <c r="AC45" s="2672"/>
      <c r="AD45" s="2672"/>
      <c r="AE45" s="2672"/>
      <c r="AF45" s="2672"/>
      <c r="AG45" s="2672"/>
      <c r="AH45" s="568"/>
      <c r="AJ45" s="608"/>
      <c r="AK45" s="608"/>
      <c r="AL45" s="608"/>
      <c r="AM45" s="608"/>
      <c r="AN45" s="611"/>
      <c r="AX45" s="588"/>
      <c r="AY45" s="588"/>
      <c r="AZ45" s="588"/>
      <c r="BA45" s="588"/>
    </row>
    <row r="46" spans="2:53" ht="20">
      <c r="B46" s="604"/>
      <c r="C46" s="605" t="s">
        <v>153</v>
      </c>
      <c r="D46" s="606" t="s">
        <v>1091</v>
      </c>
      <c r="E46" s="606"/>
      <c r="F46" s="607"/>
      <c r="G46" s="607"/>
      <c r="H46" s="607"/>
      <c r="I46" s="607"/>
      <c r="J46" s="607"/>
      <c r="K46" s="607"/>
      <c r="L46" s="607"/>
      <c r="P46" s="568"/>
      <c r="T46" s="609"/>
      <c r="U46" s="568"/>
      <c r="V46" s="568"/>
      <c r="X46" s="609"/>
      <c r="Y46" s="568"/>
      <c r="Z46" s="568"/>
      <c r="AA46" s="76" t="b">
        <v>1</v>
      </c>
      <c r="AB46" s="568" t="s">
        <v>64</v>
      </c>
      <c r="AC46" s="568"/>
      <c r="AD46" s="610"/>
      <c r="AE46" s="610"/>
      <c r="AF46" s="76" t="b">
        <v>0</v>
      </c>
      <c r="AG46" s="568" t="s">
        <v>0</v>
      </c>
      <c r="AH46" s="568"/>
      <c r="AJ46" s="608"/>
      <c r="AK46" s="608"/>
      <c r="AL46" s="608"/>
      <c r="AM46" s="608"/>
      <c r="AN46" s="611"/>
      <c r="AX46" s="588"/>
      <c r="AY46" s="588"/>
      <c r="AZ46" s="588"/>
      <c r="BA46" s="588"/>
    </row>
    <row r="47" spans="2:53" ht="20.5">
      <c r="B47" s="604"/>
      <c r="C47" s="605" t="s">
        <v>154</v>
      </c>
      <c r="D47" s="606" t="s">
        <v>1092</v>
      </c>
      <c r="E47" s="606"/>
      <c r="F47" s="607"/>
      <c r="G47" s="607"/>
      <c r="H47" s="607"/>
      <c r="I47" s="607"/>
      <c r="J47" s="607"/>
      <c r="K47" s="607"/>
      <c r="L47" s="607"/>
      <c r="M47" s="608"/>
      <c r="N47" s="608"/>
      <c r="P47" s="608"/>
      <c r="Q47" s="568"/>
      <c r="R47" s="568"/>
      <c r="T47" s="616"/>
      <c r="U47" s="608"/>
      <c r="V47" s="568"/>
      <c r="X47" s="616"/>
      <c r="Y47" s="608"/>
      <c r="Z47" s="568"/>
      <c r="AA47" s="2672">
        <v>3</v>
      </c>
      <c r="AB47" s="2672"/>
      <c r="AC47" s="2672"/>
      <c r="AD47" s="2672"/>
      <c r="AE47" s="2672"/>
      <c r="AF47" s="2672"/>
      <c r="AG47" s="2672"/>
      <c r="AH47" s="568"/>
      <c r="AJ47" s="608"/>
      <c r="AK47" s="608"/>
      <c r="AL47" s="608"/>
      <c r="AM47" s="608"/>
      <c r="AN47" s="611"/>
      <c r="AX47" s="588"/>
      <c r="AY47" s="588"/>
      <c r="AZ47" s="588"/>
      <c r="BA47" s="588"/>
    </row>
    <row r="48" spans="2:53" ht="20">
      <c r="B48" s="604"/>
      <c r="C48" s="605" t="s">
        <v>155</v>
      </c>
      <c r="D48" s="606" t="s">
        <v>1093</v>
      </c>
      <c r="E48" s="606"/>
      <c r="F48" s="607"/>
      <c r="G48" s="607"/>
      <c r="H48" s="607"/>
      <c r="I48" s="607"/>
      <c r="J48" s="607"/>
      <c r="K48" s="607"/>
      <c r="L48" s="607"/>
      <c r="M48" s="608"/>
      <c r="N48" s="608"/>
      <c r="P48" s="608"/>
      <c r="Q48" s="568"/>
      <c r="R48" s="568"/>
      <c r="T48" s="609"/>
      <c r="U48" s="568"/>
      <c r="X48" s="609"/>
      <c r="Y48" s="568"/>
      <c r="AA48" s="76" t="b">
        <v>0</v>
      </c>
      <c r="AB48" s="568" t="s">
        <v>64</v>
      </c>
      <c r="AC48" s="568"/>
      <c r="AD48" s="610"/>
      <c r="AE48" s="610"/>
      <c r="AF48" s="76" t="b">
        <v>1</v>
      </c>
      <c r="AG48" s="568" t="s">
        <v>0</v>
      </c>
      <c r="AH48" s="568"/>
      <c r="AJ48" s="608"/>
      <c r="AK48" s="608"/>
      <c r="AL48" s="608"/>
      <c r="AM48" s="608"/>
      <c r="AN48" s="611"/>
      <c r="AX48" s="588"/>
      <c r="AY48" s="588"/>
      <c r="AZ48" s="588"/>
      <c r="BA48" s="588"/>
    </row>
    <row r="49" spans="2:53" ht="20">
      <c r="B49" s="604"/>
      <c r="C49" s="605" t="s">
        <v>156</v>
      </c>
      <c r="D49" s="606" t="s">
        <v>1094</v>
      </c>
      <c r="E49" s="606"/>
      <c r="F49" s="607"/>
      <c r="G49" s="607"/>
      <c r="H49" s="607"/>
      <c r="I49" s="607"/>
      <c r="J49" s="607"/>
      <c r="K49" s="607"/>
      <c r="L49" s="607"/>
      <c r="M49" s="608"/>
      <c r="N49" s="608"/>
      <c r="P49" s="608"/>
      <c r="Q49" s="568"/>
      <c r="R49" s="568"/>
      <c r="T49" s="609"/>
      <c r="U49" s="568"/>
      <c r="X49" s="609"/>
      <c r="Y49" s="568"/>
      <c r="AA49" s="76" t="b">
        <v>0</v>
      </c>
      <c r="AB49" s="568" t="s">
        <v>64</v>
      </c>
      <c r="AC49" s="568"/>
      <c r="AD49" s="610"/>
      <c r="AE49" s="610"/>
      <c r="AF49" s="76" t="b">
        <v>1</v>
      </c>
      <c r="AG49" s="568" t="s">
        <v>0</v>
      </c>
      <c r="AH49" s="568"/>
      <c r="AJ49" s="608"/>
      <c r="AK49" s="608"/>
      <c r="AL49" s="608"/>
      <c r="AM49" s="608"/>
      <c r="AN49" s="611"/>
      <c r="AX49" s="588"/>
      <c r="AY49" s="588"/>
      <c r="AZ49" s="588"/>
      <c r="BA49" s="588"/>
    </row>
    <row r="50" spans="2:53" ht="20">
      <c r="B50" s="604"/>
      <c r="C50" s="605" t="s">
        <v>157</v>
      </c>
      <c r="D50" s="606" t="s">
        <v>1095</v>
      </c>
      <c r="E50" s="606"/>
      <c r="F50" s="607"/>
      <c r="G50" s="607"/>
      <c r="H50" s="607"/>
      <c r="I50" s="607"/>
      <c r="J50" s="607"/>
      <c r="K50" s="607"/>
      <c r="L50" s="607"/>
      <c r="M50" s="608"/>
      <c r="N50" s="608"/>
      <c r="P50" s="608"/>
      <c r="Q50" s="568"/>
      <c r="R50" s="568"/>
      <c r="T50" s="609"/>
      <c r="U50" s="568"/>
      <c r="X50" s="609"/>
      <c r="Y50" s="568"/>
      <c r="AA50" s="76" t="b">
        <v>0</v>
      </c>
      <c r="AB50" s="568" t="s">
        <v>64</v>
      </c>
      <c r="AC50" s="568"/>
      <c r="AD50" s="610"/>
      <c r="AE50" s="610"/>
      <c r="AF50" s="76" t="b">
        <v>1</v>
      </c>
      <c r="AG50" s="568" t="s">
        <v>0</v>
      </c>
      <c r="AH50" s="568"/>
      <c r="AJ50" s="608"/>
      <c r="AK50" s="608"/>
      <c r="AL50" s="608"/>
      <c r="AM50" s="608"/>
      <c r="AN50" s="611"/>
      <c r="AX50" s="588"/>
      <c r="AY50" s="588"/>
      <c r="AZ50" s="588"/>
      <c r="BA50" s="588"/>
    </row>
    <row r="51" spans="2:53" ht="8.15" customHeight="1" thickBot="1">
      <c r="B51" s="612"/>
      <c r="C51" s="613"/>
      <c r="D51" s="613"/>
      <c r="E51" s="613"/>
      <c r="F51" s="613"/>
      <c r="G51" s="613"/>
      <c r="H51" s="613"/>
      <c r="I51" s="613"/>
      <c r="J51" s="613"/>
      <c r="K51" s="613"/>
      <c r="L51" s="613"/>
      <c r="M51" s="613"/>
      <c r="N51" s="613"/>
      <c r="O51" s="613"/>
      <c r="P51" s="613"/>
      <c r="Q51" s="613"/>
      <c r="R51" s="613"/>
      <c r="S51" s="613"/>
      <c r="T51" s="613"/>
      <c r="U51" s="613"/>
      <c r="V51" s="613"/>
      <c r="W51" s="613"/>
      <c r="X51" s="613"/>
      <c r="Y51" s="613"/>
      <c r="Z51" s="562"/>
      <c r="AA51" s="613"/>
      <c r="AB51" s="613"/>
      <c r="AC51" s="613"/>
      <c r="AD51" s="613"/>
      <c r="AE51" s="613"/>
      <c r="AF51" s="613"/>
      <c r="AG51" s="613"/>
      <c r="AH51" s="613"/>
      <c r="AI51" s="613"/>
      <c r="AJ51" s="613"/>
      <c r="AK51" s="613"/>
      <c r="AL51" s="613"/>
      <c r="AM51" s="613"/>
      <c r="AN51" s="614"/>
    </row>
    <row r="52" spans="2:53" ht="25" customHeight="1">
      <c r="B52" s="615"/>
      <c r="C52" s="615"/>
      <c r="D52" s="615"/>
      <c r="E52" s="615"/>
      <c r="F52" s="615"/>
      <c r="G52" s="615"/>
      <c r="H52" s="615"/>
      <c r="I52" s="615"/>
      <c r="J52" s="615"/>
      <c r="K52" s="615"/>
      <c r="L52" s="615"/>
      <c r="M52" s="615"/>
      <c r="N52" s="615"/>
      <c r="O52" s="615"/>
      <c r="P52" s="615"/>
      <c r="Q52" s="615"/>
      <c r="R52" s="615"/>
      <c r="S52" s="615"/>
      <c r="T52" s="615"/>
      <c r="U52" s="615"/>
      <c r="V52" s="615"/>
      <c r="W52" s="615"/>
      <c r="X52" s="615"/>
      <c r="Y52" s="615"/>
      <c r="Z52" s="615"/>
      <c r="AA52" s="615"/>
    </row>
    <row r="53" spans="2:53" s="242" customFormat="1" ht="14">
      <c r="B53" s="241" t="s">
        <v>847</v>
      </c>
      <c r="P53" s="241" t="s">
        <v>782</v>
      </c>
      <c r="Q53" s="241"/>
      <c r="AD53" s="241" t="s">
        <v>783</v>
      </c>
    </row>
    <row r="54" spans="2:53" s="242" customFormat="1" ht="21.75" customHeight="1">
      <c r="B54" s="241" t="s">
        <v>756</v>
      </c>
      <c r="F54" s="1959" t="str">
        <f>activesheet!E29</f>
        <v>RICO S. MISPEROS</v>
      </c>
      <c r="G54" s="1959"/>
      <c r="H54" s="1959"/>
      <c r="I54" s="1959"/>
      <c r="J54" s="1959"/>
      <c r="K54" s="1959"/>
      <c r="L54" s="1959"/>
      <c r="M54" s="1959"/>
      <c r="N54" s="290"/>
      <c r="P54" s="2036" t="s">
        <v>11880</v>
      </c>
      <c r="Q54" s="2036"/>
      <c r="R54" s="2036"/>
      <c r="S54" s="2036"/>
      <c r="T54" s="2036"/>
      <c r="U54" s="2036"/>
      <c r="V54" s="2036"/>
      <c r="W54" s="2036"/>
      <c r="X54" s="2036"/>
      <c r="Y54" s="2036"/>
      <c r="Z54" s="2036"/>
      <c r="AA54" s="2036"/>
      <c r="AD54" s="1956" t="str">
        <f>activesheet!E31</f>
        <v>MICHAEL T. JAMIS</v>
      </c>
      <c r="AE54" s="1956"/>
      <c r="AF54" s="1956"/>
      <c r="AG54" s="1956"/>
      <c r="AH54" s="1956"/>
      <c r="AI54" s="1956"/>
      <c r="AJ54" s="1956"/>
      <c r="AK54" s="1956"/>
      <c r="AL54" s="1956"/>
      <c r="AM54" s="1956"/>
    </row>
    <row r="55" spans="2:53" s="243" customFormat="1" ht="15.65" customHeight="1">
      <c r="B55" s="603"/>
      <c r="C55" s="603"/>
      <c r="D55" s="603"/>
      <c r="E55" s="245"/>
      <c r="F55" s="1958" t="s">
        <v>741</v>
      </c>
      <c r="G55" s="1958"/>
      <c r="H55" s="1958"/>
      <c r="I55" s="1958"/>
      <c r="J55" s="1958"/>
      <c r="K55" s="1958"/>
      <c r="L55" s="1958"/>
      <c r="M55" s="1958"/>
      <c r="N55" s="244"/>
      <c r="O55" s="244"/>
      <c r="P55" s="1958" t="s">
        <v>741</v>
      </c>
      <c r="Q55" s="1958"/>
      <c r="R55" s="2671"/>
      <c r="S55" s="2671"/>
      <c r="T55" s="1957"/>
      <c r="U55" s="1957"/>
      <c r="V55" s="1957"/>
      <c r="W55" s="1957"/>
      <c r="X55" s="1957"/>
      <c r="Y55" s="1957"/>
      <c r="Z55" s="1957"/>
      <c r="AA55" s="1957"/>
      <c r="AB55" s="246"/>
      <c r="AC55" s="246"/>
      <c r="AD55" s="1957"/>
      <c r="AE55" s="1957"/>
      <c r="AF55" s="1957"/>
      <c r="AG55" s="1957"/>
      <c r="AH55" s="1957"/>
      <c r="AI55" s="1957"/>
      <c r="AJ55" s="1957"/>
      <c r="AK55" s="1957"/>
      <c r="AL55" s="1957"/>
      <c r="AM55" s="1957"/>
    </row>
    <row r="56" spans="2:53" s="242" customFormat="1" ht="21.75" customHeight="1">
      <c r="B56" s="241" t="s">
        <v>71</v>
      </c>
      <c r="F56" s="1959" t="str">
        <f>activesheet!E30</f>
        <v>SCHOOL PRINCIPAL II</v>
      </c>
      <c r="G56" s="1959"/>
      <c r="H56" s="1959"/>
      <c r="I56" s="1959"/>
      <c r="J56" s="1959"/>
      <c r="K56" s="1959"/>
      <c r="L56" s="1959"/>
      <c r="M56" s="1959"/>
      <c r="N56" s="290"/>
      <c r="P56" s="241" t="s">
        <v>71</v>
      </c>
      <c r="Q56" s="241"/>
      <c r="T56" s="2036" t="s">
        <v>11881</v>
      </c>
      <c r="U56" s="2036"/>
      <c r="V56" s="2036"/>
      <c r="W56" s="2036"/>
      <c r="X56" s="2036"/>
      <c r="Y56" s="2036"/>
      <c r="Z56" s="2036"/>
      <c r="AA56" s="2036"/>
      <c r="AD56" s="1958" t="s">
        <v>741</v>
      </c>
      <c r="AE56" s="1958"/>
      <c r="AF56" s="1958"/>
      <c r="AG56" s="1958"/>
      <c r="AH56" s="1958"/>
      <c r="AI56" s="1958"/>
      <c r="AJ56" s="1958"/>
      <c r="AK56" s="1958"/>
      <c r="AL56" s="1958"/>
      <c r="AM56" s="1958"/>
    </row>
  </sheetData>
  <sheetProtection algorithmName="SHA-512" hashValue="WL5wlXs5eymB5M5BEaORDRh3mhMpMASRf8TiuwpwaI2GMQEX0E3bk/wyer+w4s1S9zvjDoj4AXqPnY/6gZVNCQ==" saltValue="AcnPDXu8/XTi+jlrEbiJvw==" spinCount="100000" sheet="1" objects="1" scenarios="1" selectLockedCells="1"/>
  <mergeCells count="19">
    <mergeCell ref="AA45:AG45"/>
    <mergeCell ref="AA47:AG47"/>
    <mergeCell ref="AA7:AG7"/>
    <mergeCell ref="AF9:AL9"/>
    <mergeCell ref="D20:Y20"/>
    <mergeCell ref="AA20:AG20"/>
    <mergeCell ref="D21:Y21"/>
    <mergeCell ref="D30:Y30"/>
    <mergeCell ref="D36:Y36"/>
    <mergeCell ref="D37:Y37"/>
    <mergeCell ref="D31:Y31"/>
    <mergeCell ref="F55:M55"/>
    <mergeCell ref="F56:M56"/>
    <mergeCell ref="AD54:AM55"/>
    <mergeCell ref="AD56:AM56"/>
    <mergeCell ref="P54:AA54"/>
    <mergeCell ref="P55:AA55"/>
    <mergeCell ref="T56:AA56"/>
    <mergeCell ref="F54:M54"/>
  </mergeCells>
  <conditionalFormatting sqref="D7">
    <cfRule type="expression" dxfId="24" priority="7">
      <formula>AND($AA6=TRUE, $AA7=FALSE)</formula>
    </cfRule>
  </conditionalFormatting>
  <conditionalFormatting sqref="E7">
    <cfRule type="expression" dxfId="23" priority="6">
      <formula>AND(AA6=TRUE,AA6=FALSE)</formula>
    </cfRule>
  </conditionalFormatting>
  <conditionalFormatting sqref="D45">
    <cfRule type="expression" dxfId="22" priority="2">
      <formula>AND(AA43=TRUE, AA45=FALSE)</formula>
    </cfRule>
  </conditionalFormatting>
  <conditionalFormatting sqref="D47">
    <cfRule type="expression" dxfId="21" priority="1">
      <formula>AND(AA46=TRUE, AA47=FALSE)</formula>
    </cfRule>
  </conditionalFormatting>
  <dataValidations count="2">
    <dataValidation type="whole" allowBlank="1" showInputMessage="1" showErrorMessage="1" errorTitle="GESP SY 2022-2023" error="Please enter valid number between 0-2,000." sqref="AA20:AG20" xr:uid="{00000000-0002-0000-1200-000000000000}">
      <formula1>0</formula1>
      <formula2>2000</formula2>
    </dataValidation>
    <dataValidation type="whole" allowBlank="1" showInputMessage="1" showErrorMessage="1" errorTitle="GESP SY 2022-2023" error="Please enter valid number between 0-40." sqref="AA7:AG7 AA45:AG45 AA47:AG47" xr:uid="{00000000-0002-0000-1200-000001000000}">
      <formula1>0</formula1>
      <formula2>40</formula2>
    </dataValidation>
  </dataValidations>
  <printOptions horizontalCentered="1" verticalCentered="1"/>
  <pageMargins left="0.25" right="0.25" top="0.2" bottom="0.2" header="0" footer="0.1"/>
  <pageSetup paperSize="9" scale="53" orientation="landscape" r:id="rId1"/>
  <headerFooter alignWithMargins="0">
    <oddFooter>&amp;L&amp;10&amp;F &amp;A&amp;R&amp;11Page 15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7650" r:id="rId4" name="Check Box 2">
              <controlPr locked="0" defaultSize="0" autoFill="0" autoLine="0" autoPict="0" altText="">
                <anchor moveWithCells="1">
                  <from>
                    <xdr:col>26</xdr:col>
                    <xdr:colOff>12700</xdr:colOff>
                    <xdr:row>4</xdr:row>
                    <xdr:rowOff>12700</xdr:rowOff>
                  </from>
                  <to>
                    <xdr:col>26</xdr:col>
                    <xdr:colOff>260350</xdr:colOff>
                    <xdr:row>4</xdr:row>
                    <xdr:rowOff>241300</xdr:rowOff>
                  </to>
                </anchor>
              </controlPr>
            </control>
          </mc:Choice>
        </mc:AlternateContent>
        <mc:AlternateContent xmlns:mc="http://schemas.openxmlformats.org/markup-compatibility/2006">
          <mc:Choice Requires="x14">
            <control shapeId="27651" r:id="rId5" name="Check Box 3">
              <controlPr locked="0" defaultSize="0" autoFill="0" autoLine="0" autoPict="0" altText="">
                <anchor moveWithCells="1">
                  <from>
                    <xdr:col>26</xdr:col>
                    <xdr:colOff>12700</xdr:colOff>
                    <xdr:row>5</xdr:row>
                    <xdr:rowOff>12700</xdr:rowOff>
                  </from>
                  <to>
                    <xdr:col>26</xdr:col>
                    <xdr:colOff>260350</xdr:colOff>
                    <xdr:row>5</xdr:row>
                    <xdr:rowOff>241300</xdr:rowOff>
                  </to>
                </anchor>
              </controlPr>
            </control>
          </mc:Choice>
        </mc:AlternateContent>
        <mc:AlternateContent xmlns:mc="http://schemas.openxmlformats.org/markup-compatibility/2006">
          <mc:Choice Requires="x14">
            <control shapeId="27652" r:id="rId6" name="Check Box 4">
              <controlPr locked="0" defaultSize="0" autoFill="0" autoLine="0" autoPict="0" altText="">
                <anchor moveWithCells="1">
                  <from>
                    <xdr:col>31</xdr:col>
                    <xdr:colOff>12700</xdr:colOff>
                    <xdr:row>4</xdr:row>
                    <xdr:rowOff>12700</xdr:rowOff>
                  </from>
                  <to>
                    <xdr:col>31</xdr:col>
                    <xdr:colOff>260350</xdr:colOff>
                    <xdr:row>4</xdr:row>
                    <xdr:rowOff>241300</xdr:rowOff>
                  </to>
                </anchor>
              </controlPr>
            </control>
          </mc:Choice>
        </mc:AlternateContent>
        <mc:AlternateContent xmlns:mc="http://schemas.openxmlformats.org/markup-compatibility/2006">
          <mc:Choice Requires="x14">
            <control shapeId="27653" r:id="rId7" name="Check Box 5">
              <controlPr locked="0" defaultSize="0" autoFill="0" autoLine="0" autoPict="0" altText="">
                <anchor moveWithCells="1">
                  <from>
                    <xdr:col>31</xdr:col>
                    <xdr:colOff>12700</xdr:colOff>
                    <xdr:row>5</xdr:row>
                    <xdr:rowOff>12700</xdr:rowOff>
                  </from>
                  <to>
                    <xdr:col>31</xdr:col>
                    <xdr:colOff>260350</xdr:colOff>
                    <xdr:row>5</xdr:row>
                    <xdr:rowOff>241300</xdr:rowOff>
                  </to>
                </anchor>
              </controlPr>
            </control>
          </mc:Choice>
        </mc:AlternateContent>
        <mc:AlternateContent xmlns:mc="http://schemas.openxmlformats.org/markup-compatibility/2006">
          <mc:Choice Requires="x14">
            <control shapeId="27654" r:id="rId8" name="Check Box 6">
              <controlPr locked="0" defaultSize="0" autoFill="0" autoLine="0" autoPict="0" altText="">
                <anchor moveWithCells="1">
                  <from>
                    <xdr:col>6</xdr:col>
                    <xdr:colOff>12700</xdr:colOff>
                    <xdr:row>8</xdr:row>
                    <xdr:rowOff>12700</xdr:rowOff>
                  </from>
                  <to>
                    <xdr:col>6</xdr:col>
                    <xdr:colOff>260350</xdr:colOff>
                    <xdr:row>8</xdr:row>
                    <xdr:rowOff>241300</xdr:rowOff>
                  </to>
                </anchor>
              </controlPr>
            </control>
          </mc:Choice>
        </mc:AlternateContent>
        <mc:AlternateContent xmlns:mc="http://schemas.openxmlformats.org/markup-compatibility/2006">
          <mc:Choice Requires="x14">
            <control shapeId="27655" r:id="rId9" name="Check Box 7">
              <controlPr locked="0" defaultSize="0" autoFill="0" autoLine="0" autoPict="0" altText="">
                <anchor moveWithCells="1">
                  <from>
                    <xdr:col>6</xdr:col>
                    <xdr:colOff>12700</xdr:colOff>
                    <xdr:row>9</xdr:row>
                    <xdr:rowOff>12700</xdr:rowOff>
                  </from>
                  <to>
                    <xdr:col>6</xdr:col>
                    <xdr:colOff>260350</xdr:colOff>
                    <xdr:row>9</xdr:row>
                    <xdr:rowOff>241300</xdr:rowOff>
                  </to>
                </anchor>
              </controlPr>
            </control>
          </mc:Choice>
        </mc:AlternateContent>
        <mc:AlternateContent xmlns:mc="http://schemas.openxmlformats.org/markup-compatibility/2006">
          <mc:Choice Requires="x14">
            <control shapeId="27656" r:id="rId10" name="Check Box 8">
              <controlPr locked="0" defaultSize="0" autoFill="0" autoLine="0" autoPict="0" altText="">
                <anchor moveWithCells="1">
                  <from>
                    <xdr:col>16</xdr:col>
                    <xdr:colOff>12700</xdr:colOff>
                    <xdr:row>8</xdr:row>
                    <xdr:rowOff>12700</xdr:rowOff>
                  </from>
                  <to>
                    <xdr:col>16</xdr:col>
                    <xdr:colOff>260350</xdr:colOff>
                    <xdr:row>8</xdr:row>
                    <xdr:rowOff>241300</xdr:rowOff>
                  </to>
                </anchor>
              </controlPr>
            </control>
          </mc:Choice>
        </mc:AlternateContent>
        <mc:AlternateContent xmlns:mc="http://schemas.openxmlformats.org/markup-compatibility/2006">
          <mc:Choice Requires="x14">
            <control shapeId="27657" r:id="rId11" name="Check Box 9">
              <controlPr locked="0" defaultSize="0" autoFill="0" autoLine="0" autoPict="0" altText="">
                <anchor moveWithCells="1">
                  <from>
                    <xdr:col>16</xdr:col>
                    <xdr:colOff>12700</xdr:colOff>
                    <xdr:row>9</xdr:row>
                    <xdr:rowOff>12700</xdr:rowOff>
                  </from>
                  <to>
                    <xdr:col>16</xdr:col>
                    <xdr:colOff>260350</xdr:colOff>
                    <xdr:row>9</xdr:row>
                    <xdr:rowOff>241300</xdr:rowOff>
                  </to>
                </anchor>
              </controlPr>
            </control>
          </mc:Choice>
        </mc:AlternateContent>
        <mc:AlternateContent xmlns:mc="http://schemas.openxmlformats.org/markup-compatibility/2006">
          <mc:Choice Requires="x14">
            <control shapeId="27658" r:id="rId12" name="Check Box 10">
              <controlPr locked="0" defaultSize="0" autoFill="0" autoLine="0" autoPict="0" altText="">
                <anchor moveWithCells="1">
                  <from>
                    <xdr:col>26</xdr:col>
                    <xdr:colOff>12700</xdr:colOff>
                    <xdr:row>8</xdr:row>
                    <xdr:rowOff>12700</xdr:rowOff>
                  </from>
                  <to>
                    <xdr:col>26</xdr:col>
                    <xdr:colOff>260350</xdr:colOff>
                    <xdr:row>8</xdr:row>
                    <xdr:rowOff>241300</xdr:rowOff>
                  </to>
                </anchor>
              </controlPr>
            </control>
          </mc:Choice>
        </mc:AlternateContent>
        <mc:AlternateContent xmlns:mc="http://schemas.openxmlformats.org/markup-compatibility/2006">
          <mc:Choice Requires="x14">
            <control shapeId="27659" r:id="rId13" name="Check Box 11">
              <controlPr locked="0" defaultSize="0" autoFill="0" autoLine="0" autoPict="0" altText="">
                <anchor moveWithCells="1">
                  <from>
                    <xdr:col>26</xdr:col>
                    <xdr:colOff>12700</xdr:colOff>
                    <xdr:row>11</xdr:row>
                    <xdr:rowOff>12700</xdr:rowOff>
                  </from>
                  <to>
                    <xdr:col>26</xdr:col>
                    <xdr:colOff>260350</xdr:colOff>
                    <xdr:row>11</xdr:row>
                    <xdr:rowOff>241300</xdr:rowOff>
                  </to>
                </anchor>
              </controlPr>
            </control>
          </mc:Choice>
        </mc:AlternateContent>
        <mc:AlternateContent xmlns:mc="http://schemas.openxmlformats.org/markup-compatibility/2006">
          <mc:Choice Requires="x14">
            <control shapeId="27660" r:id="rId14" name="Check Box 12">
              <controlPr locked="0" defaultSize="0" autoFill="0" autoLine="0" autoPict="0" altText="">
                <anchor moveWithCells="1">
                  <from>
                    <xdr:col>16</xdr:col>
                    <xdr:colOff>12700</xdr:colOff>
                    <xdr:row>11</xdr:row>
                    <xdr:rowOff>12700</xdr:rowOff>
                  </from>
                  <to>
                    <xdr:col>16</xdr:col>
                    <xdr:colOff>260350</xdr:colOff>
                    <xdr:row>11</xdr:row>
                    <xdr:rowOff>241300</xdr:rowOff>
                  </to>
                </anchor>
              </controlPr>
            </control>
          </mc:Choice>
        </mc:AlternateContent>
        <mc:AlternateContent xmlns:mc="http://schemas.openxmlformats.org/markup-compatibility/2006">
          <mc:Choice Requires="x14">
            <control shapeId="27661" r:id="rId15" name="Check Box 13">
              <controlPr locked="0" defaultSize="0" autoFill="0" autoLine="0" autoPict="0" altText="">
                <anchor moveWithCells="1">
                  <from>
                    <xdr:col>16</xdr:col>
                    <xdr:colOff>12700</xdr:colOff>
                    <xdr:row>12</xdr:row>
                    <xdr:rowOff>12700</xdr:rowOff>
                  </from>
                  <to>
                    <xdr:col>16</xdr:col>
                    <xdr:colOff>260350</xdr:colOff>
                    <xdr:row>12</xdr:row>
                    <xdr:rowOff>241300</xdr:rowOff>
                  </to>
                </anchor>
              </controlPr>
            </control>
          </mc:Choice>
        </mc:AlternateContent>
        <mc:AlternateContent xmlns:mc="http://schemas.openxmlformats.org/markup-compatibility/2006">
          <mc:Choice Requires="x14">
            <control shapeId="27662" r:id="rId16" name="Check Box 14">
              <controlPr locked="0" defaultSize="0" autoFill="0" autoLine="0" autoPict="0" altText="">
                <anchor moveWithCells="1">
                  <from>
                    <xdr:col>6</xdr:col>
                    <xdr:colOff>12700</xdr:colOff>
                    <xdr:row>11</xdr:row>
                    <xdr:rowOff>12700</xdr:rowOff>
                  </from>
                  <to>
                    <xdr:col>6</xdr:col>
                    <xdr:colOff>260350</xdr:colOff>
                    <xdr:row>11</xdr:row>
                    <xdr:rowOff>241300</xdr:rowOff>
                  </to>
                </anchor>
              </controlPr>
            </control>
          </mc:Choice>
        </mc:AlternateContent>
        <mc:AlternateContent xmlns:mc="http://schemas.openxmlformats.org/markup-compatibility/2006">
          <mc:Choice Requires="x14">
            <control shapeId="27663" r:id="rId17" name="Check Box 15">
              <controlPr locked="0" defaultSize="0" autoFill="0" autoLine="0" autoPict="0" altText="">
                <anchor moveWithCells="1">
                  <from>
                    <xdr:col>6</xdr:col>
                    <xdr:colOff>12700</xdr:colOff>
                    <xdr:row>12</xdr:row>
                    <xdr:rowOff>12700</xdr:rowOff>
                  </from>
                  <to>
                    <xdr:col>6</xdr:col>
                    <xdr:colOff>260350</xdr:colOff>
                    <xdr:row>12</xdr:row>
                    <xdr:rowOff>241300</xdr:rowOff>
                  </to>
                </anchor>
              </controlPr>
            </control>
          </mc:Choice>
        </mc:AlternateContent>
        <mc:AlternateContent xmlns:mc="http://schemas.openxmlformats.org/markup-compatibility/2006">
          <mc:Choice Requires="x14">
            <control shapeId="27664" r:id="rId18" name="Check Box 16">
              <controlPr locked="0" defaultSize="0" autoFill="0" autoLine="0" autoPict="0" altText="">
                <anchor moveWithCells="1">
                  <from>
                    <xdr:col>26</xdr:col>
                    <xdr:colOff>12700</xdr:colOff>
                    <xdr:row>13</xdr:row>
                    <xdr:rowOff>12700</xdr:rowOff>
                  </from>
                  <to>
                    <xdr:col>26</xdr:col>
                    <xdr:colOff>260350</xdr:colOff>
                    <xdr:row>13</xdr:row>
                    <xdr:rowOff>241300</xdr:rowOff>
                  </to>
                </anchor>
              </controlPr>
            </control>
          </mc:Choice>
        </mc:AlternateContent>
        <mc:AlternateContent xmlns:mc="http://schemas.openxmlformats.org/markup-compatibility/2006">
          <mc:Choice Requires="x14">
            <control shapeId="27665" r:id="rId19" name="Check Box 17">
              <controlPr locked="0" defaultSize="0" autoFill="0" autoLine="0" autoPict="0" altText="">
                <anchor moveWithCells="1">
                  <from>
                    <xdr:col>26</xdr:col>
                    <xdr:colOff>12700</xdr:colOff>
                    <xdr:row>14</xdr:row>
                    <xdr:rowOff>12700</xdr:rowOff>
                  </from>
                  <to>
                    <xdr:col>26</xdr:col>
                    <xdr:colOff>260350</xdr:colOff>
                    <xdr:row>14</xdr:row>
                    <xdr:rowOff>241300</xdr:rowOff>
                  </to>
                </anchor>
              </controlPr>
            </control>
          </mc:Choice>
        </mc:AlternateContent>
        <mc:AlternateContent xmlns:mc="http://schemas.openxmlformats.org/markup-compatibility/2006">
          <mc:Choice Requires="x14">
            <control shapeId="27666" r:id="rId20" name="Check Box 18">
              <controlPr locked="0" defaultSize="0" autoFill="0" autoLine="0" autoPict="0" altText="">
                <anchor moveWithCells="1">
                  <from>
                    <xdr:col>26</xdr:col>
                    <xdr:colOff>12700</xdr:colOff>
                    <xdr:row>15</xdr:row>
                    <xdr:rowOff>12700</xdr:rowOff>
                  </from>
                  <to>
                    <xdr:col>26</xdr:col>
                    <xdr:colOff>260350</xdr:colOff>
                    <xdr:row>15</xdr:row>
                    <xdr:rowOff>241300</xdr:rowOff>
                  </to>
                </anchor>
              </controlPr>
            </control>
          </mc:Choice>
        </mc:AlternateContent>
        <mc:AlternateContent xmlns:mc="http://schemas.openxmlformats.org/markup-compatibility/2006">
          <mc:Choice Requires="x14">
            <control shapeId="27667" r:id="rId21" name="Check Box 19">
              <controlPr locked="0" defaultSize="0" autoFill="0" autoLine="0" autoPict="0" altText="">
                <anchor moveWithCells="1">
                  <from>
                    <xdr:col>26</xdr:col>
                    <xdr:colOff>12700</xdr:colOff>
                    <xdr:row>16</xdr:row>
                    <xdr:rowOff>12700</xdr:rowOff>
                  </from>
                  <to>
                    <xdr:col>26</xdr:col>
                    <xdr:colOff>260350</xdr:colOff>
                    <xdr:row>16</xdr:row>
                    <xdr:rowOff>241300</xdr:rowOff>
                  </to>
                </anchor>
              </controlPr>
            </control>
          </mc:Choice>
        </mc:AlternateContent>
        <mc:AlternateContent xmlns:mc="http://schemas.openxmlformats.org/markup-compatibility/2006">
          <mc:Choice Requires="x14">
            <control shapeId="27668" r:id="rId22" name="Check Box 20">
              <controlPr locked="0" defaultSize="0" autoFill="0" autoLine="0" autoPict="0" altText="">
                <anchor moveWithCells="1">
                  <from>
                    <xdr:col>26</xdr:col>
                    <xdr:colOff>12700</xdr:colOff>
                    <xdr:row>17</xdr:row>
                    <xdr:rowOff>12700</xdr:rowOff>
                  </from>
                  <to>
                    <xdr:col>26</xdr:col>
                    <xdr:colOff>260350</xdr:colOff>
                    <xdr:row>17</xdr:row>
                    <xdr:rowOff>241300</xdr:rowOff>
                  </to>
                </anchor>
              </controlPr>
            </control>
          </mc:Choice>
        </mc:AlternateContent>
        <mc:AlternateContent xmlns:mc="http://schemas.openxmlformats.org/markup-compatibility/2006">
          <mc:Choice Requires="x14">
            <control shapeId="27669" r:id="rId23" name="Check Box 21">
              <controlPr locked="0" defaultSize="0" autoFill="0" autoLine="0" autoPict="0" altText="">
                <anchor moveWithCells="1">
                  <from>
                    <xdr:col>26</xdr:col>
                    <xdr:colOff>12700</xdr:colOff>
                    <xdr:row>18</xdr:row>
                    <xdr:rowOff>12700</xdr:rowOff>
                  </from>
                  <to>
                    <xdr:col>26</xdr:col>
                    <xdr:colOff>260350</xdr:colOff>
                    <xdr:row>18</xdr:row>
                    <xdr:rowOff>241300</xdr:rowOff>
                  </to>
                </anchor>
              </controlPr>
            </control>
          </mc:Choice>
        </mc:AlternateContent>
        <mc:AlternateContent xmlns:mc="http://schemas.openxmlformats.org/markup-compatibility/2006">
          <mc:Choice Requires="x14">
            <control shapeId="27670" r:id="rId24" name="Check Box 22">
              <controlPr locked="0" defaultSize="0" autoFill="0" autoLine="0" autoPict="0" altText="">
                <anchor moveWithCells="1">
                  <from>
                    <xdr:col>26</xdr:col>
                    <xdr:colOff>31750</xdr:colOff>
                    <xdr:row>20</xdr:row>
                    <xdr:rowOff>88900</xdr:rowOff>
                  </from>
                  <to>
                    <xdr:col>26</xdr:col>
                    <xdr:colOff>266700</xdr:colOff>
                    <xdr:row>20</xdr:row>
                    <xdr:rowOff>317500</xdr:rowOff>
                  </to>
                </anchor>
              </controlPr>
            </control>
          </mc:Choice>
        </mc:AlternateContent>
        <mc:AlternateContent xmlns:mc="http://schemas.openxmlformats.org/markup-compatibility/2006">
          <mc:Choice Requires="x14">
            <control shapeId="27671" r:id="rId25" name="Check Box 23">
              <controlPr locked="0" defaultSize="0" autoFill="0" autoLine="0" autoPict="0" altText="">
                <anchor moveWithCells="1">
                  <from>
                    <xdr:col>31</xdr:col>
                    <xdr:colOff>31750</xdr:colOff>
                    <xdr:row>20</xdr:row>
                    <xdr:rowOff>88900</xdr:rowOff>
                  </from>
                  <to>
                    <xdr:col>31</xdr:col>
                    <xdr:colOff>266700</xdr:colOff>
                    <xdr:row>20</xdr:row>
                    <xdr:rowOff>317500</xdr:rowOff>
                  </to>
                </anchor>
              </controlPr>
            </control>
          </mc:Choice>
        </mc:AlternateContent>
        <mc:AlternateContent xmlns:mc="http://schemas.openxmlformats.org/markup-compatibility/2006">
          <mc:Choice Requires="x14">
            <control shapeId="27672" r:id="rId26" name="Check Box 24">
              <controlPr locked="0" defaultSize="0" autoFill="0" autoLine="0" autoPict="0" altText="">
                <anchor moveWithCells="1">
                  <from>
                    <xdr:col>31</xdr:col>
                    <xdr:colOff>12700</xdr:colOff>
                    <xdr:row>18</xdr:row>
                    <xdr:rowOff>12700</xdr:rowOff>
                  </from>
                  <to>
                    <xdr:col>31</xdr:col>
                    <xdr:colOff>260350</xdr:colOff>
                    <xdr:row>18</xdr:row>
                    <xdr:rowOff>241300</xdr:rowOff>
                  </to>
                </anchor>
              </controlPr>
            </control>
          </mc:Choice>
        </mc:AlternateContent>
        <mc:AlternateContent xmlns:mc="http://schemas.openxmlformats.org/markup-compatibility/2006">
          <mc:Choice Requires="x14">
            <control shapeId="27673" r:id="rId27" name="Check Box 25">
              <controlPr locked="0" defaultSize="0" autoFill="0" autoLine="0" autoPict="0" altText="">
                <anchor moveWithCells="1">
                  <from>
                    <xdr:col>31</xdr:col>
                    <xdr:colOff>12700</xdr:colOff>
                    <xdr:row>17</xdr:row>
                    <xdr:rowOff>12700</xdr:rowOff>
                  </from>
                  <to>
                    <xdr:col>31</xdr:col>
                    <xdr:colOff>260350</xdr:colOff>
                    <xdr:row>17</xdr:row>
                    <xdr:rowOff>241300</xdr:rowOff>
                  </to>
                </anchor>
              </controlPr>
            </control>
          </mc:Choice>
        </mc:AlternateContent>
        <mc:AlternateContent xmlns:mc="http://schemas.openxmlformats.org/markup-compatibility/2006">
          <mc:Choice Requires="x14">
            <control shapeId="27674" r:id="rId28" name="Check Box 26">
              <controlPr locked="0" defaultSize="0" autoFill="0" autoLine="0" autoPict="0" altText="">
                <anchor moveWithCells="1">
                  <from>
                    <xdr:col>31</xdr:col>
                    <xdr:colOff>12700</xdr:colOff>
                    <xdr:row>16</xdr:row>
                    <xdr:rowOff>12700</xdr:rowOff>
                  </from>
                  <to>
                    <xdr:col>31</xdr:col>
                    <xdr:colOff>260350</xdr:colOff>
                    <xdr:row>16</xdr:row>
                    <xdr:rowOff>241300</xdr:rowOff>
                  </to>
                </anchor>
              </controlPr>
            </control>
          </mc:Choice>
        </mc:AlternateContent>
        <mc:AlternateContent xmlns:mc="http://schemas.openxmlformats.org/markup-compatibility/2006">
          <mc:Choice Requires="x14">
            <control shapeId="27675" r:id="rId29" name="Check Box 27">
              <controlPr locked="0" defaultSize="0" autoFill="0" autoLine="0" autoPict="0" altText="">
                <anchor moveWithCells="1">
                  <from>
                    <xdr:col>31</xdr:col>
                    <xdr:colOff>12700</xdr:colOff>
                    <xdr:row>15</xdr:row>
                    <xdr:rowOff>12700</xdr:rowOff>
                  </from>
                  <to>
                    <xdr:col>31</xdr:col>
                    <xdr:colOff>260350</xdr:colOff>
                    <xdr:row>15</xdr:row>
                    <xdr:rowOff>241300</xdr:rowOff>
                  </to>
                </anchor>
              </controlPr>
            </control>
          </mc:Choice>
        </mc:AlternateContent>
        <mc:AlternateContent xmlns:mc="http://schemas.openxmlformats.org/markup-compatibility/2006">
          <mc:Choice Requires="x14">
            <control shapeId="27676" r:id="rId30" name="Check Box 28">
              <controlPr locked="0" defaultSize="0" autoFill="0" autoLine="0" autoPict="0" altText="">
                <anchor moveWithCells="1">
                  <from>
                    <xdr:col>31</xdr:col>
                    <xdr:colOff>12700</xdr:colOff>
                    <xdr:row>14</xdr:row>
                    <xdr:rowOff>12700</xdr:rowOff>
                  </from>
                  <to>
                    <xdr:col>31</xdr:col>
                    <xdr:colOff>260350</xdr:colOff>
                    <xdr:row>14</xdr:row>
                    <xdr:rowOff>241300</xdr:rowOff>
                  </to>
                </anchor>
              </controlPr>
            </control>
          </mc:Choice>
        </mc:AlternateContent>
        <mc:AlternateContent xmlns:mc="http://schemas.openxmlformats.org/markup-compatibility/2006">
          <mc:Choice Requires="x14">
            <control shapeId="27677" r:id="rId31" name="Check Box 29">
              <controlPr locked="0" defaultSize="0" autoFill="0" autoLine="0" autoPict="0" altText="">
                <anchor moveWithCells="1">
                  <from>
                    <xdr:col>31</xdr:col>
                    <xdr:colOff>12700</xdr:colOff>
                    <xdr:row>13</xdr:row>
                    <xdr:rowOff>12700</xdr:rowOff>
                  </from>
                  <to>
                    <xdr:col>31</xdr:col>
                    <xdr:colOff>260350</xdr:colOff>
                    <xdr:row>13</xdr:row>
                    <xdr:rowOff>241300</xdr:rowOff>
                  </to>
                </anchor>
              </controlPr>
            </control>
          </mc:Choice>
        </mc:AlternateContent>
        <mc:AlternateContent xmlns:mc="http://schemas.openxmlformats.org/markup-compatibility/2006">
          <mc:Choice Requires="x14">
            <control shapeId="27678" r:id="rId32" name="Check Box 30">
              <controlPr locked="0" defaultSize="0" autoFill="0" autoLine="0" autoPict="0" altText="">
                <anchor moveWithCells="1">
                  <from>
                    <xdr:col>30</xdr:col>
                    <xdr:colOff>12700</xdr:colOff>
                    <xdr:row>27</xdr:row>
                    <xdr:rowOff>12700</xdr:rowOff>
                  </from>
                  <to>
                    <xdr:col>30</xdr:col>
                    <xdr:colOff>260350</xdr:colOff>
                    <xdr:row>27</xdr:row>
                    <xdr:rowOff>241300</xdr:rowOff>
                  </to>
                </anchor>
              </controlPr>
            </control>
          </mc:Choice>
        </mc:AlternateContent>
        <mc:AlternateContent xmlns:mc="http://schemas.openxmlformats.org/markup-compatibility/2006">
          <mc:Choice Requires="x14">
            <control shapeId="27679" r:id="rId33" name="Check Box 31">
              <controlPr locked="0" defaultSize="0" autoFill="0" autoLine="0" autoPict="0" altText="">
                <anchor moveWithCells="1">
                  <from>
                    <xdr:col>30</xdr:col>
                    <xdr:colOff>12700</xdr:colOff>
                    <xdr:row>28</xdr:row>
                    <xdr:rowOff>12700</xdr:rowOff>
                  </from>
                  <to>
                    <xdr:col>30</xdr:col>
                    <xdr:colOff>260350</xdr:colOff>
                    <xdr:row>28</xdr:row>
                    <xdr:rowOff>241300</xdr:rowOff>
                  </to>
                </anchor>
              </controlPr>
            </control>
          </mc:Choice>
        </mc:AlternateContent>
        <mc:AlternateContent xmlns:mc="http://schemas.openxmlformats.org/markup-compatibility/2006">
          <mc:Choice Requires="x14">
            <control shapeId="27680" r:id="rId34" name="Check Box 32">
              <controlPr locked="0" defaultSize="0" autoFill="0" autoLine="0" autoPict="0" altText="">
                <anchor moveWithCells="1">
                  <from>
                    <xdr:col>30</xdr:col>
                    <xdr:colOff>12700</xdr:colOff>
                    <xdr:row>29</xdr:row>
                    <xdr:rowOff>88900</xdr:rowOff>
                  </from>
                  <to>
                    <xdr:col>30</xdr:col>
                    <xdr:colOff>260350</xdr:colOff>
                    <xdr:row>29</xdr:row>
                    <xdr:rowOff>317500</xdr:rowOff>
                  </to>
                </anchor>
              </controlPr>
            </control>
          </mc:Choice>
        </mc:AlternateContent>
        <mc:AlternateContent xmlns:mc="http://schemas.openxmlformats.org/markup-compatibility/2006">
          <mc:Choice Requires="x14">
            <control shapeId="27681" r:id="rId35" name="Check Box 33">
              <controlPr locked="0" defaultSize="0" autoFill="0" autoLine="0" autoPict="0" altText="">
                <anchor moveWithCells="1">
                  <from>
                    <xdr:col>30</xdr:col>
                    <xdr:colOff>12700</xdr:colOff>
                    <xdr:row>30</xdr:row>
                    <xdr:rowOff>69850</xdr:rowOff>
                  </from>
                  <to>
                    <xdr:col>30</xdr:col>
                    <xdr:colOff>260350</xdr:colOff>
                    <xdr:row>30</xdr:row>
                    <xdr:rowOff>298450</xdr:rowOff>
                  </to>
                </anchor>
              </controlPr>
            </control>
          </mc:Choice>
        </mc:AlternateContent>
        <mc:AlternateContent xmlns:mc="http://schemas.openxmlformats.org/markup-compatibility/2006">
          <mc:Choice Requires="x14">
            <control shapeId="27682" r:id="rId36" name="Check Box 34">
              <controlPr locked="0" defaultSize="0" autoFill="0" autoLine="0" autoPict="0" altText="">
                <anchor moveWithCells="1">
                  <from>
                    <xdr:col>30</xdr:col>
                    <xdr:colOff>12700</xdr:colOff>
                    <xdr:row>31</xdr:row>
                    <xdr:rowOff>0</xdr:rowOff>
                  </from>
                  <to>
                    <xdr:col>30</xdr:col>
                    <xdr:colOff>260350</xdr:colOff>
                    <xdr:row>31</xdr:row>
                    <xdr:rowOff>228600</xdr:rowOff>
                  </to>
                </anchor>
              </controlPr>
            </control>
          </mc:Choice>
        </mc:AlternateContent>
        <mc:AlternateContent xmlns:mc="http://schemas.openxmlformats.org/markup-compatibility/2006">
          <mc:Choice Requires="x14">
            <control shapeId="27683" r:id="rId37" name="Check Box 35">
              <controlPr locked="0" defaultSize="0" autoFill="0" autoLine="0" autoPict="0" altText="">
                <anchor moveWithCells="1">
                  <from>
                    <xdr:col>30</xdr:col>
                    <xdr:colOff>12700</xdr:colOff>
                    <xdr:row>32</xdr:row>
                    <xdr:rowOff>12700</xdr:rowOff>
                  </from>
                  <to>
                    <xdr:col>30</xdr:col>
                    <xdr:colOff>260350</xdr:colOff>
                    <xdr:row>32</xdr:row>
                    <xdr:rowOff>241300</xdr:rowOff>
                  </to>
                </anchor>
              </controlPr>
            </control>
          </mc:Choice>
        </mc:AlternateContent>
        <mc:AlternateContent xmlns:mc="http://schemas.openxmlformats.org/markup-compatibility/2006">
          <mc:Choice Requires="x14">
            <control shapeId="27684" r:id="rId38" name="Check Box 36">
              <controlPr locked="0" defaultSize="0" autoFill="0" autoLine="0" autoPict="0" altText="">
                <anchor moveWithCells="1">
                  <from>
                    <xdr:col>30</xdr:col>
                    <xdr:colOff>12700</xdr:colOff>
                    <xdr:row>33</xdr:row>
                    <xdr:rowOff>12700</xdr:rowOff>
                  </from>
                  <to>
                    <xdr:col>30</xdr:col>
                    <xdr:colOff>260350</xdr:colOff>
                    <xdr:row>33</xdr:row>
                    <xdr:rowOff>241300</xdr:rowOff>
                  </to>
                </anchor>
              </controlPr>
            </control>
          </mc:Choice>
        </mc:AlternateContent>
        <mc:AlternateContent xmlns:mc="http://schemas.openxmlformats.org/markup-compatibility/2006">
          <mc:Choice Requires="x14">
            <control shapeId="27685" r:id="rId39" name="Check Box 37">
              <controlPr locked="0" defaultSize="0" autoFill="0" autoLine="0" autoPict="0" altText="">
                <anchor moveWithCells="1">
                  <from>
                    <xdr:col>30</xdr:col>
                    <xdr:colOff>12700</xdr:colOff>
                    <xdr:row>34</xdr:row>
                    <xdr:rowOff>12700</xdr:rowOff>
                  </from>
                  <to>
                    <xdr:col>30</xdr:col>
                    <xdr:colOff>260350</xdr:colOff>
                    <xdr:row>34</xdr:row>
                    <xdr:rowOff>241300</xdr:rowOff>
                  </to>
                </anchor>
              </controlPr>
            </control>
          </mc:Choice>
        </mc:AlternateContent>
        <mc:AlternateContent xmlns:mc="http://schemas.openxmlformats.org/markup-compatibility/2006">
          <mc:Choice Requires="x14">
            <control shapeId="27686" r:id="rId40" name="Check Box 38">
              <controlPr locked="0" defaultSize="0" autoFill="0" autoLine="0" autoPict="0" altText="">
                <anchor moveWithCells="1">
                  <from>
                    <xdr:col>30</xdr:col>
                    <xdr:colOff>12700</xdr:colOff>
                    <xdr:row>35</xdr:row>
                    <xdr:rowOff>184150</xdr:rowOff>
                  </from>
                  <to>
                    <xdr:col>30</xdr:col>
                    <xdr:colOff>260350</xdr:colOff>
                    <xdr:row>35</xdr:row>
                    <xdr:rowOff>412750</xdr:rowOff>
                  </to>
                </anchor>
              </controlPr>
            </control>
          </mc:Choice>
        </mc:AlternateContent>
        <mc:AlternateContent xmlns:mc="http://schemas.openxmlformats.org/markup-compatibility/2006">
          <mc:Choice Requires="x14">
            <control shapeId="27687" r:id="rId41" name="Check Box 39">
              <controlPr locked="0" defaultSize="0" autoFill="0" autoLine="0" autoPict="0" altText="">
                <anchor moveWithCells="1">
                  <from>
                    <xdr:col>30</xdr:col>
                    <xdr:colOff>12700</xdr:colOff>
                    <xdr:row>36</xdr:row>
                    <xdr:rowOff>88900</xdr:rowOff>
                  </from>
                  <to>
                    <xdr:col>30</xdr:col>
                    <xdr:colOff>260350</xdr:colOff>
                    <xdr:row>36</xdr:row>
                    <xdr:rowOff>317500</xdr:rowOff>
                  </to>
                </anchor>
              </controlPr>
            </control>
          </mc:Choice>
        </mc:AlternateContent>
        <mc:AlternateContent xmlns:mc="http://schemas.openxmlformats.org/markup-compatibility/2006">
          <mc:Choice Requires="x14">
            <control shapeId="27688" r:id="rId42" name="Check Box 40">
              <controlPr locked="0" defaultSize="0" autoFill="0" autoLine="0" autoPict="0" altText="">
                <anchor moveWithCells="1">
                  <from>
                    <xdr:col>35</xdr:col>
                    <xdr:colOff>12700</xdr:colOff>
                    <xdr:row>36</xdr:row>
                    <xdr:rowOff>88900</xdr:rowOff>
                  </from>
                  <to>
                    <xdr:col>35</xdr:col>
                    <xdr:colOff>260350</xdr:colOff>
                    <xdr:row>36</xdr:row>
                    <xdr:rowOff>317500</xdr:rowOff>
                  </to>
                </anchor>
              </controlPr>
            </control>
          </mc:Choice>
        </mc:AlternateContent>
        <mc:AlternateContent xmlns:mc="http://schemas.openxmlformats.org/markup-compatibility/2006">
          <mc:Choice Requires="x14">
            <control shapeId="27689" r:id="rId43" name="Check Box 41">
              <controlPr locked="0" defaultSize="0" autoFill="0" autoLine="0" autoPict="0" altText="">
                <anchor moveWithCells="1">
                  <from>
                    <xdr:col>35</xdr:col>
                    <xdr:colOff>12700</xdr:colOff>
                    <xdr:row>35</xdr:row>
                    <xdr:rowOff>184150</xdr:rowOff>
                  </from>
                  <to>
                    <xdr:col>35</xdr:col>
                    <xdr:colOff>260350</xdr:colOff>
                    <xdr:row>35</xdr:row>
                    <xdr:rowOff>412750</xdr:rowOff>
                  </to>
                </anchor>
              </controlPr>
            </control>
          </mc:Choice>
        </mc:AlternateContent>
        <mc:AlternateContent xmlns:mc="http://schemas.openxmlformats.org/markup-compatibility/2006">
          <mc:Choice Requires="x14">
            <control shapeId="27690" r:id="rId44" name="Check Box 42">
              <controlPr locked="0" defaultSize="0" autoFill="0" autoLine="0" autoPict="0" altText="">
                <anchor moveWithCells="1">
                  <from>
                    <xdr:col>35</xdr:col>
                    <xdr:colOff>12700</xdr:colOff>
                    <xdr:row>34</xdr:row>
                    <xdr:rowOff>12700</xdr:rowOff>
                  </from>
                  <to>
                    <xdr:col>35</xdr:col>
                    <xdr:colOff>260350</xdr:colOff>
                    <xdr:row>34</xdr:row>
                    <xdr:rowOff>241300</xdr:rowOff>
                  </to>
                </anchor>
              </controlPr>
            </control>
          </mc:Choice>
        </mc:AlternateContent>
        <mc:AlternateContent xmlns:mc="http://schemas.openxmlformats.org/markup-compatibility/2006">
          <mc:Choice Requires="x14">
            <control shapeId="27691" r:id="rId45" name="Check Box 43">
              <controlPr locked="0" defaultSize="0" autoFill="0" autoLine="0" autoPict="0" altText="">
                <anchor moveWithCells="1">
                  <from>
                    <xdr:col>35</xdr:col>
                    <xdr:colOff>12700</xdr:colOff>
                    <xdr:row>33</xdr:row>
                    <xdr:rowOff>12700</xdr:rowOff>
                  </from>
                  <to>
                    <xdr:col>35</xdr:col>
                    <xdr:colOff>260350</xdr:colOff>
                    <xdr:row>33</xdr:row>
                    <xdr:rowOff>241300</xdr:rowOff>
                  </to>
                </anchor>
              </controlPr>
            </control>
          </mc:Choice>
        </mc:AlternateContent>
        <mc:AlternateContent xmlns:mc="http://schemas.openxmlformats.org/markup-compatibility/2006">
          <mc:Choice Requires="x14">
            <control shapeId="27692" r:id="rId46" name="Check Box 44">
              <controlPr locked="0" defaultSize="0" autoFill="0" autoLine="0" autoPict="0" altText="">
                <anchor moveWithCells="1">
                  <from>
                    <xdr:col>35</xdr:col>
                    <xdr:colOff>12700</xdr:colOff>
                    <xdr:row>32</xdr:row>
                    <xdr:rowOff>12700</xdr:rowOff>
                  </from>
                  <to>
                    <xdr:col>35</xdr:col>
                    <xdr:colOff>260350</xdr:colOff>
                    <xdr:row>32</xdr:row>
                    <xdr:rowOff>241300</xdr:rowOff>
                  </to>
                </anchor>
              </controlPr>
            </control>
          </mc:Choice>
        </mc:AlternateContent>
        <mc:AlternateContent xmlns:mc="http://schemas.openxmlformats.org/markup-compatibility/2006">
          <mc:Choice Requires="x14">
            <control shapeId="27693" r:id="rId47" name="Check Box 45">
              <controlPr locked="0" defaultSize="0" autoFill="0" autoLine="0" autoPict="0" altText="">
                <anchor moveWithCells="1">
                  <from>
                    <xdr:col>35</xdr:col>
                    <xdr:colOff>12700</xdr:colOff>
                    <xdr:row>31</xdr:row>
                    <xdr:rowOff>0</xdr:rowOff>
                  </from>
                  <to>
                    <xdr:col>35</xdr:col>
                    <xdr:colOff>260350</xdr:colOff>
                    <xdr:row>31</xdr:row>
                    <xdr:rowOff>228600</xdr:rowOff>
                  </to>
                </anchor>
              </controlPr>
            </control>
          </mc:Choice>
        </mc:AlternateContent>
        <mc:AlternateContent xmlns:mc="http://schemas.openxmlformats.org/markup-compatibility/2006">
          <mc:Choice Requires="x14">
            <control shapeId="27694" r:id="rId48" name="Check Box 46">
              <controlPr locked="0" defaultSize="0" autoFill="0" autoLine="0" autoPict="0" altText="">
                <anchor moveWithCells="1">
                  <from>
                    <xdr:col>35</xdr:col>
                    <xdr:colOff>12700</xdr:colOff>
                    <xdr:row>30</xdr:row>
                    <xdr:rowOff>69850</xdr:rowOff>
                  </from>
                  <to>
                    <xdr:col>35</xdr:col>
                    <xdr:colOff>260350</xdr:colOff>
                    <xdr:row>30</xdr:row>
                    <xdr:rowOff>298450</xdr:rowOff>
                  </to>
                </anchor>
              </controlPr>
            </control>
          </mc:Choice>
        </mc:AlternateContent>
        <mc:AlternateContent xmlns:mc="http://schemas.openxmlformats.org/markup-compatibility/2006">
          <mc:Choice Requires="x14">
            <control shapeId="27696" r:id="rId49" name="Check Box 48">
              <controlPr locked="0" defaultSize="0" autoFill="0" autoLine="0" autoPict="0" altText="">
                <anchor moveWithCells="1">
                  <from>
                    <xdr:col>35</xdr:col>
                    <xdr:colOff>12700</xdr:colOff>
                    <xdr:row>29</xdr:row>
                    <xdr:rowOff>88900</xdr:rowOff>
                  </from>
                  <to>
                    <xdr:col>35</xdr:col>
                    <xdr:colOff>260350</xdr:colOff>
                    <xdr:row>29</xdr:row>
                    <xdr:rowOff>317500</xdr:rowOff>
                  </to>
                </anchor>
              </controlPr>
            </control>
          </mc:Choice>
        </mc:AlternateContent>
        <mc:AlternateContent xmlns:mc="http://schemas.openxmlformats.org/markup-compatibility/2006">
          <mc:Choice Requires="x14">
            <control shapeId="27697" r:id="rId50" name="Check Box 49">
              <controlPr locked="0" defaultSize="0" autoFill="0" autoLine="0" autoPict="0" altText="">
                <anchor moveWithCells="1">
                  <from>
                    <xdr:col>35</xdr:col>
                    <xdr:colOff>12700</xdr:colOff>
                    <xdr:row>28</xdr:row>
                    <xdr:rowOff>12700</xdr:rowOff>
                  </from>
                  <to>
                    <xdr:col>35</xdr:col>
                    <xdr:colOff>260350</xdr:colOff>
                    <xdr:row>28</xdr:row>
                    <xdr:rowOff>241300</xdr:rowOff>
                  </to>
                </anchor>
              </controlPr>
            </control>
          </mc:Choice>
        </mc:AlternateContent>
        <mc:AlternateContent xmlns:mc="http://schemas.openxmlformats.org/markup-compatibility/2006">
          <mc:Choice Requires="x14">
            <control shapeId="27698" r:id="rId51" name="Check Box 50">
              <controlPr locked="0" defaultSize="0" autoFill="0" autoLine="0" autoPict="0" altText="">
                <anchor moveWithCells="1">
                  <from>
                    <xdr:col>35</xdr:col>
                    <xdr:colOff>12700</xdr:colOff>
                    <xdr:row>27</xdr:row>
                    <xdr:rowOff>12700</xdr:rowOff>
                  </from>
                  <to>
                    <xdr:col>35</xdr:col>
                    <xdr:colOff>260350</xdr:colOff>
                    <xdr:row>27</xdr:row>
                    <xdr:rowOff>241300</xdr:rowOff>
                  </to>
                </anchor>
              </controlPr>
            </control>
          </mc:Choice>
        </mc:AlternateContent>
        <mc:AlternateContent xmlns:mc="http://schemas.openxmlformats.org/markup-compatibility/2006">
          <mc:Choice Requires="x14">
            <control shapeId="27699" r:id="rId52" name="Check Box 51">
              <controlPr locked="0" defaultSize="0" autoFill="0" autoLine="0" autoPict="0" altText="">
                <anchor moveWithCells="1">
                  <from>
                    <xdr:col>26</xdr:col>
                    <xdr:colOff>12700</xdr:colOff>
                    <xdr:row>42</xdr:row>
                    <xdr:rowOff>12700</xdr:rowOff>
                  </from>
                  <to>
                    <xdr:col>26</xdr:col>
                    <xdr:colOff>260350</xdr:colOff>
                    <xdr:row>42</xdr:row>
                    <xdr:rowOff>241300</xdr:rowOff>
                  </to>
                </anchor>
              </controlPr>
            </control>
          </mc:Choice>
        </mc:AlternateContent>
        <mc:AlternateContent xmlns:mc="http://schemas.openxmlformats.org/markup-compatibility/2006">
          <mc:Choice Requires="x14">
            <control shapeId="27700" r:id="rId53" name="Check Box 52">
              <controlPr locked="0" defaultSize="0" autoFill="0" autoLine="0" autoPict="0" altText="">
                <anchor moveWithCells="1">
                  <from>
                    <xdr:col>31</xdr:col>
                    <xdr:colOff>12700</xdr:colOff>
                    <xdr:row>42</xdr:row>
                    <xdr:rowOff>12700</xdr:rowOff>
                  </from>
                  <to>
                    <xdr:col>31</xdr:col>
                    <xdr:colOff>260350</xdr:colOff>
                    <xdr:row>42</xdr:row>
                    <xdr:rowOff>241300</xdr:rowOff>
                  </to>
                </anchor>
              </controlPr>
            </control>
          </mc:Choice>
        </mc:AlternateContent>
        <mc:AlternateContent xmlns:mc="http://schemas.openxmlformats.org/markup-compatibility/2006">
          <mc:Choice Requires="x14">
            <control shapeId="27701" r:id="rId54" name="Check Box 53">
              <controlPr locked="0" defaultSize="0" autoFill="0" autoLine="0" autoPict="0" altText="">
                <anchor moveWithCells="1">
                  <from>
                    <xdr:col>26</xdr:col>
                    <xdr:colOff>12700</xdr:colOff>
                    <xdr:row>45</xdr:row>
                    <xdr:rowOff>12700</xdr:rowOff>
                  </from>
                  <to>
                    <xdr:col>26</xdr:col>
                    <xdr:colOff>260350</xdr:colOff>
                    <xdr:row>45</xdr:row>
                    <xdr:rowOff>241300</xdr:rowOff>
                  </to>
                </anchor>
              </controlPr>
            </control>
          </mc:Choice>
        </mc:AlternateContent>
        <mc:AlternateContent xmlns:mc="http://schemas.openxmlformats.org/markup-compatibility/2006">
          <mc:Choice Requires="x14">
            <control shapeId="27702" r:id="rId55" name="Check Box 54">
              <controlPr locked="0" defaultSize="0" autoFill="0" autoLine="0" autoPict="0" altText="">
                <anchor moveWithCells="1">
                  <from>
                    <xdr:col>31</xdr:col>
                    <xdr:colOff>12700</xdr:colOff>
                    <xdr:row>45</xdr:row>
                    <xdr:rowOff>12700</xdr:rowOff>
                  </from>
                  <to>
                    <xdr:col>31</xdr:col>
                    <xdr:colOff>260350</xdr:colOff>
                    <xdr:row>45</xdr:row>
                    <xdr:rowOff>241300</xdr:rowOff>
                  </to>
                </anchor>
              </controlPr>
            </control>
          </mc:Choice>
        </mc:AlternateContent>
        <mc:AlternateContent xmlns:mc="http://schemas.openxmlformats.org/markup-compatibility/2006">
          <mc:Choice Requires="x14">
            <control shapeId="27703" r:id="rId56" name="Check Box 55">
              <controlPr locked="0" defaultSize="0" autoFill="0" autoLine="0" autoPict="0" altText="">
                <anchor moveWithCells="1">
                  <from>
                    <xdr:col>26</xdr:col>
                    <xdr:colOff>12700</xdr:colOff>
                    <xdr:row>47</xdr:row>
                    <xdr:rowOff>12700</xdr:rowOff>
                  </from>
                  <to>
                    <xdr:col>26</xdr:col>
                    <xdr:colOff>260350</xdr:colOff>
                    <xdr:row>47</xdr:row>
                    <xdr:rowOff>241300</xdr:rowOff>
                  </to>
                </anchor>
              </controlPr>
            </control>
          </mc:Choice>
        </mc:AlternateContent>
        <mc:AlternateContent xmlns:mc="http://schemas.openxmlformats.org/markup-compatibility/2006">
          <mc:Choice Requires="x14">
            <control shapeId="27704" r:id="rId57" name="Check Box 56">
              <controlPr locked="0" defaultSize="0" autoFill="0" autoLine="0" autoPict="0" altText="">
                <anchor moveWithCells="1">
                  <from>
                    <xdr:col>26</xdr:col>
                    <xdr:colOff>12700</xdr:colOff>
                    <xdr:row>48</xdr:row>
                    <xdr:rowOff>12700</xdr:rowOff>
                  </from>
                  <to>
                    <xdr:col>26</xdr:col>
                    <xdr:colOff>260350</xdr:colOff>
                    <xdr:row>48</xdr:row>
                    <xdr:rowOff>241300</xdr:rowOff>
                  </to>
                </anchor>
              </controlPr>
            </control>
          </mc:Choice>
        </mc:AlternateContent>
        <mc:AlternateContent xmlns:mc="http://schemas.openxmlformats.org/markup-compatibility/2006">
          <mc:Choice Requires="x14">
            <control shapeId="27705" r:id="rId58" name="Check Box 57">
              <controlPr locked="0" defaultSize="0" autoFill="0" autoLine="0" autoPict="0" altText="">
                <anchor moveWithCells="1">
                  <from>
                    <xdr:col>26</xdr:col>
                    <xdr:colOff>12700</xdr:colOff>
                    <xdr:row>49</xdr:row>
                    <xdr:rowOff>12700</xdr:rowOff>
                  </from>
                  <to>
                    <xdr:col>26</xdr:col>
                    <xdr:colOff>260350</xdr:colOff>
                    <xdr:row>49</xdr:row>
                    <xdr:rowOff>241300</xdr:rowOff>
                  </to>
                </anchor>
              </controlPr>
            </control>
          </mc:Choice>
        </mc:AlternateContent>
        <mc:AlternateContent xmlns:mc="http://schemas.openxmlformats.org/markup-compatibility/2006">
          <mc:Choice Requires="x14">
            <control shapeId="27706" r:id="rId59" name="Check Box 58">
              <controlPr locked="0" defaultSize="0" autoFill="0" autoLine="0" autoPict="0" altText="">
                <anchor moveWithCells="1">
                  <from>
                    <xdr:col>31</xdr:col>
                    <xdr:colOff>12700</xdr:colOff>
                    <xdr:row>47</xdr:row>
                    <xdr:rowOff>12700</xdr:rowOff>
                  </from>
                  <to>
                    <xdr:col>31</xdr:col>
                    <xdr:colOff>260350</xdr:colOff>
                    <xdr:row>47</xdr:row>
                    <xdr:rowOff>241300</xdr:rowOff>
                  </to>
                </anchor>
              </controlPr>
            </control>
          </mc:Choice>
        </mc:AlternateContent>
        <mc:AlternateContent xmlns:mc="http://schemas.openxmlformats.org/markup-compatibility/2006">
          <mc:Choice Requires="x14">
            <control shapeId="27707" r:id="rId60" name="Check Box 59">
              <controlPr locked="0" defaultSize="0" autoFill="0" autoLine="0" autoPict="0" altText="">
                <anchor moveWithCells="1">
                  <from>
                    <xdr:col>31</xdr:col>
                    <xdr:colOff>12700</xdr:colOff>
                    <xdr:row>48</xdr:row>
                    <xdr:rowOff>12700</xdr:rowOff>
                  </from>
                  <to>
                    <xdr:col>31</xdr:col>
                    <xdr:colOff>260350</xdr:colOff>
                    <xdr:row>48</xdr:row>
                    <xdr:rowOff>241300</xdr:rowOff>
                  </to>
                </anchor>
              </controlPr>
            </control>
          </mc:Choice>
        </mc:AlternateContent>
        <mc:AlternateContent xmlns:mc="http://schemas.openxmlformats.org/markup-compatibility/2006">
          <mc:Choice Requires="x14">
            <control shapeId="27708" r:id="rId61" name="Check Box 60">
              <controlPr locked="0" defaultSize="0" autoFill="0" autoLine="0" autoPict="0" altText="">
                <anchor moveWithCells="1">
                  <from>
                    <xdr:col>31</xdr:col>
                    <xdr:colOff>12700</xdr:colOff>
                    <xdr:row>49</xdr:row>
                    <xdr:rowOff>12700</xdr:rowOff>
                  </from>
                  <to>
                    <xdr:col>31</xdr:col>
                    <xdr:colOff>260350</xdr:colOff>
                    <xdr:row>49</xdr:row>
                    <xdr:rowOff>241300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 id="{4668468E-E50D-463A-B6AF-4F5477B47C44}">
            <xm:f>AND(AA43=TRUE, AND(Table10!L23=FALSE, Table10!L24=FALSE, Table10!L25=FALSE))</xm:f>
            <x14:dxf>
              <font>
                <b/>
                <i/>
                <color rgb="FFFF0000"/>
              </font>
            </x14:dxf>
          </x14:cfRule>
          <xm:sqref>D44</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CF41"/>
  <sheetViews>
    <sheetView showGridLines="0" topLeftCell="D1" zoomScaleNormal="100" workbookViewId="0">
      <selection activeCell="S39" sqref="S39:AF40"/>
    </sheetView>
  </sheetViews>
  <sheetFormatPr defaultColWidth="8.83203125" defaultRowHeight="15.5"/>
  <cols>
    <col min="1" max="1" width="2" style="180" customWidth="1"/>
    <col min="2" max="9" width="3.5" style="180" customWidth="1"/>
    <col min="10" max="10" width="7.08203125" style="180" customWidth="1"/>
    <col min="11" max="50" width="3.5" style="180" customWidth="1"/>
    <col min="51" max="51" width="2" style="180" customWidth="1"/>
    <col min="52" max="62" width="3.5" style="180" customWidth="1"/>
    <col min="63" max="16384" width="8.83203125" style="180"/>
  </cols>
  <sheetData>
    <row r="1" spans="1:50" ht="12" customHeight="1"/>
    <row r="2" spans="1:50" s="681" customFormat="1" ht="16.5">
      <c r="A2" s="588"/>
      <c r="B2" s="470" t="s">
        <v>11771</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75" customHeight="1">
      <c r="B4" s="2675" t="s">
        <v>131</v>
      </c>
      <c r="C4" s="2676"/>
      <c r="D4" s="2676"/>
      <c r="E4" s="2676"/>
      <c r="F4" s="2676"/>
      <c r="G4" s="2676"/>
      <c r="H4" s="2676"/>
      <c r="I4" s="2676"/>
      <c r="J4" s="2677"/>
      <c r="K4" s="2681" t="s">
        <v>391</v>
      </c>
      <c r="L4" s="2682"/>
      <c r="M4" s="2682"/>
      <c r="N4" s="2682"/>
      <c r="O4" s="2682"/>
      <c r="P4" s="2682"/>
      <c r="Q4" s="2682"/>
      <c r="R4" s="2682"/>
      <c r="S4" s="2682"/>
      <c r="T4" s="2682"/>
      <c r="U4" s="2682"/>
      <c r="V4" s="2682"/>
      <c r="W4" s="2682"/>
      <c r="X4" s="2682"/>
      <c r="Y4" s="2682"/>
      <c r="Z4" s="2682"/>
      <c r="AA4" s="2682"/>
      <c r="AB4" s="2682"/>
      <c r="AC4" s="2682"/>
      <c r="AD4" s="2682"/>
      <c r="AE4" s="2682"/>
      <c r="AF4" s="2682"/>
      <c r="AG4" s="2682"/>
      <c r="AH4" s="2682"/>
      <c r="AI4" s="2682"/>
      <c r="AJ4" s="2682"/>
      <c r="AK4" s="2682"/>
      <c r="AL4" s="2682"/>
      <c r="AM4" s="2682"/>
      <c r="AN4" s="2682"/>
      <c r="AO4" s="2682"/>
      <c r="AP4" s="2682"/>
      <c r="AQ4" s="2682"/>
      <c r="AR4" s="2682"/>
      <c r="AS4" s="2682"/>
      <c r="AT4" s="2682"/>
      <c r="AU4" s="2682"/>
      <c r="AV4" s="2682"/>
      <c r="AW4" s="2682"/>
      <c r="AX4" s="2683"/>
    </row>
    <row r="5" spans="1:50" s="681" customFormat="1" ht="51" customHeight="1" thickBot="1">
      <c r="B5" s="2678"/>
      <c r="C5" s="2679"/>
      <c r="D5" s="2679"/>
      <c r="E5" s="2679"/>
      <c r="F5" s="2679"/>
      <c r="G5" s="2679"/>
      <c r="H5" s="2679"/>
      <c r="I5" s="2679"/>
      <c r="J5" s="2680"/>
      <c r="K5" s="2684" t="s">
        <v>130</v>
      </c>
      <c r="L5" s="2470"/>
      <c r="M5" s="2470"/>
      <c r="N5" s="2470"/>
      <c r="O5" s="2685"/>
      <c r="P5" s="2686" t="s">
        <v>129</v>
      </c>
      <c r="Q5" s="2470"/>
      <c r="R5" s="2470"/>
      <c r="S5" s="2470"/>
      <c r="T5" s="2685"/>
      <c r="U5" s="2548" t="s">
        <v>2</v>
      </c>
      <c r="V5" s="2545"/>
      <c r="W5" s="2545"/>
      <c r="X5" s="2545"/>
      <c r="Y5" s="2547"/>
      <c r="Z5" s="2548" t="s">
        <v>67</v>
      </c>
      <c r="AA5" s="2545"/>
      <c r="AB5" s="2545"/>
      <c r="AC5" s="2545"/>
      <c r="AD5" s="2547"/>
      <c r="AE5" s="2686" t="s">
        <v>128</v>
      </c>
      <c r="AF5" s="2470"/>
      <c r="AG5" s="2470"/>
      <c r="AH5" s="2470"/>
      <c r="AI5" s="2685"/>
      <c r="AJ5" s="2686" t="s">
        <v>1097</v>
      </c>
      <c r="AK5" s="2470"/>
      <c r="AL5" s="2470"/>
      <c r="AM5" s="2470"/>
      <c r="AN5" s="2685"/>
      <c r="AO5" s="2686" t="s">
        <v>25</v>
      </c>
      <c r="AP5" s="2470"/>
      <c r="AQ5" s="2470"/>
      <c r="AR5" s="2470"/>
      <c r="AS5" s="2487"/>
      <c r="AT5" s="2470" t="s">
        <v>29</v>
      </c>
      <c r="AU5" s="2470"/>
      <c r="AV5" s="2470"/>
      <c r="AW5" s="2470"/>
      <c r="AX5" s="2471"/>
    </row>
    <row r="6" spans="1:50" s="567" customFormat="1" ht="25" customHeight="1">
      <c r="B6" s="677" t="s">
        <v>165</v>
      </c>
      <c r="C6" s="678"/>
      <c r="D6" s="678"/>
      <c r="E6" s="678"/>
      <c r="F6" s="678"/>
      <c r="G6" s="678"/>
      <c r="H6" s="678"/>
      <c r="I6" s="678"/>
      <c r="J6" s="679"/>
      <c r="K6" s="2687"/>
      <c r="L6" s="2688"/>
      <c r="M6" s="2688"/>
      <c r="N6" s="2688"/>
      <c r="O6" s="2688"/>
      <c r="P6" s="2688"/>
      <c r="Q6" s="2688"/>
      <c r="R6" s="2688"/>
      <c r="S6" s="2688"/>
      <c r="T6" s="2688"/>
      <c r="U6" s="2688"/>
      <c r="V6" s="2688"/>
      <c r="W6" s="2688"/>
      <c r="X6" s="2688"/>
      <c r="Y6" s="2688"/>
      <c r="Z6" s="2688"/>
      <c r="AA6" s="2688"/>
      <c r="AB6" s="2688"/>
      <c r="AC6" s="2688"/>
      <c r="AD6" s="2688"/>
      <c r="AE6" s="2688"/>
      <c r="AF6" s="2688"/>
      <c r="AG6" s="2688"/>
      <c r="AH6" s="2688"/>
      <c r="AI6" s="2688"/>
      <c r="AJ6" s="2688"/>
      <c r="AK6" s="2688"/>
      <c r="AL6" s="2688"/>
      <c r="AM6" s="2688"/>
      <c r="AN6" s="2688"/>
      <c r="AO6" s="2688"/>
      <c r="AP6" s="2688"/>
      <c r="AQ6" s="2688"/>
      <c r="AR6" s="2688"/>
      <c r="AS6" s="2688"/>
      <c r="AT6" s="2688"/>
      <c r="AU6" s="2688"/>
      <c r="AV6" s="2688"/>
      <c r="AW6" s="2688"/>
      <c r="AX6" s="2689"/>
    </row>
    <row r="7" spans="1:50" s="568" customFormat="1" ht="30" customHeight="1">
      <c r="B7" s="662" t="s">
        <v>134</v>
      </c>
      <c r="C7" s="663"/>
      <c r="D7" s="663"/>
      <c r="E7" s="663"/>
      <c r="F7" s="663"/>
      <c r="G7" s="663"/>
      <c r="H7" s="663"/>
      <c r="I7" s="663"/>
      <c r="J7" s="664"/>
      <c r="K7" s="2690">
        <v>0</v>
      </c>
      <c r="L7" s="2691"/>
      <c r="M7" s="2691"/>
      <c r="N7" s="2691"/>
      <c r="O7" s="2692"/>
      <c r="P7" s="2693">
        <v>0</v>
      </c>
      <c r="Q7" s="2691"/>
      <c r="R7" s="2691"/>
      <c r="S7" s="2691"/>
      <c r="T7" s="2692"/>
      <c r="U7" s="2693">
        <v>0</v>
      </c>
      <c r="V7" s="2691"/>
      <c r="W7" s="2691"/>
      <c r="X7" s="2691"/>
      <c r="Y7" s="2692"/>
      <c r="Z7" s="2693">
        <v>0</v>
      </c>
      <c r="AA7" s="2691"/>
      <c r="AB7" s="2691"/>
      <c r="AC7" s="2691"/>
      <c r="AD7" s="2692"/>
      <c r="AE7" s="2693">
        <v>0</v>
      </c>
      <c r="AF7" s="2691"/>
      <c r="AG7" s="2691"/>
      <c r="AH7" s="2691"/>
      <c r="AI7" s="2692"/>
      <c r="AJ7" s="2693">
        <v>0</v>
      </c>
      <c r="AK7" s="2691"/>
      <c r="AL7" s="2691"/>
      <c r="AM7" s="2691"/>
      <c r="AN7" s="2692"/>
      <c r="AO7" s="2691">
        <v>0</v>
      </c>
      <c r="AP7" s="2691"/>
      <c r="AQ7" s="2691"/>
      <c r="AR7" s="2691"/>
      <c r="AS7" s="2694"/>
      <c r="AT7" s="2695">
        <f>SUM(K7:AS7)</f>
        <v>0</v>
      </c>
      <c r="AU7" s="2696"/>
      <c r="AV7" s="2696"/>
      <c r="AW7" s="2696"/>
      <c r="AX7" s="2697"/>
    </row>
    <row r="8" spans="1:50" s="568" customFormat="1" ht="30" customHeight="1">
      <c r="B8" s="662" t="s">
        <v>1357</v>
      </c>
      <c r="C8" s="663"/>
      <c r="D8" s="663"/>
      <c r="E8" s="663"/>
      <c r="F8" s="663"/>
      <c r="G8" s="663"/>
      <c r="H8" s="663"/>
      <c r="I8" s="663"/>
      <c r="J8" s="664"/>
      <c r="K8" s="2690">
        <v>0</v>
      </c>
      <c r="L8" s="2691"/>
      <c r="M8" s="2691"/>
      <c r="N8" s="2691"/>
      <c r="O8" s="2692"/>
      <c r="P8" s="2693">
        <v>0</v>
      </c>
      <c r="Q8" s="2691"/>
      <c r="R8" s="2691"/>
      <c r="S8" s="2691"/>
      <c r="T8" s="2692"/>
      <c r="U8" s="2693">
        <v>0</v>
      </c>
      <c r="V8" s="2691"/>
      <c r="W8" s="2691"/>
      <c r="X8" s="2691"/>
      <c r="Y8" s="2692"/>
      <c r="Z8" s="2693">
        <v>0</v>
      </c>
      <c r="AA8" s="2691"/>
      <c r="AB8" s="2691"/>
      <c r="AC8" s="2691"/>
      <c r="AD8" s="2692"/>
      <c r="AE8" s="2693">
        <v>0</v>
      </c>
      <c r="AF8" s="2691"/>
      <c r="AG8" s="2691"/>
      <c r="AH8" s="2691"/>
      <c r="AI8" s="2692"/>
      <c r="AJ8" s="2693">
        <v>0</v>
      </c>
      <c r="AK8" s="2691"/>
      <c r="AL8" s="2691"/>
      <c r="AM8" s="2691"/>
      <c r="AN8" s="2692"/>
      <c r="AO8" s="2691">
        <v>0</v>
      </c>
      <c r="AP8" s="2691"/>
      <c r="AQ8" s="2691"/>
      <c r="AR8" s="2691"/>
      <c r="AS8" s="2692"/>
      <c r="AT8" s="2695">
        <f t="shared" ref="AT8:AT11" si="0">SUM(K8:AS8)</f>
        <v>0</v>
      </c>
      <c r="AU8" s="2696"/>
      <c r="AV8" s="2696"/>
      <c r="AW8" s="2696"/>
      <c r="AX8" s="2697"/>
    </row>
    <row r="9" spans="1:50" s="568" customFormat="1" ht="30" customHeight="1">
      <c r="B9" s="665" t="s">
        <v>1358</v>
      </c>
      <c r="C9" s="666"/>
      <c r="D9" s="666"/>
      <c r="E9" s="666"/>
      <c r="F9" s="666"/>
      <c r="G9" s="666"/>
      <c r="H9" s="666"/>
      <c r="I9" s="666"/>
      <c r="J9" s="667"/>
      <c r="K9" s="2690">
        <v>0</v>
      </c>
      <c r="L9" s="2691"/>
      <c r="M9" s="2691"/>
      <c r="N9" s="2691"/>
      <c r="O9" s="2692"/>
      <c r="P9" s="2693">
        <v>0</v>
      </c>
      <c r="Q9" s="2691"/>
      <c r="R9" s="2691"/>
      <c r="S9" s="2691"/>
      <c r="T9" s="2692"/>
      <c r="U9" s="2693">
        <v>0</v>
      </c>
      <c r="V9" s="2691"/>
      <c r="W9" s="2691"/>
      <c r="X9" s="2691"/>
      <c r="Y9" s="2692"/>
      <c r="Z9" s="2693">
        <v>0</v>
      </c>
      <c r="AA9" s="2691"/>
      <c r="AB9" s="2691"/>
      <c r="AC9" s="2691"/>
      <c r="AD9" s="2692"/>
      <c r="AE9" s="2693">
        <v>0</v>
      </c>
      <c r="AF9" s="2691"/>
      <c r="AG9" s="2691"/>
      <c r="AH9" s="2691"/>
      <c r="AI9" s="2692"/>
      <c r="AJ9" s="2693">
        <v>0</v>
      </c>
      <c r="AK9" s="2691"/>
      <c r="AL9" s="2691"/>
      <c r="AM9" s="2691"/>
      <c r="AN9" s="2692"/>
      <c r="AO9" s="2691">
        <v>0</v>
      </c>
      <c r="AP9" s="2691"/>
      <c r="AQ9" s="2691"/>
      <c r="AR9" s="2691"/>
      <c r="AS9" s="2694"/>
      <c r="AT9" s="2695">
        <f t="shared" si="0"/>
        <v>0</v>
      </c>
      <c r="AU9" s="2696"/>
      <c r="AV9" s="2696"/>
      <c r="AW9" s="2696"/>
      <c r="AX9" s="2697"/>
    </row>
    <row r="10" spans="1:50" s="568" customFormat="1" ht="30" customHeight="1">
      <c r="B10" s="665" t="s">
        <v>1359</v>
      </c>
      <c r="C10" s="666"/>
      <c r="D10" s="666"/>
      <c r="E10" s="666"/>
      <c r="F10" s="666"/>
      <c r="G10" s="666"/>
      <c r="H10" s="666"/>
      <c r="I10" s="666"/>
      <c r="J10" s="667"/>
      <c r="K10" s="2690">
        <v>0</v>
      </c>
      <c r="L10" s="2691"/>
      <c r="M10" s="2691"/>
      <c r="N10" s="2691"/>
      <c r="O10" s="2692"/>
      <c r="P10" s="2693">
        <v>0</v>
      </c>
      <c r="Q10" s="2691"/>
      <c r="R10" s="2691"/>
      <c r="S10" s="2691"/>
      <c r="T10" s="2692"/>
      <c r="U10" s="2693">
        <v>0</v>
      </c>
      <c r="V10" s="2691"/>
      <c r="W10" s="2691"/>
      <c r="X10" s="2691"/>
      <c r="Y10" s="2692"/>
      <c r="Z10" s="2693">
        <v>0</v>
      </c>
      <c r="AA10" s="2691"/>
      <c r="AB10" s="2691"/>
      <c r="AC10" s="2691"/>
      <c r="AD10" s="2692"/>
      <c r="AE10" s="2693">
        <v>0</v>
      </c>
      <c r="AF10" s="2691"/>
      <c r="AG10" s="2691"/>
      <c r="AH10" s="2691"/>
      <c r="AI10" s="2692"/>
      <c r="AJ10" s="2693">
        <v>0</v>
      </c>
      <c r="AK10" s="2691"/>
      <c r="AL10" s="2691"/>
      <c r="AM10" s="2691"/>
      <c r="AN10" s="2692"/>
      <c r="AO10" s="2691">
        <v>0</v>
      </c>
      <c r="AP10" s="2691"/>
      <c r="AQ10" s="2691"/>
      <c r="AR10" s="2691"/>
      <c r="AS10" s="2692"/>
      <c r="AT10" s="2695">
        <f t="shared" si="0"/>
        <v>0</v>
      </c>
      <c r="AU10" s="2696"/>
      <c r="AV10" s="2696"/>
      <c r="AW10" s="2696"/>
      <c r="AX10" s="2697"/>
    </row>
    <row r="11" spans="1:50" s="568" customFormat="1" ht="30" customHeight="1" thickBot="1">
      <c r="B11" s="674" t="s">
        <v>133</v>
      </c>
      <c r="C11" s="675"/>
      <c r="D11" s="675"/>
      <c r="E11" s="675"/>
      <c r="F11" s="675"/>
      <c r="G11" s="675"/>
      <c r="H11" s="675"/>
      <c r="I11" s="675"/>
      <c r="J11" s="676"/>
      <c r="K11" s="2698">
        <v>0</v>
      </c>
      <c r="L11" s="2699"/>
      <c r="M11" s="2699"/>
      <c r="N11" s="2699"/>
      <c r="O11" s="2700"/>
      <c r="P11" s="2701">
        <v>0</v>
      </c>
      <c r="Q11" s="2699"/>
      <c r="R11" s="2699"/>
      <c r="S11" s="2699"/>
      <c r="T11" s="2700"/>
      <c r="U11" s="2701">
        <v>0</v>
      </c>
      <c r="V11" s="2699"/>
      <c r="W11" s="2699"/>
      <c r="X11" s="2699"/>
      <c r="Y11" s="2700"/>
      <c r="Z11" s="2701">
        <v>0</v>
      </c>
      <c r="AA11" s="2699"/>
      <c r="AB11" s="2699"/>
      <c r="AC11" s="2699"/>
      <c r="AD11" s="2700"/>
      <c r="AE11" s="2701">
        <v>0</v>
      </c>
      <c r="AF11" s="2699"/>
      <c r="AG11" s="2699"/>
      <c r="AH11" s="2699"/>
      <c r="AI11" s="2700"/>
      <c r="AJ11" s="2701">
        <v>0</v>
      </c>
      <c r="AK11" s="2699"/>
      <c r="AL11" s="2699"/>
      <c r="AM11" s="2699"/>
      <c r="AN11" s="2700"/>
      <c r="AO11" s="2699">
        <v>0</v>
      </c>
      <c r="AP11" s="2699"/>
      <c r="AQ11" s="2699"/>
      <c r="AR11" s="2699"/>
      <c r="AS11" s="2702"/>
      <c r="AT11" s="2703">
        <f t="shared" si="0"/>
        <v>0</v>
      </c>
      <c r="AU11" s="2704"/>
      <c r="AV11" s="2704"/>
      <c r="AW11" s="2704"/>
      <c r="AX11" s="2705"/>
    </row>
    <row r="12" spans="1:50" s="567" customFormat="1" ht="25" customHeight="1" thickTop="1">
      <c r="B12" s="672" t="s">
        <v>166</v>
      </c>
      <c r="C12" s="673"/>
      <c r="D12" s="673"/>
      <c r="E12" s="673"/>
      <c r="F12" s="673"/>
      <c r="G12" s="673"/>
      <c r="H12" s="673"/>
      <c r="I12" s="673"/>
      <c r="J12" s="667"/>
      <c r="K12" s="2706"/>
      <c r="L12" s="2707"/>
      <c r="M12" s="2707"/>
      <c r="N12" s="2707"/>
      <c r="O12" s="2707"/>
      <c r="P12" s="2707"/>
      <c r="Q12" s="2707"/>
      <c r="R12" s="2707"/>
      <c r="S12" s="2707"/>
      <c r="T12" s="2707"/>
      <c r="U12" s="2707"/>
      <c r="V12" s="2707"/>
      <c r="W12" s="2707"/>
      <c r="X12" s="2707"/>
      <c r="Y12" s="2707"/>
      <c r="Z12" s="2707"/>
      <c r="AA12" s="2707"/>
      <c r="AB12" s="2707"/>
      <c r="AC12" s="2707"/>
      <c r="AD12" s="2707"/>
      <c r="AE12" s="2707"/>
      <c r="AF12" s="2707"/>
      <c r="AG12" s="2707"/>
      <c r="AH12" s="2707"/>
      <c r="AI12" s="2707"/>
      <c r="AJ12" s="2707"/>
      <c r="AK12" s="2707"/>
      <c r="AL12" s="2707"/>
      <c r="AM12" s="2707"/>
      <c r="AN12" s="2707"/>
      <c r="AO12" s="2707"/>
      <c r="AP12" s="2707"/>
      <c r="AQ12" s="2707"/>
      <c r="AR12" s="2707"/>
      <c r="AS12" s="2707"/>
      <c r="AT12" s="2707"/>
      <c r="AU12" s="2707"/>
      <c r="AV12" s="2707"/>
      <c r="AW12" s="2707"/>
      <c r="AX12" s="2708"/>
    </row>
    <row r="13" spans="1:50" s="568" customFormat="1" ht="30" customHeight="1">
      <c r="B13" s="662" t="s">
        <v>134</v>
      </c>
      <c r="C13" s="663"/>
      <c r="D13" s="663"/>
      <c r="E13" s="663"/>
      <c r="F13" s="663"/>
      <c r="G13" s="663"/>
      <c r="H13" s="663"/>
      <c r="I13" s="663"/>
      <c r="J13" s="664"/>
      <c r="K13" s="2690">
        <v>0</v>
      </c>
      <c r="L13" s="2691"/>
      <c r="M13" s="2691"/>
      <c r="N13" s="2691"/>
      <c r="O13" s="2692"/>
      <c r="P13" s="2693">
        <v>0</v>
      </c>
      <c r="Q13" s="2691"/>
      <c r="R13" s="2691"/>
      <c r="S13" s="2691"/>
      <c r="T13" s="2692"/>
      <c r="U13" s="2693">
        <v>0</v>
      </c>
      <c r="V13" s="2691"/>
      <c r="W13" s="2691"/>
      <c r="X13" s="2691"/>
      <c r="Y13" s="2692"/>
      <c r="Z13" s="2693">
        <v>0</v>
      </c>
      <c r="AA13" s="2691"/>
      <c r="AB13" s="2691"/>
      <c r="AC13" s="2691"/>
      <c r="AD13" s="2692"/>
      <c r="AE13" s="2693">
        <v>0</v>
      </c>
      <c r="AF13" s="2691"/>
      <c r="AG13" s="2691"/>
      <c r="AH13" s="2691"/>
      <c r="AI13" s="2692"/>
      <c r="AJ13" s="2693">
        <v>0</v>
      </c>
      <c r="AK13" s="2691"/>
      <c r="AL13" s="2691"/>
      <c r="AM13" s="2691"/>
      <c r="AN13" s="2692"/>
      <c r="AO13" s="2691">
        <v>0</v>
      </c>
      <c r="AP13" s="2691"/>
      <c r="AQ13" s="2691"/>
      <c r="AR13" s="2691"/>
      <c r="AS13" s="2692"/>
      <c r="AT13" s="2695">
        <f t="shared" ref="AT13:AT17" si="1">SUM(K13:AS13)</f>
        <v>0</v>
      </c>
      <c r="AU13" s="2696"/>
      <c r="AV13" s="2696"/>
      <c r="AW13" s="2696"/>
      <c r="AX13" s="2697"/>
    </row>
    <row r="14" spans="1:50" s="568" customFormat="1" ht="30" customHeight="1">
      <c r="B14" s="665" t="s">
        <v>1360</v>
      </c>
      <c r="C14" s="666"/>
      <c r="D14" s="666"/>
      <c r="E14" s="666"/>
      <c r="F14" s="666"/>
      <c r="G14" s="666"/>
      <c r="H14" s="666"/>
      <c r="I14" s="666"/>
      <c r="J14" s="667"/>
      <c r="K14" s="2690">
        <v>0</v>
      </c>
      <c r="L14" s="2691"/>
      <c r="M14" s="2691"/>
      <c r="N14" s="2691"/>
      <c r="O14" s="2692"/>
      <c r="P14" s="2693">
        <v>0</v>
      </c>
      <c r="Q14" s="2691"/>
      <c r="R14" s="2691"/>
      <c r="S14" s="2691"/>
      <c r="T14" s="2692"/>
      <c r="U14" s="2693">
        <v>0</v>
      </c>
      <c r="V14" s="2691"/>
      <c r="W14" s="2691"/>
      <c r="X14" s="2691"/>
      <c r="Y14" s="2692"/>
      <c r="Z14" s="2693">
        <v>0</v>
      </c>
      <c r="AA14" s="2691"/>
      <c r="AB14" s="2691"/>
      <c r="AC14" s="2691"/>
      <c r="AD14" s="2692"/>
      <c r="AE14" s="2693">
        <v>0</v>
      </c>
      <c r="AF14" s="2691"/>
      <c r="AG14" s="2691"/>
      <c r="AH14" s="2691"/>
      <c r="AI14" s="2692"/>
      <c r="AJ14" s="2693">
        <v>0</v>
      </c>
      <c r="AK14" s="2691"/>
      <c r="AL14" s="2691"/>
      <c r="AM14" s="2691"/>
      <c r="AN14" s="2692"/>
      <c r="AO14" s="2691">
        <v>0</v>
      </c>
      <c r="AP14" s="2691"/>
      <c r="AQ14" s="2691"/>
      <c r="AR14" s="2691"/>
      <c r="AS14" s="2692"/>
      <c r="AT14" s="2695">
        <f t="shared" si="1"/>
        <v>0</v>
      </c>
      <c r="AU14" s="2696"/>
      <c r="AV14" s="2696"/>
      <c r="AW14" s="2696"/>
      <c r="AX14" s="2697"/>
    </row>
    <row r="15" spans="1:50" s="568" customFormat="1" ht="30" customHeight="1">
      <c r="B15" s="665" t="s">
        <v>1358</v>
      </c>
      <c r="C15" s="666"/>
      <c r="D15" s="666"/>
      <c r="E15" s="666"/>
      <c r="F15" s="666"/>
      <c r="G15" s="666"/>
      <c r="H15" s="666"/>
      <c r="I15" s="666"/>
      <c r="J15" s="667"/>
      <c r="K15" s="2690">
        <v>0</v>
      </c>
      <c r="L15" s="2691"/>
      <c r="M15" s="2691"/>
      <c r="N15" s="2691"/>
      <c r="O15" s="2692"/>
      <c r="P15" s="2693">
        <v>0</v>
      </c>
      <c r="Q15" s="2691"/>
      <c r="R15" s="2691"/>
      <c r="S15" s="2691"/>
      <c r="T15" s="2692"/>
      <c r="U15" s="2693">
        <v>0</v>
      </c>
      <c r="V15" s="2691"/>
      <c r="W15" s="2691"/>
      <c r="X15" s="2691"/>
      <c r="Y15" s="2692"/>
      <c r="Z15" s="2693">
        <v>0</v>
      </c>
      <c r="AA15" s="2691"/>
      <c r="AB15" s="2691"/>
      <c r="AC15" s="2691"/>
      <c r="AD15" s="2692"/>
      <c r="AE15" s="2693">
        <v>0</v>
      </c>
      <c r="AF15" s="2691"/>
      <c r="AG15" s="2691"/>
      <c r="AH15" s="2691"/>
      <c r="AI15" s="2692"/>
      <c r="AJ15" s="2693">
        <v>0</v>
      </c>
      <c r="AK15" s="2691"/>
      <c r="AL15" s="2691"/>
      <c r="AM15" s="2691"/>
      <c r="AN15" s="2692"/>
      <c r="AO15" s="2691">
        <v>0</v>
      </c>
      <c r="AP15" s="2691"/>
      <c r="AQ15" s="2691"/>
      <c r="AR15" s="2691"/>
      <c r="AS15" s="2692"/>
      <c r="AT15" s="2695">
        <f t="shared" si="1"/>
        <v>0</v>
      </c>
      <c r="AU15" s="2696"/>
      <c r="AV15" s="2696"/>
      <c r="AW15" s="2696"/>
      <c r="AX15" s="2697"/>
    </row>
    <row r="16" spans="1:50" s="568" customFormat="1" ht="30" customHeight="1">
      <c r="B16" s="668" t="s">
        <v>1361</v>
      </c>
      <c r="C16" s="669"/>
      <c r="D16" s="669"/>
      <c r="E16" s="669"/>
      <c r="F16" s="669"/>
      <c r="G16" s="669"/>
      <c r="H16" s="669"/>
      <c r="I16" s="669"/>
      <c r="J16" s="670"/>
      <c r="K16" s="2690">
        <v>0</v>
      </c>
      <c r="L16" s="2691"/>
      <c r="M16" s="2691"/>
      <c r="N16" s="2691"/>
      <c r="O16" s="2692"/>
      <c r="P16" s="2693">
        <v>0</v>
      </c>
      <c r="Q16" s="2691"/>
      <c r="R16" s="2691"/>
      <c r="S16" s="2691"/>
      <c r="T16" s="2692"/>
      <c r="U16" s="2693">
        <v>0</v>
      </c>
      <c r="V16" s="2691"/>
      <c r="W16" s="2691"/>
      <c r="X16" s="2691"/>
      <c r="Y16" s="2692"/>
      <c r="Z16" s="2693">
        <v>0</v>
      </c>
      <c r="AA16" s="2691"/>
      <c r="AB16" s="2691"/>
      <c r="AC16" s="2691"/>
      <c r="AD16" s="2692"/>
      <c r="AE16" s="2693">
        <v>0</v>
      </c>
      <c r="AF16" s="2691"/>
      <c r="AG16" s="2691"/>
      <c r="AH16" s="2691"/>
      <c r="AI16" s="2692"/>
      <c r="AJ16" s="2693">
        <v>0</v>
      </c>
      <c r="AK16" s="2691"/>
      <c r="AL16" s="2691"/>
      <c r="AM16" s="2691"/>
      <c r="AN16" s="2692"/>
      <c r="AO16" s="2691">
        <v>0</v>
      </c>
      <c r="AP16" s="2691"/>
      <c r="AQ16" s="2691"/>
      <c r="AR16" s="2691"/>
      <c r="AS16" s="2692"/>
      <c r="AT16" s="2695">
        <f t="shared" si="1"/>
        <v>0</v>
      </c>
      <c r="AU16" s="2696"/>
      <c r="AV16" s="2696"/>
      <c r="AW16" s="2696"/>
      <c r="AX16" s="2697"/>
    </row>
    <row r="17" spans="2:84" s="568" customFormat="1" ht="30" customHeight="1" thickBot="1">
      <c r="B17" s="668" t="s">
        <v>133</v>
      </c>
      <c r="C17" s="669"/>
      <c r="D17" s="669"/>
      <c r="E17" s="669"/>
      <c r="F17" s="669"/>
      <c r="G17" s="669"/>
      <c r="H17" s="669"/>
      <c r="I17" s="669"/>
      <c r="J17" s="671"/>
      <c r="K17" s="2698">
        <v>0</v>
      </c>
      <c r="L17" s="2699"/>
      <c r="M17" s="2699"/>
      <c r="N17" s="2699"/>
      <c r="O17" s="2700"/>
      <c r="P17" s="2701">
        <v>0</v>
      </c>
      <c r="Q17" s="2699"/>
      <c r="R17" s="2699"/>
      <c r="S17" s="2699"/>
      <c r="T17" s="2700"/>
      <c r="U17" s="2701">
        <v>0</v>
      </c>
      <c r="V17" s="2699"/>
      <c r="W17" s="2699"/>
      <c r="X17" s="2699"/>
      <c r="Y17" s="2700"/>
      <c r="Z17" s="2701">
        <v>0</v>
      </c>
      <c r="AA17" s="2699"/>
      <c r="AB17" s="2699"/>
      <c r="AC17" s="2699"/>
      <c r="AD17" s="2700"/>
      <c r="AE17" s="2701">
        <v>0</v>
      </c>
      <c r="AF17" s="2699"/>
      <c r="AG17" s="2699"/>
      <c r="AH17" s="2699"/>
      <c r="AI17" s="2700"/>
      <c r="AJ17" s="2701">
        <v>0</v>
      </c>
      <c r="AK17" s="2699"/>
      <c r="AL17" s="2699"/>
      <c r="AM17" s="2699"/>
      <c r="AN17" s="2700"/>
      <c r="AO17" s="2699">
        <v>0</v>
      </c>
      <c r="AP17" s="2699"/>
      <c r="AQ17" s="2699"/>
      <c r="AR17" s="2699"/>
      <c r="AS17" s="2700"/>
      <c r="AT17" s="2703">
        <f t="shared" si="1"/>
        <v>0</v>
      </c>
      <c r="AU17" s="2704"/>
      <c r="AV17" s="2704"/>
      <c r="AW17" s="2704"/>
      <c r="AX17" s="2705"/>
    </row>
    <row r="18" spans="2:84" s="567" customFormat="1" ht="30" customHeight="1" thickTop="1" thickBot="1">
      <c r="B18" s="656" t="s">
        <v>1098</v>
      </c>
      <c r="C18" s="657"/>
      <c r="D18" s="657"/>
      <c r="E18" s="657"/>
      <c r="F18" s="657"/>
      <c r="G18" s="657"/>
      <c r="H18" s="657"/>
      <c r="I18" s="657"/>
      <c r="J18" s="658"/>
      <c r="K18" s="2725">
        <f>SUM(K7:O11,K13:O17)</f>
        <v>0</v>
      </c>
      <c r="L18" s="2710"/>
      <c r="M18" s="2710"/>
      <c r="N18" s="2710"/>
      <c r="O18" s="2726"/>
      <c r="P18" s="2709">
        <f t="shared" ref="P18" si="2">SUM(P7:T11,P13:T17)</f>
        <v>0</v>
      </c>
      <c r="Q18" s="2710"/>
      <c r="R18" s="2710"/>
      <c r="S18" s="2710"/>
      <c r="T18" s="2726"/>
      <c r="U18" s="2709">
        <f t="shared" ref="U18" si="3">SUM(U7:Y11,U13:Y17)</f>
        <v>0</v>
      </c>
      <c r="V18" s="2710"/>
      <c r="W18" s="2711"/>
      <c r="X18" s="2711"/>
      <c r="Y18" s="2712"/>
      <c r="Z18" s="2709">
        <f t="shared" ref="Z18" si="4">SUM(Z7:AD11,Z13:AD17)</f>
        <v>0</v>
      </c>
      <c r="AA18" s="2710"/>
      <c r="AB18" s="2711"/>
      <c r="AC18" s="2711"/>
      <c r="AD18" s="2712"/>
      <c r="AE18" s="2709">
        <f t="shared" ref="AE18" si="5">SUM(AE7:AI11,AE13:AI17)</f>
        <v>0</v>
      </c>
      <c r="AF18" s="2710"/>
      <c r="AG18" s="2711"/>
      <c r="AH18" s="2711"/>
      <c r="AI18" s="2712"/>
      <c r="AJ18" s="2709">
        <f t="shared" ref="AJ18" si="6">SUM(AJ7:AN11,AJ13:AN17)</f>
        <v>0</v>
      </c>
      <c r="AK18" s="2710"/>
      <c r="AL18" s="2711"/>
      <c r="AM18" s="2711"/>
      <c r="AN18" s="2712"/>
      <c r="AO18" s="2709">
        <f t="shared" ref="AO18" si="7">SUM(AO7:AS11,AO13:AS17)</f>
        <v>0</v>
      </c>
      <c r="AP18" s="2710"/>
      <c r="AQ18" s="2711"/>
      <c r="AR18" s="2711"/>
      <c r="AS18" s="2717"/>
      <c r="AT18" s="2718">
        <f>SUM(K18:AS18)</f>
        <v>0</v>
      </c>
      <c r="AU18" s="2710"/>
      <c r="AV18" s="2711"/>
      <c r="AW18" s="2711"/>
      <c r="AX18" s="2719"/>
      <c r="BN18" s="659"/>
      <c r="BO18" s="659"/>
      <c r="BP18" s="659"/>
      <c r="BQ18" s="659"/>
      <c r="BR18" s="659"/>
      <c r="BS18" s="659"/>
      <c r="BT18" s="659"/>
      <c r="BU18" s="659"/>
      <c r="BV18" s="659"/>
      <c r="BW18" s="659"/>
      <c r="BX18" s="659"/>
      <c r="BY18" s="659"/>
      <c r="BZ18" s="659"/>
      <c r="CA18" s="659"/>
      <c r="CB18" s="659"/>
      <c r="CC18" s="659"/>
      <c r="CD18" s="659"/>
      <c r="CE18" s="659"/>
      <c r="CF18" s="659"/>
    </row>
    <row r="19" spans="2:84" s="567" customFormat="1" ht="9" customHeight="1">
      <c r="B19" s="565"/>
      <c r="C19" s="565"/>
      <c r="D19" s="565"/>
      <c r="E19" s="229"/>
      <c r="F19" s="229"/>
      <c r="G19" s="229"/>
      <c r="H19" s="229"/>
      <c r="I19" s="229"/>
      <c r="J19" s="660"/>
      <c r="K19" s="229"/>
      <c r="L19" s="229"/>
      <c r="M19" s="229"/>
      <c r="N19" s="525"/>
      <c r="O19" s="525"/>
      <c r="P19" s="525"/>
      <c r="Q19" s="525"/>
      <c r="R19" s="525"/>
      <c r="S19" s="525"/>
      <c r="T19" s="525"/>
      <c r="U19" s="659"/>
      <c r="V19" s="659"/>
      <c r="W19" s="659"/>
      <c r="X19" s="659"/>
      <c r="AY19" s="659"/>
      <c r="AZ19" s="659"/>
      <c r="BA19" s="659"/>
      <c r="BB19" s="659"/>
      <c r="BC19" s="659"/>
      <c r="BD19" s="659"/>
      <c r="BE19" s="659"/>
      <c r="BF19" s="659"/>
      <c r="BG19" s="659"/>
      <c r="BH19" s="659"/>
      <c r="BI19" s="659"/>
      <c r="BJ19" s="659"/>
      <c r="BK19" s="659"/>
      <c r="BL19" s="659"/>
      <c r="BM19" s="659"/>
      <c r="BN19" s="659"/>
      <c r="BO19" s="659"/>
      <c r="BP19" s="659"/>
    </row>
    <row r="20" spans="2:84" s="522" customFormat="1" ht="19.399999999999999" customHeight="1">
      <c r="B20" s="2714" t="s">
        <v>392</v>
      </c>
      <c r="C20" s="2714"/>
      <c r="D20" s="2714"/>
      <c r="E20" s="2714"/>
      <c r="F20" s="2714"/>
      <c r="G20" s="2714"/>
      <c r="H20" s="2714"/>
      <c r="I20" s="2714"/>
      <c r="J20" s="2714"/>
      <c r="K20" s="2714"/>
      <c r="L20" s="2714"/>
      <c r="M20" s="2714"/>
      <c r="N20" s="2714"/>
      <c r="O20" s="2714"/>
      <c r="P20" s="2714"/>
      <c r="Q20" s="2714"/>
      <c r="R20" s="2714"/>
      <c r="S20" s="2714"/>
      <c r="T20" s="2714"/>
      <c r="U20" s="2714"/>
      <c r="V20" s="2714"/>
      <c r="W20" s="2714"/>
      <c r="X20" s="2714"/>
      <c r="Y20" s="2714"/>
      <c r="Z20" s="2714"/>
      <c r="AA20" s="2714"/>
      <c r="AB20" s="2714"/>
      <c r="AC20" s="2714"/>
      <c r="AD20" s="2714"/>
      <c r="AE20" s="2714"/>
      <c r="AF20" s="2714"/>
      <c r="AG20" s="2714"/>
      <c r="AH20" s="2714"/>
      <c r="AI20" s="2714"/>
      <c r="AJ20" s="2714"/>
      <c r="AK20" s="2714"/>
      <c r="AL20" s="2714"/>
      <c r="AM20" s="2714"/>
      <c r="AN20" s="2714"/>
      <c r="AO20" s="2714"/>
      <c r="AP20" s="2714"/>
      <c r="AQ20" s="2714"/>
      <c r="AR20" s="2714"/>
      <c r="AS20" s="2714"/>
      <c r="AT20" s="2714"/>
      <c r="AU20" s="2714"/>
      <c r="AV20" s="2714"/>
      <c r="AW20" s="2714"/>
      <c r="AX20" s="2714"/>
    </row>
    <row r="21" spans="2:84" s="522" customFormat="1" ht="20.149999999999999" customHeight="1">
      <c r="B21" s="2713" t="s">
        <v>1099</v>
      </c>
      <c r="C21" s="2713"/>
      <c r="D21" s="2713"/>
      <c r="E21" s="2713"/>
      <c r="F21" s="2713"/>
      <c r="G21" s="2713"/>
      <c r="H21" s="2713"/>
      <c r="I21" s="2713"/>
      <c r="J21" s="2713"/>
      <c r="K21" s="2713"/>
      <c r="L21" s="2713"/>
      <c r="M21" s="2713"/>
      <c r="N21" s="2713"/>
      <c r="O21" s="2713"/>
      <c r="P21" s="2713"/>
      <c r="Q21" s="2713"/>
      <c r="R21" s="2713"/>
      <c r="S21" s="2713"/>
      <c r="T21" s="2713"/>
      <c r="U21" s="2713"/>
      <c r="V21" s="2713"/>
      <c r="W21" s="2713"/>
      <c r="X21" s="2713"/>
      <c r="Y21" s="2713"/>
      <c r="Z21" s="2713"/>
      <c r="AA21" s="2713"/>
      <c r="AB21" s="2713"/>
      <c r="AC21" s="2713"/>
      <c r="AD21" s="2713"/>
      <c r="AE21" s="2713"/>
      <c r="AF21" s="2713"/>
      <c r="AG21" s="2713"/>
      <c r="AH21" s="2713"/>
      <c r="AI21" s="2713"/>
      <c r="AJ21" s="2713"/>
      <c r="AK21" s="2713"/>
      <c r="AL21" s="2713"/>
      <c r="AM21" s="2713"/>
      <c r="AN21" s="2713"/>
      <c r="AO21" s="2713"/>
      <c r="AP21" s="2713"/>
      <c r="AQ21" s="2713"/>
      <c r="AR21" s="2713"/>
      <c r="AS21" s="2713"/>
      <c r="AT21" s="2713"/>
      <c r="AU21" s="2713"/>
      <c r="AV21" s="2713"/>
      <c r="AW21" s="2713"/>
      <c r="AX21" s="2713"/>
    </row>
    <row r="22" spans="2:84" s="522" customFormat="1" ht="20.149999999999999" customHeight="1">
      <c r="B22" s="2720" t="s">
        <v>1100</v>
      </c>
      <c r="C22" s="2720"/>
      <c r="D22" s="2720"/>
      <c r="E22" s="2720"/>
      <c r="F22" s="2720"/>
      <c r="G22" s="2720"/>
      <c r="H22" s="2720"/>
      <c r="I22" s="2720"/>
      <c r="J22" s="2720"/>
      <c r="K22" s="2720"/>
      <c r="L22" s="2720"/>
      <c r="M22" s="2720"/>
      <c r="N22" s="2720"/>
      <c r="O22" s="2720"/>
      <c r="P22" s="2720"/>
      <c r="Q22" s="2720"/>
      <c r="R22" s="2720"/>
      <c r="S22" s="2720"/>
      <c r="T22" s="2720"/>
      <c r="U22" s="2720"/>
      <c r="V22" s="2720"/>
      <c r="W22" s="2720"/>
      <c r="X22" s="2720"/>
      <c r="Y22" s="2720"/>
      <c r="Z22" s="2720"/>
      <c r="AA22" s="2720"/>
      <c r="AB22" s="2720"/>
      <c r="AC22" s="2720"/>
      <c r="AD22" s="2720"/>
      <c r="AE22" s="2720"/>
      <c r="AF22" s="2720"/>
      <c r="AG22" s="2720"/>
      <c r="AH22" s="2720"/>
      <c r="AI22" s="2720"/>
      <c r="AJ22" s="2720"/>
      <c r="AK22" s="2720"/>
      <c r="AL22" s="2720"/>
      <c r="AM22" s="2720"/>
      <c r="AN22" s="2720"/>
      <c r="AO22" s="2720"/>
      <c r="AP22" s="2720"/>
      <c r="AQ22" s="2720"/>
      <c r="AR22" s="2720"/>
      <c r="AS22" s="2720"/>
      <c r="AT22" s="2720"/>
      <c r="AU22" s="2720"/>
      <c r="AV22" s="2720"/>
      <c r="AW22" s="2720"/>
      <c r="AX22" s="2720"/>
    </row>
    <row r="23" spans="2:84" s="522" customFormat="1" ht="20.149999999999999" customHeight="1">
      <c r="B23" s="2713" t="s">
        <v>1101</v>
      </c>
      <c r="C23" s="2713"/>
      <c r="D23" s="2713"/>
      <c r="E23" s="2713"/>
      <c r="F23" s="2713"/>
      <c r="G23" s="2713"/>
      <c r="H23" s="2713"/>
      <c r="I23" s="2713"/>
      <c r="J23" s="2713"/>
      <c r="K23" s="2713"/>
      <c r="L23" s="2713"/>
      <c r="M23" s="2713"/>
      <c r="N23" s="2713"/>
      <c r="O23" s="2713"/>
      <c r="P23" s="2713"/>
      <c r="Q23" s="2713"/>
      <c r="R23" s="2713"/>
      <c r="S23" s="2713"/>
      <c r="T23" s="2713"/>
      <c r="U23" s="2713"/>
      <c r="V23" s="2713"/>
      <c r="W23" s="2713"/>
      <c r="X23" s="2713"/>
      <c r="Y23" s="2713"/>
      <c r="Z23" s="2713"/>
      <c r="AA23" s="2713"/>
      <c r="AB23" s="2713"/>
      <c r="AC23" s="2713"/>
      <c r="AD23" s="2713"/>
      <c r="AE23" s="2713"/>
      <c r="AF23" s="2713"/>
      <c r="AG23" s="2713"/>
      <c r="AH23" s="2713"/>
      <c r="AI23" s="2713"/>
      <c r="AJ23" s="2713"/>
      <c r="AK23" s="2713"/>
      <c r="AL23" s="2713"/>
      <c r="AM23" s="2713"/>
      <c r="AN23" s="2713"/>
      <c r="AO23" s="2713"/>
      <c r="AP23" s="2713"/>
      <c r="AQ23" s="2713"/>
      <c r="AR23" s="2713"/>
      <c r="AS23" s="2713"/>
      <c r="AT23" s="2713"/>
      <c r="AU23" s="2713"/>
      <c r="AV23" s="2713"/>
      <c r="AW23" s="2713"/>
      <c r="AX23" s="2713"/>
    </row>
    <row r="24" spans="2:84" s="522" customFormat="1" ht="20.149999999999999" customHeight="1">
      <c r="B24" s="2713" t="s">
        <v>1102</v>
      </c>
      <c r="C24" s="2713"/>
      <c r="D24" s="2713"/>
      <c r="E24" s="2713"/>
      <c r="F24" s="2713"/>
      <c r="G24" s="2713"/>
      <c r="H24" s="2713"/>
      <c r="I24" s="2713"/>
      <c r="J24" s="2713"/>
      <c r="K24" s="2713"/>
      <c r="L24" s="2713"/>
      <c r="M24" s="2713"/>
      <c r="N24" s="2713"/>
      <c r="O24" s="2713"/>
      <c r="P24" s="2713"/>
      <c r="Q24" s="2713"/>
      <c r="R24" s="2713"/>
      <c r="S24" s="2713"/>
      <c r="T24" s="2713"/>
      <c r="U24" s="2713"/>
      <c r="V24" s="2713"/>
      <c r="W24" s="2713"/>
      <c r="X24" s="2713"/>
      <c r="Y24" s="2713"/>
      <c r="Z24" s="2713"/>
      <c r="AA24" s="2713"/>
      <c r="AB24" s="2713"/>
      <c r="AC24" s="2713"/>
      <c r="AD24" s="2713"/>
      <c r="AE24" s="2713"/>
      <c r="AF24" s="2713"/>
      <c r="AG24" s="2713"/>
      <c r="AH24" s="2713"/>
      <c r="AI24" s="2713"/>
      <c r="AJ24" s="2713"/>
      <c r="AK24" s="2713"/>
      <c r="AL24" s="2713"/>
      <c r="AM24" s="2713"/>
      <c r="AN24" s="2713"/>
      <c r="AO24" s="2713"/>
      <c r="AP24" s="2713"/>
      <c r="AQ24" s="2713"/>
      <c r="AR24" s="2713"/>
      <c r="AS24" s="2713"/>
      <c r="AT24" s="2713"/>
      <c r="AU24" s="2713"/>
      <c r="AV24" s="2713"/>
      <c r="AW24" s="2713"/>
      <c r="AX24" s="2713"/>
    </row>
    <row r="25" spans="2:84" s="522" customFormat="1" ht="20.149999999999999" customHeight="1">
      <c r="B25" s="2715" t="s">
        <v>1103</v>
      </c>
      <c r="C25" s="2715"/>
      <c r="D25" s="2715"/>
      <c r="E25" s="2715"/>
      <c r="F25" s="2715"/>
      <c r="G25" s="2715"/>
      <c r="H25" s="2715"/>
      <c r="I25" s="2715"/>
      <c r="J25" s="2715"/>
      <c r="K25" s="2715"/>
      <c r="L25" s="2715"/>
      <c r="M25" s="2715"/>
      <c r="N25" s="2715"/>
      <c r="O25" s="2715"/>
      <c r="P25" s="2715"/>
      <c r="Q25" s="2715"/>
      <c r="R25" s="2715"/>
      <c r="S25" s="2715"/>
      <c r="T25" s="2715"/>
      <c r="U25" s="2715"/>
      <c r="V25" s="2715"/>
      <c r="W25" s="2715"/>
      <c r="X25" s="2715"/>
      <c r="Y25" s="2715"/>
      <c r="Z25" s="2715"/>
      <c r="AA25" s="2715"/>
      <c r="AB25" s="2715"/>
      <c r="AC25" s="2715"/>
      <c r="AD25" s="2715"/>
      <c r="AE25" s="2715"/>
      <c r="AF25" s="2715"/>
      <c r="AG25" s="2715"/>
      <c r="AH25" s="2715"/>
      <c r="AI25" s="2715"/>
      <c r="AJ25" s="2715"/>
      <c r="AK25" s="2715"/>
      <c r="AL25" s="2715"/>
      <c r="AM25" s="2715"/>
      <c r="AN25" s="2715"/>
      <c r="AO25" s="2715"/>
      <c r="AP25" s="2715"/>
      <c r="AQ25" s="2715"/>
      <c r="AR25" s="2715"/>
      <c r="AS25" s="2715"/>
      <c r="AT25" s="2715"/>
      <c r="AU25" s="2715"/>
      <c r="AV25" s="2715"/>
      <c r="AW25" s="2715"/>
      <c r="AX25" s="2715"/>
    </row>
    <row r="26" spans="2:84" s="522" customFormat="1" ht="20.149999999999999" customHeight="1">
      <c r="B26" s="2716" t="s">
        <v>1104</v>
      </c>
      <c r="C26" s="2716"/>
      <c r="D26" s="2716"/>
      <c r="E26" s="2716"/>
      <c r="F26" s="2716"/>
      <c r="G26" s="2716"/>
      <c r="H26" s="2716"/>
      <c r="I26" s="2716"/>
      <c r="J26" s="2716"/>
      <c r="K26" s="2716"/>
      <c r="L26" s="2716"/>
      <c r="M26" s="2716"/>
      <c r="N26" s="2716"/>
      <c r="O26" s="2716"/>
      <c r="P26" s="2716"/>
      <c r="Q26" s="2716"/>
      <c r="R26" s="2716"/>
      <c r="S26" s="2716"/>
      <c r="T26" s="2716"/>
      <c r="U26" s="2716"/>
      <c r="V26" s="2716"/>
      <c r="W26" s="2716"/>
      <c r="X26" s="2716"/>
      <c r="Y26" s="2716"/>
      <c r="Z26" s="2716"/>
      <c r="AA26" s="2716"/>
      <c r="AB26" s="2716"/>
      <c r="AC26" s="2716"/>
      <c r="AD26" s="2716"/>
      <c r="AE26" s="2716"/>
      <c r="AF26" s="2716"/>
      <c r="AG26" s="2716"/>
      <c r="AH26" s="2716"/>
      <c r="AI26" s="2716"/>
      <c r="AJ26" s="2716"/>
      <c r="AK26" s="2716"/>
      <c r="AL26" s="2716"/>
      <c r="AM26" s="2716"/>
      <c r="AN26" s="2716"/>
      <c r="AO26" s="2716"/>
      <c r="AP26" s="2716"/>
      <c r="AQ26" s="2716"/>
      <c r="AR26" s="2716"/>
      <c r="AS26" s="2716"/>
      <c r="AT26" s="2716"/>
      <c r="AU26" s="2716"/>
      <c r="AV26" s="2716"/>
      <c r="AW26" s="2716"/>
      <c r="AX26" s="2716"/>
    </row>
    <row r="27" spans="2:84" s="522" customFormat="1" ht="20.149999999999999" customHeight="1">
      <c r="B27" s="2713" t="s">
        <v>1105</v>
      </c>
      <c r="C27" s="2713"/>
      <c r="D27" s="2713"/>
      <c r="E27" s="2713"/>
      <c r="F27" s="2713"/>
      <c r="G27" s="2713"/>
      <c r="H27" s="2713"/>
      <c r="I27" s="2713"/>
      <c r="J27" s="2713"/>
      <c r="K27" s="2713"/>
      <c r="L27" s="2713"/>
      <c r="M27" s="2713"/>
      <c r="N27" s="2713"/>
      <c r="O27" s="2713"/>
      <c r="P27" s="2713"/>
      <c r="Q27" s="2713"/>
      <c r="R27" s="2713"/>
      <c r="S27" s="2713"/>
      <c r="T27" s="2713"/>
      <c r="U27" s="2713"/>
      <c r="V27" s="2713"/>
      <c r="W27" s="2713"/>
      <c r="X27" s="2713"/>
      <c r="Y27" s="2713"/>
      <c r="Z27" s="2713"/>
      <c r="AA27" s="2713"/>
      <c r="AB27" s="2713"/>
      <c r="AC27" s="2713"/>
      <c r="AD27" s="2713"/>
      <c r="AE27" s="2713"/>
      <c r="AF27" s="2713"/>
      <c r="AG27" s="2713"/>
      <c r="AH27" s="2713"/>
      <c r="AI27" s="2713"/>
      <c r="AJ27" s="2713"/>
      <c r="AK27" s="2713"/>
      <c r="AL27" s="2713"/>
      <c r="AM27" s="2713"/>
      <c r="AN27" s="2713"/>
      <c r="AO27" s="2713"/>
      <c r="AP27" s="2713"/>
      <c r="AQ27" s="2713"/>
      <c r="AR27" s="2713"/>
      <c r="AS27" s="2713"/>
      <c r="AT27" s="2713"/>
      <c r="AU27" s="2713"/>
      <c r="AV27" s="2713"/>
      <c r="AW27" s="2713"/>
      <c r="AX27" s="2713"/>
    </row>
    <row r="28" spans="2:84" s="522" customFormat="1" ht="20.149999999999999" customHeight="1">
      <c r="B28" s="2714" t="s">
        <v>1106</v>
      </c>
      <c r="C28" s="2714"/>
      <c r="D28" s="2714"/>
      <c r="E28" s="2714"/>
      <c r="F28" s="2714"/>
      <c r="G28" s="2714"/>
      <c r="H28" s="2714"/>
      <c r="I28" s="2714"/>
      <c r="J28" s="2714"/>
      <c r="K28" s="2714"/>
      <c r="L28" s="2714"/>
      <c r="M28" s="2714"/>
      <c r="N28" s="2714"/>
      <c r="O28" s="2714"/>
      <c r="P28" s="2714"/>
      <c r="Q28" s="2714"/>
      <c r="R28" s="2714"/>
      <c r="S28" s="2714"/>
      <c r="T28" s="2714"/>
      <c r="U28" s="2714"/>
      <c r="V28" s="2714"/>
      <c r="W28" s="2714"/>
      <c r="X28" s="2714"/>
      <c r="Y28" s="2714"/>
      <c r="Z28" s="2714"/>
      <c r="AA28" s="2714"/>
      <c r="AB28" s="2714"/>
      <c r="AC28" s="2714"/>
      <c r="AD28" s="2714"/>
      <c r="AE28" s="2714"/>
      <c r="AF28" s="2714"/>
      <c r="AG28" s="2714"/>
      <c r="AH28" s="2714"/>
      <c r="AI28" s="2714"/>
      <c r="AJ28" s="2714"/>
      <c r="AK28" s="2714"/>
      <c r="AL28" s="2714"/>
      <c r="AM28" s="2714"/>
      <c r="AN28" s="2714"/>
      <c r="AO28" s="2714"/>
      <c r="AP28" s="2714"/>
      <c r="AQ28" s="2714"/>
      <c r="AR28" s="2714"/>
      <c r="AS28" s="2714"/>
      <c r="AT28" s="2714"/>
      <c r="AU28" s="2714"/>
      <c r="AV28" s="2714"/>
      <c r="AW28" s="2714"/>
      <c r="AX28" s="2714"/>
    </row>
    <row r="29" spans="2:84" s="522" customFormat="1" ht="20.149999999999999" customHeight="1">
      <c r="B29" s="2713" t="s">
        <v>1107</v>
      </c>
      <c r="C29" s="2713"/>
      <c r="D29" s="2713"/>
      <c r="E29" s="2713"/>
      <c r="F29" s="2713"/>
      <c r="G29" s="2713"/>
      <c r="H29" s="2713"/>
      <c r="I29" s="2713"/>
      <c r="J29" s="2713"/>
      <c r="K29" s="2713"/>
      <c r="L29" s="2713"/>
      <c r="M29" s="2713"/>
      <c r="N29" s="2713"/>
      <c r="O29" s="2713"/>
      <c r="P29" s="2713"/>
      <c r="Q29" s="2713"/>
      <c r="R29" s="2713"/>
      <c r="S29" s="2713"/>
      <c r="T29" s="2713"/>
      <c r="U29" s="2713"/>
      <c r="V29" s="2713"/>
      <c r="W29" s="2713"/>
      <c r="X29" s="2713"/>
      <c r="Y29" s="2713"/>
      <c r="Z29" s="2713"/>
      <c r="AA29" s="2713"/>
      <c r="AB29" s="2713"/>
      <c r="AC29" s="2713"/>
      <c r="AD29" s="2713"/>
      <c r="AE29" s="2713"/>
      <c r="AF29" s="2713"/>
      <c r="AG29" s="2713"/>
      <c r="AH29" s="2713"/>
      <c r="AI29" s="2713"/>
      <c r="AJ29" s="2713"/>
      <c r="AK29" s="2713"/>
      <c r="AL29" s="2713"/>
      <c r="AM29" s="2713"/>
      <c r="AN29" s="2713"/>
      <c r="AO29" s="2713"/>
      <c r="AP29" s="2713"/>
      <c r="AQ29" s="2713"/>
      <c r="AR29" s="2713"/>
      <c r="AS29" s="2713"/>
      <c r="AT29" s="2713"/>
      <c r="AU29" s="2713"/>
      <c r="AV29" s="2713"/>
      <c r="AW29" s="2713"/>
      <c r="AX29" s="2713"/>
    </row>
    <row r="30" spans="2:84" s="522" customFormat="1" ht="20.149999999999999" customHeight="1">
      <c r="B30" s="2713" t="s">
        <v>1763</v>
      </c>
      <c r="C30" s="2713"/>
      <c r="D30" s="2713"/>
      <c r="E30" s="2713"/>
      <c r="F30" s="2713"/>
      <c r="G30" s="2713"/>
      <c r="H30" s="2713"/>
      <c r="I30" s="2713"/>
      <c r="J30" s="2713"/>
      <c r="K30" s="2713"/>
      <c r="L30" s="2713"/>
      <c r="M30" s="2713"/>
      <c r="N30" s="2713"/>
      <c r="O30" s="2713"/>
      <c r="P30" s="2713"/>
      <c r="Q30" s="2713"/>
      <c r="R30" s="2713"/>
      <c r="S30" s="2713"/>
      <c r="T30" s="2713"/>
      <c r="U30" s="2713"/>
      <c r="V30" s="2713"/>
      <c r="W30" s="2713"/>
      <c r="X30" s="2713"/>
      <c r="Y30" s="2713"/>
      <c r="Z30" s="2713"/>
      <c r="AA30" s="2713"/>
      <c r="AB30" s="2713"/>
      <c r="AC30" s="2713"/>
      <c r="AD30" s="2713"/>
      <c r="AE30" s="2713"/>
      <c r="AF30" s="2713"/>
      <c r="AG30" s="2713"/>
      <c r="AH30" s="2713"/>
      <c r="AI30" s="2713"/>
      <c r="AJ30" s="2713"/>
      <c r="AK30" s="2713"/>
      <c r="AL30" s="2713"/>
      <c r="AM30" s="2713"/>
      <c r="AN30" s="2713"/>
      <c r="AO30" s="2713"/>
      <c r="AP30" s="2713"/>
      <c r="AQ30" s="2713"/>
      <c r="AR30" s="2713"/>
      <c r="AS30" s="2713"/>
      <c r="AT30" s="2713"/>
      <c r="AU30" s="2713"/>
      <c r="AV30" s="2713"/>
      <c r="AW30" s="2713"/>
      <c r="AX30" s="2713"/>
    </row>
    <row r="31" spans="2:84" s="522" customFormat="1" ht="20.149999999999999" customHeight="1">
      <c r="B31" s="2713" t="s">
        <v>1764</v>
      </c>
      <c r="C31" s="2713"/>
      <c r="D31" s="2713"/>
      <c r="E31" s="2713"/>
      <c r="F31" s="2713"/>
      <c r="G31" s="2713"/>
      <c r="H31" s="2713"/>
      <c r="I31" s="2713"/>
      <c r="J31" s="2713"/>
      <c r="K31" s="2713"/>
      <c r="L31" s="2713"/>
      <c r="M31" s="2713"/>
      <c r="N31" s="2713"/>
      <c r="O31" s="2713"/>
      <c r="P31" s="2713"/>
      <c r="Q31" s="2713"/>
      <c r="R31" s="2713"/>
      <c r="S31" s="2713"/>
      <c r="T31" s="2713"/>
      <c r="U31" s="2713"/>
      <c r="V31" s="2713"/>
      <c r="W31" s="2713"/>
      <c r="X31" s="2713"/>
      <c r="Y31" s="2713"/>
      <c r="Z31" s="2713"/>
      <c r="AA31" s="2713"/>
      <c r="AB31" s="2713"/>
      <c r="AC31" s="2713"/>
      <c r="AD31" s="2713"/>
      <c r="AE31" s="2713"/>
      <c r="AF31" s="2713"/>
      <c r="AG31" s="2713"/>
      <c r="AH31" s="2713"/>
      <c r="AI31" s="2713"/>
      <c r="AJ31" s="2713"/>
      <c r="AK31" s="2713"/>
      <c r="AL31" s="2713"/>
      <c r="AM31" s="2713"/>
      <c r="AN31" s="2713"/>
      <c r="AO31" s="2713"/>
      <c r="AP31" s="2713"/>
      <c r="AQ31" s="2713"/>
      <c r="AR31" s="2713"/>
      <c r="AS31" s="2713"/>
      <c r="AT31" s="2713"/>
      <c r="AU31" s="2713"/>
      <c r="AV31" s="2713"/>
      <c r="AW31" s="2713"/>
      <c r="AX31" s="2713"/>
    </row>
    <row r="32" spans="2:84" s="522" customFormat="1" ht="20.149999999999999" customHeight="1">
      <c r="B32" s="2713" t="s">
        <v>1765</v>
      </c>
      <c r="C32" s="2713"/>
      <c r="D32" s="2713"/>
      <c r="E32" s="2713"/>
      <c r="F32" s="2713"/>
      <c r="G32" s="2713"/>
      <c r="H32" s="2713"/>
      <c r="I32" s="2713"/>
      <c r="J32" s="2713"/>
      <c r="K32" s="2713"/>
      <c r="L32" s="2713"/>
      <c r="M32" s="2713"/>
      <c r="N32" s="2713"/>
      <c r="O32" s="2713"/>
      <c r="P32" s="2713"/>
      <c r="Q32" s="2713"/>
      <c r="R32" s="2713"/>
      <c r="S32" s="2713"/>
      <c r="T32" s="2713"/>
      <c r="U32" s="2713"/>
      <c r="V32" s="2713"/>
      <c r="W32" s="2713"/>
      <c r="X32" s="2713"/>
      <c r="Y32" s="2713"/>
      <c r="Z32" s="2713"/>
      <c r="AA32" s="2713"/>
      <c r="AB32" s="2713"/>
      <c r="AC32" s="2713"/>
      <c r="AD32" s="2713"/>
      <c r="AE32" s="2713"/>
      <c r="AF32" s="2713"/>
      <c r="AG32" s="2713"/>
      <c r="AH32" s="2713"/>
      <c r="AI32" s="2713"/>
      <c r="AJ32" s="2713"/>
      <c r="AK32" s="2713"/>
      <c r="AL32" s="2713"/>
      <c r="AM32" s="2713"/>
      <c r="AN32" s="2713"/>
      <c r="AO32" s="2713"/>
      <c r="AP32" s="2713"/>
      <c r="AQ32" s="2713"/>
      <c r="AR32" s="2713"/>
      <c r="AS32" s="2713"/>
      <c r="AT32" s="2713"/>
      <c r="AU32" s="2713"/>
      <c r="AV32" s="2713"/>
      <c r="AW32" s="2713"/>
      <c r="AX32" s="2713"/>
    </row>
    <row r="33" spans="2:67" s="522" customFormat="1" ht="20.149999999999999" customHeight="1">
      <c r="B33" s="2713" t="s">
        <v>1362</v>
      </c>
      <c r="C33" s="2713"/>
      <c r="D33" s="2713"/>
      <c r="E33" s="2713"/>
      <c r="F33" s="2713"/>
      <c r="G33" s="2713"/>
      <c r="H33" s="2713"/>
      <c r="I33" s="2713"/>
      <c r="J33" s="2713"/>
      <c r="K33" s="2713"/>
      <c r="L33" s="2713"/>
      <c r="M33" s="2713"/>
      <c r="N33" s="2713"/>
      <c r="O33" s="2713"/>
      <c r="P33" s="2713"/>
      <c r="Q33" s="2713"/>
      <c r="R33" s="2713"/>
      <c r="S33" s="2713"/>
      <c r="T33" s="2713"/>
      <c r="U33" s="2713"/>
      <c r="V33" s="2713"/>
      <c r="W33" s="2713"/>
      <c r="X33" s="2713"/>
      <c r="Y33" s="2713"/>
      <c r="Z33" s="2713"/>
      <c r="AA33" s="2713"/>
      <c r="AB33" s="2713"/>
      <c r="AC33" s="2713"/>
      <c r="AD33" s="2713"/>
      <c r="AE33" s="2713"/>
      <c r="AF33" s="2713"/>
      <c r="AG33" s="2713"/>
      <c r="AH33" s="2713"/>
      <c r="AI33" s="2713"/>
      <c r="AJ33" s="2713"/>
      <c r="AK33" s="2713"/>
      <c r="AL33" s="2713"/>
      <c r="AM33" s="2713"/>
      <c r="AN33" s="2713"/>
      <c r="AO33" s="2713"/>
      <c r="AP33" s="2713"/>
      <c r="AQ33" s="2713"/>
      <c r="AR33" s="2713"/>
      <c r="AS33" s="2713"/>
      <c r="AT33" s="2713"/>
      <c r="AU33" s="2713"/>
      <c r="AV33" s="2713"/>
      <c r="AW33" s="2713"/>
      <c r="AX33" s="2713"/>
    </row>
    <row r="34" spans="2:67" s="522" customFormat="1" ht="20.149999999999999" customHeight="1">
      <c r="B34" s="2722" t="s">
        <v>1108</v>
      </c>
      <c r="C34" s="2722"/>
      <c r="D34" s="2722"/>
      <c r="E34" s="2722"/>
      <c r="F34" s="2722"/>
      <c r="G34" s="2722"/>
      <c r="H34" s="2722"/>
      <c r="I34" s="2722"/>
      <c r="J34" s="2722"/>
      <c r="K34" s="2722"/>
      <c r="L34" s="2722"/>
      <c r="M34" s="2722"/>
      <c r="N34" s="2722"/>
      <c r="O34" s="2722"/>
      <c r="P34" s="2722"/>
      <c r="Q34" s="2722"/>
      <c r="R34" s="2722"/>
      <c r="S34" s="2722"/>
      <c r="T34" s="2722"/>
      <c r="U34" s="2722"/>
      <c r="V34" s="2722"/>
      <c r="W34" s="2722"/>
      <c r="X34" s="2722"/>
      <c r="Y34" s="2722"/>
      <c r="Z34" s="2722"/>
      <c r="AA34" s="2722"/>
      <c r="AB34" s="2722"/>
      <c r="AC34" s="2722"/>
      <c r="AD34" s="2722"/>
      <c r="AE34" s="2722"/>
      <c r="AF34" s="2722"/>
      <c r="AG34" s="2722"/>
      <c r="AH34" s="2722"/>
      <c r="AI34" s="2722"/>
      <c r="AJ34" s="2722"/>
      <c r="AK34" s="2722"/>
      <c r="AL34" s="2722"/>
      <c r="AM34" s="2722"/>
      <c r="AN34" s="2722"/>
      <c r="AO34" s="2722"/>
      <c r="AP34" s="2722"/>
      <c r="AQ34" s="2722"/>
      <c r="AR34" s="2722"/>
      <c r="AS34" s="2722"/>
      <c r="AT34" s="2722"/>
      <c r="AU34" s="2722"/>
      <c r="AV34" s="2722"/>
      <c r="AW34" s="2722"/>
      <c r="AX34" s="2722"/>
    </row>
    <row r="35" spans="2:67" s="522" customFormat="1" ht="20.149999999999999" customHeight="1">
      <c r="B35" s="2714" t="s">
        <v>393</v>
      </c>
      <c r="C35" s="2714"/>
      <c r="D35" s="2714"/>
      <c r="E35" s="2714"/>
      <c r="F35" s="2714"/>
      <c r="G35" s="2714"/>
      <c r="H35" s="2714"/>
      <c r="I35" s="2714"/>
      <c r="J35" s="2714"/>
      <c r="K35" s="2714"/>
      <c r="L35" s="2714"/>
      <c r="M35" s="2714"/>
      <c r="N35" s="2714"/>
      <c r="O35" s="2714"/>
      <c r="P35" s="2714"/>
      <c r="Q35" s="2714"/>
      <c r="R35" s="2714"/>
      <c r="S35" s="2714"/>
      <c r="T35" s="2714"/>
      <c r="U35" s="2714"/>
      <c r="V35" s="2714"/>
      <c r="W35" s="2714"/>
      <c r="X35" s="2714"/>
      <c r="Y35" s="2714"/>
      <c r="Z35" s="2714"/>
      <c r="AA35" s="2714"/>
      <c r="AB35" s="2714"/>
      <c r="AC35" s="2714"/>
      <c r="AD35" s="2714"/>
      <c r="AE35" s="2714"/>
      <c r="AF35" s="2714"/>
      <c r="AG35" s="2714"/>
      <c r="AH35" s="2714"/>
      <c r="AI35" s="2714"/>
      <c r="AJ35" s="2714"/>
      <c r="AK35" s="2714"/>
      <c r="AL35" s="2714"/>
      <c r="AM35" s="2714"/>
      <c r="AN35" s="2714"/>
      <c r="AO35" s="2714"/>
      <c r="AP35" s="2714"/>
      <c r="AQ35" s="2714"/>
      <c r="AR35" s="2714"/>
      <c r="AS35" s="2714"/>
      <c r="AT35" s="2714"/>
      <c r="AU35" s="2714"/>
      <c r="AV35" s="2714"/>
      <c r="AW35" s="2714"/>
      <c r="AX35" s="2714"/>
    </row>
    <row r="36" spans="2:67" s="522" customFormat="1" ht="20.149999999999999" customHeight="1">
      <c r="B36" s="2723" t="s">
        <v>394</v>
      </c>
      <c r="C36" s="2723"/>
      <c r="D36" s="2723"/>
      <c r="E36" s="2723"/>
      <c r="F36" s="2723"/>
      <c r="G36" s="2723"/>
      <c r="H36" s="2723"/>
      <c r="I36" s="2723"/>
      <c r="J36" s="2723"/>
      <c r="K36" s="2723"/>
      <c r="L36" s="2723"/>
      <c r="M36" s="2723"/>
      <c r="N36" s="2723"/>
      <c r="O36" s="2723"/>
      <c r="P36" s="2723"/>
      <c r="Q36" s="2723"/>
      <c r="R36" s="2723"/>
      <c r="S36" s="2723"/>
      <c r="T36" s="2723"/>
      <c r="U36" s="2723"/>
      <c r="V36" s="2723"/>
      <c r="W36" s="2723"/>
      <c r="X36" s="2723"/>
      <c r="Y36" s="2723"/>
      <c r="Z36" s="2723"/>
      <c r="AA36" s="2723"/>
      <c r="AB36" s="2723"/>
      <c r="AC36" s="2723"/>
      <c r="AD36" s="2723"/>
      <c r="AE36" s="2723"/>
      <c r="AF36" s="2723"/>
      <c r="AG36" s="2723"/>
      <c r="AH36" s="2723"/>
      <c r="AI36" s="2723"/>
      <c r="AJ36" s="2723"/>
      <c r="AK36" s="2723"/>
      <c r="AL36" s="2723"/>
      <c r="AM36" s="2723"/>
      <c r="AN36" s="2723"/>
      <c r="AO36" s="2723"/>
      <c r="AP36" s="2723"/>
      <c r="AQ36" s="2723"/>
      <c r="AR36" s="2723"/>
      <c r="AS36" s="2723"/>
      <c r="AT36" s="2723"/>
      <c r="AU36" s="2723"/>
      <c r="AV36" s="2723"/>
      <c r="AW36" s="2723"/>
      <c r="AX36" s="2723"/>
    </row>
    <row r="37" spans="2:67" s="661" customFormat="1" ht="24" customHeight="1">
      <c r="AI37" s="501"/>
    </row>
    <row r="38" spans="2:67">
      <c r="B38" s="147" t="s">
        <v>847</v>
      </c>
      <c r="S38" s="147" t="s">
        <v>764</v>
      </c>
      <c r="T38" s="225"/>
      <c r="U38" s="225"/>
      <c r="V38" s="225"/>
      <c r="W38" s="225"/>
      <c r="X38" s="225"/>
      <c r="Y38" s="225"/>
      <c r="Z38" s="225"/>
      <c r="AA38" s="225"/>
      <c r="AB38" s="225"/>
      <c r="AC38" s="225"/>
      <c r="AD38" s="225"/>
      <c r="AE38" s="225"/>
      <c r="AF38" s="225"/>
      <c r="AJ38" s="147" t="s">
        <v>783</v>
      </c>
    </row>
    <row r="39" spans="2:67" ht="21.75" customHeight="1">
      <c r="B39" s="147" t="s">
        <v>756</v>
      </c>
      <c r="F39" s="2721" t="str">
        <f>activesheet!E29</f>
        <v>RICO S. MISPEROS</v>
      </c>
      <c r="G39" s="2721"/>
      <c r="H39" s="2721"/>
      <c r="I39" s="2721"/>
      <c r="J39" s="2721"/>
      <c r="K39" s="2721"/>
      <c r="L39" s="2721"/>
      <c r="M39" s="2721"/>
      <c r="N39" s="2721"/>
      <c r="O39" s="2721"/>
      <c r="S39" s="2724" t="s">
        <v>11882</v>
      </c>
      <c r="T39" s="2724"/>
      <c r="U39" s="2724"/>
      <c r="V39" s="2724"/>
      <c r="W39" s="2724"/>
      <c r="X39" s="2724"/>
      <c r="Y39" s="2724"/>
      <c r="Z39" s="2724"/>
      <c r="AA39" s="2724"/>
      <c r="AB39" s="2724"/>
      <c r="AC39" s="2724"/>
      <c r="AD39" s="2724"/>
      <c r="AE39" s="2724"/>
      <c r="AF39" s="2724"/>
      <c r="AJ39" s="1786" t="str">
        <f>activesheet!E31</f>
        <v>MICHAEL T. JAMIS</v>
      </c>
      <c r="AK39" s="1786"/>
      <c r="AL39" s="1786"/>
      <c r="AM39" s="1786"/>
      <c r="AN39" s="1786"/>
      <c r="AO39" s="1786"/>
      <c r="AP39" s="1786"/>
      <c r="AQ39" s="1786"/>
      <c r="AR39" s="1786"/>
      <c r="AS39" s="1786"/>
      <c r="AT39" s="1786"/>
      <c r="AU39" s="1786"/>
      <c r="AV39" s="1786"/>
      <c r="AW39" s="1786"/>
    </row>
    <row r="40" spans="2:67" s="654" customFormat="1">
      <c r="B40" s="655"/>
      <c r="F40" s="1764" t="s">
        <v>741</v>
      </c>
      <c r="G40" s="1764"/>
      <c r="H40" s="1764"/>
      <c r="I40" s="1764"/>
      <c r="J40" s="1764"/>
      <c r="K40" s="1764"/>
      <c r="L40" s="1764"/>
      <c r="M40" s="1764"/>
      <c r="N40" s="1764"/>
      <c r="O40" s="1764"/>
      <c r="P40" s="152"/>
      <c r="Q40" s="152"/>
      <c r="R40" s="152"/>
      <c r="S40" s="1766"/>
      <c r="T40" s="1766"/>
      <c r="U40" s="1766"/>
      <c r="V40" s="1766"/>
      <c r="W40" s="1766"/>
      <c r="X40" s="1766"/>
      <c r="Y40" s="1766"/>
      <c r="Z40" s="1766"/>
      <c r="AA40" s="1766"/>
      <c r="AB40" s="1766"/>
      <c r="AC40" s="1766"/>
      <c r="AD40" s="1766"/>
      <c r="AE40" s="1766"/>
      <c r="AF40" s="1766"/>
      <c r="AG40" s="180"/>
      <c r="AH40" s="180"/>
      <c r="AI40" s="180"/>
      <c r="AJ40" s="1787"/>
      <c r="AK40" s="1787"/>
      <c r="AL40" s="1787"/>
      <c r="AM40" s="1787"/>
      <c r="AN40" s="1787"/>
      <c r="AO40" s="1787"/>
      <c r="AP40" s="1787"/>
      <c r="AQ40" s="1787"/>
      <c r="AR40" s="1787"/>
      <c r="AS40" s="1787"/>
      <c r="AT40" s="1787"/>
      <c r="AU40" s="1787"/>
      <c r="AV40" s="1787"/>
      <c r="AW40" s="1787"/>
      <c r="AX40" s="152"/>
      <c r="AY40" s="653"/>
      <c r="AZ40" s="653"/>
      <c r="BA40" s="653"/>
      <c r="BB40" s="653"/>
      <c r="BC40" s="653"/>
      <c r="BD40" s="653"/>
      <c r="BE40" s="653"/>
      <c r="BF40" s="653"/>
      <c r="BG40" s="653"/>
      <c r="BH40" s="653"/>
      <c r="BI40" s="653"/>
      <c r="BJ40" s="653"/>
      <c r="BK40" s="653"/>
      <c r="BL40" s="653"/>
      <c r="BM40" s="653"/>
      <c r="BN40" s="653"/>
      <c r="BO40" s="653"/>
    </row>
    <row r="41" spans="2:67" ht="21.75" customHeight="1">
      <c r="B41" s="147" t="s">
        <v>1027</v>
      </c>
      <c r="F41" s="2721" t="str">
        <f>activesheet!E30</f>
        <v>SCHOOL PRINCIPAL II</v>
      </c>
      <c r="G41" s="2721"/>
      <c r="H41" s="2721"/>
      <c r="I41" s="2721"/>
      <c r="J41" s="2721"/>
      <c r="K41" s="2721"/>
      <c r="L41" s="2721"/>
      <c r="M41" s="2721"/>
      <c r="N41" s="2721"/>
      <c r="O41" s="2721"/>
      <c r="S41" s="1764" t="s">
        <v>741</v>
      </c>
      <c r="T41" s="1764"/>
      <c r="U41" s="1764"/>
      <c r="V41" s="1764"/>
      <c r="W41" s="1764"/>
      <c r="X41" s="1764"/>
      <c r="Y41" s="1764"/>
      <c r="Z41" s="1764"/>
      <c r="AA41" s="1764"/>
      <c r="AB41" s="1764"/>
      <c r="AC41" s="1764"/>
      <c r="AD41" s="1764"/>
      <c r="AE41" s="1764"/>
      <c r="AF41" s="1764"/>
      <c r="AG41" s="152"/>
      <c r="AH41" s="152"/>
      <c r="AI41" s="152"/>
      <c r="AJ41" s="1764" t="s">
        <v>741</v>
      </c>
      <c r="AK41" s="1764"/>
      <c r="AL41" s="1764"/>
      <c r="AM41" s="1764"/>
      <c r="AN41" s="1764"/>
      <c r="AO41" s="1764"/>
      <c r="AP41" s="1764"/>
      <c r="AQ41" s="1764"/>
      <c r="AR41" s="1764"/>
      <c r="AS41" s="1764"/>
      <c r="AT41" s="1764"/>
      <c r="AU41" s="1764"/>
      <c r="AV41" s="1764"/>
      <c r="AW41" s="1764"/>
    </row>
  </sheetData>
  <sheetProtection algorithmName="SHA-512" hashValue="Jq7ABxim27y0MEcrHkUq0VlbupfUtXs7nCaSWA4N56JPPG9fX2jRgi2ugGeQuPJ7nMohvlTDU0Zpl2vlU31kcA==" saltValue="EPgOrJ3O2RZkFYdTmwcobA==" spinCount="100000" sheet="1" objects="1" scenarios="1" selectLockedCells="1"/>
  <mergeCells count="124">
    <mergeCell ref="Z14:AD14"/>
    <mergeCell ref="AE14:AI14"/>
    <mergeCell ref="AJ14:AN14"/>
    <mergeCell ref="AO14:AS14"/>
    <mergeCell ref="AO15:AS15"/>
    <mergeCell ref="B29:AX29"/>
    <mergeCell ref="AT8:AX8"/>
    <mergeCell ref="AT10:AX10"/>
    <mergeCell ref="AT14:AX14"/>
    <mergeCell ref="AT16:AX16"/>
    <mergeCell ref="K8:O8"/>
    <mergeCell ref="K10:O10"/>
    <mergeCell ref="K14:O14"/>
    <mergeCell ref="K16:O16"/>
    <mergeCell ref="P8:T8"/>
    <mergeCell ref="U8:Y8"/>
    <mergeCell ref="Z8:AD8"/>
    <mergeCell ref="AE8:AI8"/>
    <mergeCell ref="AJ8:AN8"/>
    <mergeCell ref="AO8:AS8"/>
    <mergeCell ref="P10:T10"/>
    <mergeCell ref="U10:Y10"/>
    <mergeCell ref="P13:T13"/>
    <mergeCell ref="U13:Y13"/>
    <mergeCell ref="Z13:AD13"/>
    <mergeCell ref="AE13:AI13"/>
    <mergeCell ref="AJ13:AN13"/>
    <mergeCell ref="F41:O41"/>
    <mergeCell ref="S41:AF41"/>
    <mergeCell ref="AJ41:AW41"/>
    <mergeCell ref="B30:AX30"/>
    <mergeCell ref="B31:AX31"/>
    <mergeCell ref="B32:AX32"/>
    <mergeCell ref="B33:AX33"/>
    <mergeCell ref="B34:AX34"/>
    <mergeCell ref="B35:AX35"/>
    <mergeCell ref="B36:AX36"/>
    <mergeCell ref="F39:O39"/>
    <mergeCell ref="S39:AF40"/>
    <mergeCell ref="AJ39:AW40"/>
    <mergeCell ref="F40:O40"/>
    <mergeCell ref="B23:AX23"/>
    <mergeCell ref="K18:O18"/>
    <mergeCell ref="P18:T18"/>
    <mergeCell ref="P14:T14"/>
    <mergeCell ref="U14:Y14"/>
    <mergeCell ref="U18:Y18"/>
    <mergeCell ref="Z18:AD18"/>
    <mergeCell ref="AE18:AI18"/>
    <mergeCell ref="AJ18:AN18"/>
    <mergeCell ref="B27:AX27"/>
    <mergeCell ref="B28:AX28"/>
    <mergeCell ref="B24:AX24"/>
    <mergeCell ref="B25:AX25"/>
    <mergeCell ref="B26:AX26"/>
    <mergeCell ref="AO18:AS18"/>
    <mergeCell ref="AT18:AX18"/>
    <mergeCell ref="B20:AX20"/>
    <mergeCell ref="B21:AX21"/>
    <mergeCell ref="B22:AX22"/>
    <mergeCell ref="AT15:AX15"/>
    <mergeCell ref="K17:O17"/>
    <mergeCell ref="P17:T17"/>
    <mergeCell ref="U17:Y17"/>
    <mergeCell ref="Z17:AD17"/>
    <mergeCell ref="AE17:AI17"/>
    <mergeCell ref="AJ17:AN17"/>
    <mergeCell ref="AO17:AS17"/>
    <mergeCell ref="AT17:AX17"/>
    <mergeCell ref="K15:O15"/>
    <mergeCell ref="P15:T15"/>
    <mergeCell ref="U15:Y15"/>
    <mergeCell ref="Z15:AD15"/>
    <mergeCell ref="AE15:AI15"/>
    <mergeCell ref="AJ15:AN15"/>
    <mergeCell ref="AO16:AS16"/>
    <mergeCell ref="P16:T16"/>
    <mergeCell ref="U16:Y16"/>
    <mergeCell ref="Z16:AD16"/>
    <mergeCell ref="AE16:AI16"/>
    <mergeCell ref="AJ16:AN16"/>
    <mergeCell ref="AT13:AX13"/>
    <mergeCell ref="AO9:AS9"/>
    <mergeCell ref="AT9:AX9"/>
    <mergeCell ref="K11:O11"/>
    <mergeCell ref="P11:T11"/>
    <mergeCell ref="U11:Y11"/>
    <mergeCell ref="Z11:AD11"/>
    <mergeCell ref="AE11:AI11"/>
    <mergeCell ref="AJ11:AN11"/>
    <mergeCell ref="AO11:AS11"/>
    <mergeCell ref="AT11:AX11"/>
    <mergeCell ref="K9:O9"/>
    <mergeCell ref="P9:T9"/>
    <mergeCell ref="U9:Y9"/>
    <mergeCell ref="Z9:AD9"/>
    <mergeCell ref="AE9:AI9"/>
    <mergeCell ref="AJ9:AN9"/>
    <mergeCell ref="AO13:AS13"/>
    <mergeCell ref="Z10:AD10"/>
    <mergeCell ref="AE10:AI10"/>
    <mergeCell ref="AJ10:AN10"/>
    <mergeCell ref="AO10:AS10"/>
    <mergeCell ref="K12:AX12"/>
    <mergeCell ref="K13:O13"/>
    <mergeCell ref="K6:AX6"/>
    <mergeCell ref="K7:O7"/>
    <mergeCell ref="P7:T7"/>
    <mergeCell ref="U7:Y7"/>
    <mergeCell ref="Z7:AD7"/>
    <mergeCell ref="AE7:AI7"/>
    <mergeCell ref="AJ7:AN7"/>
    <mergeCell ref="AO7:AS7"/>
    <mergeCell ref="AT7:AX7"/>
    <mergeCell ref="B4:J5"/>
    <mergeCell ref="K4:AX4"/>
    <mergeCell ref="K5:O5"/>
    <mergeCell ref="P5:T5"/>
    <mergeCell ref="U5:Y5"/>
    <mergeCell ref="Z5:AD5"/>
    <mergeCell ref="AE5:AI5"/>
    <mergeCell ref="AJ5:AN5"/>
    <mergeCell ref="AO5:AS5"/>
    <mergeCell ref="AT5:AX5"/>
  </mergeCells>
  <dataValidations count="1">
    <dataValidation type="whole" allowBlank="1" showInputMessage="1" showErrorMessage="1" errorTitle="GESP SY 2022-2023" error="Please enter valid number between 0 - 15,000." sqref="K7:AS11 K13:AS17" xr:uid="{00000000-0002-0000-1300-000000000000}">
      <formula1>0</formula1>
      <formula2>15000</formula2>
    </dataValidation>
  </dataValidations>
  <printOptions horizontalCentered="1" verticalCentered="1"/>
  <pageMargins left="0.25" right="0.25" top="0.2" bottom="0.2" header="0" footer="0.1"/>
  <pageSetup paperSize="9" scale="32" orientation="landscape" r:id="rId1"/>
  <headerFooter alignWithMargins="0">
    <oddFooter>&amp;L&amp;10&amp;F &amp;A&amp;R&amp;11Page 16 of 60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CF34"/>
  <sheetViews>
    <sheetView showGridLines="0" topLeftCell="C1" zoomScaleNormal="100" workbookViewId="0">
      <selection activeCell="AO20" sqref="AO20:AS20"/>
    </sheetView>
  </sheetViews>
  <sheetFormatPr defaultColWidth="8.83203125" defaultRowHeight="15.5"/>
  <cols>
    <col min="1" max="1" width="2" style="180" customWidth="1"/>
    <col min="2" max="50" width="3.5" style="180" customWidth="1"/>
    <col min="51" max="51" width="2" style="180" customWidth="1"/>
    <col min="52" max="62" width="3.5" style="180" customWidth="1"/>
    <col min="63" max="16384" width="8.83203125" style="180"/>
  </cols>
  <sheetData>
    <row r="1" spans="1:50" ht="12" customHeight="1"/>
    <row r="2" spans="1:50" s="681" customFormat="1" ht="16.5">
      <c r="A2" s="588"/>
      <c r="B2" s="219" t="s">
        <v>11772</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
      <c r="B4" s="2675" t="s">
        <v>279</v>
      </c>
      <c r="C4" s="2676"/>
      <c r="D4" s="2676"/>
      <c r="E4" s="2676"/>
      <c r="F4" s="2676"/>
      <c r="G4" s="2676"/>
      <c r="H4" s="2676"/>
      <c r="I4" s="2676"/>
      <c r="J4" s="2677"/>
      <c r="K4" s="2681" t="s">
        <v>337</v>
      </c>
      <c r="L4" s="2682"/>
      <c r="M4" s="2682"/>
      <c r="N4" s="2682"/>
      <c r="O4" s="2682"/>
      <c r="P4" s="2682"/>
      <c r="Q4" s="2682"/>
      <c r="R4" s="2682"/>
      <c r="S4" s="2682"/>
      <c r="T4" s="2682"/>
      <c r="U4" s="2682"/>
      <c r="V4" s="2682"/>
      <c r="W4" s="2682"/>
      <c r="X4" s="2682"/>
      <c r="Y4" s="2682"/>
      <c r="Z4" s="2682"/>
      <c r="AA4" s="2682"/>
      <c r="AB4" s="2682"/>
      <c r="AC4" s="2682"/>
      <c r="AD4" s="2682"/>
      <c r="AE4" s="2682"/>
      <c r="AF4" s="2682"/>
      <c r="AG4" s="2682"/>
      <c r="AH4" s="2682"/>
      <c r="AI4" s="2682"/>
      <c r="AJ4" s="2682"/>
      <c r="AK4" s="2682"/>
      <c r="AL4" s="2682"/>
      <c r="AM4" s="2682"/>
      <c r="AN4" s="2682"/>
      <c r="AO4" s="2682"/>
      <c r="AP4" s="2682"/>
      <c r="AQ4" s="2682"/>
      <c r="AR4" s="2682"/>
      <c r="AS4" s="2682"/>
      <c r="AT4" s="2682"/>
      <c r="AU4" s="2682"/>
      <c r="AV4" s="2682"/>
      <c r="AW4" s="2682"/>
      <c r="AX4" s="2683"/>
    </row>
    <row r="5" spans="1:50" s="681" customFormat="1" ht="51" customHeight="1" thickBot="1">
      <c r="B5" s="2678"/>
      <c r="C5" s="2679"/>
      <c r="D5" s="2679"/>
      <c r="E5" s="2679"/>
      <c r="F5" s="2679"/>
      <c r="G5" s="2679"/>
      <c r="H5" s="2679"/>
      <c r="I5" s="2679"/>
      <c r="J5" s="2680"/>
      <c r="K5" s="2684" t="s">
        <v>130</v>
      </c>
      <c r="L5" s="2470"/>
      <c r="M5" s="2470"/>
      <c r="N5" s="2470"/>
      <c r="O5" s="2685"/>
      <c r="P5" s="2686" t="s">
        <v>129</v>
      </c>
      <c r="Q5" s="2470"/>
      <c r="R5" s="2470"/>
      <c r="S5" s="2470"/>
      <c r="T5" s="2685"/>
      <c r="U5" s="2548" t="s">
        <v>2</v>
      </c>
      <c r="V5" s="2545"/>
      <c r="W5" s="2545"/>
      <c r="X5" s="2545"/>
      <c r="Y5" s="2547"/>
      <c r="Z5" s="2548" t="s">
        <v>67</v>
      </c>
      <c r="AA5" s="2545"/>
      <c r="AB5" s="2545"/>
      <c r="AC5" s="2545"/>
      <c r="AD5" s="2547"/>
      <c r="AE5" s="2686" t="s">
        <v>128</v>
      </c>
      <c r="AF5" s="2470"/>
      <c r="AG5" s="2470"/>
      <c r="AH5" s="2470"/>
      <c r="AI5" s="2685"/>
      <c r="AJ5" s="2686" t="s">
        <v>1097</v>
      </c>
      <c r="AK5" s="2470"/>
      <c r="AL5" s="2470"/>
      <c r="AM5" s="2470"/>
      <c r="AN5" s="2685"/>
      <c r="AO5" s="2686" t="s">
        <v>25</v>
      </c>
      <c r="AP5" s="2470"/>
      <c r="AQ5" s="2470"/>
      <c r="AR5" s="2470"/>
      <c r="AS5" s="2487"/>
      <c r="AT5" s="2470" t="s">
        <v>29</v>
      </c>
      <c r="AU5" s="2470"/>
      <c r="AV5" s="2470"/>
      <c r="AW5" s="2470"/>
      <c r="AX5" s="2471"/>
    </row>
    <row r="6" spans="1:50" s="567" customFormat="1" ht="25" customHeight="1">
      <c r="B6" s="677" t="s">
        <v>165</v>
      </c>
      <c r="C6" s="678"/>
      <c r="D6" s="678"/>
      <c r="E6" s="678"/>
      <c r="F6" s="678"/>
      <c r="G6" s="678"/>
      <c r="H6" s="678"/>
      <c r="I6" s="678"/>
      <c r="J6" s="679"/>
      <c r="K6" s="2687"/>
      <c r="L6" s="2688"/>
      <c r="M6" s="2688"/>
      <c r="N6" s="2688"/>
      <c r="O6" s="2688"/>
      <c r="P6" s="2688"/>
      <c r="Q6" s="2688"/>
      <c r="R6" s="2688"/>
      <c r="S6" s="2688"/>
      <c r="T6" s="2688"/>
      <c r="U6" s="2688"/>
      <c r="V6" s="2688"/>
      <c r="W6" s="2688"/>
      <c r="X6" s="2688"/>
      <c r="Y6" s="2688"/>
      <c r="Z6" s="2688"/>
      <c r="AA6" s="2688"/>
      <c r="AB6" s="2688"/>
      <c r="AC6" s="2688"/>
      <c r="AD6" s="2688"/>
      <c r="AE6" s="2688"/>
      <c r="AF6" s="2688"/>
      <c r="AG6" s="2688"/>
      <c r="AH6" s="2688"/>
      <c r="AI6" s="2688"/>
      <c r="AJ6" s="2688"/>
      <c r="AK6" s="2688"/>
      <c r="AL6" s="2688"/>
      <c r="AM6" s="2688"/>
      <c r="AN6" s="2688"/>
      <c r="AO6" s="2688"/>
      <c r="AP6" s="2688"/>
      <c r="AQ6" s="2688"/>
      <c r="AR6" s="2688"/>
      <c r="AS6" s="2688"/>
      <c r="AT6" s="2688"/>
      <c r="AU6" s="2688"/>
      <c r="AV6" s="2688"/>
      <c r="AW6" s="2688"/>
      <c r="AX6" s="2689"/>
    </row>
    <row r="7" spans="1:50" s="568" customFormat="1" ht="30" customHeight="1">
      <c r="B7" s="687" t="s">
        <v>278</v>
      </c>
      <c r="C7" s="663"/>
      <c r="D7" s="663"/>
      <c r="E7" s="663"/>
      <c r="F7" s="663"/>
      <c r="G7" s="663"/>
      <c r="H7" s="663"/>
      <c r="I7" s="663"/>
      <c r="J7" s="664"/>
      <c r="K7" s="2727">
        <v>1</v>
      </c>
      <c r="L7" s="2728"/>
      <c r="M7" s="2728"/>
      <c r="N7" s="2728"/>
      <c r="O7" s="2729"/>
      <c r="P7" s="2730">
        <v>0</v>
      </c>
      <c r="Q7" s="2728"/>
      <c r="R7" s="2728"/>
      <c r="S7" s="2728"/>
      <c r="T7" s="2729"/>
      <c r="U7" s="2730">
        <v>0</v>
      </c>
      <c r="V7" s="2728"/>
      <c r="W7" s="2728"/>
      <c r="X7" s="2728"/>
      <c r="Y7" s="2729"/>
      <c r="Z7" s="2730">
        <v>0</v>
      </c>
      <c r="AA7" s="2728"/>
      <c r="AB7" s="2728"/>
      <c r="AC7" s="2728"/>
      <c r="AD7" s="2729"/>
      <c r="AE7" s="2730">
        <v>1</v>
      </c>
      <c r="AF7" s="2728"/>
      <c r="AG7" s="2728"/>
      <c r="AH7" s="2728"/>
      <c r="AI7" s="2729"/>
      <c r="AJ7" s="2730">
        <v>0</v>
      </c>
      <c r="AK7" s="2728"/>
      <c r="AL7" s="2728"/>
      <c r="AM7" s="2728"/>
      <c r="AN7" s="2729"/>
      <c r="AO7" s="2730">
        <v>6</v>
      </c>
      <c r="AP7" s="2728"/>
      <c r="AQ7" s="2728"/>
      <c r="AR7" s="2728"/>
      <c r="AS7" s="2731"/>
      <c r="AT7" s="2732">
        <f>SUM(K7:AS7)</f>
        <v>8</v>
      </c>
      <c r="AU7" s="2733"/>
      <c r="AV7" s="2733"/>
      <c r="AW7" s="2733"/>
      <c r="AX7" s="2734"/>
    </row>
    <row r="8" spans="1:50" s="568" customFormat="1" ht="30" customHeight="1">
      <c r="B8" s="689" t="s">
        <v>280</v>
      </c>
      <c r="C8" s="666"/>
      <c r="D8" s="666"/>
      <c r="E8" s="666"/>
      <c r="F8" s="666"/>
      <c r="G8" s="666"/>
      <c r="H8" s="666"/>
      <c r="I8" s="666"/>
      <c r="J8" s="667"/>
      <c r="K8" s="2690">
        <v>0</v>
      </c>
      <c r="L8" s="2691"/>
      <c r="M8" s="2691"/>
      <c r="N8" s="2691"/>
      <c r="O8" s="2692"/>
      <c r="P8" s="2693">
        <v>0</v>
      </c>
      <c r="Q8" s="2691"/>
      <c r="R8" s="2691"/>
      <c r="S8" s="2691"/>
      <c r="T8" s="2692"/>
      <c r="U8" s="2693">
        <v>0</v>
      </c>
      <c r="V8" s="2691"/>
      <c r="W8" s="2691"/>
      <c r="X8" s="2691"/>
      <c r="Y8" s="2692"/>
      <c r="Z8" s="2693">
        <v>0</v>
      </c>
      <c r="AA8" s="2691"/>
      <c r="AB8" s="2691"/>
      <c r="AC8" s="2691"/>
      <c r="AD8" s="2692"/>
      <c r="AE8" s="2693">
        <v>0</v>
      </c>
      <c r="AF8" s="2691"/>
      <c r="AG8" s="2691"/>
      <c r="AH8" s="2691"/>
      <c r="AI8" s="2692"/>
      <c r="AJ8" s="2693">
        <v>0</v>
      </c>
      <c r="AK8" s="2691"/>
      <c r="AL8" s="2691"/>
      <c r="AM8" s="2691"/>
      <c r="AN8" s="2692"/>
      <c r="AO8" s="2693">
        <v>0</v>
      </c>
      <c r="AP8" s="2691"/>
      <c r="AQ8" s="2691"/>
      <c r="AR8" s="2691"/>
      <c r="AS8" s="2694"/>
      <c r="AT8" s="2735">
        <f t="shared" ref="AT8:AT13" si="0">SUM(K8:AS8)</f>
        <v>0</v>
      </c>
      <c r="AU8" s="2736"/>
      <c r="AV8" s="2736"/>
      <c r="AW8" s="2736"/>
      <c r="AX8" s="2737"/>
    </row>
    <row r="9" spans="1:50" s="568" customFormat="1" ht="30" customHeight="1">
      <c r="B9" s="689" t="s">
        <v>281</v>
      </c>
      <c r="C9" s="666"/>
      <c r="D9" s="666"/>
      <c r="E9" s="666"/>
      <c r="F9" s="666"/>
      <c r="G9" s="666"/>
      <c r="H9" s="666"/>
      <c r="I9" s="666"/>
      <c r="J9" s="667"/>
      <c r="K9" s="2727">
        <v>0</v>
      </c>
      <c r="L9" s="2728"/>
      <c r="M9" s="2728"/>
      <c r="N9" s="2728"/>
      <c r="O9" s="2729"/>
      <c r="P9" s="2730">
        <v>0</v>
      </c>
      <c r="Q9" s="2728"/>
      <c r="R9" s="2728"/>
      <c r="S9" s="2728"/>
      <c r="T9" s="2729"/>
      <c r="U9" s="2730">
        <v>0</v>
      </c>
      <c r="V9" s="2728"/>
      <c r="W9" s="2728"/>
      <c r="X9" s="2728"/>
      <c r="Y9" s="2729"/>
      <c r="Z9" s="2730">
        <v>0</v>
      </c>
      <c r="AA9" s="2728"/>
      <c r="AB9" s="2728"/>
      <c r="AC9" s="2728"/>
      <c r="AD9" s="2729"/>
      <c r="AE9" s="2730">
        <v>0</v>
      </c>
      <c r="AF9" s="2728"/>
      <c r="AG9" s="2728"/>
      <c r="AH9" s="2728"/>
      <c r="AI9" s="2729"/>
      <c r="AJ9" s="2730">
        <v>0</v>
      </c>
      <c r="AK9" s="2728"/>
      <c r="AL9" s="2728"/>
      <c r="AM9" s="2728"/>
      <c r="AN9" s="2729"/>
      <c r="AO9" s="2730">
        <v>8</v>
      </c>
      <c r="AP9" s="2728"/>
      <c r="AQ9" s="2728"/>
      <c r="AR9" s="2728"/>
      <c r="AS9" s="2731"/>
      <c r="AT9" s="2735">
        <f t="shared" si="0"/>
        <v>8</v>
      </c>
      <c r="AU9" s="2736"/>
      <c r="AV9" s="2736"/>
      <c r="AW9" s="2736"/>
      <c r="AX9" s="2737"/>
    </row>
    <row r="10" spans="1:50" s="568" customFormat="1" ht="30" customHeight="1">
      <c r="B10" s="689" t="s">
        <v>282</v>
      </c>
      <c r="C10" s="666"/>
      <c r="D10" s="666"/>
      <c r="E10" s="666"/>
      <c r="F10" s="666"/>
      <c r="G10" s="666"/>
      <c r="H10" s="666"/>
      <c r="I10" s="666"/>
      <c r="J10" s="667"/>
      <c r="K10" s="2690">
        <v>2</v>
      </c>
      <c r="L10" s="2691"/>
      <c r="M10" s="2691"/>
      <c r="N10" s="2691"/>
      <c r="O10" s="2692"/>
      <c r="P10" s="2693">
        <v>0</v>
      </c>
      <c r="Q10" s="2691"/>
      <c r="R10" s="2691"/>
      <c r="S10" s="2691"/>
      <c r="T10" s="2692"/>
      <c r="U10" s="2693">
        <v>0</v>
      </c>
      <c r="V10" s="2691"/>
      <c r="W10" s="2691"/>
      <c r="X10" s="2691"/>
      <c r="Y10" s="2692"/>
      <c r="Z10" s="2693">
        <v>0</v>
      </c>
      <c r="AA10" s="2691"/>
      <c r="AB10" s="2691"/>
      <c r="AC10" s="2691"/>
      <c r="AD10" s="2692"/>
      <c r="AE10" s="2693">
        <v>0</v>
      </c>
      <c r="AF10" s="2691"/>
      <c r="AG10" s="2691"/>
      <c r="AH10" s="2691"/>
      <c r="AI10" s="2692"/>
      <c r="AJ10" s="2693">
        <v>0</v>
      </c>
      <c r="AK10" s="2691"/>
      <c r="AL10" s="2691"/>
      <c r="AM10" s="2691"/>
      <c r="AN10" s="2692"/>
      <c r="AO10" s="2693">
        <v>0</v>
      </c>
      <c r="AP10" s="2691"/>
      <c r="AQ10" s="2691"/>
      <c r="AR10" s="2691"/>
      <c r="AS10" s="2694"/>
      <c r="AT10" s="2735">
        <f t="shared" si="0"/>
        <v>2</v>
      </c>
      <c r="AU10" s="2736"/>
      <c r="AV10" s="2736"/>
      <c r="AW10" s="2736"/>
      <c r="AX10" s="2737"/>
    </row>
    <row r="11" spans="1:50" s="568" customFormat="1" ht="30" customHeight="1">
      <c r="B11" s="691" t="s">
        <v>283</v>
      </c>
      <c r="C11" s="669"/>
      <c r="D11" s="669"/>
      <c r="E11" s="669"/>
      <c r="F11" s="669"/>
      <c r="G11" s="669"/>
      <c r="H11" s="669"/>
      <c r="I11" s="669"/>
      <c r="J11" s="670"/>
      <c r="K11" s="2727">
        <v>0</v>
      </c>
      <c r="L11" s="2728"/>
      <c r="M11" s="2728"/>
      <c r="N11" s="2728"/>
      <c r="O11" s="2729"/>
      <c r="P11" s="2730">
        <v>0</v>
      </c>
      <c r="Q11" s="2728"/>
      <c r="R11" s="2728"/>
      <c r="S11" s="2728"/>
      <c r="T11" s="2729"/>
      <c r="U11" s="2730">
        <v>0</v>
      </c>
      <c r="V11" s="2728"/>
      <c r="W11" s="2728"/>
      <c r="X11" s="2728"/>
      <c r="Y11" s="2729"/>
      <c r="Z11" s="2730">
        <v>0</v>
      </c>
      <c r="AA11" s="2728"/>
      <c r="AB11" s="2728"/>
      <c r="AC11" s="2728"/>
      <c r="AD11" s="2729"/>
      <c r="AE11" s="2730">
        <v>0</v>
      </c>
      <c r="AF11" s="2728"/>
      <c r="AG11" s="2728"/>
      <c r="AH11" s="2728"/>
      <c r="AI11" s="2729"/>
      <c r="AJ11" s="2730">
        <v>0</v>
      </c>
      <c r="AK11" s="2728"/>
      <c r="AL11" s="2728"/>
      <c r="AM11" s="2728"/>
      <c r="AN11" s="2729"/>
      <c r="AO11" s="2730">
        <v>0</v>
      </c>
      <c r="AP11" s="2728"/>
      <c r="AQ11" s="2728"/>
      <c r="AR11" s="2728"/>
      <c r="AS11" s="2731"/>
      <c r="AT11" s="2735">
        <f t="shared" si="0"/>
        <v>0</v>
      </c>
      <c r="AU11" s="2736"/>
      <c r="AV11" s="2736"/>
      <c r="AW11" s="2736"/>
      <c r="AX11" s="2737"/>
    </row>
    <row r="12" spans="1:50" s="568" customFormat="1" ht="30" customHeight="1">
      <c r="B12" s="693" t="s">
        <v>284</v>
      </c>
      <c r="C12" s="694"/>
      <c r="D12" s="694"/>
      <c r="E12" s="694"/>
      <c r="F12" s="694"/>
      <c r="G12" s="694"/>
      <c r="H12" s="694"/>
      <c r="I12" s="694"/>
      <c r="J12" s="695"/>
      <c r="K12" s="2690">
        <v>0</v>
      </c>
      <c r="L12" s="2691"/>
      <c r="M12" s="2691"/>
      <c r="N12" s="2691"/>
      <c r="O12" s="2692"/>
      <c r="P12" s="2693">
        <v>0</v>
      </c>
      <c r="Q12" s="2691"/>
      <c r="R12" s="2691"/>
      <c r="S12" s="2691"/>
      <c r="T12" s="2692"/>
      <c r="U12" s="2693">
        <v>0</v>
      </c>
      <c r="V12" s="2691"/>
      <c r="W12" s="2691"/>
      <c r="X12" s="2691"/>
      <c r="Y12" s="2692"/>
      <c r="Z12" s="2693">
        <v>0</v>
      </c>
      <c r="AA12" s="2691"/>
      <c r="AB12" s="2691"/>
      <c r="AC12" s="2691"/>
      <c r="AD12" s="2692"/>
      <c r="AE12" s="2693">
        <v>0</v>
      </c>
      <c r="AF12" s="2691"/>
      <c r="AG12" s="2691"/>
      <c r="AH12" s="2691"/>
      <c r="AI12" s="2692"/>
      <c r="AJ12" s="2693">
        <v>0</v>
      </c>
      <c r="AK12" s="2691"/>
      <c r="AL12" s="2691"/>
      <c r="AM12" s="2691"/>
      <c r="AN12" s="2692"/>
      <c r="AO12" s="2693">
        <v>0</v>
      </c>
      <c r="AP12" s="2691"/>
      <c r="AQ12" s="2691"/>
      <c r="AR12" s="2691"/>
      <c r="AS12" s="2694"/>
      <c r="AT12" s="2738">
        <f t="shared" si="0"/>
        <v>0</v>
      </c>
      <c r="AU12" s="2739"/>
      <c r="AV12" s="2739"/>
      <c r="AW12" s="2739"/>
      <c r="AX12" s="2740"/>
    </row>
    <row r="13" spans="1:50" s="568" customFormat="1" ht="30" customHeight="1">
      <c r="B13" s="696" t="s">
        <v>1363</v>
      </c>
      <c r="C13" s="697"/>
      <c r="D13" s="697"/>
      <c r="E13" s="697"/>
      <c r="F13" s="697"/>
      <c r="G13" s="697"/>
      <c r="H13" s="697"/>
      <c r="I13" s="697"/>
      <c r="J13" s="698"/>
      <c r="K13" s="2727">
        <v>0</v>
      </c>
      <c r="L13" s="2728"/>
      <c r="M13" s="2728"/>
      <c r="N13" s="2728"/>
      <c r="O13" s="2729"/>
      <c r="P13" s="2730">
        <v>0</v>
      </c>
      <c r="Q13" s="2728"/>
      <c r="R13" s="2728"/>
      <c r="S13" s="2728"/>
      <c r="T13" s="2729"/>
      <c r="U13" s="2730">
        <v>0</v>
      </c>
      <c r="V13" s="2728"/>
      <c r="W13" s="2728"/>
      <c r="X13" s="2728"/>
      <c r="Y13" s="2729"/>
      <c r="Z13" s="2730">
        <v>0</v>
      </c>
      <c r="AA13" s="2728"/>
      <c r="AB13" s="2728"/>
      <c r="AC13" s="2728"/>
      <c r="AD13" s="2729"/>
      <c r="AE13" s="2730">
        <v>0</v>
      </c>
      <c r="AF13" s="2728"/>
      <c r="AG13" s="2728"/>
      <c r="AH13" s="2728"/>
      <c r="AI13" s="2729"/>
      <c r="AJ13" s="2730">
        <v>0</v>
      </c>
      <c r="AK13" s="2728"/>
      <c r="AL13" s="2728"/>
      <c r="AM13" s="2728"/>
      <c r="AN13" s="2729"/>
      <c r="AO13" s="2730">
        <v>0</v>
      </c>
      <c r="AP13" s="2728"/>
      <c r="AQ13" s="2728"/>
      <c r="AR13" s="2728"/>
      <c r="AS13" s="2731"/>
      <c r="AT13" s="2738">
        <f t="shared" si="0"/>
        <v>0</v>
      </c>
      <c r="AU13" s="2739"/>
      <c r="AV13" s="2739"/>
      <c r="AW13" s="2739"/>
      <c r="AX13" s="2740"/>
    </row>
    <row r="14" spans="1:50" s="567" customFormat="1" ht="25" customHeight="1">
      <c r="B14" s="672" t="s">
        <v>166</v>
      </c>
      <c r="C14" s="673"/>
      <c r="D14" s="673"/>
      <c r="E14" s="673"/>
      <c r="F14" s="673"/>
      <c r="G14" s="673"/>
      <c r="H14" s="673"/>
      <c r="I14" s="673"/>
      <c r="J14" s="667"/>
      <c r="K14" s="2741"/>
      <c r="L14" s="2742"/>
      <c r="M14" s="2742"/>
      <c r="N14" s="2742"/>
      <c r="O14" s="2742"/>
      <c r="P14" s="2742"/>
      <c r="Q14" s="2742"/>
      <c r="R14" s="2742"/>
      <c r="S14" s="2742"/>
      <c r="T14" s="2742"/>
      <c r="U14" s="2742"/>
      <c r="V14" s="2742"/>
      <c r="W14" s="2742"/>
      <c r="X14" s="2742"/>
      <c r="Y14" s="2742"/>
      <c r="Z14" s="2742"/>
      <c r="AA14" s="2742"/>
      <c r="AB14" s="2742"/>
      <c r="AC14" s="2742"/>
      <c r="AD14" s="2742"/>
      <c r="AE14" s="2742"/>
      <c r="AF14" s="2742"/>
      <c r="AG14" s="2742"/>
      <c r="AH14" s="2742"/>
      <c r="AI14" s="2742"/>
      <c r="AJ14" s="2742"/>
      <c r="AK14" s="2742"/>
      <c r="AL14" s="2742"/>
      <c r="AM14" s="2742"/>
      <c r="AN14" s="2742"/>
      <c r="AO14" s="2742"/>
      <c r="AP14" s="2742"/>
      <c r="AQ14" s="2742"/>
      <c r="AR14" s="2742"/>
      <c r="AS14" s="2742"/>
      <c r="AT14" s="2742"/>
      <c r="AU14" s="2742"/>
      <c r="AV14" s="2742"/>
      <c r="AW14" s="2742"/>
      <c r="AX14" s="2743"/>
    </row>
    <row r="15" spans="1:50" s="568" customFormat="1" ht="30" customHeight="1">
      <c r="B15" s="687" t="s">
        <v>278</v>
      </c>
      <c r="C15" s="688"/>
      <c r="D15" s="663"/>
      <c r="E15" s="663"/>
      <c r="F15" s="663"/>
      <c r="G15" s="663"/>
      <c r="H15" s="663"/>
      <c r="I15" s="663"/>
      <c r="J15" s="664"/>
      <c r="K15" s="2727">
        <v>0</v>
      </c>
      <c r="L15" s="2728"/>
      <c r="M15" s="2728"/>
      <c r="N15" s="2728"/>
      <c r="O15" s="2729"/>
      <c r="P15" s="2730">
        <v>0</v>
      </c>
      <c r="Q15" s="2728"/>
      <c r="R15" s="2728"/>
      <c r="S15" s="2728"/>
      <c r="T15" s="2729"/>
      <c r="U15" s="2730">
        <v>0</v>
      </c>
      <c r="V15" s="2728"/>
      <c r="W15" s="2728"/>
      <c r="X15" s="2728"/>
      <c r="Y15" s="2729"/>
      <c r="Z15" s="2730">
        <v>0</v>
      </c>
      <c r="AA15" s="2728"/>
      <c r="AB15" s="2728"/>
      <c r="AC15" s="2728"/>
      <c r="AD15" s="2729"/>
      <c r="AE15" s="2730">
        <v>0</v>
      </c>
      <c r="AF15" s="2728"/>
      <c r="AG15" s="2728"/>
      <c r="AH15" s="2728"/>
      <c r="AI15" s="2729"/>
      <c r="AJ15" s="2730">
        <v>0</v>
      </c>
      <c r="AK15" s="2728"/>
      <c r="AL15" s="2728"/>
      <c r="AM15" s="2728"/>
      <c r="AN15" s="2729"/>
      <c r="AO15" s="2730">
        <v>0</v>
      </c>
      <c r="AP15" s="2728"/>
      <c r="AQ15" s="2728"/>
      <c r="AR15" s="2728"/>
      <c r="AS15" s="2731"/>
      <c r="AT15" s="2732">
        <f t="shared" ref="AT15:AT21" si="1">SUM(K15:AS15)</f>
        <v>0</v>
      </c>
      <c r="AU15" s="2733"/>
      <c r="AV15" s="2733"/>
      <c r="AW15" s="2733"/>
      <c r="AX15" s="2734"/>
    </row>
    <row r="16" spans="1:50" s="568" customFormat="1" ht="30" customHeight="1">
      <c r="B16" s="689" t="s">
        <v>280</v>
      </c>
      <c r="C16" s="690"/>
      <c r="D16" s="666"/>
      <c r="E16" s="666"/>
      <c r="F16" s="666"/>
      <c r="G16" s="666"/>
      <c r="H16" s="666"/>
      <c r="I16" s="666"/>
      <c r="J16" s="667"/>
      <c r="K16" s="2690">
        <v>0</v>
      </c>
      <c r="L16" s="2691"/>
      <c r="M16" s="2691"/>
      <c r="N16" s="2691"/>
      <c r="O16" s="2692"/>
      <c r="P16" s="2693">
        <v>0</v>
      </c>
      <c r="Q16" s="2691"/>
      <c r="R16" s="2691"/>
      <c r="S16" s="2691"/>
      <c r="T16" s="2692"/>
      <c r="U16" s="2693">
        <v>0</v>
      </c>
      <c r="V16" s="2691"/>
      <c r="W16" s="2691"/>
      <c r="X16" s="2691"/>
      <c r="Y16" s="2692"/>
      <c r="Z16" s="2693">
        <v>0</v>
      </c>
      <c r="AA16" s="2691"/>
      <c r="AB16" s="2691"/>
      <c r="AC16" s="2691"/>
      <c r="AD16" s="2692"/>
      <c r="AE16" s="2693">
        <v>0</v>
      </c>
      <c r="AF16" s="2691"/>
      <c r="AG16" s="2691"/>
      <c r="AH16" s="2691"/>
      <c r="AI16" s="2692"/>
      <c r="AJ16" s="2693">
        <v>0</v>
      </c>
      <c r="AK16" s="2691"/>
      <c r="AL16" s="2691"/>
      <c r="AM16" s="2691"/>
      <c r="AN16" s="2692"/>
      <c r="AO16" s="2693">
        <v>0</v>
      </c>
      <c r="AP16" s="2691"/>
      <c r="AQ16" s="2691"/>
      <c r="AR16" s="2691"/>
      <c r="AS16" s="2694"/>
      <c r="AT16" s="2735">
        <f t="shared" si="1"/>
        <v>0</v>
      </c>
      <c r="AU16" s="2736"/>
      <c r="AV16" s="2736"/>
      <c r="AW16" s="2736"/>
      <c r="AX16" s="2737"/>
    </row>
    <row r="17" spans="2:84" s="568" customFormat="1" ht="30" customHeight="1">
      <c r="B17" s="689" t="s">
        <v>281</v>
      </c>
      <c r="C17" s="690"/>
      <c r="D17" s="666"/>
      <c r="E17" s="666"/>
      <c r="F17" s="666"/>
      <c r="G17" s="666"/>
      <c r="H17" s="666"/>
      <c r="I17" s="666"/>
      <c r="J17" s="667"/>
      <c r="K17" s="2727">
        <v>0</v>
      </c>
      <c r="L17" s="2728"/>
      <c r="M17" s="2728"/>
      <c r="N17" s="2728"/>
      <c r="O17" s="2729"/>
      <c r="P17" s="2730">
        <v>0</v>
      </c>
      <c r="Q17" s="2728"/>
      <c r="R17" s="2728"/>
      <c r="S17" s="2728"/>
      <c r="T17" s="2729"/>
      <c r="U17" s="2730">
        <v>0</v>
      </c>
      <c r="V17" s="2728"/>
      <c r="W17" s="2728"/>
      <c r="X17" s="2728"/>
      <c r="Y17" s="2729"/>
      <c r="Z17" s="2730">
        <v>0</v>
      </c>
      <c r="AA17" s="2728"/>
      <c r="AB17" s="2728"/>
      <c r="AC17" s="2728"/>
      <c r="AD17" s="2729"/>
      <c r="AE17" s="2730">
        <v>0</v>
      </c>
      <c r="AF17" s="2728"/>
      <c r="AG17" s="2728"/>
      <c r="AH17" s="2728"/>
      <c r="AI17" s="2729"/>
      <c r="AJ17" s="2730">
        <v>0</v>
      </c>
      <c r="AK17" s="2728"/>
      <c r="AL17" s="2728"/>
      <c r="AM17" s="2728"/>
      <c r="AN17" s="2729"/>
      <c r="AO17" s="2730">
        <v>0</v>
      </c>
      <c r="AP17" s="2728"/>
      <c r="AQ17" s="2728"/>
      <c r="AR17" s="2728"/>
      <c r="AS17" s="2731"/>
      <c r="AT17" s="2735">
        <f t="shared" si="1"/>
        <v>0</v>
      </c>
      <c r="AU17" s="2736"/>
      <c r="AV17" s="2736"/>
      <c r="AW17" s="2736"/>
      <c r="AX17" s="2737"/>
    </row>
    <row r="18" spans="2:84" s="568" customFormat="1" ht="30" customHeight="1">
      <c r="B18" s="689" t="s">
        <v>282</v>
      </c>
      <c r="C18" s="690"/>
      <c r="D18" s="666"/>
      <c r="E18" s="666"/>
      <c r="F18" s="666"/>
      <c r="G18" s="666"/>
      <c r="H18" s="666"/>
      <c r="I18" s="666"/>
      <c r="J18" s="667"/>
      <c r="K18" s="2690">
        <v>0</v>
      </c>
      <c r="L18" s="2691"/>
      <c r="M18" s="2691"/>
      <c r="N18" s="2691"/>
      <c r="O18" s="2692"/>
      <c r="P18" s="2693">
        <v>0</v>
      </c>
      <c r="Q18" s="2691"/>
      <c r="R18" s="2691"/>
      <c r="S18" s="2691"/>
      <c r="T18" s="2692"/>
      <c r="U18" s="2693">
        <v>0</v>
      </c>
      <c r="V18" s="2691"/>
      <c r="W18" s="2691"/>
      <c r="X18" s="2691"/>
      <c r="Y18" s="2692"/>
      <c r="Z18" s="2693">
        <v>0</v>
      </c>
      <c r="AA18" s="2691"/>
      <c r="AB18" s="2691"/>
      <c r="AC18" s="2691"/>
      <c r="AD18" s="2692"/>
      <c r="AE18" s="2693">
        <v>0</v>
      </c>
      <c r="AF18" s="2691"/>
      <c r="AG18" s="2691"/>
      <c r="AH18" s="2691"/>
      <c r="AI18" s="2692"/>
      <c r="AJ18" s="2693">
        <v>0</v>
      </c>
      <c r="AK18" s="2691"/>
      <c r="AL18" s="2691"/>
      <c r="AM18" s="2691"/>
      <c r="AN18" s="2692"/>
      <c r="AO18" s="2693">
        <v>0</v>
      </c>
      <c r="AP18" s="2691"/>
      <c r="AQ18" s="2691"/>
      <c r="AR18" s="2691"/>
      <c r="AS18" s="2694"/>
      <c r="AT18" s="2735">
        <f t="shared" si="1"/>
        <v>0</v>
      </c>
      <c r="AU18" s="2736"/>
      <c r="AV18" s="2736"/>
      <c r="AW18" s="2736"/>
      <c r="AX18" s="2737"/>
    </row>
    <row r="19" spans="2:84" s="568" customFormat="1" ht="30" customHeight="1">
      <c r="B19" s="689" t="s">
        <v>283</v>
      </c>
      <c r="C19" s="690"/>
      <c r="D19" s="666"/>
      <c r="E19" s="666"/>
      <c r="F19" s="666"/>
      <c r="G19" s="666"/>
      <c r="H19" s="666"/>
      <c r="I19" s="666"/>
      <c r="J19" s="667"/>
      <c r="K19" s="2727">
        <v>0</v>
      </c>
      <c r="L19" s="2728"/>
      <c r="M19" s="2728"/>
      <c r="N19" s="2728"/>
      <c r="O19" s="2729"/>
      <c r="P19" s="2730">
        <v>0</v>
      </c>
      <c r="Q19" s="2728"/>
      <c r="R19" s="2728"/>
      <c r="S19" s="2728"/>
      <c r="T19" s="2729"/>
      <c r="U19" s="2730">
        <v>0</v>
      </c>
      <c r="V19" s="2728"/>
      <c r="W19" s="2728"/>
      <c r="X19" s="2728"/>
      <c r="Y19" s="2729"/>
      <c r="Z19" s="2730">
        <v>0</v>
      </c>
      <c r="AA19" s="2728"/>
      <c r="AB19" s="2728"/>
      <c r="AC19" s="2728"/>
      <c r="AD19" s="2729"/>
      <c r="AE19" s="2730">
        <v>0</v>
      </c>
      <c r="AF19" s="2728"/>
      <c r="AG19" s="2728"/>
      <c r="AH19" s="2728"/>
      <c r="AI19" s="2729"/>
      <c r="AJ19" s="2730">
        <v>0</v>
      </c>
      <c r="AK19" s="2728"/>
      <c r="AL19" s="2728"/>
      <c r="AM19" s="2728"/>
      <c r="AN19" s="2729"/>
      <c r="AO19" s="2730">
        <v>0</v>
      </c>
      <c r="AP19" s="2728"/>
      <c r="AQ19" s="2728"/>
      <c r="AR19" s="2728"/>
      <c r="AS19" s="2731"/>
      <c r="AT19" s="2735">
        <f t="shared" si="1"/>
        <v>0</v>
      </c>
      <c r="AU19" s="2736"/>
      <c r="AV19" s="2736"/>
      <c r="AW19" s="2736"/>
      <c r="AX19" s="2737"/>
    </row>
    <row r="20" spans="2:84" s="568" customFormat="1" ht="30" customHeight="1" thickBot="1">
      <c r="B20" s="691" t="s">
        <v>284</v>
      </c>
      <c r="C20" s="692"/>
      <c r="D20" s="669"/>
      <c r="E20" s="669"/>
      <c r="F20" s="669"/>
      <c r="G20" s="669"/>
      <c r="H20" s="669"/>
      <c r="I20" s="669"/>
      <c r="J20" s="671"/>
      <c r="K20" s="2690">
        <v>0</v>
      </c>
      <c r="L20" s="2691"/>
      <c r="M20" s="2691"/>
      <c r="N20" s="2691"/>
      <c r="O20" s="2692"/>
      <c r="P20" s="2693">
        <v>0</v>
      </c>
      <c r="Q20" s="2691"/>
      <c r="R20" s="2691"/>
      <c r="S20" s="2691"/>
      <c r="T20" s="2692"/>
      <c r="U20" s="2693">
        <v>0</v>
      </c>
      <c r="V20" s="2691"/>
      <c r="W20" s="2691"/>
      <c r="X20" s="2691"/>
      <c r="Y20" s="2692"/>
      <c r="Z20" s="2693">
        <v>0</v>
      </c>
      <c r="AA20" s="2691"/>
      <c r="AB20" s="2691"/>
      <c r="AC20" s="2691"/>
      <c r="AD20" s="2692"/>
      <c r="AE20" s="2693">
        <v>0</v>
      </c>
      <c r="AF20" s="2691"/>
      <c r="AG20" s="2691"/>
      <c r="AH20" s="2691"/>
      <c r="AI20" s="2692"/>
      <c r="AJ20" s="2693">
        <v>0</v>
      </c>
      <c r="AK20" s="2691"/>
      <c r="AL20" s="2691"/>
      <c r="AM20" s="2691"/>
      <c r="AN20" s="2692"/>
      <c r="AO20" s="2693">
        <v>0</v>
      </c>
      <c r="AP20" s="2691"/>
      <c r="AQ20" s="2691"/>
      <c r="AR20" s="2691"/>
      <c r="AS20" s="2694"/>
      <c r="AT20" s="2703">
        <f t="shared" si="1"/>
        <v>0</v>
      </c>
      <c r="AU20" s="2704"/>
      <c r="AV20" s="2704"/>
      <c r="AW20" s="2704"/>
      <c r="AX20" s="2705"/>
    </row>
    <row r="21" spans="2:84" s="567" customFormat="1" ht="30" customHeight="1" thickTop="1" thickBot="1">
      <c r="B21" s="656" t="s">
        <v>1098</v>
      </c>
      <c r="C21" s="657"/>
      <c r="D21" s="657"/>
      <c r="E21" s="657"/>
      <c r="F21" s="657"/>
      <c r="G21" s="657"/>
      <c r="H21" s="657"/>
      <c r="I21" s="657"/>
      <c r="J21" s="658"/>
      <c r="K21" s="2745">
        <f>SUM(K7:O13,K15:O20)</f>
        <v>3</v>
      </c>
      <c r="L21" s="2746"/>
      <c r="M21" s="2746"/>
      <c r="N21" s="2746"/>
      <c r="O21" s="2747"/>
      <c r="P21" s="2748">
        <f t="shared" ref="P21" si="2">SUM(P7:T13,P15:T20)</f>
        <v>0</v>
      </c>
      <c r="Q21" s="2746"/>
      <c r="R21" s="2746"/>
      <c r="S21" s="2746"/>
      <c r="T21" s="2747"/>
      <c r="U21" s="2748">
        <f t="shared" ref="U21" si="3">SUM(U7:Y13,U15:Y20)</f>
        <v>0</v>
      </c>
      <c r="V21" s="2746"/>
      <c r="W21" s="2746"/>
      <c r="X21" s="2746"/>
      <c r="Y21" s="2747"/>
      <c r="Z21" s="2748">
        <f t="shared" ref="Z21" si="4">SUM(Z7:AD13,Z15:AD20)</f>
        <v>0</v>
      </c>
      <c r="AA21" s="2746"/>
      <c r="AB21" s="2746"/>
      <c r="AC21" s="2746"/>
      <c r="AD21" s="2747"/>
      <c r="AE21" s="2749">
        <f t="shared" ref="AE21" si="5">SUM(AE7:AI13,AE15:AI20)</f>
        <v>1</v>
      </c>
      <c r="AF21" s="2750"/>
      <c r="AG21" s="2750"/>
      <c r="AH21" s="2750"/>
      <c r="AI21" s="2751"/>
      <c r="AJ21" s="2749">
        <f t="shared" ref="AJ21" si="6">SUM(AJ7:AN13,AJ15:AN20)</f>
        <v>0</v>
      </c>
      <c r="AK21" s="2750"/>
      <c r="AL21" s="2750"/>
      <c r="AM21" s="2750"/>
      <c r="AN21" s="2751"/>
      <c r="AO21" s="2749">
        <f t="shared" ref="AO21" si="7">SUM(AO7:AS13,AO15:AS20)</f>
        <v>14</v>
      </c>
      <c r="AP21" s="2750"/>
      <c r="AQ21" s="2750"/>
      <c r="AR21" s="2750"/>
      <c r="AS21" s="2752"/>
      <c r="AT21" s="2753">
        <f t="shared" si="1"/>
        <v>18</v>
      </c>
      <c r="AU21" s="2750"/>
      <c r="AV21" s="2750"/>
      <c r="AW21" s="2750"/>
      <c r="AX21" s="2754"/>
      <c r="BN21" s="659"/>
      <c r="BO21" s="659"/>
      <c r="BP21" s="659"/>
      <c r="BQ21" s="659"/>
      <c r="BR21" s="659"/>
      <c r="BS21" s="659"/>
      <c r="BT21" s="659"/>
      <c r="BU21" s="659"/>
      <c r="BV21" s="659"/>
      <c r="BW21" s="659"/>
      <c r="BX21" s="659"/>
      <c r="BY21" s="659"/>
      <c r="BZ21" s="659"/>
      <c r="CA21" s="659"/>
      <c r="CB21" s="659"/>
      <c r="CC21" s="659"/>
      <c r="CD21" s="659"/>
      <c r="CE21" s="659"/>
      <c r="CF21" s="659"/>
    </row>
    <row r="22" spans="2:84" s="522" customFormat="1" ht="20.149999999999999" customHeight="1">
      <c r="B22" s="2723" t="s">
        <v>1394</v>
      </c>
      <c r="C22" s="2723"/>
      <c r="D22" s="2723"/>
      <c r="E22" s="2723"/>
      <c r="F22" s="2723"/>
      <c r="G22" s="2723"/>
      <c r="H22" s="2723"/>
      <c r="I22" s="2723"/>
      <c r="J22" s="2723"/>
      <c r="K22" s="2723"/>
      <c r="L22" s="2723"/>
      <c r="M22" s="2723"/>
      <c r="N22" s="2723"/>
      <c r="O22" s="2723"/>
      <c r="P22" s="2723"/>
      <c r="Q22" s="2723"/>
      <c r="R22" s="2723"/>
      <c r="S22" s="2723"/>
      <c r="T22" s="2723"/>
      <c r="U22" s="2723"/>
      <c r="V22" s="2723"/>
      <c r="W22" s="2723"/>
      <c r="X22" s="2723"/>
      <c r="Y22" s="2723"/>
      <c r="Z22" s="2723"/>
      <c r="AA22" s="2723"/>
      <c r="AB22" s="2723"/>
      <c r="AC22" s="2723"/>
      <c r="AD22" s="2723"/>
      <c r="AE22" s="2723"/>
      <c r="AF22" s="2723"/>
      <c r="AG22" s="2723"/>
      <c r="AH22" s="2723"/>
      <c r="AI22" s="2723"/>
      <c r="AJ22" s="2723"/>
      <c r="AK22" s="2723"/>
      <c r="AL22" s="2723"/>
      <c r="AM22" s="2723"/>
      <c r="AN22" s="2723"/>
      <c r="AO22" s="2723"/>
      <c r="AP22" s="2723"/>
      <c r="AQ22" s="2723"/>
      <c r="AR22" s="2723"/>
      <c r="AS22" s="2723"/>
      <c r="AT22" s="2723"/>
      <c r="AU22" s="2723"/>
      <c r="AV22" s="2723"/>
      <c r="AW22" s="2723"/>
      <c r="AX22" s="2723"/>
      <c r="AY22" s="682"/>
      <c r="AZ22" s="682"/>
      <c r="BA22" s="682"/>
    </row>
    <row r="23" spans="2:84" s="522" customFormat="1" ht="20.149999999999999" customHeight="1">
      <c r="C23" s="683" t="s">
        <v>151</v>
      </c>
      <c r="D23" s="2744" t="s">
        <v>1109</v>
      </c>
      <c r="E23" s="2744"/>
      <c r="F23" s="2744"/>
      <c r="G23" s="2744"/>
      <c r="H23" s="2744"/>
      <c r="I23" s="2744"/>
      <c r="J23" s="2744"/>
      <c r="K23" s="2744"/>
      <c r="L23" s="2744"/>
      <c r="M23" s="2744"/>
      <c r="N23" s="2744"/>
      <c r="O23" s="2744"/>
      <c r="P23" s="2744"/>
      <c r="Q23" s="2744"/>
      <c r="R23" s="2744"/>
      <c r="S23" s="2744"/>
      <c r="T23" s="2744"/>
      <c r="U23" s="2744"/>
      <c r="V23" s="2744"/>
      <c r="W23" s="2744"/>
      <c r="X23" s="2744"/>
      <c r="Y23" s="2744"/>
      <c r="Z23" s="2744"/>
      <c r="AA23" s="2744"/>
      <c r="AB23" s="2744"/>
      <c r="AC23" s="2744"/>
      <c r="AD23" s="2744"/>
      <c r="AE23" s="2744"/>
      <c r="AF23" s="2744"/>
      <c r="AG23" s="2744"/>
      <c r="AH23" s="2744"/>
      <c r="AI23" s="2744"/>
      <c r="AJ23" s="2744"/>
      <c r="AK23" s="2744"/>
      <c r="AL23" s="2744"/>
      <c r="AM23" s="2744"/>
      <c r="AN23" s="2744"/>
      <c r="AO23" s="2744"/>
      <c r="AP23" s="2744"/>
      <c r="AQ23" s="2744"/>
      <c r="AR23" s="2744"/>
      <c r="AS23" s="2744"/>
      <c r="AT23" s="2744"/>
      <c r="AU23" s="2744"/>
      <c r="AV23" s="2744"/>
      <c r="AW23" s="2744"/>
      <c r="AX23" s="2744"/>
      <c r="AY23" s="684"/>
      <c r="AZ23" s="684"/>
      <c r="BA23" s="684"/>
    </row>
    <row r="24" spans="2:84" s="522" customFormat="1" ht="20.149999999999999" customHeight="1">
      <c r="C24" s="683" t="s">
        <v>152</v>
      </c>
      <c r="D24" s="2744" t="s">
        <v>1110</v>
      </c>
      <c r="E24" s="2744"/>
      <c r="F24" s="2744"/>
      <c r="G24" s="2744"/>
      <c r="H24" s="2744"/>
      <c r="I24" s="2744"/>
      <c r="J24" s="2744"/>
      <c r="K24" s="2744"/>
      <c r="L24" s="2744"/>
      <c r="M24" s="2744"/>
      <c r="N24" s="2744"/>
      <c r="O24" s="2744"/>
      <c r="P24" s="2744"/>
      <c r="Q24" s="2744"/>
      <c r="R24" s="2744"/>
      <c r="S24" s="2744"/>
      <c r="T24" s="2744"/>
      <c r="U24" s="2744"/>
      <c r="V24" s="2744"/>
      <c r="W24" s="2744"/>
      <c r="X24" s="2744"/>
      <c r="Y24" s="2744"/>
      <c r="Z24" s="2744"/>
      <c r="AA24" s="2744"/>
      <c r="AB24" s="2744"/>
      <c r="AC24" s="2744"/>
      <c r="AD24" s="2744"/>
      <c r="AE24" s="2744"/>
      <c r="AF24" s="2744"/>
      <c r="AG24" s="2744"/>
      <c r="AH24" s="2744"/>
      <c r="AI24" s="2744"/>
      <c r="AJ24" s="2744"/>
      <c r="AK24" s="2744"/>
      <c r="AL24" s="2744"/>
      <c r="AM24" s="2744"/>
      <c r="AN24" s="2744"/>
      <c r="AO24" s="2744"/>
      <c r="AP24" s="2744"/>
      <c r="AQ24" s="2744"/>
      <c r="AR24" s="2744"/>
      <c r="AS24" s="2744"/>
      <c r="AT24" s="2744"/>
      <c r="AU24" s="2744"/>
      <c r="AV24" s="2744"/>
      <c r="AW24" s="2744"/>
      <c r="AX24" s="2744"/>
      <c r="AY24" s="685"/>
      <c r="AZ24" s="685"/>
      <c r="BA24" s="685"/>
    </row>
    <row r="25" spans="2:84" s="522" customFormat="1" ht="20.149999999999999" customHeight="1">
      <c r="C25" s="683" t="s">
        <v>153</v>
      </c>
      <c r="D25" s="2744" t="s">
        <v>1111</v>
      </c>
      <c r="E25" s="2744"/>
      <c r="F25" s="2744"/>
      <c r="G25" s="2744"/>
      <c r="H25" s="2744"/>
      <c r="I25" s="2744"/>
      <c r="J25" s="2744"/>
      <c r="K25" s="2744"/>
      <c r="L25" s="2744"/>
      <c r="M25" s="2744"/>
      <c r="N25" s="2744"/>
      <c r="O25" s="2744"/>
      <c r="P25" s="2744"/>
      <c r="Q25" s="2744"/>
      <c r="R25" s="2744"/>
      <c r="S25" s="2744"/>
      <c r="T25" s="2744"/>
      <c r="U25" s="2744"/>
      <c r="V25" s="2744"/>
      <c r="W25" s="2744"/>
      <c r="X25" s="2744"/>
      <c r="Y25" s="2744"/>
      <c r="Z25" s="2744"/>
      <c r="AA25" s="2744"/>
      <c r="AB25" s="2744"/>
      <c r="AC25" s="2744"/>
      <c r="AD25" s="2744"/>
      <c r="AE25" s="2744"/>
      <c r="AF25" s="2744"/>
      <c r="AG25" s="2744"/>
      <c r="AH25" s="2744"/>
      <c r="AI25" s="2744"/>
      <c r="AJ25" s="2744"/>
      <c r="AK25" s="2744"/>
      <c r="AL25" s="2744"/>
      <c r="AM25" s="2744"/>
      <c r="AN25" s="2744"/>
      <c r="AO25" s="2744"/>
      <c r="AP25" s="2744"/>
      <c r="AQ25" s="2744"/>
      <c r="AR25" s="2744"/>
      <c r="AS25" s="2744"/>
      <c r="AT25" s="2744"/>
      <c r="AU25" s="2744"/>
      <c r="AV25" s="2744"/>
      <c r="AW25" s="2744"/>
      <c r="AX25" s="2744"/>
      <c r="AY25" s="684"/>
      <c r="AZ25" s="684"/>
      <c r="BA25" s="684"/>
    </row>
    <row r="26" spans="2:84" s="522" customFormat="1" ht="20.149999999999999" customHeight="1">
      <c r="C26" s="683" t="s">
        <v>154</v>
      </c>
      <c r="D26" s="2744" t="s">
        <v>1112</v>
      </c>
      <c r="E26" s="2744"/>
      <c r="F26" s="2744"/>
      <c r="G26" s="2744"/>
      <c r="H26" s="2744"/>
      <c r="I26" s="2744"/>
      <c r="J26" s="2744"/>
      <c r="K26" s="2744"/>
      <c r="L26" s="2744"/>
      <c r="M26" s="2744"/>
      <c r="N26" s="2744"/>
      <c r="O26" s="2744"/>
      <c r="P26" s="2744"/>
      <c r="Q26" s="2744"/>
      <c r="R26" s="2744"/>
      <c r="S26" s="2744"/>
      <c r="T26" s="2744"/>
      <c r="U26" s="2744"/>
      <c r="V26" s="2744"/>
      <c r="W26" s="2744"/>
      <c r="X26" s="2744"/>
      <c r="Y26" s="2744"/>
      <c r="Z26" s="2744"/>
      <c r="AA26" s="2744"/>
      <c r="AB26" s="2744"/>
      <c r="AC26" s="2744"/>
      <c r="AD26" s="2744"/>
      <c r="AE26" s="2744"/>
      <c r="AF26" s="2744"/>
      <c r="AG26" s="2744"/>
      <c r="AH26" s="2744"/>
      <c r="AI26" s="2744"/>
      <c r="AJ26" s="2744"/>
      <c r="AK26" s="2744"/>
      <c r="AL26" s="2744"/>
      <c r="AM26" s="2744"/>
      <c r="AN26" s="2744"/>
      <c r="AO26" s="2744"/>
      <c r="AP26" s="2744"/>
      <c r="AQ26" s="2744"/>
      <c r="AR26" s="2744"/>
      <c r="AS26" s="2744"/>
      <c r="AT26" s="2744"/>
      <c r="AU26" s="2744"/>
      <c r="AV26" s="2744"/>
      <c r="AW26" s="2744"/>
      <c r="AX26" s="2744"/>
      <c r="AY26" s="684"/>
      <c r="AZ26" s="684"/>
      <c r="BA26" s="684"/>
    </row>
    <row r="27" spans="2:84" s="522" customFormat="1" ht="20.149999999999999" customHeight="1">
      <c r="C27" s="683" t="s">
        <v>155</v>
      </c>
      <c r="D27" s="2744" t="s">
        <v>1113</v>
      </c>
      <c r="E27" s="2744"/>
      <c r="F27" s="2744"/>
      <c r="G27" s="2744"/>
      <c r="H27" s="2744"/>
      <c r="I27" s="2744"/>
      <c r="J27" s="2744"/>
      <c r="K27" s="2744"/>
      <c r="L27" s="2744"/>
      <c r="M27" s="2744"/>
      <c r="N27" s="2744"/>
      <c r="O27" s="2744"/>
      <c r="P27" s="2744"/>
      <c r="Q27" s="2744"/>
      <c r="R27" s="2744"/>
      <c r="S27" s="2744"/>
      <c r="T27" s="2744"/>
      <c r="U27" s="2744"/>
      <c r="V27" s="2744"/>
      <c r="W27" s="2744"/>
      <c r="X27" s="2744"/>
      <c r="Y27" s="2744"/>
      <c r="Z27" s="2744"/>
      <c r="AA27" s="2744"/>
      <c r="AB27" s="2744"/>
      <c r="AC27" s="2744"/>
      <c r="AD27" s="2744"/>
      <c r="AE27" s="2744"/>
      <c r="AF27" s="2744"/>
      <c r="AG27" s="2744"/>
      <c r="AH27" s="2744"/>
      <c r="AI27" s="2744"/>
      <c r="AJ27" s="2744"/>
      <c r="AK27" s="2744"/>
      <c r="AL27" s="2744"/>
      <c r="AM27" s="2744"/>
      <c r="AN27" s="2744"/>
      <c r="AO27" s="2744"/>
      <c r="AP27" s="2744"/>
      <c r="AQ27" s="2744"/>
      <c r="AR27" s="2744"/>
      <c r="AS27" s="2744"/>
      <c r="AT27" s="2744"/>
      <c r="AU27" s="2744"/>
      <c r="AV27" s="2744"/>
      <c r="AW27" s="2744"/>
      <c r="AX27" s="2744"/>
      <c r="AY27" s="684"/>
      <c r="AZ27" s="684"/>
      <c r="BA27" s="684"/>
    </row>
    <row r="28" spans="2:84" s="522" customFormat="1" ht="20.149999999999999" customHeight="1">
      <c r="C28" s="683" t="s">
        <v>156</v>
      </c>
      <c r="D28" s="2744" t="s">
        <v>1114</v>
      </c>
      <c r="E28" s="2744"/>
      <c r="F28" s="2744"/>
      <c r="G28" s="2744"/>
      <c r="H28" s="2744"/>
      <c r="I28" s="2744"/>
      <c r="J28" s="2744"/>
      <c r="K28" s="2744"/>
      <c r="L28" s="2744"/>
      <c r="M28" s="2744"/>
      <c r="N28" s="2744"/>
      <c r="O28" s="2744"/>
      <c r="P28" s="2744"/>
      <c r="Q28" s="2744"/>
      <c r="R28" s="2744"/>
      <c r="S28" s="2744"/>
      <c r="T28" s="2744"/>
      <c r="U28" s="2744"/>
      <c r="V28" s="2744"/>
      <c r="W28" s="2744"/>
      <c r="X28" s="2744"/>
      <c r="Y28" s="2744"/>
      <c r="Z28" s="2744"/>
      <c r="AA28" s="2744"/>
      <c r="AB28" s="2744"/>
      <c r="AC28" s="2744"/>
      <c r="AD28" s="2744"/>
      <c r="AE28" s="2744"/>
      <c r="AF28" s="2744"/>
      <c r="AG28" s="2744"/>
      <c r="AH28" s="2744"/>
      <c r="AI28" s="2744"/>
      <c r="AJ28" s="2744"/>
      <c r="AK28" s="2744"/>
      <c r="AL28" s="2744"/>
      <c r="AM28" s="2744"/>
      <c r="AN28" s="2744"/>
      <c r="AO28" s="2744"/>
      <c r="AP28" s="2744"/>
      <c r="AQ28" s="2744"/>
      <c r="AR28" s="2744"/>
      <c r="AS28" s="2744"/>
      <c r="AT28" s="2744"/>
      <c r="AU28" s="2744"/>
      <c r="AV28" s="2744"/>
      <c r="AW28" s="2744"/>
      <c r="AX28" s="2744"/>
      <c r="AY28" s="686"/>
      <c r="AZ28" s="686"/>
      <c r="BA28" s="686"/>
    </row>
    <row r="29" spans="2:84" s="522" customFormat="1" ht="20.149999999999999" customHeight="1">
      <c r="C29" s="683" t="s">
        <v>157</v>
      </c>
      <c r="D29" s="2744" t="s">
        <v>1766</v>
      </c>
      <c r="E29" s="2744"/>
      <c r="F29" s="2744"/>
      <c r="G29" s="2744"/>
      <c r="H29" s="2744"/>
      <c r="I29" s="2744"/>
      <c r="J29" s="2744"/>
      <c r="K29" s="2744"/>
      <c r="L29" s="2744"/>
      <c r="M29" s="2744"/>
      <c r="N29" s="2744"/>
      <c r="O29" s="2744"/>
      <c r="P29" s="2744"/>
      <c r="Q29" s="2744"/>
      <c r="R29" s="2744"/>
      <c r="S29" s="2744"/>
      <c r="T29" s="2744"/>
      <c r="U29" s="2744"/>
      <c r="V29" s="2744"/>
      <c r="W29" s="2744"/>
      <c r="X29" s="2744"/>
      <c r="Y29" s="2744"/>
      <c r="Z29" s="2744"/>
      <c r="AA29" s="2744"/>
      <c r="AB29" s="2744"/>
      <c r="AC29" s="2744"/>
      <c r="AD29" s="2744"/>
      <c r="AE29" s="2744"/>
      <c r="AF29" s="2744"/>
      <c r="AG29" s="2744"/>
      <c r="AH29" s="2744"/>
      <c r="AI29" s="2744"/>
      <c r="AJ29" s="2744"/>
      <c r="AK29" s="2744"/>
      <c r="AL29" s="2744"/>
      <c r="AM29" s="2744"/>
      <c r="AN29" s="2744"/>
      <c r="AO29" s="2744"/>
      <c r="AP29" s="2744"/>
      <c r="AQ29" s="2744"/>
      <c r="AR29" s="2744"/>
      <c r="AS29" s="2744"/>
      <c r="AT29" s="2744"/>
      <c r="AU29" s="2744"/>
      <c r="AV29" s="2744"/>
      <c r="AW29" s="2744"/>
      <c r="AX29" s="2744"/>
      <c r="AY29" s="686"/>
      <c r="AZ29" s="686"/>
      <c r="BA29" s="686"/>
    </row>
    <row r="30" spans="2:84" s="661" customFormat="1" ht="24" customHeight="1">
      <c r="AI30" s="501"/>
    </row>
    <row r="31" spans="2:84">
      <c r="B31" s="147" t="s">
        <v>847</v>
      </c>
      <c r="S31" s="147" t="s">
        <v>764</v>
      </c>
      <c r="T31" s="225"/>
      <c r="U31" s="225"/>
      <c r="V31" s="225"/>
      <c r="W31" s="225"/>
      <c r="X31" s="225"/>
      <c r="Y31" s="225"/>
      <c r="Z31" s="225"/>
      <c r="AA31" s="225"/>
      <c r="AB31" s="225"/>
      <c r="AC31" s="225"/>
      <c r="AD31" s="225"/>
      <c r="AE31" s="225"/>
      <c r="AF31" s="225"/>
      <c r="AJ31" s="147" t="s">
        <v>783</v>
      </c>
    </row>
    <row r="32" spans="2:84" ht="21.75" customHeight="1">
      <c r="B32" s="147" t="s">
        <v>756</v>
      </c>
      <c r="F32" s="2721" t="str">
        <f>activesheet!E29</f>
        <v>RICO S. MISPEROS</v>
      </c>
      <c r="G32" s="2721"/>
      <c r="H32" s="2721"/>
      <c r="I32" s="2721"/>
      <c r="J32" s="2721"/>
      <c r="K32" s="2721"/>
      <c r="L32" s="2721"/>
      <c r="M32" s="2721"/>
      <c r="N32" s="2721"/>
      <c r="O32" s="2721"/>
      <c r="S32" s="1786" t="str">
        <f>activesheet!E1376</f>
        <v>ANNE VALERIE KERSTEINE I. VILLANUEVA</v>
      </c>
      <c r="T32" s="1786"/>
      <c r="U32" s="1786"/>
      <c r="V32" s="1786"/>
      <c r="W32" s="1786"/>
      <c r="X32" s="1786"/>
      <c r="Y32" s="1786"/>
      <c r="Z32" s="1786"/>
      <c r="AA32" s="1786"/>
      <c r="AB32" s="1786"/>
      <c r="AC32" s="1786"/>
      <c r="AD32" s="1786"/>
      <c r="AE32" s="1786"/>
      <c r="AF32" s="1786"/>
      <c r="AJ32" s="1786" t="str">
        <f>activesheet!E31</f>
        <v>MICHAEL T. JAMIS</v>
      </c>
      <c r="AK32" s="1786"/>
      <c r="AL32" s="1786"/>
      <c r="AM32" s="1786"/>
      <c r="AN32" s="1786"/>
      <c r="AO32" s="1786"/>
      <c r="AP32" s="1786"/>
      <c r="AQ32" s="1786"/>
      <c r="AR32" s="1786"/>
      <c r="AS32" s="1786"/>
      <c r="AT32" s="1786"/>
      <c r="AU32" s="1786"/>
      <c r="AV32" s="1786"/>
      <c r="AW32" s="1786"/>
    </row>
    <row r="33" spans="2:67" s="654" customFormat="1">
      <c r="B33" s="655"/>
      <c r="F33" s="1764" t="s">
        <v>741</v>
      </c>
      <c r="G33" s="1764"/>
      <c r="H33" s="1764"/>
      <c r="I33" s="1764"/>
      <c r="J33" s="1764"/>
      <c r="K33" s="1764"/>
      <c r="L33" s="1764"/>
      <c r="M33" s="1764"/>
      <c r="N33" s="1764"/>
      <c r="O33" s="1764"/>
      <c r="P33" s="152"/>
      <c r="Q33" s="152"/>
      <c r="R33" s="152"/>
      <c r="S33" s="1787"/>
      <c r="T33" s="1787"/>
      <c r="U33" s="1787"/>
      <c r="V33" s="1787"/>
      <c r="W33" s="1787"/>
      <c r="X33" s="1787"/>
      <c r="Y33" s="1787"/>
      <c r="Z33" s="1787"/>
      <c r="AA33" s="1787"/>
      <c r="AB33" s="1787"/>
      <c r="AC33" s="1787"/>
      <c r="AD33" s="1787"/>
      <c r="AE33" s="1787"/>
      <c r="AF33" s="1787"/>
      <c r="AG33" s="180"/>
      <c r="AH33" s="180"/>
      <c r="AI33" s="180"/>
      <c r="AJ33" s="1787"/>
      <c r="AK33" s="1787"/>
      <c r="AL33" s="1787"/>
      <c r="AM33" s="1787"/>
      <c r="AN33" s="1787"/>
      <c r="AO33" s="1787"/>
      <c r="AP33" s="1787"/>
      <c r="AQ33" s="1787"/>
      <c r="AR33" s="1787"/>
      <c r="AS33" s="1787"/>
      <c r="AT33" s="1787"/>
      <c r="AU33" s="1787"/>
      <c r="AV33" s="1787"/>
      <c r="AW33" s="1787"/>
      <c r="AX33" s="152"/>
      <c r="AY33" s="653"/>
      <c r="AZ33" s="653"/>
      <c r="BA33" s="653"/>
      <c r="BB33" s="653"/>
      <c r="BC33" s="653"/>
      <c r="BD33" s="653"/>
      <c r="BE33" s="653"/>
      <c r="BF33" s="653"/>
      <c r="BG33" s="653"/>
      <c r="BH33" s="653"/>
      <c r="BI33" s="653"/>
      <c r="BJ33" s="653"/>
      <c r="BK33" s="653"/>
      <c r="BL33" s="653"/>
      <c r="BM33" s="653"/>
      <c r="BN33" s="653"/>
      <c r="BO33" s="653"/>
    </row>
    <row r="34" spans="2:67" ht="21.75" customHeight="1">
      <c r="B34" s="147" t="s">
        <v>1027</v>
      </c>
      <c r="F34" s="2721" t="str">
        <f>activesheet!E30</f>
        <v>SCHOOL PRINCIPAL II</v>
      </c>
      <c r="G34" s="2721"/>
      <c r="H34" s="2721"/>
      <c r="I34" s="2721"/>
      <c r="J34" s="2721"/>
      <c r="K34" s="2721"/>
      <c r="L34" s="2721"/>
      <c r="M34" s="2721"/>
      <c r="N34" s="2721"/>
      <c r="O34" s="2721"/>
      <c r="S34" s="1764" t="s">
        <v>741</v>
      </c>
      <c r="T34" s="1764"/>
      <c r="U34" s="1764"/>
      <c r="V34" s="1764"/>
      <c r="W34" s="1764"/>
      <c r="X34" s="1764"/>
      <c r="Y34" s="1764"/>
      <c r="Z34" s="1764"/>
      <c r="AA34" s="1764"/>
      <c r="AB34" s="1764"/>
      <c r="AC34" s="1764"/>
      <c r="AD34" s="1764"/>
      <c r="AE34" s="1764"/>
      <c r="AF34" s="1764"/>
      <c r="AG34" s="152"/>
      <c r="AH34" s="152"/>
      <c r="AI34" s="152"/>
      <c r="AJ34" s="1764" t="s">
        <v>741</v>
      </c>
      <c r="AK34" s="1764"/>
      <c r="AL34" s="1764"/>
      <c r="AM34" s="1764"/>
      <c r="AN34" s="1764"/>
      <c r="AO34" s="1764"/>
      <c r="AP34" s="1764"/>
      <c r="AQ34" s="1764"/>
      <c r="AR34" s="1764"/>
      <c r="AS34" s="1764"/>
      <c r="AT34" s="1764"/>
      <c r="AU34" s="1764"/>
      <c r="AV34" s="1764"/>
      <c r="AW34" s="1764"/>
    </row>
  </sheetData>
  <sheetProtection algorithmName="SHA-512" hashValue="vkn8yIC742flEU4ihy3KOg9F5Gyshj5F6t42pyh52eKTAIzBe8+/hPGhIgBmY4qzVbPLgc/vEr1WPm5JbJ6w0A==" saltValue="INm3w56FQZjEl7X2tynwSg==" spinCount="100000" sheet="1" objects="1" scenarios="1" selectLockedCells="1"/>
  <mergeCells count="139">
    <mergeCell ref="F34:O34"/>
    <mergeCell ref="S34:AF34"/>
    <mergeCell ref="AJ34:AW34"/>
    <mergeCell ref="D26:AX26"/>
    <mergeCell ref="D27:AX27"/>
    <mergeCell ref="D28:AX28"/>
    <mergeCell ref="D29:AX29"/>
    <mergeCell ref="F32:O32"/>
    <mergeCell ref="S32:AF33"/>
    <mergeCell ref="AJ32:AW33"/>
    <mergeCell ref="F33:O33"/>
    <mergeCell ref="B22:AX22"/>
    <mergeCell ref="D23:AX23"/>
    <mergeCell ref="D24:AX24"/>
    <mergeCell ref="D25:AX25"/>
    <mergeCell ref="AO20:AS20"/>
    <mergeCell ref="AT20:AX20"/>
    <mergeCell ref="K21:O21"/>
    <mergeCell ref="P21:T21"/>
    <mergeCell ref="U21:Y21"/>
    <mergeCell ref="Z21:AD21"/>
    <mergeCell ref="AE21:AI21"/>
    <mergeCell ref="AJ21:AN21"/>
    <mergeCell ref="AO21:AS21"/>
    <mergeCell ref="AT21:AX21"/>
    <mergeCell ref="K20:O20"/>
    <mergeCell ref="P20:T20"/>
    <mergeCell ref="U20:Y20"/>
    <mergeCell ref="Z20:AD20"/>
    <mergeCell ref="AE20:AI20"/>
    <mergeCell ref="AJ20:AN20"/>
    <mergeCell ref="AO18:AS18"/>
    <mergeCell ref="AT18:AX18"/>
    <mergeCell ref="K19:O19"/>
    <mergeCell ref="P19:T19"/>
    <mergeCell ref="U19:Y19"/>
    <mergeCell ref="Z19:AD19"/>
    <mergeCell ref="AE19:AI19"/>
    <mergeCell ref="AJ19:AN19"/>
    <mergeCell ref="AO19:AS19"/>
    <mergeCell ref="AT19:AX19"/>
    <mergeCell ref="K18:O18"/>
    <mergeCell ref="P18:T18"/>
    <mergeCell ref="U18:Y18"/>
    <mergeCell ref="Z18:AD18"/>
    <mergeCell ref="AE18:AI18"/>
    <mergeCell ref="AJ18:AN18"/>
    <mergeCell ref="AO16:AS16"/>
    <mergeCell ref="AT16:AX16"/>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AJ16:AN16"/>
    <mergeCell ref="K14:AX14"/>
    <mergeCell ref="K15:O15"/>
    <mergeCell ref="P15:T15"/>
    <mergeCell ref="U15:Y15"/>
    <mergeCell ref="Z15:AD15"/>
    <mergeCell ref="AE15:AI15"/>
    <mergeCell ref="AJ15:AN15"/>
    <mergeCell ref="AO15:AS15"/>
    <mergeCell ref="AT15:AX15"/>
    <mergeCell ref="AO12:AS12"/>
    <mergeCell ref="AT12:AX12"/>
    <mergeCell ref="K13:O13"/>
    <mergeCell ref="P13:T13"/>
    <mergeCell ref="U13:Y13"/>
    <mergeCell ref="Z13:AD13"/>
    <mergeCell ref="AE13:AI13"/>
    <mergeCell ref="AJ13:AN13"/>
    <mergeCell ref="AO13:AS13"/>
    <mergeCell ref="AT13:AX13"/>
    <mergeCell ref="K12:O12"/>
    <mergeCell ref="P12:T12"/>
    <mergeCell ref="U12:Y12"/>
    <mergeCell ref="Z12:AD12"/>
    <mergeCell ref="AE12:AI12"/>
    <mergeCell ref="AJ12:AN12"/>
    <mergeCell ref="AO10:AS10"/>
    <mergeCell ref="AT10:AX10"/>
    <mergeCell ref="K11:O11"/>
    <mergeCell ref="P11:T11"/>
    <mergeCell ref="U11:Y11"/>
    <mergeCell ref="Z11:AD11"/>
    <mergeCell ref="AE11:AI11"/>
    <mergeCell ref="AJ11:AN11"/>
    <mergeCell ref="AO11:AS11"/>
    <mergeCell ref="AT11:AX11"/>
    <mergeCell ref="K10:O10"/>
    <mergeCell ref="P10:T10"/>
    <mergeCell ref="U10:Y10"/>
    <mergeCell ref="Z10:AD10"/>
    <mergeCell ref="AE10:AI10"/>
    <mergeCell ref="AJ10:AN10"/>
    <mergeCell ref="AO8:AS8"/>
    <mergeCell ref="AT8:AX8"/>
    <mergeCell ref="K9:O9"/>
    <mergeCell ref="P9:T9"/>
    <mergeCell ref="U9:Y9"/>
    <mergeCell ref="Z9:AD9"/>
    <mergeCell ref="AE9:AI9"/>
    <mergeCell ref="AJ9:AN9"/>
    <mergeCell ref="AO9:AS9"/>
    <mergeCell ref="AT9:AX9"/>
    <mergeCell ref="K8:O8"/>
    <mergeCell ref="P8:T8"/>
    <mergeCell ref="U8:Y8"/>
    <mergeCell ref="Z8:AD8"/>
    <mergeCell ref="AE8:AI8"/>
    <mergeCell ref="AJ8:AN8"/>
    <mergeCell ref="K6:AX6"/>
    <mergeCell ref="K7:O7"/>
    <mergeCell ref="P7:T7"/>
    <mergeCell ref="U7:Y7"/>
    <mergeCell ref="Z7:AD7"/>
    <mergeCell ref="AE7:AI7"/>
    <mergeCell ref="AJ7:AN7"/>
    <mergeCell ref="AO7:AS7"/>
    <mergeCell ref="AT7:AX7"/>
    <mergeCell ref="B4:J5"/>
    <mergeCell ref="K4:AX4"/>
    <mergeCell ref="K5:O5"/>
    <mergeCell ref="P5:T5"/>
    <mergeCell ref="U5:Y5"/>
    <mergeCell ref="Z5:AD5"/>
    <mergeCell ref="AE5:AI5"/>
    <mergeCell ref="AJ5:AN5"/>
    <mergeCell ref="AO5:AS5"/>
    <mergeCell ref="AT5:AX5"/>
  </mergeCells>
  <dataValidations count="1">
    <dataValidation type="whole" allowBlank="1" showInputMessage="1" showErrorMessage="1" errorTitle="GESP SY 2022-2023" error="Please enter valid number between 0-15,000." sqref="K7:AS13 K15:AS20" xr:uid="{00000000-0002-0000-1400-000000000000}">
      <formula1>0</formula1>
      <formula2>15000</formula2>
    </dataValidation>
  </dataValidations>
  <printOptions horizontalCentered="1" verticalCentered="1"/>
  <pageMargins left="0.25" right="0.25" top="0.2" bottom="0.2" header="0" footer="0.1"/>
  <pageSetup paperSize="9" scale="32" orientation="landscape" r:id="rId1"/>
  <headerFooter alignWithMargins="0">
    <oddFooter>&amp;L&amp;10&amp;F &amp;A&amp;R&amp;11Page 17 of 60</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AT46"/>
  <sheetViews>
    <sheetView showGridLines="0" topLeftCell="A28" zoomScaleNormal="100" workbookViewId="0">
      <selection activeCell="AI26" sqref="AI26:AS26"/>
    </sheetView>
  </sheetViews>
  <sheetFormatPr defaultColWidth="9" defaultRowHeight="15.5"/>
  <cols>
    <col min="1" max="1" width="2.08203125" style="128" customWidth="1"/>
    <col min="2" max="45" width="3.58203125" style="128" customWidth="1"/>
    <col min="46" max="46" width="2.08203125" style="128" customWidth="1"/>
    <col min="47" max="52" width="3.58203125" style="128" customWidth="1"/>
    <col min="53" max="16384" width="9" style="128"/>
  </cols>
  <sheetData>
    <row r="1" spans="1:45" ht="12" customHeight="1"/>
    <row r="2" spans="1:45" s="681" customFormat="1" ht="16.5">
      <c r="A2" s="588"/>
      <c r="B2" s="470" t="s">
        <v>11773</v>
      </c>
      <c r="C2" s="150"/>
      <c r="D2" s="150"/>
      <c r="E2" s="709"/>
      <c r="F2" s="709"/>
      <c r="G2" s="709"/>
      <c r="H2" s="709"/>
      <c r="I2" s="709"/>
      <c r="J2" s="709"/>
      <c r="K2" s="709"/>
    </row>
    <row r="3" spans="1:45" s="681" customFormat="1" ht="18" customHeight="1" thickBot="1">
      <c r="A3" s="588"/>
      <c r="B3" s="582" t="s">
        <v>904</v>
      </c>
      <c r="C3" s="150"/>
      <c r="D3" s="150"/>
      <c r="E3" s="709"/>
      <c r="F3" s="709"/>
      <c r="G3" s="709"/>
      <c r="H3" s="709"/>
      <c r="I3" s="709"/>
      <c r="J3" s="709"/>
      <c r="K3" s="709"/>
    </row>
    <row r="4" spans="1:45" s="681" customFormat="1" ht="7" customHeight="1">
      <c r="B4" s="727"/>
      <c r="C4" s="728"/>
      <c r="D4" s="728"/>
      <c r="E4" s="728"/>
      <c r="F4" s="728"/>
      <c r="G4" s="729"/>
      <c r="H4" s="729"/>
      <c r="I4" s="729"/>
      <c r="J4" s="729"/>
      <c r="K4" s="729"/>
      <c r="L4" s="729"/>
      <c r="M4" s="730"/>
      <c r="N4" s="730"/>
      <c r="O4" s="730"/>
      <c r="P4" s="730"/>
      <c r="Q4" s="730"/>
      <c r="R4" s="730"/>
      <c r="S4" s="730"/>
      <c r="T4" s="730"/>
      <c r="U4" s="730"/>
      <c r="V4" s="730"/>
      <c r="W4" s="730"/>
      <c r="X4" s="730"/>
      <c r="Y4" s="730"/>
      <c r="Z4" s="731"/>
      <c r="AA4" s="731"/>
      <c r="AB4" s="731"/>
      <c r="AC4" s="731"/>
      <c r="AD4" s="731"/>
      <c r="AE4" s="731"/>
      <c r="AF4" s="731"/>
      <c r="AG4" s="731"/>
      <c r="AH4" s="731"/>
      <c r="AI4" s="731"/>
      <c r="AJ4" s="731"/>
      <c r="AK4" s="731"/>
      <c r="AL4" s="731"/>
      <c r="AM4" s="731"/>
      <c r="AN4" s="731"/>
      <c r="AO4" s="731"/>
      <c r="AP4" s="731"/>
      <c r="AQ4" s="731"/>
      <c r="AR4" s="731"/>
      <c r="AS4" s="732"/>
    </row>
    <row r="5" spans="1:45" s="681" customFormat="1" ht="20.149999999999999" customHeight="1">
      <c r="B5" s="713" t="s">
        <v>119</v>
      </c>
      <c r="C5" s="714"/>
      <c r="D5" s="714"/>
      <c r="E5" s="721" t="s">
        <v>151</v>
      </c>
      <c r="F5" s="128" t="s">
        <v>122</v>
      </c>
      <c r="G5" s="128"/>
      <c r="H5" s="128"/>
      <c r="I5" s="128"/>
      <c r="J5" s="128"/>
      <c r="T5" s="736" t="b">
        <v>1</v>
      </c>
      <c r="U5" s="722" t="s">
        <v>64</v>
      </c>
      <c r="Y5" s="737" t="b">
        <v>0</v>
      </c>
      <c r="Z5" s="725" t="s">
        <v>0</v>
      </c>
      <c r="AS5" s="711"/>
    </row>
    <row r="6" spans="1:45" s="681" customFormat="1" ht="20.149999999999999" customHeight="1">
      <c r="B6" s="733" t="s">
        <v>118</v>
      </c>
      <c r="C6" s="734"/>
      <c r="D6" s="734"/>
      <c r="E6" s="734"/>
      <c r="G6" s="724" t="s">
        <v>1115</v>
      </c>
      <c r="H6" s="724"/>
      <c r="I6" s="724"/>
      <c r="J6" s="724"/>
      <c r="M6" s="609"/>
      <c r="N6" s="609"/>
      <c r="O6" s="609"/>
      <c r="P6" s="609"/>
      <c r="Q6" s="609"/>
      <c r="R6" s="609"/>
      <c r="S6" s="609"/>
      <c r="T6" s="609"/>
      <c r="U6" s="609"/>
      <c r="V6" s="609"/>
      <c r="W6" s="609"/>
      <c r="X6" s="568"/>
      <c r="Y6" s="609"/>
      <c r="Z6" s="568"/>
      <c r="AS6" s="711"/>
    </row>
    <row r="7" spans="1:45" s="681" customFormat="1" ht="20.149999999999999" customHeight="1">
      <c r="B7" s="733"/>
      <c r="C7" s="734"/>
      <c r="D7" s="734"/>
      <c r="E7" s="734"/>
      <c r="H7" s="738" t="b">
        <v>0</v>
      </c>
      <c r="I7" s="568" t="s">
        <v>5075</v>
      </c>
      <c r="J7" s="567"/>
      <c r="O7" s="740" t="b">
        <v>0</v>
      </c>
      <c r="P7" s="735" t="s">
        <v>5077</v>
      </c>
      <c r="Q7" s="720"/>
      <c r="U7" s="738" t="b">
        <v>1</v>
      </c>
      <c r="V7" s="588" t="s">
        <v>5078</v>
      </c>
      <c r="AA7" s="739" t="b">
        <v>0</v>
      </c>
      <c r="AB7" s="725" t="s">
        <v>1116</v>
      </c>
      <c r="AG7" s="720"/>
      <c r="AH7" s="720"/>
      <c r="AI7" s="720"/>
      <c r="AR7" s="720"/>
      <c r="AS7" s="711"/>
    </row>
    <row r="8" spans="1:45" s="681" customFormat="1" ht="20.149999999999999" customHeight="1">
      <c r="B8" s="715"/>
      <c r="C8" s="716"/>
      <c r="D8" s="716"/>
      <c r="E8" s="716"/>
      <c r="H8" s="739" t="b">
        <v>0</v>
      </c>
      <c r="I8" s="588" t="s">
        <v>5076</v>
      </c>
      <c r="O8" s="738" t="b">
        <v>0</v>
      </c>
      <c r="P8" s="725" t="s">
        <v>2234</v>
      </c>
      <c r="Q8" s="718"/>
      <c r="U8" s="738" t="b">
        <v>0</v>
      </c>
      <c r="V8" s="588" t="s">
        <v>5079</v>
      </c>
      <c r="AA8" s="739" t="b">
        <v>0</v>
      </c>
      <c r="AB8" s="726" t="s">
        <v>908</v>
      </c>
      <c r="AF8" s="2773"/>
      <c r="AG8" s="2773"/>
      <c r="AH8" s="2773"/>
      <c r="AI8" s="2773"/>
      <c r="AJ8" s="2773"/>
      <c r="AK8" s="2773"/>
      <c r="AM8" s="710"/>
      <c r="AN8" s="710"/>
      <c r="AO8" s="710"/>
      <c r="AP8" s="710"/>
      <c r="AQ8" s="710"/>
      <c r="AR8" s="719"/>
      <c r="AS8" s="711"/>
    </row>
    <row r="9" spans="1:45" s="681" customFormat="1" ht="15" customHeight="1">
      <c r="B9" s="715"/>
      <c r="C9" s="716"/>
      <c r="D9" s="716"/>
      <c r="E9" s="716"/>
      <c r="F9" s="717"/>
      <c r="K9" s="718"/>
      <c r="X9" s="718"/>
      <c r="AA9" s="719"/>
      <c r="AB9" s="719"/>
      <c r="AC9" s="719"/>
      <c r="AD9" s="719"/>
      <c r="AE9" s="719"/>
      <c r="AF9" s="646" t="str">
        <f>IF(AND(sch_dic_service_provider_others_y=TRUE,ISBLANK(sch_dic_service_provider_others_specify)),"Please specify.",IF(AND(sch_dic_service_provider_others_y=FALSE,(sch_dic_service_provider_others_specify&gt;0)),"Please check Others if you have entries.",""))</f>
        <v/>
      </c>
      <c r="AH9" s="720"/>
      <c r="AI9" s="720"/>
      <c r="AJ9" s="720"/>
      <c r="AK9" s="720"/>
      <c r="AL9" s="720"/>
      <c r="AM9" s="720"/>
      <c r="AN9" s="720"/>
      <c r="AO9" s="720"/>
      <c r="AP9" s="720"/>
      <c r="AQ9" s="720"/>
      <c r="AR9" s="720"/>
      <c r="AS9" s="711"/>
    </row>
    <row r="10" spans="1:45" s="681" customFormat="1" ht="20.149999999999999" customHeight="1">
      <c r="B10" s="713"/>
      <c r="C10" s="714"/>
      <c r="D10" s="714"/>
      <c r="E10" s="721" t="s">
        <v>152</v>
      </c>
      <c r="F10" s="128" t="s">
        <v>121</v>
      </c>
      <c r="K10" s="718"/>
      <c r="L10" s="718"/>
      <c r="AA10" s="742" t="b">
        <v>1</v>
      </c>
      <c r="AB10" s="722" t="s">
        <v>64</v>
      </c>
      <c r="AC10" s="723"/>
      <c r="AD10" s="723"/>
      <c r="AE10" s="723"/>
      <c r="AF10" s="738" t="b">
        <v>0</v>
      </c>
      <c r="AG10" s="588" t="s">
        <v>0</v>
      </c>
      <c r="AI10" s="718"/>
      <c r="AJ10" s="718"/>
      <c r="AK10" s="718"/>
      <c r="AL10" s="718"/>
      <c r="AM10" s="718"/>
      <c r="AN10" s="718"/>
      <c r="AO10" s="718"/>
      <c r="AP10" s="718"/>
      <c r="AQ10" s="718"/>
      <c r="AR10" s="718"/>
      <c r="AS10" s="711"/>
    </row>
    <row r="11" spans="1:45" s="681" customFormat="1" ht="20.149999999999999" customHeight="1">
      <c r="B11" s="713"/>
      <c r="C11" s="714"/>
      <c r="D11" s="714"/>
      <c r="E11" s="714"/>
      <c r="F11" s="128"/>
      <c r="G11" s="724" t="s">
        <v>925</v>
      </c>
      <c r="K11" s="718"/>
      <c r="L11" s="718"/>
      <c r="Z11" s="723"/>
      <c r="AA11" s="723"/>
      <c r="AB11" s="723"/>
      <c r="AC11" s="723"/>
      <c r="AD11" s="723"/>
      <c r="AE11" s="718"/>
      <c r="AI11" s="718"/>
      <c r="AJ11" s="718"/>
      <c r="AK11" s="718"/>
      <c r="AL11" s="718"/>
      <c r="AM11" s="718"/>
      <c r="AN11" s="718"/>
      <c r="AO11" s="718"/>
      <c r="AP11" s="718"/>
      <c r="AQ11" s="718"/>
      <c r="AR11" s="718"/>
      <c r="AS11" s="711"/>
    </row>
    <row r="12" spans="1:45" s="681" customFormat="1" ht="20.149999999999999" customHeight="1">
      <c r="B12" s="713"/>
      <c r="C12" s="714"/>
      <c r="D12" s="714"/>
      <c r="E12" s="714"/>
      <c r="F12" s="128"/>
      <c r="H12" s="741" t="b">
        <v>1</v>
      </c>
      <c r="I12" s="567" t="s">
        <v>1117</v>
      </c>
      <c r="K12" s="718"/>
      <c r="L12" s="718"/>
      <c r="S12" s="723"/>
      <c r="T12" s="723"/>
      <c r="U12" s="723"/>
      <c r="V12" s="723"/>
      <c r="W12" s="723"/>
      <c r="X12" s="718"/>
      <c r="Z12" s="723"/>
      <c r="AA12" s="723"/>
      <c r="AB12" s="723"/>
      <c r="AC12" s="723"/>
      <c r="AD12" s="723"/>
      <c r="AE12" s="718"/>
      <c r="AI12" s="718"/>
      <c r="AJ12" s="718"/>
      <c r="AK12" s="718"/>
      <c r="AL12" s="718"/>
      <c r="AM12" s="718"/>
      <c r="AN12" s="718"/>
      <c r="AO12" s="718"/>
      <c r="AP12" s="718"/>
      <c r="AQ12" s="718"/>
      <c r="AR12" s="718"/>
      <c r="AS12" s="711"/>
    </row>
    <row r="13" spans="1:45" s="681" customFormat="1" ht="20.149999999999999" customHeight="1">
      <c r="B13" s="713"/>
      <c r="C13" s="714"/>
      <c r="D13" s="714"/>
      <c r="E13" s="714"/>
      <c r="F13" s="128"/>
      <c r="H13" s="741" t="b">
        <v>1</v>
      </c>
      <c r="I13" s="567" t="s">
        <v>1118</v>
      </c>
      <c r="K13" s="718"/>
      <c r="L13" s="718"/>
      <c r="S13" s="723"/>
      <c r="T13" s="723"/>
      <c r="U13" s="723"/>
      <c r="V13" s="723"/>
      <c r="W13" s="723"/>
      <c r="X13" s="718"/>
      <c r="Z13" s="723"/>
      <c r="AA13" s="723"/>
      <c r="AB13" s="723"/>
      <c r="AC13" s="723"/>
      <c r="AD13" s="723"/>
      <c r="AE13" s="718"/>
      <c r="AI13" s="718"/>
      <c r="AJ13" s="718"/>
      <c r="AK13" s="718"/>
      <c r="AL13" s="718"/>
      <c r="AM13" s="718"/>
      <c r="AN13" s="718"/>
      <c r="AO13" s="718"/>
      <c r="AP13" s="718"/>
      <c r="AQ13" s="718"/>
      <c r="AR13" s="718"/>
      <c r="AS13" s="711"/>
    </row>
    <row r="14" spans="1:45" s="681" customFormat="1" ht="9" customHeight="1">
      <c r="B14" s="713"/>
      <c r="C14" s="714"/>
      <c r="D14" s="714"/>
      <c r="E14" s="714"/>
      <c r="F14" s="128"/>
      <c r="K14" s="718"/>
      <c r="L14" s="718"/>
      <c r="Q14" s="723"/>
      <c r="R14" s="723"/>
      <c r="S14" s="723"/>
      <c r="T14" s="723"/>
      <c r="U14" s="723"/>
      <c r="V14" s="718"/>
      <c r="Z14" s="723"/>
      <c r="AA14" s="723"/>
      <c r="AB14" s="723"/>
      <c r="AC14" s="723"/>
      <c r="AD14" s="723"/>
      <c r="AE14" s="718"/>
      <c r="AI14" s="718"/>
      <c r="AJ14" s="718"/>
      <c r="AK14" s="718"/>
      <c r="AL14" s="718"/>
      <c r="AM14" s="718"/>
      <c r="AN14" s="718"/>
      <c r="AO14" s="718"/>
      <c r="AP14" s="718"/>
      <c r="AQ14" s="718"/>
      <c r="AR14" s="718"/>
      <c r="AS14" s="711"/>
    </row>
    <row r="15" spans="1:45" s="681" customFormat="1" ht="20.149999999999999" customHeight="1">
      <c r="B15" s="713"/>
      <c r="C15" s="714"/>
      <c r="D15" s="714"/>
      <c r="E15" s="721" t="s">
        <v>153</v>
      </c>
      <c r="F15" s="128" t="s">
        <v>1119</v>
      </c>
      <c r="K15" s="718"/>
      <c r="L15" s="718"/>
      <c r="Q15" s="723"/>
      <c r="R15" s="723"/>
      <c r="S15" s="723"/>
      <c r="T15" s="723"/>
      <c r="U15" s="723"/>
      <c r="V15" s="718"/>
      <c r="Z15" s="723"/>
      <c r="AA15" s="723"/>
      <c r="AB15" s="723"/>
      <c r="AC15" s="723"/>
      <c r="AG15" s="718"/>
      <c r="AH15" s="718"/>
      <c r="AI15" s="718"/>
      <c r="AJ15" s="718"/>
      <c r="AK15" s="718"/>
      <c r="AL15" s="718"/>
      <c r="AM15" s="718"/>
      <c r="AN15" s="718"/>
      <c r="AO15" s="718"/>
      <c r="AP15" s="718"/>
      <c r="AQ15" s="718"/>
      <c r="AR15" s="718"/>
      <c r="AS15" s="711"/>
    </row>
    <row r="16" spans="1:45" s="681" customFormat="1" ht="20.149999999999999" customHeight="1">
      <c r="B16" s="713"/>
      <c r="C16" s="714"/>
      <c r="D16" s="714"/>
      <c r="E16" s="714"/>
      <c r="F16" s="128"/>
      <c r="H16" s="681" t="s">
        <v>523</v>
      </c>
      <c r="K16" s="2774">
        <v>44677</v>
      </c>
      <c r="L16" s="2773"/>
      <c r="M16" s="2773"/>
      <c r="N16" s="2773"/>
      <c r="O16" s="2773"/>
      <c r="P16" s="2773"/>
      <c r="Q16" s="712"/>
      <c r="R16" s="712"/>
      <c r="S16" s="712"/>
      <c r="T16" s="681" t="s">
        <v>524</v>
      </c>
      <c r="V16" s="710"/>
      <c r="X16" s="2773">
        <v>29</v>
      </c>
      <c r="Y16" s="2773"/>
      <c r="Z16" s="2773"/>
      <c r="AA16" s="2773"/>
      <c r="AB16" s="2773"/>
      <c r="AC16" s="2773"/>
      <c r="AG16" s="681" t="s">
        <v>525</v>
      </c>
      <c r="AI16" s="710"/>
      <c r="AK16" s="2775">
        <v>47.62</v>
      </c>
      <c r="AL16" s="2775"/>
      <c r="AM16" s="2775"/>
      <c r="AN16" s="2775"/>
      <c r="AO16" s="2775"/>
      <c r="AP16" s="2775"/>
      <c r="AR16" s="710"/>
      <c r="AS16" s="711"/>
    </row>
    <row r="17" spans="1:46" s="681" customFormat="1" ht="20.149999999999999" customHeight="1">
      <c r="B17" s="713"/>
      <c r="C17" s="714"/>
      <c r="D17" s="714"/>
      <c r="E17" s="714"/>
      <c r="F17" s="128"/>
      <c r="H17" s="681" t="s">
        <v>526</v>
      </c>
      <c r="K17" s="2776">
        <v>0.57013888888888886</v>
      </c>
      <c r="L17" s="2773"/>
      <c r="M17" s="2773"/>
      <c r="N17" s="2773"/>
      <c r="O17" s="2773"/>
      <c r="P17" s="2773"/>
      <c r="Q17" s="712"/>
      <c r="R17" s="712"/>
      <c r="S17" s="712"/>
      <c r="T17" s="681" t="s">
        <v>527</v>
      </c>
      <c r="V17" s="710"/>
      <c r="X17" s="2775">
        <v>28.97</v>
      </c>
      <c r="Y17" s="2775"/>
      <c r="Z17" s="2775"/>
      <c r="AA17" s="2775"/>
      <c r="AB17" s="2775"/>
      <c r="AC17" s="2775"/>
      <c r="AG17" s="710"/>
      <c r="AH17" s="710"/>
      <c r="AI17" s="710"/>
      <c r="AJ17" s="710"/>
      <c r="AK17" s="710"/>
      <c r="AL17" s="710"/>
      <c r="AM17" s="710"/>
      <c r="AN17" s="710"/>
      <c r="AO17" s="710"/>
      <c r="AP17" s="710"/>
      <c r="AQ17" s="710"/>
      <c r="AR17" s="710"/>
      <c r="AS17" s="711"/>
    </row>
    <row r="18" spans="1:46" s="681" customFormat="1" ht="44.5" customHeight="1" thickBot="1">
      <c r="B18" s="705"/>
      <c r="C18" s="706"/>
      <c r="D18" s="706"/>
      <c r="E18" s="706"/>
      <c r="F18" s="706"/>
      <c r="G18" s="706"/>
      <c r="H18" s="2786" t="s">
        <v>11741</v>
      </c>
      <c r="I18" s="2786"/>
      <c r="J18" s="2786"/>
      <c r="K18" s="2786"/>
      <c r="L18" s="2786"/>
      <c r="M18" s="2786"/>
      <c r="N18" s="2786"/>
      <c r="O18" s="2786"/>
      <c r="P18" s="2786"/>
      <c r="Q18" s="706"/>
      <c r="R18" s="706"/>
      <c r="S18" s="706"/>
      <c r="T18" s="706"/>
      <c r="U18" s="706"/>
      <c r="V18" s="706"/>
      <c r="W18" s="706"/>
      <c r="X18" s="706"/>
      <c r="Y18" s="706"/>
      <c r="Z18" s="706"/>
      <c r="AA18" s="706"/>
      <c r="AB18" s="706"/>
      <c r="AC18" s="706"/>
      <c r="AD18" s="706"/>
      <c r="AE18" s="706"/>
      <c r="AF18" s="706"/>
      <c r="AG18" s="706"/>
      <c r="AH18" s="706"/>
      <c r="AI18" s="706"/>
      <c r="AJ18" s="706"/>
      <c r="AK18" s="706"/>
      <c r="AL18" s="706"/>
      <c r="AM18" s="706"/>
      <c r="AN18" s="706"/>
      <c r="AO18" s="706"/>
      <c r="AP18" s="706"/>
      <c r="AQ18" s="706"/>
      <c r="AR18" s="706"/>
      <c r="AS18" s="707"/>
    </row>
    <row r="19" spans="1:46" s="211" customFormat="1" ht="19.399999999999999" customHeight="1">
      <c r="B19" s="2777" t="s">
        <v>1767</v>
      </c>
      <c r="C19" s="2777"/>
      <c r="D19" s="2777"/>
      <c r="E19" s="2777"/>
      <c r="F19" s="2777"/>
      <c r="G19" s="2777"/>
      <c r="H19" s="2777"/>
      <c r="I19" s="2777"/>
      <c r="J19" s="2777"/>
      <c r="K19" s="2777"/>
      <c r="L19" s="2777"/>
      <c r="M19" s="2777"/>
      <c r="N19" s="2777"/>
      <c r="O19" s="2777"/>
      <c r="P19" s="2777"/>
      <c r="Q19" s="2777"/>
      <c r="R19" s="2777"/>
      <c r="S19" s="2777"/>
      <c r="T19" s="2777"/>
      <c r="U19" s="2777"/>
      <c r="V19" s="2777"/>
      <c r="W19" s="2777"/>
      <c r="X19" s="2777"/>
      <c r="Y19" s="2777"/>
      <c r="Z19" s="2777"/>
      <c r="AA19" s="2777"/>
      <c r="AB19" s="2777"/>
      <c r="AC19" s="2777"/>
      <c r="AD19" s="2777"/>
      <c r="AE19" s="2777"/>
      <c r="AF19" s="2777"/>
      <c r="AG19" s="2777"/>
      <c r="AH19" s="2777"/>
      <c r="AI19" s="2777"/>
      <c r="AJ19" s="2777"/>
      <c r="AK19" s="2777"/>
      <c r="AL19" s="2777"/>
      <c r="AM19" s="2777"/>
      <c r="AN19" s="2777"/>
      <c r="AO19" s="2777"/>
      <c r="AP19" s="2777"/>
      <c r="AQ19" s="2777"/>
      <c r="AR19" s="2777"/>
      <c r="AS19" s="2777"/>
    </row>
    <row r="20" spans="1:46" s="211" customFormat="1" ht="30.75" customHeight="1">
      <c r="B20" s="1706" t="str">
        <f>IF(AND(sch_dic_subscribe_y=TRUE,sch_dic_subscribe_administrative_y=FALSE,sch_dic_subscribe_classinst_y=FALS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 and check the purpose.",IF(AND(sch_dic_subscribe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IF(AND(sch_dic_subscribe_y=FALSE,OR(sch_dic_subscribe_administrative_y=TRUE,sch_dic_subscribe_classinst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f>
        <v/>
      </c>
      <c r="C20" s="1706"/>
      <c r="D20" s="1706"/>
      <c r="E20" s="1706"/>
      <c r="F20" s="1706"/>
      <c r="G20" s="1706"/>
      <c r="H20" s="1706"/>
      <c r="I20" s="1706"/>
      <c r="J20" s="1706"/>
    </row>
    <row r="21" spans="1:46" ht="16.5">
      <c r="B21" s="219" t="s">
        <v>11774</v>
      </c>
      <c r="C21" s="708"/>
      <c r="D21" s="708"/>
      <c r="E21" s="708"/>
      <c r="F21" s="708"/>
    </row>
    <row r="22" spans="1:46" s="681" customFormat="1" ht="18" customHeight="1" thickBot="1">
      <c r="A22" s="588"/>
      <c r="B22" s="582" t="s">
        <v>903</v>
      </c>
      <c r="C22" s="150"/>
      <c r="D22" s="150"/>
      <c r="E22" s="709"/>
      <c r="F22" s="709"/>
      <c r="G22" s="709"/>
      <c r="H22" s="709"/>
      <c r="I22" s="709"/>
      <c r="J22" s="709"/>
      <c r="K22" s="709"/>
    </row>
    <row r="23" spans="1:46" s="567" customFormat="1" ht="18.649999999999999" customHeight="1">
      <c r="B23" s="2675" t="s">
        <v>182</v>
      </c>
      <c r="C23" s="2676"/>
      <c r="D23" s="2676"/>
      <c r="E23" s="2676"/>
      <c r="F23" s="2676"/>
      <c r="G23" s="2676"/>
      <c r="H23" s="2676"/>
      <c r="I23" s="2676"/>
      <c r="J23" s="2676"/>
      <c r="K23" s="2676"/>
      <c r="L23" s="2778"/>
      <c r="M23" s="2779" t="s">
        <v>120</v>
      </c>
      <c r="N23" s="2780"/>
      <c r="O23" s="2780"/>
      <c r="P23" s="2780"/>
      <c r="Q23" s="2780"/>
      <c r="R23" s="2780"/>
      <c r="S23" s="2780"/>
      <c r="T23" s="2780"/>
      <c r="U23" s="2780"/>
      <c r="V23" s="2780"/>
      <c r="W23" s="2781"/>
      <c r="X23" s="2782" t="s">
        <v>1120</v>
      </c>
      <c r="Y23" s="2783"/>
      <c r="Z23" s="2783"/>
      <c r="AA23" s="2783"/>
      <c r="AB23" s="2783"/>
      <c r="AC23" s="2783"/>
      <c r="AD23" s="2783"/>
      <c r="AE23" s="2783"/>
      <c r="AF23" s="2783"/>
      <c r="AG23" s="2783"/>
      <c r="AH23" s="2784"/>
      <c r="AI23" s="2779" t="s">
        <v>94</v>
      </c>
      <c r="AJ23" s="2780"/>
      <c r="AK23" s="2780"/>
      <c r="AL23" s="2780"/>
      <c r="AM23" s="2780"/>
      <c r="AN23" s="2780"/>
      <c r="AO23" s="2780"/>
      <c r="AP23" s="2780"/>
      <c r="AQ23" s="2780"/>
      <c r="AR23" s="2780"/>
      <c r="AS23" s="2785"/>
    </row>
    <row r="24" spans="1:46" s="681" customFormat="1" ht="17.5" customHeight="1">
      <c r="B24" s="2755" t="s">
        <v>1121</v>
      </c>
      <c r="C24" s="2756"/>
      <c r="D24" s="2756"/>
      <c r="E24" s="2756"/>
      <c r="F24" s="2756"/>
      <c r="G24" s="2756"/>
      <c r="H24" s="2756"/>
      <c r="I24" s="2756"/>
      <c r="J24" s="2756"/>
      <c r="K24" s="2756"/>
      <c r="L24" s="2757"/>
      <c r="M24" s="2761" t="s">
        <v>1122</v>
      </c>
      <c r="N24" s="2762"/>
      <c r="O24" s="2762"/>
      <c r="P24" s="2762"/>
      <c r="Q24" s="2762"/>
      <c r="R24" s="2762"/>
      <c r="S24" s="2762"/>
      <c r="T24" s="2762"/>
      <c r="U24" s="2762"/>
      <c r="V24" s="2762"/>
      <c r="W24" s="2763"/>
      <c r="X24" s="2761" t="s">
        <v>1123</v>
      </c>
      <c r="Y24" s="2762"/>
      <c r="Z24" s="2762"/>
      <c r="AA24" s="2762"/>
      <c r="AB24" s="2762"/>
      <c r="AC24" s="2762"/>
      <c r="AD24" s="2762"/>
      <c r="AE24" s="2762"/>
      <c r="AF24" s="2762"/>
      <c r="AG24" s="2762"/>
      <c r="AH24" s="2763"/>
      <c r="AI24" s="2767" t="s">
        <v>1124</v>
      </c>
      <c r="AJ24" s="2768"/>
      <c r="AK24" s="2768"/>
      <c r="AL24" s="2768"/>
      <c r="AM24" s="2768"/>
      <c r="AN24" s="2768"/>
      <c r="AO24" s="2768"/>
      <c r="AP24" s="2768"/>
      <c r="AQ24" s="2768"/>
      <c r="AR24" s="2768"/>
      <c r="AS24" s="2769"/>
    </row>
    <row r="25" spans="1:46" s="681" customFormat="1" ht="15.65" customHeight="1" thickBot="1">
      <c r="B25" s="2758"/>
      <c r="C25" s="2759"/>
      <c r="D25" s="2759"/>
      <c r="E25" s="2759"/>
      <c r="F25" s="2759"/>
      <c r="G25" s="2759"/>
      <c r="H25" s="2759"/>
      <c r="I25" s="2759"/>
      <c r="J25" s="2759"/>
      <c r="K25" s="2759"/>
      <c r="L25" s="2760"/>
      <c r="M25" s="2764"/>
      <c r="N25" s="2765"/>
      <c r="O25" s="2765"/>
      <c r="P25" s="2765"/>
      <c r="Q25" s="2765"/>
      <c r="R25" s="2765"/>
      <c r="S25" s="2765"/>
      <c r="T25" s="2765"/>
      <c r="U25" s="2765"/>
      <c r="V25" s="2765"/>
      <c r="W25" s="2766"/>
      <c r="X25" s="2764"/>
      <c r="Y25" s="2765"/>
      <c r="Z25" s="2765"/>
      <c r="AA25" s="2765"/>
      <c r="AB25" s="2765"/>
      <c r="AC25" s="2765"/>
      <c r="AD25" s="2765"/>
      <c r="AE25" s="2765"/>
      <c r="AF25" s="2765"/>
      <c r="AG25" s="2765"/>
      <c r="AH25" s="2766"/>
      <c r="AI25" s="2770"/>
      <c r="AJ25" s="2771"/>
      <c r="AK25" s="2771"/>
      <c r="AL25" s="2771"/>
      <c r="AM25" s="2771"/>
      <c r="AN25" s="2771"/>
      <c r="AO25" s="2771"/>
      <c r="AP25" s="2771"/>
      <c r="AQ25" s="2771"/>
      <c r="AR25" s="2771"/>
      <c r="AS25" s="2772"/>
    </row>
    <row r="26" spans="1:46" s="681" customFormat="1" ht="25" customHeight="1">
      <c r="B26" s="2787" t="s">
        <v>2230</v>
      </c>
      <c r="C26" s="2788"/>
      <c r="D26" s="2788"/>
      <c r="E26" s="2788"/>
      <c r="F26" s="2788"/>
      <c r="G26" s="2788"/>
      <c r="H26" s="2788"/>
      <c r="I26" s="2788"/>
      <c r="J26" s="2788"/>
      <c r="K26" s="2788"/>
      <c r="L26" s="2789"/>
      <c r="M26" s="2790" t="s">
        <v>2235</v>
      </c>
      <c r="N26" s="2788"/>
      <c r="O26" s="2788"/>
      <c r="P26" s="2788"/>
      <c r="Q26" s="2788"/>
      <c r="R26" s="2788"/>
      <c r="S26" s="2788"/>
      <c r="T26" s="2788"/>
      <c r="U26" s="2788"/>
      <c r="V26" s="2788"/>
      <c r="W26" s="2789"/>
      <c r="X26" s="2791">
        <v>3000</v>
      </c>
      <c r="Y26" s="2792"/>
      <c r="Z26" s="2792"/>
      <c r="AA26" s="2792"/>
      <c r="AB26" s="2792"/>
      <c r="AC26" s="2792"/>
      <c r="AD26" s="2792"/>
      <c r="AE26" s="2792"/>
      <c r="AF26" s="2792"/>
      <c r="AG26" s="2792"/>
      <c r="AH26" s="2793"/>
      <c r="AI26" s="2790" t="s">
        <v>244</v>
      </c>
      <c r="AJ26" s="2788"/>
      <c r="AK26" s="2788"/>
      <c r="AL26" s="2788"/>
      <c r="AM26" s="2788"/>
      <c r="AN26" s="2788"/>
      <c r="AO26" s="2788"/>
      <c r="AP26" s="2788"/>
      <c r="AQ26" s="2788"/>
      <c r="AR26" s="2788"/>
      <c r="AS26" s="2794"/>
    </row>
    <row r="27" spans="1:46" s="681" customFormat="1" ht="25" customHeight="1">
      <c r="B27" s="2795"/>
      <c r="C27" s="2796"/>
      <c r="D27" s="2796"/>
      <c r="E27" s="2796"/>
      <c r="F27" s="2796"/>
      <c r="G27" s="2796"/>
      <c r="H27" s="2796"/>
      <c r="I27" s="2796"/>
      <c r="J27" s="2796"/>
      <c r="K27" s="2796"/>
      <c r="L27" s="2797"/>
      <c r="M27" s="2798"/>
      <c r="N27" s="2796"/>
      <c r="O27" s="2796"/>
      <c r="P27" s="2796"/>
      <c r="Q27" s="2796"/>
      <c r="R27" s="2796"/>
      <c r="S27" s="2796"/>
      <c r="T27" s="2796"/>
      <c r="U27" s="2796"/>
      <c r="V27" s="2796"/>
      <c r="W27" s="2797"/>
      <c r="X27" s="2799"/>
      <c r="Y27" s="2800"/>
      <c r="Z27" s="2800"/>
      <c r="AA27" s="2800"/>
      <c r="AB27" s="2800"/>
      <c r="AC27" s="2800"/>
      <c r="AD27" s="2800"/>
      <c r="AE27" s="2800"/>
      <c r="AF27" s="2800"/>
      <c r="AG27" s="2800"/>
      <c r="AH27" s="2801"/>
      <c r="AI27" s="2798"/>
      <c r="AJ27" s="2796"/>
      <c r="AK27" s="2796"/>
      <c r="AL27" s="2796"/>
      <c r="AM27" s="2796"/>
      <c r="AN27" s="2796"/>
      <c r="AO27" s="2796"/>
      <c r="AP27" s="2796"/>
      <c r="AQ27" s="2796"/>
      <c r="AR27" s="2796"/>
      <c r="AS27" s="2802"/>
    </row>
    <row r="28" spans="1:46" s="681" customFormat="1" ht="25" customHeight="1">
      <c r="B28" s="2795"/>
      <c r="C28" s="2796"/>
      <c r="D28" s="2796"/>
      <c r="E28" s="2796"/>
      <c r="F28" s="2796"/>
      <c r="G28" s="2796"/>
      <c r="H28" s="2796"/>
      <c r="I28" s="2796"/>
      <c r="J28" s="2796"/>
      <c r="K28" s="2796"/>
      <c r="L28" s="2797"/>
      <c r="M28" s="2798"/>
      <c r="N28" s="2796"/>
      <c r="O28" s="2796"/>
      <c r="P28" s="2796"/>
      <c r="Q28" s="2796"/>
      <c r="R28" s="2796"/>
      <c r="S28" s="2796"/>
      <c r="T28" s="2796"/>
      <c r="U28" s="2796"/>
      <c r="V28" s="2796"/>
      <c r="W28" s="2797"/>
      <c r="X28" s="2799"/>
      <c r="Y28" s="2800"/>
      <c r="Z28" s="2800"/>
      <c r="AA28" s="2800"/>
      <c r="AB28" s="2800"/>
      <c r="AC28" s="2800"/>
      <c r="AD28" s="2800"/>
      <c r="AE28" s="2800"/>
      <c r="AF28" s="2800"/>
      <c r="AG28" s="2800"/>
      <c r="AH28" s="2801"/>
      <c r="AI28" s="2798"/>
      <c r="AJ28" s="2796"/>
      <c r="AK28" s="2796"/>
      <c r="AL28" s="2796"/>
      <c r="AM28" s="2796"/>
      <c r="AN28" s="2796"/>
      <c r="AO28" s="2796"/>
      <c r="AP28" s="2796"/>
      <c r="AQ28" s="2796"/>
      <c r="AR28" s="2796"/>
      <c r="AS28" s="2802"/>
    </row>
    <row r="29" spans="1:46" s="681" customFormat="1" ht="25" customHeight="1">
      <c r="B29" s="2795"/>
      <c r="C29" s="2796"/>
      <c r="D29" s="2796"/>
      <c r="E29" s="2796"/>
      <c r="F29" s="2796"/>
      <c r="G29" s="2796"/>
      <c r="H29" s="2796"/>
      <c r="I29" s="2796"/>
      <c r="J29" s="2796"/>
      <c r="K29" s="2796"/>
      <c r="L29" s="2797"/>
      <c r="M29" s="2798"/>
      <c r="N29" s="2796"/>
      <c r="O29" s="2796"/>
      <c r="P29" s="2796"/>
      <c r="Q29" s="2796"/>
      <c r="R29" s="2796"/>
      <c r="S29" s="2796"/>
      <c r="T29" s="2796"/>
      <c r="U29" s="2796"/>
      <c r="V29" s="2796"/>
      <c r="W29" s="2797"/>
      <c r="X29" s="2799"/>
      <c r="Y29" s="2800"/>
      <c r="Z29" s="2800"/>
      <c r="AA29" s="2800"/>
      <c r="AB29" s="2800"/>
      <c r="AC29" s="2800"/>
      <c r="AD29" s="2800"/>
      <c r="AE29" s="2800"/>
      <c r="AF29" s="2800"/>
      <c r="AG29" s="2800"/>
      <c r="AH29" s="2801"/>
      <c r="AI29" s="2798"/>
      <c r="AJ29" s="2796"/>
      <c r="AK29" s="2796"/>
      <c r="AL29" s="2796"/>
      <c r="AM29" s="2796"/>
      <c r="AN29" s="2796"/>
      <c r="AO29" s="2796"/>
      <c r="AP29" s="2796"/>
      <c r="AQ29" s="2796"/>
      <c r="AR29" s="2796"/>
      <c r="AS29" s="2802"/>
    </row>
    <row r="30" spans="1:46" s="681" customFormat="1" ht="25" customHeight="1" thickBot="1">
      <c r="B30" s="2810"/>
      <c r="C30" s="2804"/>
      <c r="D30" s="2804"/>
      <c r="E30" s="2804"/>
      <c r="F30" s="2804"/>
      <c r="G30" s="2804"/>
      <c r="H30" s="2804"/>
      <c r="I30" s="2804"/>
      <c r="J30" s="2804"/>
      <c r="K30" s="2804"/>
      <c r="L30" s="2805"/>
      <c r="M30" s="2803"/>
      <c r="N30" s="2804"/>
      <c r="O30" s="2804"/>
      <c r="P30" s="2804"/>
      <c r="Q30" s="2804"/>
      <c r="R30" s="2804"/>
      <c r="S30" s="2804"/>
      <c r="T30" s="2804"/>
      <c r="U30" s="2804"/>
      <c r="V30" s="2804"/>
      <c r="W30" s="2805"/>
      <c r="X30" s="2806"/>
      <c r="Y30" s="2807"/>
      <c r="Z30" s="2807"/>
      <c r="AA30" s="2807"/>
      <c r="AB30" s="2807"/>
      <c r="AC30" s="2807"/>
      <c r="AD30" s="2807"/>
      <c r="AE30" s="2807"/>
      <c r="AF30" s="2807"/>
      <c r="AG30" s="2807"/>
      <c r="AH30" s="2808"/>
      <c r="AI30" s="2803"/>
      <c r="AJ30" s="2804"/>
      <c r="AK30" s="2804"/>
      <c r="AL30" s="2804"/>
      <c r="AM30" s="2804"/>
      <c r="AN30" s="2804"/>
      <c r="AO30" s="2804"/>
      <c r="AP30" s="2804"/>
      <c r="AQ30" s="2804"/>
      <c r="AR30" s="2804"/>
      <c r="AS30" s="2809"/>
    </row>
    <row r="31" spans="1:46" s="681" customFormat="1" ht="22.75" customHeight="1">
      <c r="B31" s="699" t="str">
        <f>IF(AND(sch_dic_subscribe_y=FALSE,OR((combo_avemontlyexpense_typesofinternet1&gt;0),(combo_avemontlyexpense_typesofinternet2&gt;0),(combo_avemontlyexpense_typesofinternet3&gt;0),(combo_avemontlyexpense_typesofinternet4&gt;0), (combo_avemontlyexpense_typesofinternet5&gt;0),(combo_avemonthlyexpense_internetserviceprovider1&gt;0), (combo_avemonthlyexpense_internetserviceprovider2&gt;0),(combo_avemonthlyexpense_internetserviceprovider3&gt;0),(combo_avemonthlyexpense_internetserviceprovider4&gt;0),(combo_avemonthlyexpense_internetserviceprovider5&gt;0),(sch_avemonthlyexpense_others1&gt;0),(sch_avemonthlyexpense_others2&gt;0),(sch_avemonthlyexpense_others2&gt;0),(sch_avemonthlyexpense_others3&gt;0),(sch_avemonthlyexpense_others4&gt;0),(sch_avemonthlyexpense_others5&gt;0),(combo_avemonthlyexpense_fundingsource1&gt;0),(combo_avemonthlyexpense_fundingsource2&gt;0),(combo_avemonthlyexpense_fundingsource3&gt;0),(combo_avemonthlyexpense_fundingsource4&gt;0),(combo_avemonthlyexpense_fundingsource5&gt;0))),"Please check Yes in Box 6 Item number 2 if you have entries in Table 21.","")</f>
        <v/>
      </c>
      <c r="C31" s="700"/>
      <c r="D31" s="700"/>
      <c r="E31" s="700"/>
      <c r="F31" s="700"/>
      <c r="G31" s="700"/>
      <c r="H31" s="700"/>
      <c r="I31" s="700"/>
      <c r="J31" s="700"/>
      <c r="K31" s="701"/>
      <c r="L31" s="701"/>
      <c r="M31" s="701"/>
      <c r="N31" s="701"/>
      <c r="O31" s="701"/>
      <c r="P31" s="701"/>
      <c r="Q31" s="701"/>
      <c r="R31" s="701"/>
      <c r="S31" s="701"/>
      <c r="T31" s="701"/>
      <c r="U31" s="702"/>
      <c r="V31" s="702"/>
      <c r="W31" s="702"/>
    </row>
    <row r="32" spans="1:46" s="211" customFormat="1" ht="17.5" customHeight="1">
      <c r="B32" s="2723" t="s">
        <v>1125</v>
      </c>
      <c r="C32" s="2723"/>
      <c r="D32" s="2723"/>
      <c r="E32" s="2723"/>
      <c r="F32" s="2723"/>
      <c r="G32" s="2723"/>
      <c r="H32" s="2723"/>
      <c r="I32" s="2723"/>
      <c r="J32" s="2723"/>
      <c r="K32" s="2723"/>
      <c r="L32" s="2723"/>
      <c r="M32" s="2723"/>
      <c r="N32" s="2723"/>
      <c r="O32" s="2723"/>
      <c r="P32" s="2723"/>
      <c r="Q32" s="2723"/>
      <c r="R32" s="2723"/>
      <c r="S32" s="2723"/>
      <c r="T32" s="2723"/>
      <c r="U32" s="2723"/>
      <c r="V32" s="2723"/>
      <c r="W32" s="2723"/>
      <c r="X32" s="2723"/>
      <c r="Y32" s="2723"/>
      <c r="Z32" s="2723"/>
      <c r="AA32" s="2723"/>
      <c r="AB32" s="2723"/>
      <c r="AC32" s="2723"/>
      <c r="AD32" s="2723"/>
      <c r="AE32" s="2723"/>
      <c r="AF32" s="2723"/>
      <c r="AG32" s="2723"/>
      <c r="AH32" s="2723"/>
      <c r="AI32" s="2723"/>
      <c r="AJ32" s="2723"/>
      <c r="AK32" s="2723"/>
      <c r="AL32" s="2723"/>
      <c r="AM32" s="2723"/>
      <c r="AN32" s="2723"/>
      <c r="AO32" s="2723"/>
      <c r="AP32" s="2723"/>
      <c r="AQ32" s="2723"/>
      <c r="AR32" s="2723"/>
      <c r="AS32" s="2723"/>
      <c r="AT32" s="2723"/>
    </row>
    <row r="33" spans="2:46" s="211" customFormat="1" ht="15" customHeight="1">
      <c r="B33" s="2713" t="s">
        <v>1126</v>
      </c>
      <c r="C33" s="2713"/>
      <c r="D33" s="2713"/>
      <c r="E33" s="2713"/>
      <c r="F33" s="2713"/>
      <c r="G33" s="2713"/>
      <c r="H33" s="2713"/>
      <c r="I33" s="2713"/>
      <c r="J33" s="2713"/>
      <c r="K33" s="2713"/>
      <c r="L33" s="2713"/>
      <c r="M33" s="2713"/>
      <c r="N33" s="2713"/>
      <c r="O33" s="2713"/>
      <c r="P33" s="2713"/>
      <c r="Q33" s="2713"/>
      <c r="R33" s="2713"/>
      <c r="S33" s="2713"/>
      <c r="T33" s="2713"/>
      <c r="U33" s="2713"/>
      <c r="V33" s="2713"/>
      <c r="W33" s="2713"/>
      <c r="X33" s="2713"/>
      <c r="Y33" s="2713"/>
      <c r="Z33" s="2713"/>
      <c r="AA33" s="2713"/>
      <c r="AB33" s="2713"/>
      <c r="AC33" s="2713"/>
      <c r="AD33" s="2713"/>
      <c r="AE33" s="2713"/>
      <c r="AF33" s="2713"/>
      <c r="AG33" s="2713"/>
      <c r="AH33" s="2713"/>
      <c r="AI33" s="2713"/>
      <c r="AJ33" s="2713"/>
      <c r="AK33" s="2713"/>
      <c r="AL33" s="2713"/>
      <c r="AM33" s="2713"/>
      <c r="AN33" s="2713"/>
      <c r="AO33" s="2713"/>
      <c r="AP33" s="2713"/>
      <c r="AQ33" s="2713"/>
      <c r="AR33" s="2713"/>
      <c r="AS33" s="2713"/>
      <c r="AT33" s="2713"/>
    </row>
    <row r="34" spans="2:46" s="211" customFormat="1" ht="15" customHeight="1">
      <c r="B34" s="2713" t="s">
        <v>1127</v>
      </c>
      <c r="C34" s="2713"/>
      <c r="D34" s="2713"/>
      <c r="E34" s="2713"/>
      <c r="F34" s="2713"/>
      <c r="G34" s="2713"/>
      <c r="H34" s="2713"/>
      <c r="I34" s="2713"/>
      <c r="J34" s="2713"/>
      <c r="K34" s="2713"/>
      <c r="L34" s="2713"/>
      <c r="M34" s="2713"/>
      <c r="N34" s="2713"/>
      <c r="O34" s="2713"/>
      <c r="P34" s="2713"/>
      <c r="Q34" s="2713"/>
      <c r="R34" s="2713"/>
      <c r="S34" s="2713"/>
      <c r="T34" s="2713"/>
      <c r="U34" s="2713"/>
      <c r="V34" s="2713"/>
      <c r="W34" s="2713"/>
      <c r="X34" s="2713"/>
      <c r="Y34" s="2713"/>
      <c r="Z34" s="2713"/>
      <c r="AA34" s="2713"/>
      <c r="AB34" s="2713"/>
      <c r="AC34" s="2713"/>
      <c r="AD34" s="2713"/>
      <c r="AE34" s="2713"/>
      <c r="AF34" s="2713"/>
      <c r="AG34" s="2713"/>
      <c r="AH34" s="2713"/>
      <c r="AI34" s="2713"/>
      <c r="AJ34" s="2713"/>
      <c r="AK34" s="2713"/>
      <c r="AL34" s="2713"/>
      <c r="AM34" s="2713"/>
      <c r="AN34" s="2713"/>
      <c r="AO34" s="2713"/>
      <c r="AP34" s="2713"/>
      <c r="AQ34" s="2713"/>
      <c r="AR34" s="2713"/>
      <c r="AS34" s="2713"/>
      <c r="AT34" s="2713"/>
    </row>
    <row r="35" spans="2:46" s="211" customFormat="1" ht="15" customHeight="1">
      <c r="B35" s="2713" t="s">
        <v>1128</v>
      </c>
      <c r="C35" s="2713"/>
      <c r="D35" s="2713"/>
      <c r="E35" s="2713"/>
      <c r="F35" s="2713"/>
      <c r="G35" s="2713"/>
      <c r="H35" s="2713"/>
      <c r="I35" s="2713"/>
      <c r="J35" s="2713"/>
      <c r="K35" s="2713"/>
      <c r="L35" s="2713"/>
      <c r="M35" s="2713"/>
      <c r="N35" s="2713"/>
      <c r="O35" s="2713"/>
      <c r="P35" s="2713"/>
      <c r="Q35" s="2713"/>
      <c r="R35" s="2713"/>
      <c r="S35" s="2713"/>
      <c r="T35" s="2713"/>
      <c r="U35" s="2713"/>
      <c r="V35" s="2713"/>
      <c r="W35" s="2713"/>
      <c r="X35" s="2713"/>
      <c r="Y35" s="2713"/>
      <c r="Z35" s="2713"/>
      <c r="AA35" s="2713"/>
      <c r="AB35" s="2713"/>
      <c r="AC35" s="2713"/>
      <c r="AD35" s="2713"/>
      <c r="AE35" s="2713"/>
      <c r="AF35" s="2713"/>
      <c r="AG35" s="2713"/>
      <c r="AH35" s="2713"/>
      <c r="AI35" s="2713"/>
      <c r="AJ35" s="2713"/>
      <c r="AK35" s="2713"/>
      <c r="AL35" s="2713"/>
      <c r="AM35" s="2713"/>
      <c r="AN35" s="2713"/>
      <c r="AO35" s="2713"/>
      <c r="AP35" s="2713"/>
      <c r="AQ35" s="2713"/>
      <c r="AR35" s="2713"/>
      <c r="AS35" s="2713"/>
      <c r="AT35" s="2713"/>
    </row>
    <row r="36" spans="2:46" s="211" customFormat="1" ht="15" customHeight="1">
      <c r="B36" s="2713" t="s">
        <v>1129</v>
      </c>
      <c r="C36" s="2713"/>
      <c r="D36" s="2713"/>
      <c r="E36" s="2713"/>
      <c r="F36" s="2713"/>
      <c r="G36" s="2713"/>
      <c r="H36" s="2713"/>
      <c r="I36" s="2713"/>
      <c r="J36" s="2713"/>
      <c r="K36" s="2713"/>
      <c r="L36" s="2713"/>
      <c r="M36" s="2713"/>
      <c r="N36" s="2713"/>
      <c r="O36" s="2713"/>
      <c r="P36" s="2713"/>
      <c r="Q36" s="2713"/>
      <c r="R36" s="2713"/>
      <c r="S36" s="2713"/>
      <c r="T36" s="2713"/>
      <c r="U36" s="2713"/>
      <c r="V36" s="2713"/>
      <c r="W36" s="2713"/>
      <c r="X36" s="2713"/>
      <c r="Y36" s="2713"/>
      <c r="Z36" s="2713"/>
      <c r="AA36" s="2713"/>
      <c r="AB36" s="2713"/>
      <c r="AC36" s="2713"/>
      <c r="AD36" s="2713"/>
      <c r="AE36" s="2713"/>
      <c r="AF36" s="2713"/>
      <c r="AG36" s="2713"/>
      <c r="AH36" s="2713"/>
      <c r="AI36" s="2713"/>
      <c r="AJ36" s="2713"/>
      <c r="AK36" s="2713"/>
      <c r="AL36" s="2713"/>
      <c r="AM36" s="2713"/>
      <c r="AN36" s="2713"/>
      <c r="AO36" s="2713"/>
      <c r="AP36" s="2713"/>
      <c r="AQ36" s="2713"/>
      <c r="AR36" s="2713"/>
      <c r="AS36" s="2713"/>
      <c r="AT36" s="2713"/>
    </row>
    <row r="37" spans="2:46" s="211" customFormat="1" ht="15.65" customHeight="1">
      <c r="B37" s="2811" t="s">
        <v>1396</v>
      </c>
      <c r="C37" s="2811"/>
      <c r="D37" s="2811"/>
      <c r="E37" s="2811"/>
      <c r="F37" s="2811"/>
      <c r="G37" s="2811"/>
      <c r="H37" s="2811"/>
      <c r="I37" s="2811"/>
      <c r="J37" s="2811"/>
      <c r="K37" s="2811"/>
      <c r="L37" s="2811"/>
      <c r="M37" s="2811"/>
      <c r="N37" s="2811"/>
      <c r="O37" s="2811"/>
      <c r="P37" s="2811"/>
      <c r="Q37" s="2811"/>
      <c r="R37" s="2811"/>
      <c r="S37" s="2811"/>
      <c r="T37" s="2811"/>
      <c r="U37" s="2811"/>
      <c r="V37" s="2811"/>
      <c r="W37" s="2811"/>
      <c r="X37" s="2811"/>
      <c r="Y37" s="2811"/>
      <c r="Z37" s="2811"/>
      <c r="AA37" s="2811"/>
      <c r="AB37" s="2811"/>
      <c r="AC37" s="2811"/>
      <c r="AD37" s="2811"/>
      <c r="AE37" s="2811"/>
      <c r="AF37" s="2811"/>
      <c r="AG37" s="2811"/>
      <c r="AH37" s="2811"/>
      <c r="AI37" s="2811"/>
      <c r="AJ37" s="2811"/>
      <c r="AK37" s="2811"/>
      <c r="AL37" s="2811"/>
      <c r="AM37" s="2811"/>
      <c r="AN37" s="2811"/>
      <c r="AO37" s="2811"/>
      <c r="AP37" s="2811"/>
      <c r="AQ37" s="2811"/>
      <c r="AR37" s="2811"/>
      <c r="AS37" s="2811"/>
      <c r="AT37" s="703"/>
    </row>
    <row r="38" spans="2:46" s="211" customFormat="1" ht="15.65" customHeight="1">
      <c r="B38" s="2811" t="s">
        <v>1395</v>
      </c>
      <c r="C38" s="2811"/>
      <c r="D38" s="2811"/>
      <c r="E38" s="2811"/>
      <c r="F38" s="2811"/>
      <c r="G38" s="2811"/>
      <c r="H38" s="2811"/>
      <c r="I38" s="2811"/>
      <c r="J38" s="2811"/>
      <c r="K38" s="2811"/>
      <c r="L38" s="2811"/>
      <c r="M38" s="2811"/>
      <c r="N38" s="2811"/>
      <c r="O38" s="2811"/>
      <c r="P38" s="2811"/>
      <c r="Q38" s="2811"/>
      <c r="R38" s="2811"/>
      <c r="S38" s="2811"/>
      <c r="T38" s="2811"/>
      <c r="U38" s="2811"/>
      <c r="V38" s="2811"/>
      <c r="W38" s="2811"/>
      <c r="X38" s="2811"/>
      <c r="Y38" s="2811"/>
      <c r="Z38" s="2811"/>
      <c r="AA38" s="2811"/>
      <c r="AB38" s="2811"/>
      <c r="AC38" s="2811"/>
      <c r="AD38" s="2811"/>
      <c r="AE38" s="2811"/>
      <c r="AF38" s="2811"/>
      <c r="AG38" s="2811"/>
      <c r="AH38" s="2811"/>
      <c r="AI38" s="2811"/>
      <c r="AJ38" s="2811"/>
      <c r="AK38" s="2811"/>
      <c r="AL38" s="2811"/>
      <c r="AM38" s="2811"/>
      <c r="AN38" s="2811"/>
      <c r="AO38" s="2811"/>
      <c r="AP38" s="2811"/>
      <c r="AQ38" s="2811"/>
      <c r="AR38" s="2811"/>
      <c r="AS38" s="2811"/>
      <c r="AT38" s="703"/>
    </row>
    <row r="39" spans="2:46" s="211" customFormat="1" ht="14">
      <c r="B39" s="703"/>
      <c r="C39" s="703"/>
      <c r="D39" s="703"/>
      <c r="E39" s="703"/>
      <c r="F39" s="703"/>
      <c r="G39" s="703"/>
      <c r="H39" s="703"/>
      <c r="I39" s="703"/>
      <c r="J39" s="703"/>
      <c r="K39" s="703"/>
      <c r="L39" s="703"/>
      <c r="M39" s="703"/>
      <c r="N39" s="703"/>
      <c r="O39" s="703"/>
      <c r="P39" s="703"/>
      <c r="Q39" s="703"/>
      <c r="R39" s="703"/>
      <c r="S39" s="703"/>
      <c r="T39" s="703"/>
      <c r="U39" s="703"/>
      <c r="V39" s="703"/>
      <c r="W39" s="703"/>
      <c r="X39" s="703"/>
      <c r="Y39" s="703"/>
      <c r="Z39" s="703"/>
      <c r="AA39" s="703"/>
      <c r="AB39" s="703"/>
      <c r="AC39" s="703"/>
      <c r="AD39" s="703"/>
      <c r="AE39" s="703"/>
      <c r="AF39" s="703"/>
      <c r="AG39" s="703"/>
      <c r="AH39" s="703"/>
      <c r="AI39" s="703"/>
      <c r="AJ39" s="703"/>
      <c r="AK39" s="703"/>
      <c r="AL39" s="703"/>
      <c r="AM39" s="703"/>
      <c r="AN39" s="703"/>
      <c r="AO39" s="703"/>
      <c r="AP39" s="703"/>
      <c r="AQ39" s="703"/>
      <c r="AR39" s="703"/>
      <c r="AS39" s="703"/>
      <c r="AT39" s="703"/>
    </row>
    <row r="40" spans="2:46" s="211" customFormat="1">
      <c r="B40" s="704" t="s">
        <v>1352</v>
      </c>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row>
    <row r="41" spans="2:46" s="661" customFormat="1" ht="30.75" customHeight="1">
      <c r="B41" s="344"/>
      <c r="C41" s="344"/>
      <c r="D41" s="344"/>
    </row>
    <row r="42" spans="2:46" s="168" customFormat="1" ht="14">
      <c r="B42" s="169" t="s">
        <v>847</v>
      </c>
      <c r="Q42" s="169" t="s">
        <v>764</v>
      </c>
      <c r="R42" s="169"/>
      <c r="AF42" s="169" t="s">
        <v>783</v>
      </c>
    </row>
    <row r="43" spans="2:46" s="168" customFormat="1" ht="21.75" customHeight="1">
      <c r="B43" s="169" t="s">
        <v>756</v>
      </c>
      <c r="F43" s="1959" t="str">
        <f>activesheet!E29</f>
        <v>RICO S. MISPEROS</v>
      </c>
      <c r="G43" s="1959"/>
      <c r="H43" s="1959"/>
      <c r="I43" s="1959"/>
      <c r="J43" s="1959"/>
      <c r="K43" s="1959"/>
      <c r="L43" s="1959"/>
      <c r="M43" s="1959"/>
      <c r="N43" s="1959"/>
      <c r="Q43" s="1956" t="str">
        <f>activesheet!E1376</f>
        <v>ANNE VALERIE KERSTEINE I. VILLANUEVA</v>
      </c>
      <c r="R43" s="1956"/>
      <c r="S43" s="1956"/>
      <c r="T43" s="1956"/>
      <c r="U43" s="1956"/>
      <c r="V43" s="1956"/>
      <c r="W43" s="1956"/>
      <c r="X43" s="1956"/>
      <c r="Y43" s="1956"/>
      <c r="Z43" s="1956"/>
      <c r="AA43" s="1956"/>
      <c r="AB43" s="1956"/>
      <c r="AC43" s="1956"/>
      <c r="AF43" s="1956" t="str">
        <f>activesheet!E31</f>
        <v>MICHAEL T. JAMIS</v>
      </c>
      <c r="AG43" s="1956"/>
      <c r="AH43" s="1956"/>
      <c r="AI43" s="1956"/>
      <c r="AJ43" s="1956"/>
      <c r="AK43" s="1956"/>
      <c r="AL43" s="1956"/>
      <c r="AM43" s="1956"/>
      <c r="AN43" s="1956"/>
      <c r="AO43" s="1956"/>
      <c r="AP43" s="1956"/>
      <c r="AQ43" s="1956"/>
      <c r="AR43" s="1956"/>
    </row>
    <row r="44" spans="2:46" s="156" customFormat="1" ht="14">
      <c r="B44" s="655"/>
      <c r="F44" s="1764" t="s">
        <v>741</v>
      </c>
      <c r="G44" s="1764"/>
      <c r="H44" s="1764"/>
      <c r="I44" s="1764"/>
      <c r="J44" s="1764"/>
      <c r="K44" s="1764"/>
      <c r="L44" s="1764"/>
      <c r="M44" s="1764"/>
      <c r="N44" s="1764"/>
      <c r="O44" s="655"/>
      <c r="P44" s="655"/>
      <c r="Q44" s="1957"/>
      <c r="R44" s="1957"/>
      <c r="S44" s="1957"/>
      <c r="T44" s="1957"/>
      <c r="U44" s="1957"/>
      <c r="V44" s="1957"/>
      <c r="W44" s="1957"/>
      <c r="X44" s="1957"/>
      <c r="Y44" s="1957"/>
      <c r="Z44" s="1957"/>
      <c r="AA44" s="1957"/>
      <c r="AB44" s="1957"/>
      <c r="AC44" s="1957"/>
      <c r="AD44" s="168"/>
      <c r="AE44" s="168"/>
      <c r="AF44" s="1957"/>
      <c r="AG44" s="1957"/>
      <c r="AH44" s="1957"/>
      <c r="AI44" s="1957"/>
      <c r="AJ44" s="1957"/>
      <c r="AK44" s="1957"/>
      <c r="AL44" s="1957"/>
      <c r="AM44" s="1957"/>
      <c r="AN44" s="1957"/>
      <c r="AO44" s="1957"/>
      <c r="AP44" s="1957"/>
      <c r="AQ44" s="1957"/>
      <c r="AR44" s="1957"/>
      <c r="AS44" s="168"/>
      <c r="AT44" s="655"/>
    </row>
    <row r="45" spans="2:46" s="168" customFormat="1" ht="21.75" customHeight="1">
      <c r="B45" s="169" t="s">
        <v>71</v>
      </c>
      <c r="F45" s="1959" t="str">
        <f>activesheet!E30</f>
        <v>SCHOOL PRINCIPAL II</v>
      </c>
      <c r="G45" s="1959"/>
      <c r="H45" s="1959"/>
      <c r="I45" s="1959"/>
      <c r="J45" s="1959"/>
      <c r="K45" s="1959"/>
      <c r="L45" s="1959"/>
      <c r="M45" s="1959"/>
      <c r="N45" s="1959"/>
      <c r="Q45" s="1764" t="s">
        <v>741</v>
      </c>
      <c r="R45" s="1764"/>
      <c r="S45" s="1764"/>
      <c r="T45" s="1764"/>
      <c r="U45" s="1764"/>
      <c r="V45" s="1764"/>
      <c r="W45" s="1764"/>
      <c r="X45" s="1764"/>
      <c r="Y45" s="1764"/>
      <c r="Z45" s="1764"/>
      <c r="AA45" s="1764"/>
      <c r="AB45" s="1764"/>
      <c r="AC45" s="1764"/>
      <c r="AD45" s="153"/>
      <c r="AE45" s="151"/>
      <c r="AF45" s="1764" t="s">
        <v>741</v>
      </c>
      <c r="AG45" s="1764"/>
      <c r="AH45" s="1764"/>
      <c r="AI45" s="1764"/>
      <c r="AJ45" s="1764"/>
      <c r="AK45" s="1764"/>
      <c r="AL45" s="1764"/>
      <c r="AM45" s="1764"/>
      <c r="AN45" s="1764"/>
      <c r="AO45" s="1764"/>
      <c r="AP45" s="1764"/>
      <c r="AQ45" s="1764"/>
      <c r="AR45" s="1764"/>
      <c r="AS45" s="655"/>
    </row>
    <row r="46" spans="2:46" s="168" customFormat="1" ht="14"/>
  </sheetData>
  <sheetProtection algorithmName="SHA-512" hashValue="n8oABlmU3pLgYZ0xtJHhxaHWhcTnfuuE7HsfC3CjSIIzzFY58h25EJ2g/vxEiInrmf5TZqxlO0qTVaEJOLBa9A==" saltValue="o6p9+8KF7qfVNFAufkPuTw==" spinCount="100000" sheet="1" selectLockedCells="1"/>
  <mergeCells count="50">
    <mergeCell ref="F45:N45"/>
    <mergeCell ref="Q45:AC45"/>
    <mergeCell ref="AF45:AR45"/>
    <mergeCell ref="B32:AT32"/>
    <mergeCell ref="B33:AT33"/>
    <mergeCell ref="B34:AT34"/>
    <mergeCell ref="B35:AT35"/>
    <mergeCell ref="B36:AT36"/>
    <mergeCell ref="B38:AS38"/>
    <mergeCell ref="B37:AS37"/>
    <mergeCell ref="F43:N43"/>
    <mergeCell ref="Q43:AC44"/>
    <mergeCell ref="AF43:AR44"/>
    <mergeCell ref="F44:N44"/>
    <mergeCell ref="M30:W30"/>
    <mergeCell ref="X30:AH30"/>
    <mergeCell ref="AI30:AS30"/>
    <mergeCell ref="B28:L28"/>
    <mergeCell ref="M28:W28"/>
    <mergeCell ref="X28:AH28"/>
    <mergeCell ref="AI28:AS28"/>
    <mergeCell ref="B29:L29"/>
    <mergeCell ref="M29:W29"/>
    <mergeCell ref="X29:AH29"/>
    <mergeCell ref="AI29:AS29"/>
    <mergeCell ref="B30:L30"/>
    <mergeCell ref="B26:L26"/>
    <mergeCell ref="M26:W26"/>
    <mergeCell ref="X26:AH26"/>
    <mergeCell ref="AI26:AS26"/>
    <mergeCell ref="B27:L27"/>
    <mergeCell ref="M27:W27"/>
    <mergeCell ref="X27:AH27"/>
    <mergeCell ref="AI27:AS27"/>
    <mergeCell ref="B24:L25"/>
    <mergeCell ref="M24:W25"/>
    <mergeCell ref="X24:AH25"/>
    <mergeCell ref="AI24:AS25"/>
    <mergeCell ref="AF8:AK8"/>
    <mergeCell ref="K16:P16"/>
    <mergeCell ref="X16:AC16"/>
    <mergeCell ref="AK16:AP16"/>
    <mergeCell ref="K17:P17"/>
    <mergeCell ref="X17:AC17"/>
    <mergeCell ref="B19:AS19"/>
    <mergeCell ref="B23:L23"/>
    <mergeCell ref="M23:W23"/>
    <mergeCell ref="X23:AH23"/>
    <mergeCell ref="AI23:AS23"/>
    <mergeCell ref="H18:P18"/>
  </mergeCells>
  <conditionalFormatting sqref="G11">
    <cfRule type="expression" dxfId="19" priority="2">
      <formula>AND($AA$10=TRUE, AND($H$12=FALSE, $H$13=FALSE))</formula>
    </cfRule>
  </conditionalFormatting>
  <conditionalFormatting sqref="G6">
    <cfRule type="expression" dxfId="18" priority="1">
      <formula>AND(T5=TRUE, AND(H7=FALSE, H8=FALSE, O7=FALSE, O8=FALSE, U7=FALSE, U8=FALSE, AA7=FALSE, AA8=FALSE))</formula>
    </cfRule>
  </conditionalFormatting>
  <dataValidations count="5">
    <dataValidation type="date" allowBlank="1" showInputMessage="1" showErrorMessage="1" errorTitle="GESP SY 2022-2023" error="Please enter date between January 1, 2022 and October 31, 2022 in M/D/YYYY or D/M/YYYY format (depend on your computer’s date)." sqref="K16:P16" xr:uid="{00000000-0002-0000-1500-000000000000}">
      <formula1>44562</formula1>
      <formula2>44865</formula2>
    </dataValidation>
    <dataValidation type="time" allowBlank="1" showInputMessage="1" showErrorMessage="1" errorTitle="GESP SY 2022-2023" error="Please enter valid time in HH:MM:SS format." sqref="K17:P17" xr:uid="{00000000-0002-0000-1500-000001000000}">
      <formula1>0</formula1>
      <formula2>0.999988425925926</formula2>
    </dataValidation>
    <dataValidation type="whole" allowBlank="1" showInputMessage="1" showErrorMessage="1" errorTitle="GESP SY 2022-2023" error="Please enter valid number from 0-10,000." sqref="X16:AC16" xr:uid="{00000000-0002-0000-1500-000002000000}">
      <formula1>0</formula1>
      <formula2>10000</formula2>
    </dataValidation>
    <dataValidation type="decimal" allowBlank="1" showInputMessage="1" showErrorMessage="1" errorTitle="GESP SY 2022-2023" error="Please enter valid number between 0-1,000,000.00." sqref="X26:AH30" xr:uid="{00000000-0002-0000-1500-000003000000}">
      <formula1>0</formula1>
      <formula2>1000000</formula2>
    </dataValidation>
    <dataValidation type="decimal" allowBlank="1" showInputMessage="1" showErrorMessage="1" errorTitle="GESP SY 2022-2023" error="Please enter valid number from 0-10,000." sqref="AK16:AP16 X17:AC17" xr:uid="{00000000-0002-0000-1500-000004000000}">
      <formula1>0</formula1>
      <formula2>10000</formula2>
    </dataValidation>
  </dataValidations>
  <printOptions horizontalCentered="1" verticalCentered="1"/>
  <pageMargins left="0.25" right="0.25" top="0.2" bottom="0.2" header="0" footer="0.1"/>
  <pageSetup paperSize="9" scale="65" orientation="landscape" r:id="rId1"/>
  <headerFooter alignWithMargins="0">
    <oddFooter>&amp;L&amp;10&amp;F &amp;A&amp;R&amp;11Page 18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21" r:id="rId4" name="Check Box 1">
              <controlPr locked="0" defaultSize="0" autoFill="0" autoLine="0" autoPict="0" altText="">
                <anchor moveWithCells="1">
                  <from>
                    <xdr:col>19</xdr:col>
                    <xdr:colOff>31750</xdr:colOff>
                    <xdr:row>4</xdr:row>
                    <xdr:rowOff>31750</xdr:rowOff>
                  </from>
                  <to>
                    <xdr:col>20</xdr:col>
                    <xdr:colOff>107950</xdr:colOff>
                    <xdr:row>5</xdr:row>
                    <xdr:rowOff>0</xdr:rowOff>
                  </to>
                </anchor>
              </controlPr>
            </control>
          </mc:Choice>
        </mc:AlternateContent>
        <mc:AlternateContent xmlns:mc="http://schemas.openxmlformats.org/markup-compatibility/2006">
          <mc:Choice Requires="x14">
            <control shapeId="30722" r:id="rId5" name="Check Box 2">
              <controlPr locked="0" defaultSize="0" autoFill="0" autoLine="0" autoPict="0" altText="">
                <anchor moveWithCells="1">
                  <from>
                    <xdr:col>24</xdr:col>
                    <xdr:colOff>31750</xdr:colOff>
                    <xdr:row>4</xdr:row>
                    <xdr:rowOff>31750</xdr:rowOff>
                  </from>
                  <to>
                    <xdr:col>25</xdr:col>
                    <xdr:colOff>107950</xdr:colOff>
                    <xdr:row>5</xdr:row>
                    <xdr:rowOff>0</xdr:rowOff>
                  </to>
                </anchor>
              </controlPr>
            </control>
          </mc:Choice>
        </mc:AlternateContent>
        <mc:AlternateContent xmlns:mc="http://schemas.openxmlformats.org/markup-compatibility/2006">
          <mc:Choice Requires="x14">
            <control shapeId="30723" r:id="rId6" name="Check Box 3">
              <controlPr locked="0" defaultSize="0" autoFill="0" autoLine="0" autoPict="0" altText="">
                <anchor moveWithCells="1">
                  <from>
                    <xdr:col>7</xdr:col>
                    <xdr:colOff>31750</xdr:colOff>
                    <xdr:row>6</xdr:row>
                    <xdr:rowOff>31750</xdr:rowOff>
                  </from>
                  <to>
                    <xdr:col>8</xdr:col>
                    <xdr:colOff>107950</xdr:colOff>
                    <xdr:row>7</xdr:row>
                    <xdr:rowOff>0</xdr:rowOff>
                  </to>
                </anchor>
              </controlPr>
            </control>
          </mc:Choice>
        </mc:AlternateContent>
        <mc:AlternateContent xmlns:mc="http://schemas.openxmlformats.org/markup-compatibility/2006">
          <mc:Choice Requires="x14">
            <control shapeId="30724" r:id="rId7" name="Check Box 4">
              <controlPr locked="0" defaultSize="0" autoFill="0" autoLine="0" autoPict="0" altText="">
                <anchor moveWithCells="1">
                  <from>
                    <xdr:col>7</xdr:col>
                    <xdr:colOff>31750</xdr:colOff>
                    <xdr:row>7</xdr:row>
                    <xdr:rowOff>31750</xdr:rowOff>
                  </from>
                  <to>
                    <xdr:col>8</xdr:col>
                    <xdr:colOff>107950</xdr:colOff>
                    <xdr:row>8</xdr:row>
                    <xdr:rowOff>0</xdr:rowOff>
                  </to>
                </anchor>
              </controlPr>
            </control>
          </mc:Choice>
        </mc:AlternateContent>
        <mc:AlternateContent xmlns:mc="http://schemas.openxmlformats.org/markup-compatibility/2006">
          <mc:Choice Requires="x14">
            <control shapeId="30725" r:id="rId8" name="Check Box 5">
              <controlPr locked="0" defaultSize="0" autoFill="0" autoLine="0" autoPict="0" altText="">
                <anchor moveWithCells="1">
                  <from>
                    <xdr:col>14</xdr:col>
                    <xdr:colOff>31750</xdr:colOff>
                    <xdr:row>6</xdr:row>
                    <xdr:rowOff>31750</xdr:rowOff>
                  </from>
                  <to>
                    <xdr:col>15</xdr:col>
                    <xdr:colOff>107950</xdr:colOff>
                    <xdr:row>7</xdr:row>
                    <xdr:rowOff>0</xdr:rowOff>
                  </to>
                </anchor>
              </controlPr>
            </control>
          </mc:Choice>
        </mc:AlternateContent>
        <mc:AlternateContent xmlns:mc="http://schemas.openxmlformats.org/markup-compatibility/2006">
          <mc:Choice Requires="x14">
            <control shapeId="30726" r:id="rId9" name="Check Box 6">
              <controlPr locked="0" defaultSize="0" autoFill="0" autoLine="0" autoPict="0" altText="">
                <anchor moveWithCells="1">
                  <from>
                    <xdr:col>14</xdr:col>
                    <xdr:colOff>31750</xdr:colOff>
                    <xdr:row>7</xdr:row>
                    <xdr:rowOff>31750</xdr:rowOff>
                  </from>
                  <to>
                    <xdr:col>15</xdr:col>
                    <xdr:colOff>107950</xdr:colOff>
                    <xdr:row>8</xdr:row>
                    <xdr:rowOff>0</xdr:rowOff>
                  </to>
                </anchor>
              </controlPr>
            </control>
          </mc:Choice>
        </mc:AlternateContent>
        <mc:AlternateContent xmlns:mc="http://schemas.openxmlformats.org/markup-compatibility/2006">
          <mc:Choice Requires="x14">
            <control shapeId="30727" r:id="rId10" name="Check Box 7">
              <controlPr locked="0" defaultSize="0" autoFill="0" autoLine="0" autoPict="0" altText="">
                <anchor moveWithCells="1">
                  <from>
                    <xdr:col>20</xdr:col>
                    <xdr:colOff>31750</xdr:colOff>
                    <xdr:row>6</xdr:row>
                    <xdr:rowOff>31750</xdr:rowOff>
                  </from>
                  <to>
                    <xdr:col>21</xdr:col>
                    <xdr:colOff>107950</xdr:colOff>
                    <xdr:row>7</xdr:row>
                    <xdr:rowOff>0</xdr:rowOff>
                  </to>
                </anchor>
              </controlPr>
            </control>
          </mc:Choice>
        </mc:AlternateContent>
        <mc:AlternateContent xmlns:mc="http://schemas.openxmlformats.org/markup-compatibility/2006">
          <mc:Choice Requires="x14">
            <control shapeId="30728" r:id="rId11" name="Check Box 8">
              <controlPr locked="0" defaultSize="0" autoFill="0" autoLine="0" autoPict="0" altText="">
                <anchor moveWithCells="1">
                  <from>
                    <xdr:col>20</xdr:col>
                    <xdr:colOff>31750</xdr:colOff>
                    <xdr:row>7</xdr:row>
                    <xdr:rowOff>31750</xdr:rowOff>
                  </from>
                  <to>
                    <xdr:col>21</xdr:col>
                    <xdr:colOff>107950</xdr:colOff>
                    <xdr:row>8</xdr:row>
                    <xdr:rowOff>0</xdr:rowOff>
                  </to>
                </anchor>
              </controlPr>
            </control>
          </mc:Choice>
        </mc:AlternateContent>
        <mc:AlternateContent xmlns:mc="http://schemas.openxmlformats.org/markup-compatibility/2006">
          <mc:Choice Requires="x14">
            <control shapeId="30729" r:id="rId12" name="Check Box 9">
              <controlPr locked="0" defaultSize="0" autoFill="0" autoLine="0" autoPict="0" altText="">
                <anchor moveWithCells="1">
                  <from>
                    <xdr:col>26</xdr:col>
                    <xdr:colOff>31750</xdr:colOff>
                    <xdr:row>6</xdr:row>
                    <xdr:rowOff>31750</xdr:rowOff>
                  </from>
                  <to>
                    <xdr:col>27</xdr:col>
                    <xdr:colOff>107950</xdr:colOff>
                    <xdr:row>7</xdr:row>
                    <xdr:rowOff>0</xdr:rowOff>
                  </to>
                </anchor>
              </controlPr>
            </control>
          </mc:Choice>
        </mc:AlternateContent>
        <mc:AlternateContent xmlns:mc="http://schemas.openxmlformats.org/markup-compatibility/2006">
          <mc:Choice Requires="x14">
            <control shapeId="30730" r:id="rId13" name="Check Box 10">
              <controlPr locked="0" defaultSize="0" autoFill="0" autoLine="0" autoPict="0" altText="">
                <anchor moveWithCells="1">
                  <from>
                    <xdr:col>26</xdr:col>
                    <xdr:colOff>31750</xdr:colOff>
                    <xdr:row>7</xdr:row>
                    <xdr:rowOff>31750</xdr:rowOff>
                  </from>
                  <to>
                    <xdr:col>27</xdr:col>
                    <xdr:colOff>107950</xdr:colOff>
                    <xdr:row>8</xdr:row>
                    <xdr:rowOff>0</xdr:rowOff>
                  </to>
                </anchor>
              </controlPr>
            </control>
          </mc:Choice>
        </mc:AlternateContent>
        <mc:AlternateContent xmlns:mc="http://schemas.openxmlformats.org/markup-compatibility/2006">
          <mc:Choice Requires="x14">
            <control shapeId="30731" r:id="rId14" name="Check Box 11">
              <controlPr locked="0" defaultSize="0" autoFill="0" autoLine="0" autoPict="0" altText="">
                <anchor moveWithCells="1">
                  <from>
                    <xdr:col>26</xdr:col>
                    <xdr:colOff>31750</xdr:colOff>
                    <xdr:row>9</xdr:row>
                    <xdr:rowOff>31750</xdr:rowOff>
                  </from>
                  <to>
                    <xdr:col>27</xdr:col>
                    <xdr:colOff>107950</xdr:colOff>
                    <xdr:row>10</xdr:row>
                    <xdr:rowOff>0</xdr:rowOff>
                  </to>
                </anchor>
              </controlPr>
            </control>
          </mc:Choice>
        </mc:AlternateContent>
        <mc:AlternateContent xmlns:mc="http://schemas.openxmlformats.org/markup-compatibility/2006">
          <mc:Choice Requires="x14">
            <control shapeId="30732" r:id="rId15" name="Check Box 12">
              <controlPr locked="0" defaultSize="0" autoFill="0" autoLine="0" autoPict="0" altText="">
                <anchor moveWithCells="1">
                  <from>
                    <xdr:col>31</xdr:col>
                    <xdr:colOff>31750</xdr:colOff>
                    <xdr:row>9</xdr:row>
                    <xdr:rowOff>31750</xdr:rowOff>
                  </from>
                  <to>
                    <xdr:col>32</xdr:col>
                    <xdr:colOff>107950</xdr:colOff>
                    <xdr:row>10</xdr:row>
                    <xdr:rowOff>0</xdr:rowOff>
                  </to>
                </anchor>
              </controlPr>
            </control>
          </mc:Choice>
        </mc:AlternateContent>
        <mc:AlternateContent xmlns:mc="http://schemas.openxmlformats.org/markup-compatibility/2006">
          <mc:Choice Requires="x14">
            <control shapeId="30733" r:id="rId16" name="Check Box 13">
              <controlPr locked="0" defaultSize="0" autoFill="0" autoLine="0" autoPict="0" altText="">
                <anchor moveWithCells="1">
                  <from>
                    <xdr:col>7</xdr:col>
                    <xdr:colOff>31750</xdr:colOff>
                    <xdr:row>11</xdr:row>
                    <xdr:rowOff>31750</xdr:rowOff>
                  </from>
                  <to>
                    <xdr:col>8</xdr:col>
                    <xdr:colOff>107950</xdr:colOff>
                    <xdr:row>12</xdr:row>
                    <xdr:rowOff>0</xdr:rowOff>
                  </to>
                </anchor>
              </controlPr>
            </control>
          </mc:Choice>
        </mc:AlternateContent>
        <mc:AlternateContent xmlns:mc="http://schemas.openxmlformats.org/markup-compatibility/2006">
          <mc:Choice Requires="x14">
            <control shapeId="30734" r:id="rId17" name="Check Box 14">
              <controlPr locked="0" defaultSize="0" autoFill="0" autoLine="0" autoPict="0" altText="">
                <anchor moveWithCells="1">
                  <from>
                    <xdr:col>7</xdr:col>
                    <xdr:colOff>31750</xdr:colOff>
                    <xdr:row>12</xdr:row>
                    <xdr:rowOff>31750</xdr:rowOff>
                  </from>
                  <to>
                    <xdr:col>8</xdr:col>
                    <xdr:colOff>107950</xdr:colOff>
                    <xdr:row>13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4">
        <x14:dataValidation type="list" allowBlank="1" showInputMessage="1" showErrorMessage="1" errorTitle="GESP SY 2022-2023" error="Please select on the list provided." xr:uid="{00000000-0002-0000-1500-000005000000}">
          <x14:formula1>
            <xm:f>Dropdowns!$D$2:$D$9</xm:f>
          </x14:formula1>
          <xm:sqref>M27:W30</xm:sqref>
        </x14:dataValidation>
        <x14:dataValidation type="list" allowBlank="1" showInputMessage="1" showErrorMessage="1" errorTitle="GESP SY 2022-2023" error="Please select on the list provided." xr:uid="{00000000-0002-0000-1500-000006000000}">
          <x14:formula1>
            <xm:f>Dropdowns!$A$1:$A$5</xm:f>
          </x14:formula1>
          <xm:sqref>B26:L30</xm:sqref>
        </x14:dataValidation>
        <x14:dataValidation type="list" allowBlank="1" showInputMessage="1" showErrorMessage="1" errorTitle="GESP SY 2022-2023" error="Please select on the list provided." xr:uid="{00000000-0002-0000-1500-000007000000}">
          <x14:formula1>
            <xm:f>Dropdowns!$D$1:$D$9</xm:f>
          </x14:formula1>
          <xm:sqref>M26:W26</xm:sqref>
        </x14:dataValidation>
        <x14:dataValidation type="list" allowBlank="1" showInputMessage="1" showErrorMessage="1" errorTitle="GESP SY 2022-2023" error="Please select on the list provided." xr:uid="{00000000-0002-0000-1500-000008000000}">
          <x14:formula1>
            <xm:f>Dropdowns!$G$1:$G$9</xm:f>
          </x14:formula1>
          <xm:sqref>AI26:AS30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B1:AU48"/>
  <sheetViews>
    <sheetView showGridLines="0" zoomScaleNormal="100" workbookViewId="0">
      <selection activeCell="AC7" sqref="AC7:AJ9"/>
    </sheetView>
  </sheetViews>
  <sheetFormatPr defaultColWidth="8" defaultRowHeight="14"/>
  <cols>
    <col min="1" max="1" width="2.08203125" style="681" customWidth="1"/>
    <col min="2" max="44" width="3.58203125" style="681" customWidth="1"/>
    <col min="45" max="45" width="2.08203125" style="681" customWidth="1"/>
    <col min="46" max="48" width="3.58203125" style="681" customWidth="1"/>
    <col min="49" max="49" width="2.08203125" style="681" customWidth="1"/>
    <col min="50" max="55" width="3.58203125" style="681" customWidth="1"/>
    <col min="56" max="16384" width="8" style="681"/>
  </cols>
  <sheetData>
    <row r="1" spans="2:44" ht="12" customHeight="1"/>
    <row r="2" spans="2:44" s="755" customFormat="1" ht="16.5">
      <c r="B2" s="756" t="s">
        <v>11775</v>
      </c>
      <c r="C2" s="757"/>
      <c r="D2" s="757"/>
      <c r="E2" s="757"/>
      <c r="F2" s="757"/>
    </row>
    <row r="3" spans="2:44" s="568" customFormat="1" ht="16" thickBot="1">
      <c r="B3" s="582" t="s">
        <v>904</v>
      </c>
    </row>
    <row r="4" spans="2:44" s="567" customFormat="1" ht="31" customHeight="1">
      <c r="B4" s="2858" t="s">
        <v>1470</v>
      </c>
      <c r="C4" s="2859"/>
      <c r="D4" s="2859"/>
      <c r="E4" s="2859"/>
      <c r="F4" s="2859"/>
      <c r="G4" s="2859"/>
      <c r="H4" s="2859"/>
      <c r="I4" s="2860"/>
      <c r="J4" s="2861" t="s">
        <v>1364</v>
      </c>
      <c r="K4" s="2676"/>
      <c r="L4" s="2676"/>
      <c r="M4" s="2676"/>
      <c r="N4" s="2676"/>
      <c r="O4" s="2676"/>
      <c r="P4" s="2676"/>
      <c r="Q4" s="2676"/>
      <c r="R4" s="2676"/>
      <c r="S4" s="2676"/>
      <c r="T4" s="2778"/>
      <c r="U4" s="2861" t="s">
        <v>1471</v>
      </c>
      <c r="V4" s="2676"/>
      <c r="W4" s="2676"/>
      <c r="X4" s="2676"/>
      <c r="Y4" s="2676"/>
      <c r="Z4" s="2676"/>
      <c r="AA4" s="2676"/>
      <c r="AB4" s="2778"/>
      <c r="AC4" s="2861" t="s">
        <v>1120</v>
      </c>
      <c r="AD4" s="2676"/>
      <c r="AE4" s="2676"/>
      <c r="AF4" s="2676"/>
      <c r="AG4" s="2676"/>
      <c r="AH4" s="2676"/>
      <c r="AI4" s="2676"/>
      <c r="AJ4" s="2778"/>
      <c r="AK4" s="2861" t="s">
        <v>94</v>
      </c>
      <c r="AL4" s="2676"/>
      <c r="AM4" s="2676"/>
      <c r="AN4" s="2676"/>
      <c r="AO4" s="2676"/>
      <c r="AP4" s="2676"/>
      <c r="AQ4" s="2676"/>
      <c r="AR4" s="2677"/>
    </row>
    <row r="5" spans="2:44" s="758" customFormat="1" ht="21.65" customHeight="1">
      <c r="B5" s="2862" t="s">
        <v>1472</v>
      </c>
      <c r="C5" s="2863"/>
      <c r="D5" s="2863"/>
      <c r="E5" s="2863"/>
      <c r="F5" s="2863"/>
      <c r="G5" s="2863"/>
      <c r="H5" s="2863"/>
      <c r="I5" s="2864"/>
      <c r="J5" s="2868" t="s">
        <v>1473</v>
      </c>
      <c r="K5" s="2863"/>
      <c r="L5" s="2863"/>
      <c r="M5" s="2863"/>
      <c r="N5" s="2863"/>
      <c r="O5" s="2863"/>
      <c r="P5" s="2863"/>
      <c r="Q5" s="2863"/>
      <c r="R5" s="2863"/>
      <c r="S5" s="2863"/>
      <c r="T5" s="2864"/>
      <c r="U5" s="2868" t="s">
        <v>1474</v>
      </c>
      <c r="V5" s="2863"/>
      <c r="W5" s="2863"/>
      <c r="X5" s="2863"/>
      <c r="Y5" s="2863"/>
      <c r="Z5" s="2863"/>
      <c r="AA5" s="2863"/>
      <c r="AB5" s="2864"/>
      <c r="AC5" s="2868" t="s">
        <v>1456</v>
      </c>
      <c r="AD5" s="2863"/>
      <c r="AE5" s="2863"/>
      <c r="AF5" s="2863"/>
      <c r="AG5" s="2863"/>
      <c r="AH5" s="2863"/>
      <c r="AI5" s="2863"/>
      <c r="AJ5" s="2864"/>
      <c r="AK5" s="2868" t="s">
        <v>1457</v>
      </c>
      <c r="AL5" s="2863"/>
      <c r="AM5" s="2863"/>
      <c r="AN5" s="2863"/>
      <c r="AO5" s="2863"/>
      <c r="AP5" s="2863"/>
      <c r="AQ5" s="2863"/>
      <c r="AR5" s="2869"/>
    </row>
    <row r="6" spans="2:44" s="758" customFormat="1" ht="21.65" customHeight="1" thickBot="1">
      <c r="B6" s="2865"/>
      <c r="C6" s="2866"/>
      <c r="D6" s="2866"/>
      <c r="E6" s="2866"/>
      <c r="F6" s="2866"/>
      <c r="G6" s="2866"/>
      <c r="H6" s="2866"/>
      <c r="I6" s="2867"/>
      <c r="J6" s="759"/>
      <c r="K6" s="760"/>
      <c r="L6" s="760"/>
      <c r="M6" s="760"/>
      <c r="N6" s="760"/>
      <c r="O6" s="760"/>
      <c r="P6" s="760"/>
      <c r="Q6" s="760"/>
      <c r="R6" s="760"/>
      <c r="S6" s="760"/>
      <c r="T6" s="761"/>
      <c r="U6" s="759"/>
      <c r="V6" s="760"/>
      <c r="W6" s="760"/>
      <c r="X6" s="760"/>
      <c r="Y6" s="760"/>
      <c r="Z6" s="760"/>
      <c r="AA6" s="760"/>
      <c r="AB6" s="761"/>
      <c r="AC6" s="759"/>
      <c r="AD6" s="760"/>
      <c r="AE6" s="760"/>
      <c r="AF6" s="760"/>
      <c r="AG6" s="760"/>
      <c r="AH6" s="760"/>
      <c r="AI6" s="760"/>
      <c r="AJ6" s="761"/>
      <c r="AK6" s="2870"/>
      <c r="AL6" s="2866"/>
      <c r="AM6" s="2866"/>
      <c r="AN6" s="2866"/>
      <c r="AO6" s="2866"/>
      <c r="AP6" s="2866"/>
      <c r="AQ6" s="2866"/>
      <c r="AR6" s="2871"/>
    </row>
    <row r="7" spans="2:44" s="567" customFormat="1" ht="17.5">
      <c r="B7" s="2850" t="s">
        <v>5078</v>
      </c>
      <c r="C7" s="2851"/>
      <c r="D7" s="2851"/>
      <c r="E7" s="2851"/>
      <c r="F7" s="2851"/>
      <c r="G7" s="2851"/>
      <c r="H7" s="2851"/>
      <c r="I7" s="2852"/>
      <c r="J7" s="762" t="b">
        <v>0</v>
      </c>
      <c r="K7" s="729" t="s">
        <v>1475</v>
      </c>
      <c r="L7" s="729"/>
      <c r="M7" s="729"/>
      <c r="N7" s="729"/>
      <c r="O7" s="729"/>
      <c r="P7" s="767" t="b">
        <v>1</v>
      </c>
      <c r="Q7" s="567" t="s">
        <v>1476</v>
      </c>
      <c r="R7" s="729"/>
      <c r="S7" s="729"/>
      <c r="T7" s="747"/>
      <c r="U7" s="2853" t="s">
        <v>5128</v>
      </c>
      <c r="V7" s="2851"/>
      <c r="W7" s="2851"/>
      <c r="X7" s="2851"/>
      <c r="Y7" s="2851"/>
      <c r="Z7" s="2851"/>
      <c r="AA7" s="2851"/>
      <c r="AB7" s="2852"/>
      <c r="AC7" s="2854">
        <v>3000</v>
      </c>
      <c r="AD7" s="2855"/>
      <c r="AE7" s="2855"/>
      <c r="AF7" s="2855"/>
      <c r="AG7" s="2855"/>
      <c r="AH7" s="2855"/>
      <c r="AI7" s="2855"/>
      <c r="AJ7" s="2856"/>
      <c r="AK7" s="2853" t="s">
        <v>244</v>
      </c>
      <c r="AL7" s="2851"/>
      <c r="AM7" s="2851"/>
      <c r="AN7" s="2851"/>
      <c r="AO7" s="2851"/>
      <c r="AP7" s="2851"/>
      <c r="AQ7" s="2851"/>
      <c r="AR7" s="2857"/>
    </row>
    <row r="8" spans="2:44" s="567" customFormat="1" ht="17.5">
      <c r="B8" s="2816"/>
      <c r="C8" s="2817"/>
      <c r="D8" s="2817"/>
      <c r="E8" s="2817"/>
      <c r="F8" s="2817"/>
      <c r="G8" s="2817"/>
      <c r="H8" s="2817"/>
      <c r="I8" s="2818"/>
      <c r="J8" s="763" t="b">
        <v>1</v>
      </c>
      <c r="K8" s="567" t="s">
        <v>1477</v>
      </c>
      <c r="P8" s="768" t="b">
        <v>0</v>
      </c>
      <c r="Q8" s="567" t="s">
        <v>1478</v>
      </c>
      <c r="T8" s="748"/>
      <c r="U8" s="2823"/>
      <c r="V8" s="2817"/>
      <c r="W8" s="2817"/>
      <c r="X8" s="2817"/>
      <c r="Y8" s="2817"/>
      <c r="Z8" s="2817"/>
      <c r="AA8" s="2817"/>
      <c r="AB8" s="2818"/>
      <c r="AC8" s="2828"/>
      <c r="AD8" s="2829"/>
      <c r="AE8" s="2829"/>
      <c r="AF8" s="2829"/>
      <c r="AG8" s="2829"/>
      <c r="AH8" s="2829"/>
      <c r="AI8" s="2829"/>
      <c r="AJ8" s="2830"/>
      <c r="AK8" s="2823"/>
      <c r="AL8" s="2817"/>
      <c r="AM8" s="2817"/>
      <c r="AN8" s="2817"/>
      <c r="AO8" s="2817"/>
      <c r="AP8" s="2817"/>
      <c r="AQ8" s="2817"/>
      <c r="AR8" s="2836"/>
    </row>
    <row r="9" spans="2:44" s="567" customFormat="1" ht="17.5">
      <c r="B9" s="2816"/>
      <c r="C9" s="2817"/>
      <c r="D9" s="2817"/>
      <c r="E9" s="2817"/>
      <c r="F9" s="2817"/>
      <c r="G9" s="2817"/>
      <c r="H9" s="2817"/>
      <c r="I9" s="2818"/>
      <c r="J9" s="763" t="b">
        <v>1</v>
      </c>
      <c r="K9" s="567" t="s">
        <v>1479</v>
      </c>
      <c r="T9" s="748"/>
      <c r="U9" s="2823"/>
      <c r="V9" s="2817"/>
      <c r="W9" s="2817"/>
      <c r="X9" s="2817"/>
      <c r="Y9" s="2817"/>
      <c r="Z9" s="2817"/>
      <c r="AA9" s="2817"/>
      <c r="AB9" s="2818"/>
      <c r="AC9" s="2828"/>
      <c r="AD9" s="2829"/>
      <c r="AE9" s="2829"/>
      <c r="AF9" s="2829"/>
      <c r="AG9" s="2829"/>
      <c r="AH9" s="2829"/>
      <c r="AI9" s="2829"/>
      <c r="AJ9" s="2830"/>
      <c r="AK9" s="2823"/>
      <c r="AL9" s="2817"/>
      <c r="AM9" s="2817"/>
      <c r="AN9" s="2817"/>
      <c r="AO9" s="2817"/>
      <c r="AP9" s="2817"/>
      <c r="AQ9" s="2817"/>
      <c r="AR9" s="2836"/>
    </row>
    <row r="10" spans="2:44" s="567" customFormat="1" ht="17.5">
      <c r="B10" s="2813"/>
      <c r="C10" s="2814"/>
      <c r="D10" s="2814"/>
      <c r="E10" s="2814"/>
      <c r="F10" s="2814"/>
      <c r="G10" s="2814"/>
      <c r="H10" s="2814"/>
      <c r="I10" s="2815"/>
      <c r="J10" s="764" t="b">
        <v>0</v>
      </c>
      <c r="K10" s="749" t="s">
        <v>1475</v>
      </c>
      <c r="L10" s="749"/>
      <c r="M10" s="749"/>
      <c r="N10" s="749"/>
      <c r="O10" s="749"/>
      <c r="P10" s="769" t="b">
        <v>0</v>
      </c>
      <c r="Q10" s="749" t="s">
        <v>1476</v>
      </c>
      <c r="R10" s="749"/>
      <c r="S10" s="749"/>
      <c r="T10" s="750"/>
      <c r="U10" s="2822"/>
      <c r="V10" s="2814"/>
      <c r="W10" s="2814"/>
      <c r="X10" s="2814"/>
      <c r="Y10" s="2814"/>
      <c r="Z10" s="2814"/>
      <c r="AA10" s="2814"/>
      <c r="AB10" s="2815"/>
      <c r="AC10" s="2825"/>
      <c r="AD10" s="2826"/>
      <c r="AE10" s="2826"/>
      <c r="AF10" s="2826"/>
      <c r="AG10" s="2826"/>
      <c r="AH10" s="2826"/>
      <c r="AI10" s="2826"/>
      <c r="AJ10" s="2827"/>
      <c r="AK10" s="2822"/>
      <c r="AL10" s="2814"/>
      <c r="AM10" s="2814"/>
      <c r="AN10" s="2814"/>
      <c r="AO10" s="2814"/>
      <c r="AP10" s="2814"/>
      <c r="AQ10" s="2814"/>
      <c r="AR10" s="2835"/>
    </row>
    <row r="11" spans="2:44" s="567" customFormat="1" ht="17.5">
      <c r="B11" s="2816"/>
      <c r="C11" s="2817"/>
      <c r="D11" s="2817"/>
      <c r="E11" s="2817"/>
      <c r="F11" s="2817"/>
      <c r="G11" s="2817"/>
      <c r="H11" s="2817"/>
      <c r="I11" s="2818"/>
      <c r="J11" s="763" t="b">
        <v>0</v>
      </c>
      <c r="K11" s="567" t="s">
        <v>1477</v>
      </c>
      <c r="P11" s="768" t="b">
        <v>0</v>
      </c>
      <c r="Q11" s="567" t="s">
        <v>1478</v>
      </c>
      <c r="T11" s="748"/>
      <c r="U11" s="2823"/>
      <c r="V11" s="2817"/>
      <c r="W11" s="2817"/>
      <c r="X11" s="2817"/>
      <c r="Y11" s="2817"/>
      <c r="Z11" s="2817"/>
      <c r="AA11" s="2817"/>
      <c r="AB11" s="2818"/>
      <c r="AC11" s="2828"/>
      <c r="AD11" s="2829"/>
      <c r="AE11" s="2829"/>
      <c r="AF11" s="2829"/>
      <c r="AG11" s="2829"/>
      <c r="AH11" s="2829"/>
      <c r="AI11" s="2829"/>
      <c r="AJ11" s="2830"/>
      <c r="AK11" s="2823"/>
      <c r="AL11" s="2817"/>
      <c r="AM11" s="2817"/>
      <c r="AN11" s="2817"/>
      <c r="AO11" s="2817"/>
      <c r="AP11" s="2817"/>
      <c r="AQ11" s="2817"/>
      <c r="AR11" s="2836"/>
    </row>
    <row r="12" spans="2:44" s="567" customFormat="1" ht="17.5">
      <c r="B12" s="2842"/>
      <c r="C12" s="2843"/>
      <c r="D12" s="2843"/>
      <c r="E12" s="2843"/>
      <c r="F12" s="2843"/>
      <c r="G12" s="2843"/>
      <c r="H12" s="2843"/>
      <c r="I12" s="2844"/>
      <c r="J12" s="765" t="b">
        <v>0</v>
      </c>
      <c r="K12" s="751" t="s">
        <v>1479</v>
      </c>
      <c r="L12" s="751"/>
      <c r="M12" s="751"/>
      <c r="N12" s="751"/>
      <c r="O12" s="751"/>
      <c r="P12" s="751"/>
      <c r="Q12" s="751"/>
      <c r="R12" s="751"/>
      <c r="S12" s="751"/>
      <c r="T12" s="752"/>
      <c r="U12" s="2845"/>
      <c r="V12" s="2843"/>
      <c r="W12" s="2843"/>
      <c r="X12" s="2843"/>
      <c r="Y12" s="2843"/>
      <c r="Z12" s="2843"/>
      <c r="AA12" s="2843"/>
      <c r="AB12" s="2844"/>
      <c r="AC12" s="2846"/>
      <c r="AD12" s="2847"/>
      <c r="AE12" s="2847"/>
      <c r="AF12" s="2847"/>
      <c r="AG12" s="2847"/>
      <c r="AH12" s="2847"/>
      <c r="AI12" s="2847"/>
      <c r="AJ12" s="2848"/>
      <c r="AK12" s="2845"/>
      <c r="AL12" s="2843"/>
      <c r="AM12" s="2843"/>
      <c r="AN12" s="2843"/>
      <c r="AO12" s="2843"/>
      <c r="AP12" s="2843"/>
      <c r="AQ12" s="2843"/>
      <c r="AR12" s="2849"/>
    </row>
    <row r="13" spans="2:44" s="567" customFormat="1" ht="17.5">
      <c r="B13" s="2813"/>
      <c r="C13" s="2814"/>
      <c r="D13" s="2814"/>
      <c r="E13" s="2814"/>
      <c r="F13" s="2814"/>
      <c r="G13" s="2814"/>
      <c r="H13" s="2814"/>
      <c r="I13" s="2815"/>
      <c r="J13" s="764" t="b">
        <v>0</v>
      </c>
      <c r="K13" s="749" t="s">
        <v>1475</v>
      </c>
      <c r="L13" s="749"/>
      <c r="M13" s="749"/>
      <c r="N13" s="749"/>
      <c r="O13" s="749"/>
      <c r="P13" s="769" t="b">
        <v>0</v>
      </c>
      <c r="Q13" s="749" t="s">
        <v>1476</v>
      </c>
      <c r="R13" s="749"/>
      <c r="S13" s="749"/>
      <c r="T13" s="750"/>
      <c r="U13" s="2822"/>
      <c r="V13" s="2814"/>
      <c r="W13" s="2814"/>
      <c r="X13" s="2814"/>
      <c r="Y13" s="2814"/>
      <c r="Z13" s="2814"/>
      <c r="AA13" s="2814"/>
      <c r="AB13" s="2815"/>
      <c r="AC13" s="2825"/>
      <c r="AD13" s="2826"/>
      <c r="AE13" s="2826"/>
      <c r="AF13" s="2826"/>
      <c r="AG13" s="2826"/>
      <c r="AH13" s="2826"/>
      <c r="AI13" s="2826"/>
      <c r="AJ13" s="2827"/>
      <c r="AK13" s="2822"/>
      <c r="AL13" s="2814"/>
      <c r="AM13" s="2814"/>
      <c r="AN13" s="2814"/>
      <c r="AO13" s="2814"/>
      <c r="AP13" s="2814"/>
      <c r="AQ13" s="2814"/>
      <c r="AR13" s="2835"/>
    </row>
    <row r="14" spans="2:44" s="567" customFormat="1" ht="17.5">
      <c r="B14" s="2816"/>
      <c r="C14" s="2817"/>
      <c r="D14" s="2817"/>
      <c r="E14" s="2817"/>
      <c r="F14" s="2817"/>
      <c r="G14" s="2817"/>
      <c r="H14" s="2817"/>
      <c r="I14" s="2818"/>
      <c r="J14" s="763" t="b">
        <v>0</v>
      </c>
      <c r="K14" s="567" t="s">
        <v>1477</v>
      </c>
      <c r="P14" s="768" t="b">
        <v>0</v>
      </c>
      <c r="Q14" s="567" t="s">
        <v>1478</v>
      </c>
      <c r="T14" s="748"/>
      <c r="U14" s="2823"/>
      <c r="V14" s="2817"/>
      <c r="W14" s="2817"/>
      <c r="X14" s="2817"/>
      <c r="Y14" s="2817"/>
      <c r="Z14" s="2817"/>
      <c r="AA14" s="2817"/>
      <c r="AB14" s="2818"/>
      <c r="AC14" s="2828"/>
      <c r="AD14" s="2829"/>
      <c r="AE14" s="2829"/>
      <c r="AF14" s="2829"/>
      <c r="AG14" s="2829"/>
      <c r="AH14" s="2829"/>
      <c r="AI14" s="2829"/>
      <c r="AJ14" s="2830"/>
      <c r="AK14" s="2823"/>
      <c r="AL14" s="2817"/>
      <c r="AM14" s="2817"/>
      <c r="AN14" s="2817"/>
      <c r="AO14" s="2817"/>
      <c r="AP14" s="2817"/>
      <c r="AQ14" s="2817"/>
      <c r="AR14" s="2836"/>
    </row>
    <row r="15" spans="2:44" s="567" customFormat="1" ht="17.5">
      <c r="B15" s="2842"/>
      <c r="C15" s="2843"/>
      <c r="D15" s="2843"/>
      <c r="E15" s="2843"/>
      <c r="F15" s="2843"/>
      <c r="G15" s="2843"/>
      <c r="H15" s="2843"/>
      <c r="I15" s="2844"/>
      <c r="J15" s="765" t="b">
        <v>0</v>
      </c>
      <c r="K15" s="751" t="s">
        <v>1479</v>
      </c>
      <c r="L15" s="751"/>
      <c r="M15" s="751"/>
      <c r="N15" s="751"/>
      <c r="O15" s="751"/>
      <c r="P15" s="751"/>
      <c r="Q15" s="751"/>
      <c r="R15" s="751"/>
      <c r="S15" s="751"/>
      <c r="T15" s="752"/>
      <c r="U15" s="2845"/>
      <c r="V15" s="2843"/>
      <c r="W15" s="2843"/>
      <c r="X15" s="2843"/>
      <c r="Y15" s="2843"/>
      <c r="Z15" s="2843"/>
      <c r="AA15" s="2843"/>
      <c r="AB15" s="2844"/>
      <c r="AC15" s="2846"/>
      <c r="AD15" s="2847"/>
      <c r="AE15" s="2847"/>
      <c r="AF15" s="2847"/>
      <c r="AG15" s="2847"/>
      <c r="AH15" s="2847"/>
      <c r="AI15" s="2847"/>
      <c r="AJ15" s="2848"/>
      <c r="AK15" s="2845"/>
      <c r="AL15" s="2843"/>
      <c r="AM15" s="2843"/>
      <c r="AN15" s="2843"/>
      <c r="AO15" s="2843"/>
      <c r="AP15" s="2843"/>
      <c r="AQ15" s="2843"/>
      <c r="AR15" s="2849"/>
    </row>
    <row r="16" spans="2:44" s="567" customFormat="1" ht="17.5">
      <c r="B16" s="2813"/>
      <c r="C16" s="2814"/>
      <c r="D16" s="2814"/>
      <c r="E16" s="2814"/>
      <c r="F16" s="2814"/>
      <c r="G16" s="2814"/>
      <c r="H16" s="2814"/>
      <c r="I16" s="2815"/>
      <c r="J16" s="764" t="b">
        <v>0</v>
      </c>
      <c r="K16" s="749" t="s">
        <v>1475</v>
      </c>
      <c r="L16" s="749"/>
      <c r="M16" s="749"/>
      <c r="N16" s="749"/>
      <c r="O16" s="749"/>
      <c r="P16" s="769" t="b">
        <v>0</v>
      </c>
      <c r="Q16" s="749" t="s">
        <v>1476</v>
      </c>
      <c r="R16" s="749"/>
      <c r="S16" s="749"/>
      <c r="T16" s="750"/>
      <c r="U16" s="2822"/>
      <c r="V16" s="2814"/>
      <c r="W16" s="2814"/>
      <c r="X16" s="2814"/>
      <c r="Y16" s="2814"/>
      <c r="Z16" s="2814"/>
      <c r="AA16" s="2814"/>
      <c r="AB16" s="2815"/>
      <c r="AC16" s="2825"/>
      <c r="AD16" s="2826"/>
      <c r="AE16" s="2826"/>
      <c r="AF16" s="2826"/>
      <c r="AG16" s="2826"/>
      <c r="AH16" s="2826"/>
      <c r="AI16" s="2826"/>
      <c r="AJ16" s="2827"/>
      <c r="AK16" s="2822"/>
      <c r="AL16" s="2814"/>
      <c r="AM16" s="2814"/>
      <c r="AN16" s="2814"/>
      <c r="AO16" s="2814"/>
      <c r="AP16" s="2814"/>
      <c r="AQ16" s="2814"/>
      <c r="AR16" s="2835"/>
    </row>
    <row r="17" spans="2:44" s="567" customFormat="1" ht="17.5">
      <c r="B17" s="2816"/>
      <c r="C17" s="2817"/>
      <c r="D17" s="2817"/>
      <c r="E17" s="2817"/>
      <c r="F17" s="2817"/>
      <c r="G17" s="2817"/>
      <c r="H17" s="2817"/>
      <c r="I17" s="2818"/>
      <c r="J17" s="763" t="b">
        <v>0</v>
      </c>
      <c r="K17" s="567" t="s">
        <v>1477</v>
      </c>
      <c r="P17" s="768" t="b">
        <v>0</v>
      </c>
      <c r="Q17" s="567" t="s">
        <v>1478</v>
      </c>
      <c r="T17" s="748"/>
      <c r="U17" s="2823"/>
      <c r="V17" s="2817"/>
      <c r="W17" s="2817"/>
      <c r="X17" s="2817"/>
      <c r="Y17" s="2817"/>
      <c r="Z17" s="2817"/>
      <c r="AA17" s="2817"/>
      <c r="AB17" s="2818"/>
      <c r="AC17" s="2828"/>
      <c r="AD17" s="2829"/>
      <c r="AE17" s="2829"/>
      <c r="AF17" s="2829"/>
      <c r="AG17" s="2829"/>
      <c r="AH17" s="2829"/>
      <c r="AI17" s="2829"/>
      <c r="AJ17" s="2830"/>
      <c r="AK17" s="2823"/>
      <c r="AL17" s="2817"/>
      <c r="AM17" s="2817"/>
      <c r="AN17" s="2817"/>
      <c r="AO17" s="2817"/>
      <c r="AP17" s="2817"/>
      <c r="AQ17" s="2817"/>
      <c r="AR17" s="2836"/>
    </row>
    <row r="18" spans="2:44" s="567" customFormat="1" ht="17.5">
      <c r="B18" s="2842"/>
      <c r="C18" s="2843"/>
      <c r="D18" s="2843"/>
      <c r="E18" s="2843"/>
      <c r="F18" s="2843"/>
      <c r="G18" s="2843"/>
      <c r="H18" s="2843"/>
      <c r="I18" s="2844"/>
      <c r="J18" s="765" t="b">
        <v>0</v>
      </c>
      <c r="K18" s="751" t="s">
        <v>1479</v>
      </c>
      <c r="L18" s="751"/>
      <c r="M18" s="751"/>
      <c r="N18" s="751"/>
      <c r="O18" s="751"/>
      <c r="P18" s="751"/>
      <c r="Q18" s="751"/>
      <c r="R18" s="751"/>
      <c r="S18" s="751"/>
      <c r="T18" s="752"/>
      <c r="U18" s="2845"/>
      <c r="V18" s="2843"/>
      <c r="W18" s="2843"/>
      <c r="X18" s="2843"/>
      <c r="Y18" s="2843"/>
      <c r="Z18" s="2843"/>
      <c r="AA18" s="2843"/>
      <c r="AB18" s="2844"/>
      <c r="AC18" s="2846"/>
      <c r="AD18" s="2847"/>
      <c r="AE18" s="2847"/>
      <c r="AF18" s="2847"/>
      <c r="AG18" s="2847"/>
      <c r="AH18" s="2847"/>
      <c r="AI18" s="2847"/>
      <c r="AJ18" s="2848"/>
      <c r="AK18" s="2845"/>
      <c r="AL18" s="2843"/>
      <c r="AM18" s="2843"/>
      <c r="AN18" s="2843"/>
      <c r="AO18" s="2843"/>
      <c r="AP18" s="2843"/>
      <c r="AQ18" s="2843"/>
      <c r="AR18" s="2849"/>
    </row>
    <row r="19" spans="2:44" s="567" customFormat="1" ht="17.5">
      <c r="B19" s="2813"/>
      <c r="C19" s="2814"/>
      <c r="D19" s="2814"/>
      <c r="E19" s="2814"/>
      <c r="F19" s="2814"/>
      <c r="G19" s="2814"/>
      <c r="H19" s="2814"/>
      <c r="I19" s="2815"/>
      <c r="J19" s="764" t="b">
        <v>0</v>
      </c>
      <c r="K19" s="749" t="s">
        <v>1475</v>
      </c>
      <c r="L19" s="749"/>
      <c r="M19" s="749"/>
      <c r="N19" s="749"/>
      <c r="O19" s="749"/>
      <c r="P19" s="769" t="b">
        <v>0</v>
      </c>
      <c r="Q19" s="749" t="s">
        <v>1476</v>
      </c>
      <c r="R19" s="749"/>
      <c r="S19" s="749"/>
      <c r="T19" s="750"/>
      <c r="U19" s="2822"/>
      <c r="V19" s="2814"/>
      <c r="W19" s="2814"/>
      <c r="X19" s="2814"/>
      <c r="Y19" s="2814"/>
      <c r="Z19" s="2814"/>
      <c r="AA19" s="2814"/>
      <c r="AB19" s="2815"/>
      <c r="AC19" s="2825"/>
      <c r="AD19" s="2826"/>
      <c r="AE19" s="2826"/>
      <c r="AF19" s="2826"/>
      <c r="AG19" s="2826"/>
      <c r="AH19" s="2826"/>
      <c r="AI19" s="2826"/>
      <c r="AJ19" s="2827"/>
      <c r="AK19" s="2822"/>
      <c r="AL19" s="2814"/>
      <c r="AM19" s="2814"/>
      <c r="AN19" s="2814"/>
      <c r="AO19" s="2814"/>
      <c r="AP19" s="2814"/>
      <c r="AQ19" s="2814"/>
      <c r="AR19" s="2835"/>
    </row>
    <row r="20" spans="2:44" s="567" customFormat="1" ht="17.5">
      <c r="B20" s="2816"/>
      <c r="C20" s="2817"/>
      <c r="D20" s="2817"/>
      <c r="E20" s="2817"/>
      <c r="F20" s="2817"/>
      <c r="G20" s="2817"/>
      <c r="H20" s="2817"/>
      <c r="I20" s="2818"/>
      <c r="J20" s="763" t="b">
        <v>0</v>
      </c>
      <c r="K20" s="567" t="s">
        <v>1477</v>
      </c>
      <c r="P20" s="768" t="b">
        <v>0</v>
      </c>
      <c r="Q20" s="567" t="s">
        <v>1478</v>
      </c>
      <c r="T20" s="748"/>
      <c r="U20" s="2823"/>
      <c r="V20" s="2817"/>
      <c r="W20" s="2817"/>
      <c r="X20" s="2817"/>
      <c r="Y20" s="2817"/>
      <c r="Z20" s="2817"/>
      <c r="AA20" s="2817"/>
      <c r="AB20" s="2818"/>
      <c r="AC20" s="2828"/>
      <c r="AD20" s="2829"/>
      <c r="AE20" s="2829"/>
      <c r="AF20" s="2829"/>
      <c r="AG20" s="2829"/>
      <c r="AH20" s="2829"/>
      <c r="AI20" s="2829"/>
      <c r="AJ20" s="2830"/>
      <c r="AK20" s="2823"/>
      <c r="AL20" s="2817"/>
      <c r="AM20" s="2817"/>
      <c r="AN20" s="2817"/>
      <c r="AO20" s="2817"/>
      <c r="AP20" s="2817"/>
      <c r="AQ20" s="2817"/>
      <c r="AR20" s="2836"/>
    </row>
    <row r="21" spans="2:44" s="567" customFormat="1" ht="17.5">
      <c r="B21" s="2842"/>
      <c r="C21" s="2843"/>
      <c r="D21" s="2843"/>
      <c r="E21" s="2843"/>
      <c r="F21" s="2843"/>
      <c r="G21" s="2843"/>
      <c r="H21" s="2843"/>
      <c r="I21" s="2844"/>
      <c r="J21" s="765" t="b">
        <v>0</v>
      </c>
      <c r="K21" s="751" t="s">
        <v>1479</v>
      </c>
      <c r="L21" s="751"/>
      <c r="M21" s="751"/>
      <c r="N21" s="751"/>
      <c r="O21" s="751"/>
      <c r="P21" s="751"/>
      <c r="Q21" s="751"/>
      <c r="R21" s="751"/>
      <c r="S21" s="751"/>
      <c r="T21" s="752"/>
      <c r="U21" s="2845"/>
      <c r="V21" s="2843"/>
      <c r="W21" s="2843"/>
      <c r="X21" s="2843"/>
      <c r="Y21" s="2843"/>
      <c r="Z21" s="2843"/>
      <c r="AA21" s="2843"/>
      <c r="AB21" s="2844"/>
      <c r="AC21" s="2846"/>
      <c r="AD21" s="2847"/>
      <c r="AE21" s="2847"/>
      <c r="AF21" s="2847"/>
      <c r="AG21" s="2847"/>
      <c r="AH21" s="2847"/>
      <c r="AI21" s="2847"/>
      <c r="AJ21" s="2848"/>
      <c r="AK21" s="2845"/>
      <c r="AL21" s="2843"/>
      <c r="AM21" s="2843"/>
      <c r="AN21" s="2843"/>
      <c r="AO21" s="2843"/>
      <c r="AP21" s="2843"/>
      <c r="AQ21" s="2843"/>
      <c r="AR21" s="2849"/>
    </row>
    <row r="22" spans="2:44" s="567" customFormat="1" ht="17.5">
      <c r="B22" s="2813"/>
      <c r="C22" s="2814"/>
      <c r="D22" s="2814"/>
      <c r="E22" s="2814"/>
      <c r="F22" s="2814"/>
      <c r="G22" s="2814"/>
      <c r="H22" s="2814"/>
      <c r="I22" s="2815"/>
      <c r="J22" s="764" t="b">
        <v>0</v>
      </c>
      <c r="K22" s="749" t="s">
        <v>1475</v>
      </c>
      <c r="L22" s="749"/>
      <c r="M22" s="749"/>
      <c r="N22" s="749"/>
      <c r="O22" s="749"/>
      <c r="P22" s="769" t="b">
        <v>0</v>
      </c>
      <c r="Q22" s="749" t="s">
        <v>1476</v>
      </c>
      <c r="R22" s="749"/>
      <c r="S22" s="749"/>
      <c r="T22" s="750"/>
      <c r="U22" s="2822"/>
      <c r="V22" s="2814"/>
      <c r="W22" s="2814"/>
      <c r="X22" s="2814"/>
      <c r="Y22" s="2814"/>
      <c r="Z22" s="2814"/>
      <c r="AA22" s="2814"/>
      <c r="AB22" s="2815"/>
      <c r="AC22" s="2825"/>
      <c r="AD22" s="2826"/>
      <c r="AE22" s="2826"/>
      <c r="AF22" s="2826"/>
      <c r="AG22" s="2826"/>
      <c r="AH22" s="2826"/>
      <c r="AI22" s="2826"/>
      <c r="AJ22" s="2827"/>
      <c r="AK22" s="2822"/>
      <c r="AL22" s="2814"/>
      <c r="AM22" s="2814"/>
      <c r="AN22" s="2814"/>
      <c r="AO22" s="2814"/>
      <c r="AP22" s="2814"/>
      <c r="AQ22" s="2814"/>
      <c r="AR22" s="2835"/>
    </row>
    <row r="23" spans="2:44" s="567" customFormat="1" ht="17.5">
      <c r="B23" s="2816"/>
      <c r="C23" s="2817"/>
      <c r="D23" s="2817"/>
      <c r="E23" s="2817"/>
      <c r="F23" s="2817"/>
      <c r="G23" s="2817"/>
      <c r="H23" s="2817"/>
      <c r="I23" s="2818"/>
      <c r="J23" s="763" t="b">
        <v>0</v>
      </c>
      <c r="K23" s="567" t="s">
        <v>1477</v>
      </c>
      <c r="P23" s="768" t="b">
        <v>0</v>
      </c>
      <c r="Q23" s="567" t="s">
        <v>1478</v>
      </c>
      <c r="T23" s="748"/>
      <c r="U23" s="2823"/>
      <c r="V23" s="2817"/>
      <c r="W23" s="2817"/>
      <c r="X23" s="2817"/>
      <c r="Y23" s="2817"/>
      <c r="Z23" s="2817"/>
      <c r="AA23" s="2817"/>
      <c r="AB23" s="2818"/>
      <c r="AC23" s="2828"/>
      <c r="AD23" s="2829"/>
      <c r="AE23" s="2829"/>
      <c r="AF23" s="2829"/>
      <c r="AG23" s="2829"/>
      <c r="AH23" s="2829"/>
      <c r="AI23" s="2829"/>
      <c r="AJ23" s="2830"/>
      <c r="AK23" s="2823"/>
      <c r="AL23" s="2817"/>
      <c r="AM23" s="2817"/>
      <c r="AN23" s="2817"/>
      <c r="AO23" s="2817"/>
      <c r="AP23" s="2817"/>
      <c r="AQ23" s="2817"/>
      <c r="AR23" s="2836"/>
    </row>
    <row r="24" spans="2:44" s="567" customFormat="1" ht="18" thickBot="1">
      <c r="B24" s="2819"/>
      <c r="C24" s="2820"/>
      <c r="D24" s="2820"/>
      <c r="E24" s="2820"/>
      <c r="F24" s="2820"/>
      <c r="G24" s="2820"/>
      <c r="H24" s="2820"/>
      <c r="I24" s="2821"/>
      <c r="J24" s="766" t="b">
        <v>0</v>
      </c>
      <c r="K24" s="753" t="s">
        <v>1479</v>
      </c>
      <c r="L24" s="753"/>
      <c r="M24" s="753"/>
      <c r="N24" s="753"/>
      <c r="O24" s="753"/>
      <c r="P24" s="753"/>
      <c r="Q24" s="753"/>
      <c r="R24" s="753"/>
      <c r="S24" s="753"/>
      <c r="T24" s="754"/>
      <c r="U24" s="2824"/>
      <c r="V24" s="2820"/>
      <c r="W24" s="2820"/>
      <c r="X24" s="2820"/>
      <c r="Y24" s="2820"/>
      <c r="Z24" s="2820"/>
      <c r="AA24" s="2820"/>
      <c r="AB24" s="2821"/>
      <c r="AC24" s="2831"/>
      <c r="AD24" s="2832"/>
      <c r="AE24" s="2832"/>
      <c r="AF24" s="2832"/>
      <c r="AG24" s="2832"/>
      <c r="AH24" s="2832"/>
      <c r="AI24" s="2832"/>
      <c r="AJ24" s="2833"/>
      <c r="AK24" s="2824"/>
      <c r="AL24" s="2820"/>
      <c r="AM24" s="2820"/>
      <c r="AN24" s="2820"/>
      <c r="AO24" s="2820"/>
      <c r="AP24" s="2820"/>
      <c r="AQ24" s="2820"/>
      <c r="AR24" s="2837"/>
    </row>
    <row r="25" spans="2:44" s="522" customFormat="1" ht="19.399999999999999" customHeight="1">
      <c r="B25" s="2812" t="s">
        <v>1480</v>
      </c>
      <c r="C25" s="2812"/>
      <c r="D25" s="2812"/>
      <c r="E25" s="2812"/>
      <c r="F25" s="2812"/>
      <c r="G25" s="2812"/>
      <c r="H25" s="2812"/>
      <c r="I25" s="2812"/>
      <c r="J25" s="2812"/>
      <c r="K25" s="2812"/>
      <c r="L25" s="2812"/>
      <c r="M25" s="2812"/>
      <c r="N25" s="2812"/>
      <c r="O25" s="2812"/>
      <c r="P25" s="2812"/>
      <c r="Q25" s="2812"/>
      <c r="R25" s="2812"/>
      <c r="S25" s="2812"/>
      <c r="T25" s="2812"/>
      <c r="U25" s="2812"/>
      <c r="V25" s="2812"/>
      <c r="W25" s="2812"/>
      <c r="X25" s="2812"/>
      <c r="Y25" s="2812"/>
      <c r="Z25" s="2812"/>
      <c r="AA25" s="2812"/>
      <c r="AB25" s="2812"/>
      <c r="AC25" s="2812"/>
      <c r="AD25" s="2812"/>
      <c r="AE25" s="2812"/>
      <c r="AF25" s="2812"/>
      <c r="AG25" s="2812"/>
      <c r="AH25" s="2812"/>
      <c r="AI25" s="2812"/>
      <c r="AJ25" s="2812"/>
      <c r="AK25" s="2812"/>
      <c r="AL25" s="2812"/>
      <c r="AM25" s="2812"/>
      <c r="AN25" s="2812"/>
      <c r="AO25" s="2812"/>
      <c r="AP25" s="2812"/>
      <c r="AQ25" s="2812"/>
      <c r="AR25" s="2812"/>
    </row>
    <row r="26" spans="2:44" s="522" customFormat="1" ht="16.75" customHeight="1">
      <c r="C26" s="548" t="s">
        <v>1365</v>
      </c>
      <c r="D26" s="743"/>
      <c r="E26" s="743"/>
      <c r="F26" s="743"/>
      <c r="G26" s="743"/>
      <c r="H26" s="743"/>
      <c r="I26" s="548" t="s">
        <v>1483</v>
      </c>
      <c r="J26" s="743"/>
      <c r="K26" s="743"/>
      <c r="L26" s="743"/>
      <c r="M26" s="743"/>
      <c r="N26" s="743"/>
      <c r="O26" s="548" t="s">
        <v>1482</v>
      </c>
      <c r="P26" s="743"/>
      <c r="Q26" s="743"/>
      <c r="S26" s="743"/>
      <c r="T26" s="743"/>
      <c r="U26" s="743"/>
      <c r="V26" s="548" t="s">
        <v>1366</v>
      </c>
      <c r="W26" s="743"/>
      <c r="X26" s="743"/>
      <c r="Y26" s="743"/>
      <c r="Z26" s="743"/>
      <c r="AA26" s="743"/>
      <c r="AB26" s="743"/>
      <c r="AC26" s="743"/>
      <c r="AD26" s="743"/>
      <c r="AE26" s="743"/>
      <c r="AF26" s="743"/>
      <c r="AG26" s="743"/>
      <c r="AH26" s="743"/>
      <c r="AI26" s="743"/>
      <c r="AJ26" s="743"/>
      <c r="AK26" s="743"/>
      <c r="AL26" s="743"/>
      <c r="AM26" s="743"/>
      <c r="AN26" s="743"/>
      <c r="AO26" s="743"/>
      <c r="AP26" s="743"/>
      <c r="AQ26" s="743"/>
      <c r="AR26" s="743"/>
    </row>
    <row r="27" spans="2:44" s="522" customFormat="1" ht="14.15" customHeight="1">
      <c r="C27" s="548" t="s">
        <v>1367</v>
      </c>
      <c r="D27" s="743"/>
      <c r="E27" s="743"/>
      <c r="F27" s="743"/>
      <c r="G27" s="743"/>
      <c r="H27" s="743"/>
      <c r="I27" s="548" t="s">
        <v>1481</v>
      </c>
      <c r="J27" s="743"/>
      <c r="K27" s="548"/>
      <c r="L27" s="743"/>
      <c r="M27" s="743"/>
      <c r="N27" s="743"/>
      <c r="O27" s="548" t="s">
        <v>1368</v>
      </c>
      <c r="P27" s="743"/>
      <c r="Q27" s="743"/>
      <c r="S27" s="743"/>
      <c r="T27" s="743"/>
      <c r="U27" s="743"/>
      <c r="V27" s="548" t="s">
        <v>1397</v>
      </c>
      <c r="W27" s="743"/>
      <c r="X27" s="743"/>
      <c r="Y27" s="743"/>
      <c r="Z27" s="743"/>
      <c r="AA27" s="743"/>
      <c r="AB27" s="743"/>
      <c r="AC27" s="743"/>
      <c r="AD27" s="743"/>
      <c r="AE27" s="743"/>
      <c r="AF27" s="743"/>
      <c r="AG27" s="743"/>
      <c r="AH27" s="743"/>
      <c r="AI27" s="743"/>
      <c r="AJ27" s="743"/>
      <c r="AK27" s="743"/>
      <c r="AL27" s="743"/>
      <c r="AM27" s="743"/>
      <c r="AN27" s="743"/>
      <c r="AO27" s="743"/>
      <c r="AP27" s="743"/>
      <c r="AQ27" s="743"/>
      <c r="AR27" s="743"/>
    </row>
    <row r="28" spans="2:44" s="522" customFormat="1" ht="18.649999999999999" customHeight="1">
      <c r="B28" s="2812" t="s">
        <v>1484</v>
      </c>
      <c r="C28" s="2812"/>
      <c r="D28" s="2812"/>
      <c r="E28" s="2812"/>
      <c r="F28" s="2812"/>
      <c r="G28" s="2812"/>
      <c r="H28" s="2812"/>
      <c r="I28" s="2812"/>
      <c r="J28" s="2812"/>
      <c r="K28" s="2812"/>
      <c r="L28" s="2812"/>
      <c r="M28" s="2812"/>
      <c r="N28" s="2812"/>
      <c r="O28" s="2812"/>
      <c r="P28" s="2812"/>
      <c r="Q28" s="2812"/>
      <c r="R28" s="2812"/>
      <c r="S28" s="2812"/>
      <c r="T28" s="2812"/>
      <c r="U28" s="2812"/>
      <c r="V28" s="2812"/>
      <c r="W28" s="2812"/>
      <c r="X28" s="2812"/>
      <c r="Y28" s="2812"/>
      <c r="Z28" s="2812"/>
      <c r="AA28" s="2812"/>
      <c r="AB28" s="2812"/>
      <c r="AC28" s="2812"/>
      <c r="AD28" s="2812"/>
      <c r="AE28" s="2812"/>
      <c r="AF28" s="2812"/>
      <c r="AG28" s="2812"/>
      <c r="AH28" s="2812"/>
      <c r="AI28" s="2812"/>
      <c r="AJ28" s="2812"/>
      <c r="AK28" s="2812"/>
      <c r="AL28" s="2812"/>
      <c r="AM28" s="2812"/>
      <c r="AN28" s="2812"/>
      <c r="AO28" s="2812"/>
      <c r="AP28" s="2812"/>
      <c r="AQ28" s="2812"/>
      <c r="AR28" s="2812"/>
    </row>
    <row r="29" spans="2:44" s="522" customFormat="1" ht="13.4" customHeight="1">
      <c r="C29" s="2834" t="s">
        <v>1485</v>
      </c>
      <c r="D29" s="2834"/>
      <c r="E29" s="2834"/>
      <c r="F29" s="2834"/>
      <c r="G29" s="2834"/>
      <c r="H29" s="2834"/>
      <c r="I29" s="2834"/>
      <c r="J29" s="2834"/>
      <c r="K29" s="2834"/>
      <c r="L29" s="2834"/>
      <c r="M29" s="2834"/>
      <c r="N29" s="2834"/>
      <c r="O29" s="2834"/>
      <c r="P29" s="2834"/>
      <c r="Q29" s="2834"/>
      <c r="R29" s="2834"/>
      <c r="S29" s="2834"/>
      <c r="T29" s="2834"/>
      <c r="U29" s="2834"/>
      <c r="V29" s="2834"/>
      <c r="W29" s="2834"/>
      <c r="X29" s="2834"/>
      <c r="Y29" s="2834"/>
      <c r="Z29" s="2834"/>
      <c r="AA29" s="2834"/>
      <c r="AB29" s="2834"/>
      <c r="AC29" s="2834"/>
      <c r="AD29" s="2834"/>
      <c r="AE29" s="2834"/>
      <c r="AF29" s="2834"/>
      <c r="AG29" s="2834"/>
      <c r="AH29" s="2834"/>
      <c r="AI29" s="2834"/>
      <c r="AJ29" s="2834"/>
      <c r="AK29" s="2834"/>
      <c r="AL29" s="2834"/>
      <c r="AM29" s="2834"/>
      <c r="AN29" s="2834"/>
      <c r="AO29" s="2834"/>
      <c r="AP29" s="2834"/>
      <c r="AQ29" s="2834"/>
      <c r="AR29" s="2834"/>
    </row>
    <row r="30" spans="2:44" s="522" customFormat="1">
      <c r="C30" s="2834" t="s">
        <v>1486</v>
      </c>
      <c r="D30" s="2834"/>
      <c r="E30" s="2834"/>
      <c r="F30" s="2834"/>
      <c r="G30" s="2834"/>
      <c r="H30" s="2834"/>
      <c r="I30" s="2834"/>
      <c r="J30" s="2834"/>
      <c r="K30" s="2834"/>
      <c r="L30" s="2834"/>
      <c r="M30" s="2834"/>
      <c r="N30" s="2834"/>
      <c r="O30" s="2834"/>
      <c r="P30" s="2834"/>
      <c r="Q30" s="2834"/>
      <c r="R30" s="2834"/>
      <c r="S30" s="2834"/>
      <c r="T30" s="2834"/>
      <c r="U30" s="2834"/>
      <c r="V30" s="2834"/>
      <c r="W30" s="2834"/>
      <c r="X30" s="2834"/>
      <c r="Y30" s="2834"/>
      <c r="Z30" s="2834"/>
      <c r="AA30" s="2834"/>
      <c r="AB30" s="2834"/>
      <c r="AC30" s="2834"/>
      <c r="AD30" s="2834"/>
      <c r="AE30" s="2834"/>
      <c r="AF30" s="2834"/>
      <c r="AG30" s="2834"/>
      <c r="AH30" s="2834"/>
      <c r="AI30" s="2834"/>
      <c r="AJ30" s="2834"/>
      <c r="AK30" s="2834"/>
      <c r="AL30" s="2834"/>
      <c r="AM30" s="2834"/>
      <c r="AN30" s="2834"/>
      <c r="AO30" s="2834"/>
      <c r="AP30" s="2834"/>
      <c r="AQ30" s="2834"/>
      <c r="AR30" s="2834"/>
    </row>
    <row r="31" spans="2:44" s="522" customFormat="1">
      <c r="C31" s="2834" t="s">
        <v>1487</v>
      </c>
      <c r="D31" s="2834"/>
      <c r="E31" s="2834"/>
      <c r="F31" s="2834"/>
      <c r="G31" s="2834"/>
      <c r="H31" s="2834"/>
      <c r="I31" s="2834"/>
      <c r="J31" s="2834"/>
      <c r="K31" s="2834"/>
      <c r="L31" s="2834"/>
      <c r="M31" s="2834"/>
      <c r="N31" s="2834"/>
      <c r="O31" s="2834"/>
      <c r="P31" s="2834"/>
      <c r="Q31" s="2834"/>
      <c r="R31" s="2834"/>
      <c r="S31" s="2834"/>
      <c r="T31" s="2834"/>
      <c r="U31" s="2834"/>
      <c r="V31" s="2834"/>
      <c r="W31" s="2834"/>
      <c r="X31" s="2834"/>
      <c r="Y31" s="2834"/>
      <c r="Z31" s="2834"/>
      <c r="AA31" s="2834"/>
      <c r="AB31" s="2834"/>
      <c r="AC31" s="2834"/>
      <c r="AD31" s="2834"/>
      <c r="AE31" s="2834"/>
      <c r="AF31" s="2834"/>
      <c r="AG31" s="2834"/>
      <c r="AH31" s="2834"/>
      <c r="AI31" s="2834"/>
      <c r="AJ31" s="2834"/>
      <c r="AK31" s="2834"/>
      <c r="AL31" s="2834"/>
      <c r="AM31" s="2834"/>
      <c r="AN31" s="2834"/>
      <c r="AO31" s="2834"/>
      <c r="AP31" s="2834"/>
      <c r="AQ31" s="2834"/>
      <c r="AR31" s="2834"/>
    </row>
    <row r="32" spans="2:44" s="522" customFormat="1">
      <c r="C32" s="2834" t="s">
        <v>1488</v>
      </c>
      <c r="D32" s="2834"/>
      <c r="E32" s="2834"/>
      <c r="F32" s="2834"/>
      <c r="G32" s="2834"/>
      <c r="H32" s="2834"/>
      <c r="I32" s="2834"/>
      <c r="J32" s="2834"/>
      <c r="K32" s="2834"/>
      <c r="L32" s="2834"/>
      <c r="M32" s="2834"/>
      <c r="N32" s="2834"/>
      <c r="O32" s="2834"/>
      <c r="P32" s="2834"/>
      <c r="Q32" s="2834"/>
      <c r="R32" s="2834"/>
      <c r="S32" s="2834"/>
      <c r="T32" s="2834"/>
      <c r="U32" s="2834"/>
      <c r="V32" s="2834"/>
      <c r="W32" s="2834"/>
      <c r="X32" s="2834"/>
      <c r="Y32" s="2834"/>
      <c r="Z32" s="2834"/>
      <c r="AA32" s="2834"/>
      <c r="AB32" s="2834"/>
      <c r="AC32" s="2834"/>
      <c r="AD32" s="2834"/>
      <c r="AE32" s="2834"/>
      <c r="AF32" s="2834"/>
      <c r="AG32" s="2834"/>
      <c r="AH32" s="2834"/>
      <c r="AI32" s="2834"/>
      <c r="AJ32" s="2834"/>
      <c r="AK32" s="2834"/>
      <c r="AL32" s="2834"/>
      <c r="AM32" s="2834"/>
      <c r="AN32" s="2834"/>
      <c r="AO32" s="2834"/>
      <c r="AP32" s="2834"/>
      <c r="AQ32" s="2834"/>
      <c r="AR32" s="2834"/>
    </row>
    <row r="33" spans="2:47" s="522" customFormat="1">
      <c r="C33" s="2834" t="s">
        <v>1489</v>
      </c>
      <c r="D33" s="2834"/>
      <c r="E33" s="2834"/>
      <c r="F33" s="2834"/>
      <c r="G33" s="2834"/>
      <c r="H33" s="2834"/>
      <c r="I33" s="2834"/>
      <c r="J33" s="2834"/>
      <c r="K33" s="2834"/>
      <c r="L33" s="2834"/>
      <c r="M33" s="2834"/>
      <c r="N33" s="2834"/>
      <c r="O33" s="2834"/>
      <c r="P33" s="2834"/>
      <c r="Q33" s="2834"/>
      <c r="R33" s="2834"/>
      <c r="S33" s="2834"/>
      <c r="T33" s="2834"/>
      <c r="U33" s="2834"/>
      <c r="V33" s="2834"/>
      <c r="W33" s="2834"/>
      <c r="X33" s="2834"/>
      <c r="Y33" s="2834"/>
      <c r="Z33" s="2834"/>
      <c r="AA33" s="2834"/>
      <c r="AB33" s="2834"/>
      <c r="AC33" s="2834"/>
      <c r="AD33" s="2834"/>
      <c r="AE33" s="2834"/>
      <c r="AF33" s="2834"/>
      <c r="AG33" s="2834"/>
      <c r="AH33" s="2834"/>
      <c r="AI33" s="2834"/>
      <c r="AJ33" s="2834"/>
      <c r="AK33" s="2834"/>
      <c r="AL33" s="2834"/>
      <c r="AM33" s="2834"/>
      <c r="AN33" s="2834"/>
      <c r="AO33" s="2834"/>
      <c r="AP33" s="2834"/>
      <c r="AQ33" s="2834"/>
      <c r="AR33" s="2834"/>
    </row>
    <row r="34" spans="2:47" s="522" customFormat="1" ht="17.5" customHeight="1">
      <c r="B34" s="2812" t="s">
        <v>1490</v>
      </c>
      <c r="C34" s="2812"/>
      <c r="D34" s="2812"/>
      <c r="E34" s="2812"/>
      <c r="F34" s="2812"/>
      <c r="G34" s="2812"/>
      <c r="H34" s="2812"/>
      <c r="I34" s="2812"/>
      <c r="J34" s="2812"/>
      <c r="K34" s="2812"/>
      <c r="L34" s="2812"/>
      <c r="M34" s="2812"/>
      <c r="N34" s="2812"/>
      <c r="O34" s="2812"/>
      <c r="P34" s="2812"/>
      <c r="Q34" s="2812"/>
      <c r="R34" s="2812"/>
      <c r="S34" s="2812"/>
      <c r="T34" s="2812"/>
      <c r="U34" s="2812"/>
      <c r="V34" s="2812"/>
      <c r="W34" s="2812"/>
      <c r="X34" s="2812"/>
      <c r="Y34" s="2812"/>
      <c r="Z34" s="2812"/>
      <c r="AA34" s="2812"/>
      <c r="AB34" s="2812"/>
      <c r="AC34" s="2812"/>
      <c r="AD34" s="2812"/>
      <c r="AE34" s="2812"/>
      <c r="AF34" s="2812"/>
      <c r="AG34" s="2812"/>
      <c r="AH34" s="2812"/>
      <c r="AI34" s="2812"/>
      <c r="AJ34" s="2812"/>
      <c r="AK34" s="2812"/>
      <c r="AL34" s="2812"/>
      <c r="AM34" s="2812"/>
      <c r="AN34" s="2812"/>
      <c r="AO34" s="2812"/>
      <c r="AP34" s="2812"/>
      <c r="AQ34" s="2812"/>
      <c r="AR34" s="2812"/>
    </row>
    <row r="35" spans="2:47" s="522" customFormat="1" ht="16.75" customHeight="1">
      <c r="C35" s="2839" t="s">
        <v>1491</v>
      </c>
      <c r="D35" s="2839"/>
      <c r="E35" s="2839"/>
      <c r="F35" s="2839"/>
      <c r="G35" s="2839"/>
      <c r="H35" s="2839"/>
      <c r="I35" s="2839"/>
      <c r="J35" s="2839"/>
      <c r="K35" s="2839"/>
      <c r="L35" s="2839"/>
      <c r="M35" s="2839"/>
      <c r="N35" s="2839"/>
      <c r="O35" s="2839"/>
      <c r="P35" s="2839"/>
      <c r="Q35" s="2839"/>
      <c r="R35" s="2839"/>
      <c r="S35" s="2839"/>
      <c r="T35" s="2839"/>
      <c r="U35" s="2839"/>
      <c r="V35" s="2839"/>
      <c r="W35" s="2839"/>
      <c r="X35" s="2839"/>
      <c r="Y35" s="2839"/>
      <c r="Z35" s="2839"/>
      <c r="AA35" s="2839"/>
      <c r="AB35" s="2839"/>
      <c r="AC35" s="2839"/>
      <c r="AD35" s="2839"/>
      <c r="AE35" s="2839"/>
      <c r="AF35" s="2839"/>
      <c r="AG35" s="2839"/>
      <c r="AH35" s="2839"/>
      <c r="AI35" s="2839"/>
      <c r="AJ35" s="2839"/>
      <c r="AK35" s="2839"/>
      <c r="AL35" s="2839"/>
      <c r="AM35" s="2839"/>
      <c r="AN35" s="2839"/>
      <c r="AO35" s="2839"/>
      <c r="AP35" s="2839"/>
      <c r="AQ35" s="2839"/>
      <c r="AR35" s="2839"/>
    </row>
    <row r="36" spans="2:47" s="522" customFormat="1">
      <c r="C36" s="2839" t="s">
        <v>1492</v>
      </c>
      <c r="D36" s="2839"/>
      <c r="E36" s="2839"/>
      <c r="F36" s="2839"/>
      <c r="G36" s="2839"/>
      <c r="H36" s="2839"/>
      <c r="I36" s="2839"/>
      <c r="J36" s="2839"/>
      <c r="K36" s="2839"/>
      <c r="L36" s="2839"/>
      <c r="M36" s="2839"/>
      <c r="N36" s="2839"/>
      <c r="O36" s="2839"/>
      <c r="P36" s="2839"/>
      <c r="Q36" s="2839"/>
      <c r="R36" s="2839"/>
      <c r="S36" s="2839"/>
      <c r="T36" s="2839"/>
      <c r="U36" s="2839"/>
      <c r="V36" s="2839"/>
      <c r="W36" s="2839"/>
      <c r="X36" s="2839"/>
      <c r="Y36" s="2839"/>
      <c r="Z36" s="2839"/>
      <c r="AA36" s="2839"/>
      <c r="AB36" s="2839"/>
      <c r="AC36" s="2839"/>
      <c r="AD36" s="2839"/>
      <c r="AE36" s="2839"/>
      <c r="AF36" s="2839"/>
      <c r="AG36" s="2839"/>
      <c r="AH36" s="2839"/>
      <c r="AI36" s="2839"/>
      <c r="AJ36" s="2839"/>
      <c r="AK36" s="2839"/>
      <c r="AL36" s="2839"/>
      <c r="AM36" s="2839"/>
      <c r="AN36" s="2839"/>
      <c r="AO36" s="2839"/>
      <c r="AP36" s="2839"/>
      <c r="AQ36" s="2839"/>
      <c r="AR36" s="2839"/>
    </row>
    <row r="37" spans="2:47" s="522" customFormat="1">
      <c r="C37" s="2834" t="s">
        <v>1493</v>
      </c>
      <c r="D37" s="2834"/>
      <c r="E37" s="2834"/>
      <c r="F37" s="2834"/>
      <c r="G37" s="2834"/>
      <c r="H37" s="2834"/>
      <c r="I37" s="2834"/>
      <c r="J37" s="2834"/>
      <c r="K37" s="2834"/>
      <c r="L37" s="2834"/>
      <c r="M37" s="2834"/>
      <c r="N37" s="2834"/>
      <c r="O37" s="2834"/>
      <c r="P37" s="2834"/>
      <c r="Q37" s="2834"/>
      <c r="R37" s="2834"/>
      <c r="S37" s="2834"/>
      <c r="T37" s="2834"/>
      <c r="U37" s="2834"/>
      <c r="V37" s="2834"/>
      <c r="W37" s="2834"/>
      <c r="X37" s="2834"/>
      <c r="Y37" s="2834"/>
      <c r="Z37" s="2834"/>
      <c r="AA37" s="2834"/>
      <c r="AB37" s="2834"/>
      <c r="AC37" s="2834"/>
      <c r="AD37" s="2834"/>
      <c r="AE37" s="2834"/>
      <c r="AF37" s="2834"/>
      <c r="AG37" s="2834"/>
      <c r="AH37" s="2834"/>
      <c r="AI37" s="2834"/>
      <c r="AJ37" s="2834"/>
      <c r="AK37" s="2834"/>
      <c r="AL37" s="2834"/>
      <c r="AM37" s="2834"/>
      <c r="AN37" s="2834"/>
      <c r="AO37" s="2834"/>
      <c r="AP37" s="2834"/>
      <c r="AQ37" s="2834"/>
      <c r="AR37" s="2834"/>
    </row>
    <row r="38" spans="2:47" s="522" customFormat="1">
      <c r="C38" s="2834" t="s">
        <v>1494</v>
      </c>
      <c r="D38" s="2834"/>
      <c r="E38" s="2834"/>
      <c r="F38" s="2834"/>
      <c r="G38" s="2834"/>
      <c r="H38" s="2834"/>
      <c r="I38" s="2834"/>
      <c r="J38" s="2834"/>
      <c r="K38" s="2834"/>
      <c r="L38" s="2834"/>
      <c r="M38" s="2834"/>
      <c r="N38" s="2834"/>
      <c r="O38" s="2834"/>
      <c r="P38" s="2834"/>
      <c r="Q38" s="2834"/>
      <c r="R38" s="2834"/>
      <c r="S38" s="2834"/>
      <c r="T38" s="2834"/>
      <c r="U38" s="2834"/>
      <c r="V38" s="2834"/>
      <c r="W38" s="2834"/>
      <c r="X38" s="2834"/>
      <c r="Y38" s="2834"/>
      <c r="Z38" s="2834"/>
      <c r="AA38" s="2834"/>
      <c r="AB38" s="2834"/>
      <c r="AC38" s="2834"/>
      <c r="AD38" s="2834"/>
      <c r="AE38" s="2834"/>
      <c r="AF38" s="2834"/>
      <c r="AG38" s="2834"/>
      <c r="AH38" s="2834"/>
      <c r="AI38" s="2834"/>
      <c r="AJ38" s="2834"/>
      <c r="AK38" s="2834"/>
      <c r="AL38" s="2834"/>
      <c r="AM38" s="2834"/>
      <c r="AN38" s="2834"/>
      <c r="AO38" s="2834"/>
      <c r="AP38" s="2834"/>
      <c r="AQ38" s="2834"/>
      <c r="AR38" s="2834"/>
    </row>
    <row r="39" spans="2:47" s="522" customFormat="1" ht="16.399999999999999" customHeight="1">
      <c r="B39" s="2840" t="s">
        <v>1495</v>
      </c>
      <c r="C39" s="2840"/>
      <c r="D39" s="2840"/>
      <c r="E39" s="2840"/>
      <c r="F39" s="2840"/>
      <c r="G39" s="2840"/>
      <c r="H39" s="2840"/>
      <c r="I39" s="2840"/>
      <c r="J39" s="2840"/>
      <c r="K39" s="2840"/>
      <c r="L39" s="2840"/>
      <c r="M39" s="2840"/>
      <c r="N39" s="2840"/>
      <c r="O39" s="2840"/>
      <c r="P39" s="2840"/>
      <c r="Q39" s="2840"/>
      <c r="R39" s="2840"/>
      <c r="S39" s="2840"/>
      <c r="T39" s="2840"/>
      <c r="U39" s="2840"/>
      <c r="V39" s="2840"/>
      <c r="W39" s="2840"/>
      <c r="X39" s="2840"/>
      <c r="Y39" s="2840"/>
      <c r="Z39" s="2840"/>
      <c r="AA39" s="2840"/>
      <c r="AB39" s="2840"/>
      <c r="AC39" s="2840"/>
      <c r="AD39" s="2840"/>
      <c r="AE39" s="2840"/>
      <c r="AF39" s="2840"/>
      <c r="AG39" s="2840"/>
      <c r="AH39" s="2840"/>
      <c r="AI39" s="2840"/>
      <c r="AJ39" s="2840"/>
      <c r="AK39" s="2840"/>
      <c r="AL39" s="2840"/>
      <c r="AM39" s="2840"/>
      <c r="AN39" s="2840"/>
      <c r="AO39" s="2840"/>
      <c r="AP39" s="2840"/>
      <c r="AQ39" s="2840"/>
      <c r="AR39" s="2840"/>
    </row>
    <row r="40" spans="2:47" s="522" customFormat="1" ht="16.399999999999999" customHeight="1">
      <c r="B40" s="2840" t="s">
        <v>1496</v>
      </c>
      <c r="C40" s="2840"/>
      <c r="D40" s="2840"/>
      <c r="E40" s="2840"/>
      <c r="F40" s="2840"/>
      <c r="G40" s="2840"/>
      <c r="H40" s="2840"/>
      <c r="I40" s="2840"/>
      <c r="J40" s="2840"/>
      <c r="K40" s="2840"/>
      <c r="L40" s="2840"/>
      <c r="M40" s="2840"/>
      <c r="N40" s="2840"/>
      <c r="O40" s="2840"/>
      <c r="P40" s="2840"/>
      <c r="Q40" s="2840"/>
      <c r="R40" s="2840"/>
      <c r="S40" s="2840"/>
      <c r="T40" s="2840"/>
      <c r="U40" s="2840"/>
      <c r="V40" s="2840"/>
      <c r="W40" s="2840"/>
      <c r="X40" s="2840"/>
      <c r="Y40" s="2840"/>
      <c r="Z40" s="2840"/>
      <c r="AA40" s="2840"/>
      <c r="AB40" s="2840"/>
      <c r="AC40" s="2840"/>
      <c r="AD40" s="2840"/>
      <c r="AE40" s="2840"/>
      <c r="AF40" s="2840"/>
      <c r="AG40" s="2840"/>
      <c r="AH40" s="2840"/>
      <c r="AI40" s="2840"/>
      <c r="AJ40" s="2840"/>
      <c r="AK40" s="2840"/>
      <c r="AL40" s="2840"/>
      <c r="AM40" s="2840"/>
      <c r="AN40" s="2840"/>
      <c r="AO40" s="2840"/>
      <c r="AP40" s="2840"/>
      <c r="AQ40" s="2840"/>
      <c r="AR40" s="2840"/>
    </row>
    <row r="41" spans="2:47" s="522" customFormat="1">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c r="AA41" s="744"/>
      <c r="AB41" s="744"/>
      <c r="AC41" s="744"/>
      <c r="AD41" s="744"/>
      <c r="AE41" s="744"/>
      <c r="AF41" s="744"/>
      <c r="AG41" s="744"/>
      <c r="AH41" s="744"/>
      <c r="AI41" s="744"/>
      <c r="AJ41" s="744"/>
      <c r="AK41" s="744"/>
      <c r="AL41" s="744"/>
      <c r="AM41" s="744"/>
      <c r="AN41" s="744"/>
      <c r="AO41" s="744"/>
      <c r="AP41" s="744"/>
      <c r="AQ41" s="744"/>
    </row>
    <row r="42" spans="2:47" s="661" customFormat="1" ht="16.5">
      <c r="B42" s="2841" t="s">
        <v>1497</v>
      </c>
      <c r="C42" s="2841"/>
      <c r="D42" s="2841"/>
      <c r="E42" s="2841"/>
      <c r="F42" s="2841"/>
      <c r="G42" s="2841"/>
      <c r="H42" s="2841"/>
      <c r="I42" s="2841"/>
      <c r="J42" s="2841"/>
      <c r="K42" s="2841"/>
      <c r="L42" s="2841"/>
      <c r="M42" s="2841"/>
      <c r="N42" s="2841"/>
      <c r="O42" s="2841"/>
      <c r="P42" s="2841"/>
      <c r="Q42" s="2841"/>
      <c r="R42" s="2841"/>
      <c r="S42" s="2841"/>
      <c r="T42" s="2841"/>
      <c r="U42" s="2841"/>
      <c r="V42" s="2841"/>
      <c r="W42" s="2841"/>
      <c r="X42" s="2841"/>
      <c r="Y42" s="2841"/>
      <c r="Z42" s="2841"/>
      <c r="AA42" s="2841"/>
      <c r="AB42" s="2841"/>
      <c r="AC42" s="2841"/>
      <c r="AD42" s="2841"/>
      <c r="AE42" s="2841"/>
      <c r="AF42" s="2841"/>
      <c r="AG42" s="2841"/>
      <c r="AH42" s="2841"/>
      <c r="AI42" s="2841"/>
      <c r="AJ42" s="2841"/>
      <c r="AK42" s="2841"/>
      <c r="AL42" s="2841"/>
      <c r="AM42" s="2841"/>
      <c r="AN42" s="2841"/>
      <c r="AO42" s="2841"/>
      <c r="AP42" s="2841"/>
      <c r="AQ42" s="2841"/>
      <c r="AR42" s="2841"/>
    </row>
    <row r="43" spans="2:47" s="661" customFormat="1" ht="30.75" customHeight="1">
      <c r="B43" s="319"/>
      <c r="C43" s="319"/>
      <c r="D43" s="319"/>
    </row>
    <row r="44" spans="2:47" s="745" customFormat="1">
      <c r="B44" s="169" t="s">
        <v>847</v>
      </c>
      <c r="R44" s="169" t="s">
        <v>764</v>
      </c>
      <c r="S44" s="169"/>
      <c r="AG44" s="169" t="s">
        <v>783</v>
      </c>
    </row>
    <row r="45" spans="2:47" s="745" customFormat="1" ht="21.75" customHeight="1">
      <c r="B45" s="169" t="s">
        <v>756</v>
      </c>
      <c r="F45" s="2838" t="str">
        <f>activesheet!E29</f>
        <v>RICO S. MISPEROS</v>
      </c>
      <c r="G45" s="2838"/>
      <c r="H45" s="2838"/>
      <c r="I45" s="2838"/>
      <c r="J45" s="2838"/>
      <c r="K45" s="2838"/>
      <c r="L45" s="2838"/>
      <c r="M45" s="2838"/>
      <c r="N45" s="2838"/>
      <c r="R45" s="1956" t="str">
        <f>activesheet!E1376</f>
        <v>ANNE VALERIE KERSTEINE I. VILLANUEVA</v>
      </c>
      <c r="S45" s="1956"/>
      <c r="T45" s="1956"/>
      <c r="U45" s="1956"/>
      <c r="V45" s="1956"/>
      <c r="W45" s="1956"/>
      <c r="X45" s="1956"/>
      <c r="Y45" s="1956"/>
      <c r="Z45" s="1956"/>
      <c r="AA45" s="1956"/>
      <c r="AB45" s="1956"/>
      <c r="AC45" s="1956"/>
      <c r="AD45" s="171"/>
      <c r="AE45" s="171"/>
      <c r="AG45" s="1956" t="str">
        <f>activesheet!E31</f>
        <v>MICHAEL T. JAMIS</v>
      </c>
      <c r="AH45" s="1956"/>
      <c r="AI45" s="1956"/>
      <c r="AJ45" s="1956"/>
      <c r="AK45" s="1956"/>
      <c r="AL45" s="1956"/>
      <c r="AM45" s="1956"/>
      <c r="AN45" s="1956"/>
      <c r="AO45" s="1956"/>
      <c r="AP45" s="1956"/>
      <c r="AQ45" s="1956"/>
      <c r="AR45" s="1956"/>
      <c r="AS45" s="171"/>
    </row>
    <row r="46" spans="2:47" s="746" customFormat="1">
      <c r="B46" s="655"/>
      <c r="F46" s="1764" t="s">
        <v>741</v>
      </c>
      <c r="G46" s="1764"/>
      <c r="H46" s="1764"/>
      <c r="I46" s="1764"/>
      <c r="J46" s="1764"/>
      <c r="K46" s="1764"/>
      <c r="L46" s="1764"/>
      <c r="M46" s="1764"/>
      <c r="N46" s="1764"/>
      <c r="O46" s="655"/>
      <c r="P46" s="655"/>
      <c r="Q46" s="655"/>
      <c r="R46" s="1957"/>
      <c r="S46" s="1957"/>
      <c r="T46" s="1957"/>
      <c r="U46" s="1957"/>
      <c r="V46" s="1957"/>
      <c r="W46" s="1957"/>
      <c r="X46" s="1957"/>
      <c r="Y46" s="1957"/>
      <c r="Z46" s="1957"/>
      <c r="AA46" s="1957"/>
      <c r="AB46" s="1957"/>
      <c r="AC46" s="1957"/>
      <c r="AD46" s="171"/>
      <c r="AE46" s="171"/>
      <c r="AF46" s="745"/>
      <c r="AG46" s="1957"/>
      <c r="AH46" s="1957"/>
      <c r="AI46" s="1957"/>
      <c r="AJ46" s="1957"/>
      <c r="AK46" s="1957"/>
      <c r="AL46" s="1957"/>
      <c r="AM46" s="1957"/>
      <c r="AN46" s="1957"/>
      <c r="AO46" s="1957"/>
      <c r="AP46" s="1957"/>
      <c r="AQ46" s="1957"/>
      <c r="AR46" s="1957"/>
      <c r="AS46" s="171"/>
      <c r="AT46" s="745"/>
      <c r="AU46" s="655"/>
    </row>
    <row r="47" spans="2:47" s="745" customFormat="1" ht="21.75" customHeight="1">
      <c r="B47" s="169" t="s">
        <v>71</v>
      </c>
      <c r="F47" s="2838" t="str">
        <f>activesheet!E30</f>
        <v>SCHOOL PRINCIPAL II</v>
      </c>
      <c r="G47" s="2838"/>
      <c r="H47" s="2838"/>
      <c r="I47" s="2838"/>
      <c r="J47" s="2838"/>
      <c r="K47" s="2838"/>
      <c r="L47" s="2838"/>
      <c r="M47" s="2838"/>
      <c r="N47" s="2838"/>
      <c r="R47" s="1764" t="s">
        <v>741</v>
      </c>
      <c r="S47" s="1764"/>
      <c r="T47" s="1764"/>
      <c r="U47" s="1764"/>
      <c r="V47" s="1764"/>
      <c r="W47" s="1764"/>
      <c r="X47" s="1764"/>
      <c r="Y47" s="1764"/>
      <c r="Z47" s="1764"/>
      <c r="AA47" s="1764"/>
      <c r="AB47" s="1764"/>
      <c r="AC47" s="1764"/>
      <c r="AD47" s="184"/>
      <c r="AE47" s="184"/>
      <c r="AF47" s="151"/>
      <c r="AG47" s="1764" t="s">
        <v>741</v>
      </c>
      <c r="AH47" s="1764"/>
      <c r="AI47" s="1764"/>
      <c r="AJ47" s="1764"/>
      <c r="AK47" s="1764"/>
      <c r="AL47" s="1764"/>
      <c r="AM47" s="1764"/>
      <c r="AN47" s="1764"/>
      <c r="AO47" s="1764"/>
      <c r="AP47" s="1764"/>
      <c r="AQ47" s="1764"/>
      <c r="AR47" s="1764"/>
      <c r="AS47" s="184"/>
      <c r="AT47" s="655"/>
    </row>
    <row r="48" spans="2:47">
      <c r="AD48" s="745"/>
      <c r="AE48" s="745"/>
      <c r="AF48" s="745"/>
      <c r="AS48" s="745"/>
    </row>
  </sheetData>
  <sheetProtection algorithmName="SHA-512" hashValue="4T6AgqsLuYiopU2Sef0o5nOUnEMMFkvTjBBcHe4mO583eHy8eICDftV2v5i/F8gbQFN5csDIKDiHm97O5x74sg==" saltValue="19kLUIsExIz3S583U7HDvw==" spinCount="100000" sheet="1" objects="1" scenarios="1" selectLockedCells="1"/>
  <mergeCells count="56">
    <mergeCell ref="B5:I6"/>
    <mergeCell ref="J5:T5"/>
    <mergeCell ref="U5:AB5"/>
    <mergeCell ref="AC5:AJ5"/>
    <mergeCell ref="AK5:AR6"/>
    <mergeCell ref="B4:I4"/>
    <mergeCell ref="J4:T4"/>
    <mergeCell ref="U4:AB4"/>
    <mergeCell ref="AC4:AJ4"/>
    <mergeCell ref="AK4:AR4"/>
    <mergeCell ref="B7:I9"/>
    <mergeCell ref="U7:AB9"/>
    <mergeCell ref="AC7:AJ9"/>
    <mergeCell ref="AK7:AR9"/>
    <mergeCell ref="B10:I12"/>
    <mergeCell ref="U10:AB12"/>
    <mergeCell ref="AC10:AJ12"/>
    <mergeCell ref="AK10:AR12"/>
    <mergeCell ref="B13:I15"/>
    <mergeCell ref="U13:AB15"/>
    <mergeCell ref="AC13:AJ15"/>
    <mergeCell ref="AK13:AR15"/>
    <mergeCell ref="B19:I21"/>
    <mergeCell ref="U19:AB21"/>
    <mergeCell ref="AC19:AJ21"/>
    <mergeCell ref="AK19:AR21"/>
    <mergeCell ref="B16:I18"/>
    <mergeCell ref="U16:AB18"/>
    <mergeCell ref="AC16:AJ18"/>
    <mergeCell ref="AK16:AR18"/>
    <mergeCell ref="F47:N47"/>
    <mergeCell ref="R47:AC47"/>
    <mergeCell ref="AG47:AR47"/>
    <mergeCell ref="C35:AR35"/>
    <mergeCell ref="C36:AR36"/>
    <mergeCell ref="C37:AR37"/>
    <mergeCell ref="C38:AR38"/>
    <mergeCell ref="B39:AR39"/>
    <mergeCell ref="B40:AR40"/>
    <mergeCell ref="B42:AR42"/>
    <mergeCell ref="F45:N45"/>
    <mergeCell ref="R45:AC46"/>
    <mergeCell ref="AG45:AR46"/>
    <mergeCell ref="F46:N46"/>
    <mergeCell ref="B34:AR34"/>
    <mergeCell ref="B22:I24"/>
    <mergeCell ref="U22:AB24"/>
    <mergeCell ref="AC22:AJ24"/>
    <mergeCell ref="C29:AR29"/>
    <mergeCell ref="C30:AR30"/>
    <mergeCell ref="C31:AR31"/>
    <mergeCell ref="C32:AR32"/>
    <mergeCell ref="C33:AR33"/>
    <mergeCell ref="AK22:AR24"/>
    <mergeCell ref="B25:AR25"/>
    <mergeCell ref="B28:AR28"/>
  </mergeCells>
  <dataValidations count="1">
    <dataValidation type="decimal" allowBlank="1" showInputMessage="1" showErrorMessage="1" errorTitle="GESP SY 2022-2023" error="Please enter valid number between 0 - 1,000,000." sqref="AC7:AJ24" xr:uid="{00000000-0002-0000-1600-000000000000}">
      <formula1>0</formula1>
      <formula2>1000000</formula2>
    </dataValidation>
  </dataValidations>
  <printOptions horizontalCentered="1" verticalCentered="1"/>
  <pageMargins left="0.25" right="0.25" top="0.2" bottom="0.2" header="0" footer="0.1"/>
  <pageSetup paperSize="9" scale="47" orientation="portrait" r:id="rId1"/>
  <headerFooter alignWithMargins="0">
    <oddFooter>&amp;L&amp;10&amp;F &amp;A&amp;R&amp;10Page 19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099" r:id="rId4" name="Check Box 3">
              <controlPr locked="0" defaultSize="0" autoFill="0" autoLine="0" autoPict="0">
                <anchor moveWithCells="1">
                  <from>
                    <xdr:col>9</xdr:col>
                    <xdr:colOff>31750</xdr:colOff>
                    <xdr:row>6</xdr:row>
                    <xdr:rowOff>0</xdr:rowOff>
                  </from>
                  <to>
                    <xdr:col>10</xdr:col>
                    <xdr:colOff>107950</xdr:colOff>
                    <xdr:row>7</xdr:row>
                    <xdr:rowOff>0</xdr:rowOff>
                  </to>
                </anchor>
              </controlPr>
            </control>
          </mc:Choice>
        </mc:AlternateContent>
        <mc:AlternateContent xmlns:mc="http://schemas.openxmlformats.org/markup-compatibility/2006">
          <mc:Choice Requires="x14">
            <control shapeId="4101" r:id="rId5" name="Check Box 5">
              <controlPr locked="0" defaultSize="0" autoFill="0" autoLine="0" autoPict="0">
                <anchor moveWithCells="1">
                  <from>
                    <xdr:col>9</xdr:col>
                    <xdr:colOff>31750</xdr:colOff>
                    <xdr:row>7</xdr:row>
                    <xdr:rowOff>12700</xdr:rowOff>
                  </from>
                  <to>
                    <xdr:col>10</xdr:col>
                    <xdr:colOff>107950</xdr:colOff>
                    <xdr:row>8</xdr:row>
                    <xdr:rowOff>12700</xdr:rowOff>
                  </to>
                </anchor>
              </controlPr>
            </control>
          </mc:Choice>
        </mc:AlternateContent>
        <mc:AlternateContent xmlns:mc="http://schemas.openxmlformats.org/markup-compatibility/2006">
          <mc:Choice Requires="x14">
            <control shapeId="4102" r:id="rId6" name="Check Box 6">
              <controlPr locked="0" defaultSize="0" autoFill="0" autoLine="0" autoPict="0">
                <anchor moveWithCells="1">
                  <from>
                    <xdr:col>9</xdr:col>
                    <xdr:colOff>31750</xdr:colOff>
                    <xdr:row>7</xdr:row>
                    <xdr:rowOff>222250</xdr:rowOff>
                  </from>
                  <to>
                    <xdr:col>10</xdr:col>
                    <xdr:colOff>107950</xdr:colOff>
                    <xdr:row>8</xdr:row>
                    <xdr:rowOff>222250</xdr:rowOff>
                  </to>
                </anchor>
              </controlPr>
            </control>
          </mc:Choice>
        </mc:AlternateContent>
        <mc:AlternateContent xmlns:mc="http://schemas.openxmlformats.org/markup-compatibility/2006">
          <mc:Choice Requires="x14">
            <control shapeId="4103" r:id="rId7" name="Check Box 7">
              <controlPr locked="0" defaultSize="0" autoFill="0" autoLine="0" autoPict="0">
                <anchor moveWithCells="1">
                  <from>
                    <xdr:col>9</xdr:col>
                    <xdr:colOff>31750</xdr:colOff>
                    <xdr:row>9</xdr:row>
                    <xdr:rowOff>12700</xdr:rowOff>
                  </from>
                  <to>
                    <xdr:col>10</xdr:col>
                    <xdr:colOff>107950</xdr:colOff>
                    <xdr:row>10</xdr:row>
                    <xdr:rowOff>12700</xdr:rowOff>
                  </to>
                </anchor>
              </controlPr>
            </control>
          </mc:Choice>
        </mc:AlternateContent>
        <mc:AlternateContent xmlns:mc="http://schemas.openxmlformats.org/markup-compatibility/2006">
          <mc:Choice Requires="x14">
            <control shapeId="4104" r:id="rId8" name="Check Box 8">
              <controlPr locked="0" defaultSize="0" autoFill="0" autoLine="0" autoPict="0">
                <anchor moveWithCells="1">
                  <from>
                    <xdr:col>9</xdr:col>
                    <xdr:colOff>31750</xdr:colOff>
                    <xdr:row>9</xdr:row>
                    <xdr:rowOff>222250</xdr:rowOff>
                  </from>
                  <to>
                    <xdr:col>10</xdr:col>
                    <xdr:colOff>107950</xdr:colOff>
                    <xdr:row>10</xdr:row>
                    <xdr:rowOff>222250</xdr:rowOff>
                  </to>
                </anchor>
              </controlPr>
            </control>
          </mc:Choice>
        </mc:AlternateContent>
        <mc:AlternateContent xmlns:mc="http://schemas.openxmlformats.org/markup-compatibility/2006">
          <mc:Choice Requires="x14">
            <control shapeId="4105" r:id="rId9" name="Check Box 9">
              <controlPr locked="0" defaultSize="0" autoFill="0" autoLine="0" autoPict="0">
                <anchor moveWithCells="1">
                  <from>
                    <xdr:col>9</xdr:col>
                    <xdr:colOff>31750</xdr:colOff>
                    <xdr:row>10</xdr:row>
                    <xdr:rowOff>203200</xdr:rowOff>
                  </from>
                  <to>
                    <xdr:col>10</xdr:col>
                    <xdr:colOff>107950</xdr:colOff>
                    <xdr:row>11</xdr:row>
                    <xdr:rowOff>203200</xdr:rowOff>
                  </to>
                </anchor>
              </controlPr>
            </control>
          </mc:Choice>
        </mc:AlternateContent>
        <mc:AlternateContent xmlns:mc="http://schemas.openxmlformats.org/markup-compatibility/2006">
          <mc:Choice Requires="x14">
            <control shapeId="4106" r:id="rId10" name="Check Box 10">
              <controlPr locked="0" defaultSize="0" autoFill="0" autoLine="0" autoPict="0">
                <anchor moveWithCells="1">
                  <from>
                    <xdr:col>9</xdr:col>
                    <xdr:colOff>31750</xdr:colOff>
                    <xdr:row>11</xdr:row>
                    <xdr:rowOff>222250</xdr:rowOff>
                  </from>
                  <to>
                    <xdr:col>10</xdr:col>
                    <xdr:colOff>107950</xdr:colOff>
                    <xdr:row>12</xdr:row>
                    <xdr:rowOff>222250</xdr:rowOff>
                  </to>
                </anchor>
              </controlPr>
            </control>
          </mc:Choice>
        </mc:AlternateContent>
        <mc:AlternateContent xmlns:mc="http://schemas.openxmlformats.org/markup-compatibility/2006">
          <mc:Choice Requires="x14">
            <control shapeId="4107" r:id="rId11" name="Check Box 11">
              <controlPr locked="0" defaultSize="0" autoFill="0" autoLine="0" autoPict="0">
                <anchor moveWithCells="1">
                  <from>
                    <xdr:col>9</xdr:col>
                    <xdr:colOff>31750</xdr:colOff>
                    <xdr:row>12</xdr:row>
                    <xdr:rowOff>222250</xdr:rowOff>
                  </from>
                  <to>
                    <xdr:col>10</xdr:col>
                    <xdr:colOff>107950</xdr:colOff>
                    <xdr:row>13</xdr:row>
                    <xdr:rowOff>222250</xdr:rowOff>
                  </to>
                </anchor>
              </controlPr>
            </control>
          </mc:Choice>
        </mc:AlternateContent>
        <mc:AlternateContent xmlns:mc="http://schemas.openxmlformats.org/markup-compatibility/2006">
          <mc:Choice Requires="x14">
            <control shapeId="4108" r:id="rId12" name="Check Box 12">
              <controlPr locked="0" defaultSize="0" autoFill="0" autoLine="0" autoPict="0">
                <anchor moveWithCells="1">
                  <from>
                    <xdr:col>9</xdr:col>
                    <xdr:colOff>31750</xdr:colOff>
                    <xdr:row>13</xdr:row>
                    <xdr:rowOff>203200</xdr:rowOff>
                  </from>
                  <to>
                    <xdr:col>10</xdr:col>
                    <xdr:colOff>107950</xdr:colOff>
                    <xdr:row>14</xdr:row>
                    <xdr:rowOff>203200</xdr:rowOff>
                  </to>
                </anchor>
              </controlPr>
            </control>
          </mc:Choice>
        </mc:AlternateContent>
        <mc:AlternateContent xmlns:mc="http://schemas.openxmlformats.org/markup-compatibility/2006">
          <mc:Choice Requires="x14">
            <control shapeId="4109" r:id="rId13" name="Check Box 13">
              <controlPr locked="0" defaultSize="0" autoFill="0" autoLine="0" autoPict="0">
                <anchor moveWithCells="1">
                  <from>
                    <xdr:col>9</xdr:col>
                    <xdr:colOff>31750</xdr:colOff>
                    <xdr:row>14</xdr:row>
                    <xdr:rowOff>222250</xdr:rowOff>
                  </from>
                  <to>
                    <xdr:col>10</xdr:col>
                    <xdr:colOff>107950</xdr:colOff>
                    <xdr:row>15</xdr:row>
                    <xdr:rowOff>222250</xdr:rowOff>
                  </to>
                </anchor>
              </controlPr>
            </control>
          </mc:Choice>
        </mc:AlternateContent>
        <mc:AlternateContent xmlns:mc="http://schemas.openxmlformats.org/markup-compatibility/2006">
          <mc:Choice Requires="x14">
            <control shapeId="4110" r:id="rId14" name="Check Box 14">
              <controlPr locked="0" defaultSize="0" autoFill="0" autoLine="0" autoPict="0">
                <anchor moveWithCells="1">
                  <from>
                    <xdr:col>9</xdr:col>
                    <xdr:colOff>31750</xdr:colOff>
                    <xdr:row>15</xdr:row>
                    <xdr:rowOff>222250</xdr:rowOff>
                  </from>
                  <to>
                    <xdr:col>10</xdr:col>
                    <xdr:colOff>107950</xdr:colOff>
                    <xdr:row>16</xdr:row>
                    <xdr:rowOff>222250</xdr:rowOff>
                  </to>
                </anchor>
              </controlPr>
            </control>
          </mc:Choice>
        </mc:AlternateContent>
        <mc:AlternateContent xmlns:mc="http://schemas.openxmlformats.org/markup-compatibility/2006">
          <mc:Choice Requires="x14">
            <control shapeId="4111" r:id="rId15" name="Check Box 15">
              <controlPr locked="0" defaultSize="0" autoFill="0" autoLine="0" autoPict="0">
                <anchor moveWithCells="1">
                  <from>
                    <xdr:col>9</xdr:col>
                    <xdr:colOff>31750</xdr:colOff>
                    <xdr:row>16</xdr:row>
                    <xdr:rowOff>222250</xdr:rowOff>
                  </from>
                  <to>
                    <xdr:col>10</xdr:col>
                    <xdr:colOff>107950</xdr:colOff>
                    <xdr:row>17</xdr:row>
                    <xdr:rowOff>222250</xdr:rowOff>
                  </to>
                </anchor>
              </controlPr>
            </control>
          </mc:Choice>
        </mc:AlternateContent>
        <mc:AlternateContent xmlns:mc="http://schemas.openxmlformats.org/markup-compatibility/2006">
          <mc:Choice Requires="x14">
            <control shapeId="4112" r:id="rId16" name="Check Box 16">
              <controlPr locked="0" defaultSize="0" autoFill="0" autoLine="0" autoPict="0">
                <anchor moveWithCells="1">
                  <from>
                    <xdr:col>9</xdr:col>
                    <xdr:colOff>31750</xdr:colOff>
                    <xdr:row>17</xdr:row>
                    <xdr:rowOff>222250</xdr:rowOff>
                  </from>
                  <to>
                    <xdr:col>10</xdr:col>
                    <xdr:colOff>107950</xdr:colOff>
                    <xdr:row>18</xdr:row>
                    <xdr:rowOff>222250</xdr:rowOff>
                  </to>
                </anchor>
              </controlPr>
            </control>
          </mc:Choice>
        </mc:AlternateContent>
        <mc:AlternateContent xmlns:mc="http://schemas.openxmlformats.org/markup-compatibility/2006">
          <mc:Choice Requires="x14">
            <control shapeId="4113" r:id="rId17" name="Check Box 17">
              <controlPr locked="0" defaultSize="0" autoFill="0" autoLine="0" autoPict="0">
                <anchor moveWithCells="1">
                  <from>
                    <xdr:col>9</xdr:col>
                    <xdr:colOff>31750</xdr:colOff>
                    <xdr:row>18</xdr:row>
                    <xdr:rowOff>222250</xdr:rowOff>
                  </from>
                  <to>
                    <xdr:col>10</xdr:col>
                    <xdr:colOff>107950</xdr:colOff>
                    <xdr:row>19</xdr:row>
                    <xdr:rowOff>222250</xdr:rowOff>
                  </to>
                </anchor>
              </controlPr>
            </control>
          </mc:Choice>
        </mc:AlternateContent>
        <mc:AlternateContent xmlns:mc="http://schemas.openxmlformats.org/markup-compatibility/2006">
          <mc:Choice Requires="x14">
            <control shapeId="4114" r:id="rId18" name="Check Box 18">
              <controlPr locked="0" defaultSize="0" autoFill="0" autoLine="0" autoPict="0">
                <anchor moveWithCells="1">
                  <from>
                    <xdr:col>9</xdr:col>
                    <xdr:colOff>31750</xdr:colOff>
                    <xdr:row>19</xdr:row>
                    <xdr:rowOff>222250</xdr:rowOff>
                  </from>
                  <to>
                    <xdr:col>10</xdr:col>
                    <xdr:colOff>107950</xdr:colOff>
                    <xdr:row>20</xdr:row>
                    <xdr:rowOff>222250</xdr:rowOff>
                  </to>
                </anchor>
              </controlPr>
            </control>
          </mc:Choice>
        </mc:AlternateContent>
        <mc:AlternateContent xmlns:mc="http://schemas.openxmlformats.org/markup-compatibility/2006">
          <mc:Choice Requires="x14">
            <control shapeId="4115" r:id="rId19" name="Check Box 19">
              <controlPr locked="0" defaultSize="0" autoFill="0" autoLine="0" autoPict="0">
                <anchor moveWithCells="1">
                  <from>
                    <xdr:col>9</xdr:col>
                    <xdr:colOff>31750</xdr:colOff>
                    <xdr:row>20</xdr:row>
                    <xdr:rowOff>222250</xdr:rowOff>
                  </from>
                  <to>
                    <xdr:col>10</xdr:col>
                    <xdr:colOff>107950</xdr:colOff>
                    <xdr:row>21</xdr:row>
                    <xdr:rowOff>222250</xdr:rowOff>
                  </to>
                </anchor>
              </controlPr>
            </control>
          </mc:Choice>
        </mc:AlternateContent>
        <mc:AlternateContent xmlns:mc="http://schemas.openxmlformats.org/markup-compatibility/2006">
          <mc:Choice Requires="x14">
            <control shapeId="4116" r:id="rId20" name="Check Box 20">
              <controlPr locked="0" defaultSize="0" autoFill="0" autoLine="0" autoPict="0">
                <anchor moveWithCells="1">
                  <from>
                    <xdr:col>9</xdr:col>
                    <xdr:colOff>31750</xdr:colOff>
                    <xdr:row>21</xdr:row>
                    <xdr:rowOff>222250</xdr:rowOff>
                  </from>
                  <to>
                    <xdr:col>10</xdr:col>
                    <xdr:colOff>107950</xdr:colOff>
                    <xdr:row>22</xdr:row>
                    <xdr:rowOff>222250</xdr:rowOff>
                  </to>
                </anchor>
              </controlPr>
            </control>
          </mc:Choice>
        </mc:AlternateContent>
        <mc:AlternateContent xmlns:mc="http://schemas.openxmlformats.org/markup-compatibility/2006">
          <mc:Choice Requires="x14">
            <control shapeId="4117" r:id="rId21" name="Check Box 21">
              <controlPr locked="0" defaultSize="0" autoFill="0" autoLine="0" autoPict="0">
                <anchor moveWithCells="1">
                  <from>
                    <xdr:col>9</xdr:col>
                    <xdr:colOff>31750</xdr:colOff>
                    <xdr:row>22</xdr:row>
                    <xdr:rowOff>222250</xdr:rowOff>
                  </from>
                  <to>
                    <xdr:col>10</xdr:col>
                    <xdr:colOff>107950</xdr:colOff>
                    <xdr:row>23</xdr:row>
                    <xdr:rowOff>222250</xdr:rowOff>
                  </to>
                </anchor>
              </controlPr>
            </control>
          </mc:Choice>
        </mc:AlternateContent>
        <mc:AlternateContent xmlns:mc="http://schemas.openxmlformats.org/markup-compatibility/2006">
          <mc:Choice Requires="x14">
            <control shapeId="4118" r:id="rId22" name="Check Box 22">
              <controlPr locked="0" defaultSize="0" autoFill="0" autoLine="0" autoPict="0">
                <anchor moveWithCells="1">
                  <from>
                    <xdr:col>15</xdr:col>
                    <xdr:colOff>31750</xdr:colOff>
                    <xdr:row>5</xdr:row>
                    <xdr:rowOff>266700</xdr:rowOff>
                  </from>
                  <to>
                    <xdr:col>16</xdr:col>
                    <xdr:colOff>107950</xdr:colOff>
                    <xdr:row>6</xdr:row>
                    <xdr:rowOff>222250</xdr:rowOff>
                  </to>
                </anchor>
              </controlPr>
            </control>
          </mc:Choice>
        </mc:AlternateContent>
        <mc:AlternateContent xmlns:mc="http://schemas.openxmlformats.org/markup-compatibility/2006">
          <mc:Choice Requires="x14">
            <control shapeId="4119" r:id="rId23" name="Check Box 23">
              <controlPr locked="0" defaultSize="0" autoFill="0" autoLine="0" autoPict="0">
                <anchor moveWithCells="1">
                  <from>
                    <xdr:col>15</xdr:col>
                    <xdr:colOff>31750</xdr:colOff>
                    <xdr:row>7</xdr:row>
                    <xdr:rowOff>0</xdr:rowOff>
                  </from>
                  <to>
                    <xdr:col>16</xdr:col>
                    <xdr:colOff>107950</xdr:colOff>
                    <xdr:row>8</xdr:row>
                    <xdr:rowOff>0</xdr:rowOff>
                  </to>
                </anchor>
              </controlPr>
            </control>
          </mc:Choice>
        </mc:AlternateContent>
        <mc:AlternateContent xmlns:mc="http://schemas.openxmlformats.org/markup-compatibility/2006">
          <mc:Choice Requires="x14">
            <control shapeId="4120" r:id="rId24" name="Check Box 24">
              <controlPr locked="0" defaultSize="0" autoFill="0" autoLine="0" autoPict="0">
                <anchor moveWithCells="1">
                  <from>
                    <xdr:col>15</xdr:col>
                    <xdr:colOff>31750</xdr:colOff>
                    <xdr:row>9</xdr:row>
                    <xdr:rowOff>0</xdr:rowOff>
                  </from>
                  <to>
                    <xdr:col>16</xdr:col>
                    <xdr:colOff>107950</xdr:colOff>
                    <xdr:row>10</xdr:row>
                    <xdr:rowOff>0</xdr:rowOff>
                  </to>
                </anchor>
              </controlPr>
            </control>
          </mc:Choice>
        </mc:AlternateContent>
        <mc:AlternateContent xmlns:mc="http://schemas.openxmlformats.org/markup-compatibility/2006">
          <mc:Choice Requires="x14">
            <control shapeId="4121" r:id="rId25" name="Check Box 25">
              <controlPr locked="0" defaultSize="0" autoFill="0" autoLine="0" autoPict="0">
                <anchor moveWithCells="1">
                  <from>
                    <xdr:col>15</xdr:col>
                    <xdr:colOff>31750</xdr:colOff>
                    <xdr:row>10</xdr:row>
                    <xdr:rowOff>0</xdr:rowOff>
                  </from>
                  <to>
                    <xdr:col>16</xdr:col>
                    <xdr:colOff>107950</xdr:colOff>
                    <xdr:row>11</xdr:row>
                    <xdr:rowOff>0</xdr:rowOff>
                  </to>
                </anchor>
              </controlPr>
            </control>
          </mc:Choice>
        </mc:AlternateContent>
        <mc:AlternateContent xmlns:mc="http://schemas.openxmlformats.org/markup-compatibility/2006">
          <mc:Choice Requires="x14">
            <control shapeId="4122" r:id="rId26" name="Check Box 26">
              <controlPr locked="0" defaultSize="0" autoFill="0" autoLine="0" autoPict="0">
                <anchor moveWithCells="1">
                  <from>
                    <xdr:col>15</xdr:col>
                    <xdr:colOff>31750</xdr:colOff>
                    <xdr:row>12</xdr:row>
                    <xdr:rowOff>0</xdr:rowOff>
                  </from>
                  <to>
                    <xdr:col>16</xdr:col>
                    <xdr:colOff>107950</xdr:colOff>
                    <xdr:row>13</xdr:row>
                    <xdr:rowOff>0</xdr:rowOff>
                  </to>
                </anchor>
              </controlPr>
            </control>
          </mc:Choice>
        </mc:AlternateContent>
        <mc:AlternateContent xmlns:mc="http://schemas.openxmlformats.org/markup-compatibility/2006">
          <mc:Choice Requires="x14">
            <control shapeId="4123" r:id="rId27" name="Check Box 27">
              <controlPr locked="0" defaultSize="0" autoFill="0" autoLine="0" autoPict="0">
                <anchor moveWithCells="1">
                  <from>
                    <xdr:col>15</xdr:col>
                    <xdr:colOff>31750</xdr:colOff>
                    <xdr:row>13</xdr:row>
                    <xdr:rowOff>0</xdr:rowOff>
                  </from>
                  <to>
                    <xdr:col>16</xdr:col>
                    <xdr:colOff>107950</xdr:colOff>
                    <xdr:row>14</xdr:row>
                    <xdr:rowOff>0</xdr:rowOff>
                  </to>
                </anchor>
              </controlPr>
            </control>
          </mc:Choice>
        </mc:AlternateContent>
        <mc:AlternateContent xmlns:mc="http://schemas.openxmlformats.org/markup-compatibility/2006">
          <mc:Choice Requires="x14">
            <control shapeId="4124" r:id="rId28" name="Check Box 28">
              <controlPr locked="0" defaultSize="0" autoFill="0" autoLine="0" autoPict="0">
                <anchor moveWithCells="1">
                  <from>
                    <xdr:col>15</xdr:col>
                    <xdr:colOff>31750</xdr:colOff>
                    <xdr:row>15</xdr:row>
                    <xdr:rowOff>0</xdr:rowOff>
                  </from>
                  <to>
                    <xdr:col>16</xdr:col>
                    <xdr:colOff>107950</xdr:colOff>
                    <xdr:row>16</xdr:row>
                    <xdr:rowOff>0</xdr:rowOff>
                  </to>
                </anchor>
              </controlPr>
            </control>
          </mc:Choice>
        </mc:AlternateContent>
        <mc:AlternateContent xmlns:mc="http://schemas.openxmlformats.org/markup-compatibility/2006">
          <mc:Choice Requires="x14">
            <control shapeId="4125" r:id="rId29" name="Check Box 29">
              <controlPr locked="0" defaultSize="0" autoFill="0" autoLine="0" autoPict="0">
                <anchor moveWithCells="1">
                  <from>
                    <xdr:col>15</xdr:col>
                    <xdr:colOff>31750</xdr:colOff>
                    <xdr:row>16</xdr:row>
                    <xdr:rowOff>0</xdr:rowOff>
                  </from>
                  <to>
                    <xdr:col>16</xdr:col>
                    <xdr:colOff>107950</xdr:colOff>
                    <xdr:row>17</xdr:row>
                    <xdr:rowOff>0</xdr:rowOff>
                  </to>
                </anchor>
              </controlPr>
            </control>
          </mc:Choice>
        </mc:AlternateContent>
        <mc:AlternateContent xmlns:mc="http://schemas.openxmlformats.org/markup-compatibility/2006">
          <mc:Choice Requires="x14">
            <control shapeId="4126" r:id="rId30" name="Check Box 30">
              <controlPr locked="0" defaultSize="0" autoFill="0" autoLine="0" autoPict="0">
                <anchor moveWithCells="1">
                  <from>
                    <xdr:col>15</xdr:col>
                    <xdr:colOff>31750</xdr:colOff>
                    <xdr:row>18</xdr:row>
                    <xdr:rowOff>0</xdr:rowOff>
                  </from>
                  <to>
                    <xdr:col>16</xdr:col>
                    <xdr:colOff>107950</xdr:colOff>
                    <xdr:row>19</xdr:row>
                    <xdr:rowOff>0</xdr:rowOff>
                  </to>
                </anchor>
              </controlPr>
            </control>
          </mc:Choice>
        </mc:AlternateContent>
        <mc:AlternateContent xmlns:mc="http://schemas.openxmlformats.org/markup-compatibility/2006">
          <mc:Choice Requires="x14">
            <control shapeId="4127" r:id="rId31" name="Check Box 31">
              <controlPr locked="0" defaultSize="0" autoFill="0" autoLine="0" autoPict="0">
                <anchor moveWithCells="1">
                  <from>
                    <xdr:col>15</xdr:col>
                    <xdr:colOff>31750</xdr:colOff>
                    <xdr:row>19</xdr:row>
                    <xdr:rowOff>0</xdr:rowOff>
                  </from>
                  <to>
                    <xdr:col>16</xdr:col>
                    <xdr:colOff>107950</xdr:colOff>
                    <xdr:row>20</xdr:row>
                    <xdr:rowOff>0</xdr:rowOff>
                  </to>
                </anchor>
              </controlPr>
            </control>
          </mc:Choice>
        </mc:AlternateContent>
        <mc:AlternateContent xmlns:mc="http://schemas.openxmlformats.org/markup-compatibility/2006">
          <mc:Choice Requires="x14">
            <control shapeId="4128" r:id="rId32" name="Check Box 32">
              <controlPr locked="0" defaultSize="0" autoFill="0" autoLine="0" autoPict="0">
                <anchor moveWithCells="1">
                  <from>
                    <xdr:col>15</xdr:col>
                    <xdr:colOff>31750</xdr:colOff>
                    <xdr:row>21</xdr:row>
                    <xdr:rowOff>0</xdr:rowOff>
                  </from>
                  <to>
                    <xdr:col>16</xdr:col>
                    <xdr:colOff>107950</xdr:colOff>
                    <xdr:row>22</xdr:row>
                    <xdr:rowOff>0</xdr:rowOff>
                  </to>
                </anchor>
              </controlPr>
            </control>
          </mc:Choice>
        </mc:AlternateContent>
        <mc:AlternateContent xmlns:mc="http://schemas.openxmlformats.org/markup-compatibility/2006">
          <mc:Choice Requires="x14">
            <control shapeId="4129" r:id="rId33" name="Check Box 33">
              <controlPr locked="0" defaultSize="0" autoFill="0" autoLine="0" autoPict="0">
                <anchor moveWithCells="1">
                  <from>
                    <xdr:col>15</xdr:col>
                    <xdr:colOff>31750</xdr:colOff>
                    <xdr:row>22</xdr:row>
                    <xdr:rowOff>0</xdr:rowOff>
                  </from>
                  <to>
                    <xdr:col>16</xdr:col>
                    <xdr:colOff>107950</xdr:colOff>
                    <xdr:row>23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600-000001000000}">
          <x14:formula1>
            <xm:f>Dropdowns!$D$12:$D$20</xm:f>
          </x14:formula1>
          <xm:sqref>B7:I24</xm:sqref>
        </x14:dataValidation>
        <x14:dataValidation type="list" allowBlank="1" showInputMessage="1" showErrorMessage="1" errorTitle="GESP SY 2022-2023" error="Please select on the list provided." xr:uid="{00000000-0002-0000-1600-000002000000}">
          <x14:formula1>
            <xm:f>Dropdowns!$G$12:$G$16</xm:f>
          </x14:formula1>
          <xm:sqref>U7:AB24</xm:sqref>
        </x14:dataValidation>
        <x14:dataValidation type="list" allowBlank="1" showInputMessage="1" showErrorMessage="1" errorTitle="GESP SY 2022-2023" error="Please select on the list provided." xr:uid="{00000000-0002-0000-1600-000003000000}">
          <x14:formula1>
            <xm:f>Dropdowns!$G$1:$G$9</xm:f>
          </x14:formula1>
          <xm:sqref>AK7:AR24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BH34"/>
  <sheetViews>
    <sheetView showGridLines="0" zoomScaleNormal="100" workbookViewId="0">
      <selection activeCell="AH8" sqref="AH8:AO8"/>
    </sheetView>
  </sheetViews>
  <sheetFormatPr defaultColWidth="8" defaultRowHeight="14"/>
  <cols>
    <col min="1" max="1" width="2.08203125" style="681" customWidth="1"/>
    <col min="2" max="33" width="3.58203125" style="681" customWidth="1"/>
    <col min="34" max="41" width="5.08203125" style="681" customWidth="1"/>
    <col min="42" max="42" width="2.08203125" style="681" customWidth="1"/>
    <col min="43" max="44" width="3.58203125" style="681" customWidth="1"/>
    <col min="45" max="45" width="2.08203125" style="681" customWidth="1"/>
    <col min="46" max="51" width="3.58203125" style="681" customWidth="1"/>
    <col min="52" max="16384" width="8" style="681"/>
  </cols>
  <sheetData>
    <row r="1" spans="1:55" ht="12" customHeight="1"/>
    <row r="2" spans="1:55" s="755" customFormat="1" ht="16.5">
      <c r="B2" s="756" t="s">
        <v>11776</v>
      </c>
      <c r="C2" s="757"/>
      <c r="D2" s="757"/>
      <c r="E2" s="757"/>
      <c r="F2" s="757"/>
    </row>
    <row r="3" spans="1:55" s="568" customFormat="1" ht="16" thickBot="1">
      <c r="B3" s="582" t="s">
        <v>903</v>
      </c>
    </row>
    <row r="4" spans="1:55" s="225" customFormat="1" ht="23.15" customHeight="1">
      <c r="A4" s="237"/>
      <c r="B4" s="2902" t="s">
        <v>1369</v>
      </c>
      <c r="C4" s="2903"/>
      <c r="D4" s="2903"/>
      <c r="E4" s="2903"/>
      <c r="F4" s="2903"/>
      <c r="G4" s="2903"/>
      <c r="H4" s="2903"/>
      <c r="I4" s="2904"/>
      <c r="J4" s="2903" t="s">
        <v>1370</v>
      </c>
      <c r="K4" s="2905"/>
      <c r="L4" s="2905"/>
      <c r="M4" s="2905"/>
      <c r="N4" s="2905"/>
      <c r="O4" s="2905"/>
      <c r="P4" s="2905"/>
      <c r="Q4" s="2906"/>
      <c r="R4" s="2907" t="s">
        <v>1120</v>
      </c>
      <c r="S4" s="2905"/>
      <c r="T4" s="2905"/>
      <c r="U4" s="2905"/>
      <c r="V4" s="2905"/>
      <c r="W4" s="2905"/>
      <c r="X4" s="2905"/>
      <c r="Y4" s="2906"/>
      <c r="Z4" s="2907" t="s">
        <v>94</v>
      </c>
      <c r="AA4" s="2905"/>
      <c r="AB4" s="2905"/>
      <c r="AC4" s="2905"/>
      <c r="AD4" s="2905"/>
      <c r="AE4" s="2905"/>
      <c r="AF4" s="2905"/>
      <c r="AG4" s="2905"/>
      <c r="AH4" s="2907" t="s">
        <v>1371</v>
      </c>
      <c r="AI4" s="2905"/>
      <c r="AJ4" s="2905"/>
      <c r="AK4" s="2905"/>
      <c r="AL4" s="2905"/>
      <c r="AM4" s="2905"/>
      <c r="AN4" s="2905"/>
      <c r="AO4" s="2908"/>
      <c r="AP4" s="237"/>
      <c r="AQ4" s="237"/>
      <c r="AR4" s="237"/>
      <c r="AS4" s="237"/>
      <c r="AT4" s="237"/>
      <c r="AU4" s="237"/>
      <c r="AV4" s="237"/>
      <c r="AW4" s="237"/>
      <c r="AX4" s="237"/>
      <c r="AY4" s="237"/>
      <c r="AZ4" s="237"/>
      <c r="BA4" s="237"/>
      <c r="BB4" s="237"/>
      <c r="BC4" s="237"/>
    </row>
    <row r="5" spans="1:55" s="508" customFormat="1" ht="27" customHeight="1">
      <c r="B5" s="2909" t="s">
        <v>1468</v>
      </c>
      <c r="C5" s="2910"/>
      <c r="D5" s="2910"/>
      <c r="E5" s="2910"/>
      <c r="F5" s="2910"/>
      <c r="G5" s="2910"/>
      <c r="H5" s="2910"/>
      <c r="I5" s="2911"/>
      <c r="J5" s="2915"/>
      <c r="K5" s="2916"/>
      <c r="L5" s="2916"/>
      <c r="M5" s="2916"/>
      <c r="N5" s="2916"/>
      <c r="O5" s="2916"/>
      <c r="P5" s="2916"/>
      <c r="Q5" s="2917"/>
      <c r="R5" s="2920" t="s">
        <v>1456</v>
      </c>
      <c r="S5" s="2916"/>
      <c r="T5" s="2916"/>
      <c r="U5" s="2916"/>
      <c r="V5" s="2916"/>
      <c r="W5" s="2916"/>
      <c r="X5" s="2916"/>
      <c r="Y5" s="2917"/>
      <c r="Z5" s="2922" t="s">
        <v>1457</v>
      </c>
      <c r="AA5" s="2923"/>
      <c r="AB5" s="2923"/>
      <c r="AC5" s="2923"/>
      <c r="AD5" s="2923"/>
      <c r="AE5" s="2923"/>
      <c r="AF5" s="2923"/>
      <c r="AG5" s="2923"/>
      <c r="AH5" s="2922" t="s">
        <v>1428</v>
      </c>
      <c r="AI5" s="2926"/>
      <c r="AJ5" s="2926"/>
      <c r="AK5" s="2926"/>
      <c r="AL5" s="2926"/>
      <c r="AM5" s="2926"/>
      <c r="AN5" s="2926"/>
      <c r="AO5" s="2927"/>
    </row>
    <row r="6" spans="1:55" s="508" customFormat="1" ht="27" customHeight="1" thickBot="1">
      <c r="B6" s="2912"/>
      <c r="C6" s="2913"/>
      <c r="D6" s="2913"/>
      <c r="E6" s="2913"/>
      <c r="F6" s="2913"/>
      <c r="G6" s="2913"/>
      <c r="H6" s="2913"/>
      <c r="I6" s="2914"/>
      <c r="J6" s="2918"/>
      <c r="K6" s="2918"/>
      <c r="L6" s="2918"/>
      <c r="M6" s="2918"/>
      <c r="N6" s="2918"/>
      <c r="O6" s="2918"/>
      <c r="P6" s="2918"/>
      <c r="Q6" s="2919"/>
      <c r="R6" s="2921"/>
      <c r="S6" s="2918"/>
      <c r="T6" s="2918"/>
      <c r="U6" s="2918"/>
      <c r="V6" s="2918"/>
      <c r="W6" s="2918"/>
      <c r="X6" s="2918"/>
      <c r="Y6" s="2919"/>
      <c r="Z6" s="2924"/>
      <c r="AA6" s="2925"/>
      <c r="AB6" s="2925"/>
      <c r="AC6" s="2925"/>
      <c r="AD6" s="2925"/>
      <c r="AE6" s="2925"/>
      <c r="AF6" s="2925"/>
      <c r="AG6" s="2925"/>
      <c r="AH6" s="2928"/>
      <c r="AI6" s="2929"/>
      <c r="AJ6" s="2929"/>
      <c r="AK6" s="2929"/>
      <c r="AL6" s="2929"/>
      <c r="AM6" s="2929"/>
      <c r="AN6" s="2929"/>
      <c r="AO6" s="2930"/>
    </row>
    <row r="7" spans="1:55" s="225" customFormat="1" ht="20.149999999999999" customHeight="1">
      <c r="B7" s="2893" t="s">
        <v>5238</v>
      </c>
      <c r="C7" s="2894"/>
      <c r="D7" s="2894"/>
      <c r="E7" s="2894"/>
      <c r="F7" s="2894"/>
      <c r="G7" s="2894"/>
      <c r="H7" s="2894"/>
      <c r="I7" s="2895"/>
      <c r="J7" s="2896" t="s">
        <v>11891</v>
      </c>
      <c r="K7" s="2894"/>
      <c r="L7" s="2894"/>
      <c r="M7" s="2894"/>
      <c r="N7" s="2894"/>
      <c r="O7" s="2894"/>
      <c r="P7" s="2894"/>
      <c r="Q7" s="2895"/>
      <c r="R7" s="2897">
        <v>300</v>
      </c>
      <c r="S7" s="2898"/>
      <c r="T7" s="2898"/>
      <c r="U7" s="2898"/>
      <c r="V7" s="2898"/>
      <c r="W7" s="2898"/>
      <c r="X7" s="2898"/>
      <c r="Y7" s="2899"/>
      <c r="Z7" s="2900" t="s">
        <v>244</v>
      </c>
      <c r="AA7" s="2894"/>
      <c r="AB7" s="2894"/>
      <c r="AC7" s="2894"/>
      <c r="AD7" s="2894"/>
      <c r="AE7" s="2894"/>
      <c r="AF7" s="2894"/>
      <c r="AG7" s="2894"/>
      <c r="AH7" s="2900" t="s">
        <v>1118</v>
      </c>
      <c r="AI7" s="2894"/>
      <c r="AJ7" s="2894"/>
      <c r="AK7" s="2894"/>
      <c r="AL7" s="2894"/>
      <c r="AM7" s="2894"/>
      <c r="AN7" s="2894"/>
      <c r="AO7" s="2901"/>
    </row>
    <row r="8" spans="1:55" s="225" customFormat="1" ht="20.149999999999999" customHeight="1">
      <c r="B8" s="2875" t="s">
        <v>5238</v>
      </c>
      <c r="C8" s="2876"/>
      <c r="D8" s="2876"/>
      <c r="E8" s="2876"/>
      <c r="F8" s="2876"/>
      <c r="G8" s="2876"/>
      <c r="H8" s="2876"/>
      <c r="I8" s="2877"/>
      <c r="J8" s="2878" t="s">
        <v>11891</v>
      </c>
      <c r="K8" s="2876"/>
      <c r="L8" s="2876"/>
      <c r="M8" s="2876"/>
      <c r="N8" s="2876"/>
      <c r="O8" s="2876"/>
      <c r="P8" s="2876"/>
      <c r="Q8" s="2877"/>
      <c r="R8" s="2879">
        <v>1000</v>
      </c>
      <c r="S8" s="2880"/>
      <c r="T8" s="2880"/>
      <c r="U8" s="2880"/>
      <c r="V8" s="2880"/>
      <c r="W8" s="2880"/>
      <c r="X8" s="2880"/>
      <c r="Y8" s="2881"/>
      <c r="Z8" s="2882" t="s">
        <v>244</v>
      </c>
      <c r="AA8" s="2876"/>
      <c r="AB8" s="2876"/>
      <c r="AC8" s="2876"/>
      <c r="AD8" s="2876"/>
      <c r="AE8" s="2876"/>
      <c r="AF8" s="2876"/>
      <c r="AG8" s="2876"/>
      <c r="AH8" s="2882" t="s">
        <v>5244</v>
      </c>
      <c r="AI8" s="2876"/>
      <c r="AJ8" s="2876"/>
      <c r="AK8" s="2876"/>
      <c r="AL8" s="2876"/>
      <c r="AM8" s="2876"/>
      <c r="AN8" s="2876"/>
      <c r="AO8" s="2883"/>
    </row>
    <row r="9" spans="1:55" s="225" customFormat="1" ht="20.149999999999999" customHeight="1">
      <c r="B9" s="2875"/>
      <c r="C9" s="2876"/>
      <c r="D9" s="2876"/>
      <c r="E9" s="2876"/>
      <c r="F9" s="2876"/>
      <c r="G9" s="2876"/>
      <c r="H9" s="2876"/>
      <c r="I9" s="2877"/>
      <c r="J9" s="2878"/>
      <c r="K9" s="2876"/>
      <c r="L9" s="2876"/>
      <c r="M9" s="2876"/>
      <c r="N9" s="2876"/>
      <c r="O9" s="2876"/>
      <c r="P9" s="2876"/>
      <c r="Q9" s="2877"/>
      <c r="R9" s="2879"/>
      <c r="S9" s="2880"/>
      <c r="T9" s="2880"/>
      <c r="U9" s="2880"/>
      <c r="V9" s="2880"/>
      <c r="W9" s="2880"/>
      <c r="X9" s="2880"/>
      <c r="Y9" s="2881"/>
      <c r="Z9" s="2882"/>
      <c r="AA9" s="2876"/>
      <c r="AB9" s="2876"/>
      <c r="AC9" s="2876"/>
      <c r="AD9" s="2876"/>
      <c r="AE9" s="2876"/>
      <c r="AF9" s="2876"/>
      <c r="AG9" s="2876"/>
      <c r="AH9" s="2882"/>
      <c r="AI9" s="2876"/>
      <c r="AJ9" s="2876"/>
      <c r="AK9" s="2876"/>
      <c r="AL9" s="2876"/>
      <c r="AM9" s="2876"/>
      <c r="AN9" s="2876"/>
      <c r="AO9" s="2883"/>
    </row>
    <row r="10" spans="1:55" s="225" customFormat="1" ht="20.149999999999999" customHeight="1">
      <c r="B10" s="2875"/>
      <c r="C10" s="2876"/>
      <c r="D10" s="2876"/>
      <c r="E10" s="2876"/>
      <c r="F10" s="2876"/>
      <c r="G10" s="2876"/>
      <c r="H10" s="2876"/>
      <c r="I10" s="2877"/>
      <c r="J10" s="2878"/>
      <c r="K10" s="2876"/>
      <c r="L10" s="2876"/>
      <c r="M10" s="2876"/>
      <c r="N10" s="2876"/>
      <c r="O10" s="2876"/>
      <c r="P10" s="2876"/>
      <c r="Q10" s="2877"/>
      <c r="R10" s="2879"/>
      <c r="S10" s="2880"/>
      <c r="T10" s="2880"/>
      <c r="U10" s="2880"/>
      <c r="V10" s="2880"/>
      <c r="W10" s="2880"/>
      <c r="X10" s="2880"/>
      <c r="Y10" s="2881"/>
      <c r="Z10" s="2882"/>
      <c r="AA10" s="2876"/>
      <c r="AB10" s="2876"/>
      <c r="AC10" s="2876"/>
      <c r="AD10" s="2876"/>
      <c r="AE10" s="2876"/>
      <c r="AF10" s="2876"/>
      <c r="AG10" s="2876"/>
      <c r="AH10" s="2882"/>
      <c r="AI10" s="2876"/>
      <c r="AJ10" s="2876"/>
      <c r="AK10" s="2876"/>
      <c r="AL10" s="2876"/>
      <c r="AM10" s="2876"/>
      <c r="AN10" s="2876"/>
      <c r="AO10" s="2883"/>
    </row>
    <row r="11" spans="1:55" s="225" customFormat="1" ht="20.149999999999999" customHeight="1">
      <c r="B11" s="2875"/>
      <c r="C11" s="2876"/>
      <c r="D11" s="2876"/>
      <c r="E11" s="2876"/>
      <c r="F11" s="2876"/>
      <c r="G11" s="2876"/>
      <c r="H11" s="2876"/>
      <c r="I11" s="2877"/>
      <c r="J11" s="2878"/>
      <c r="K11" s="2876"/>
      <c r="L11" s="2876"/>
      <c r="M11" s="2876"/>
      <c r="N11" s="2876"/>
      <c r="O11" s="2876"/>
      <c r="P11" s="2876"/>
      <c r="Q11" s="2877"/>
      <c r="R11" s="2879"/>
      <c r="S11" s="2880"/>
      <c r="T11" s="2880"/>
      <c r="U11" s="2880"/>
      <c r="V11" s="2880"/>
      <c r="W11" s="2880"/>
      <c r="X11" s="2880"/>
      <c r="Y11" s="2881"/>
      <c r="Z11" s="2882"/>
      <c r="AA11" s="2876"/>
      <c r="AB11" s="2876"/>
      <c r="AC11" s="2876"/>
      <c r="AD11" s="2876"/>
      <c r="AE11" s="2876"/>
      <c r="AF11" s="2876"/>
      <c r="AG11" s="2876"/>
      <c r="AH11" s="2882"/>
      <c r="AI11" s="2876"/>
      <c r="AJ11" s="2876"/>
      <c r="AK11" s="2876"/>
      <c r="AL11" s="2876"/>
      <c r="AM11" s="2876"/>
      <c r="AN11" s="2876"/>
      <c r="AO11" s="2883"/>
    </row>
    <row r="12" spans="1:55" s="225" customFormat="1" ht="20.149999999999999" customHeight="1">
      <c r="B12" s="2875"/>
      <c r="C12" s="2876"/>
      <c r="D12" s="2876"/>
      <c r="E12" s="2876"/>
      <c r="F12" s="2876"/>
      <c r="G12" s="2876"/>
      <c r="H12" s="2876"/>
      <c r="I12" s="2877"/>
      <c r="J12" s="2878"/>
      <c r="K12" s="2876"/>
      <c r="L12" s="2876"/>
      <c r="M12" s="2876"/>
      <c r="N12" s="2876"/>
      <c r="O12" s="2876"/>
      <c r="P12" s="2876"/>
      <c r="Q12" s="2877"/>
      <c r="R12" s="2879"/>
      <c r="S12" s="2880"/>
      <c r="T12" s="2880"/>
      <c r="U12" s="2880"/>
      <c r="V12" s="2880"/>
      <c r="W12" s="2880"/>
      <c r="X12" s="2880"/>
      <c r="Y12" s="2881"/>
      <c r="Z12" s="2882"/>
      <c r="AA12" s="2876"/>
      <c r="AB12" s="2876"/>
      <c r="AC12" s="2876"/>
      <c r="AD12" s="2876"/>
      <c r="AE12" s="2876"/>
      <c r="AF12" s="2876"/>
      <c r="AG12" s="2876"/>
      <c r="AH12" s="2882"/>
      <c r="AI12" s="2876"/>
      <c r="AJ12" s="2876"/>
      <c r="AK12" s="2876"/>
      <c r="AL12" s="2876"/>
      <c r="AM12" s="2876"/>
      <c r="AN12" s="2876"/>
      <c r="AO12" s="2883"/>
    </row>
    <row r="13" spans="1:55" s="225" customFormat="1" ht="20.149999999999999" customHeight="1">
      <c r="B13" s="2875"/>
      <c r="C13" s="2876"/>
      <c r="D13" s="2876"/>
      <c r="E13" s="2876"/>
      <c r="F13" s="2876"/>
      <c r="G13" s="2876"/>
      <c r="H13" s="2876"/>
      <c r="I13" s="2877"/>
      <c r="J13" s="2878"/>
      <c r="K13" s="2876"/>
      <c r="L13" s="2876"/>
      <c r="M13" s="2876"/>
      <c r="N13" s="2876"/>
      <c r="O13" s="2876"/>
      <c r="P13" s="2876"/>
      <c r="Q13" s="2877"/>
      <c r="R13" s="2879"/>
      <c r="S13" s="2880"/>
      <c r="T13" s="2880"/>
      <c r="U13" s="2880"/>
      <c r="V13" s="2880"/>
      <c r="W13" s="2880"/>
      <c r="X13" s="2880"/>
      <c r="Y13" s="2881"/>
      <c r="Z13" s="2882"/>
      <c r="AA13" s="2876"/>
      <c r="AB13" s="2876"/>
      <c r="AC13" s="2876"/>
      <c r="AD13" s="2876"/>
      <c r="AE13" s="2876"/>
      <c r="AF13" s="2876"/>
      <c r="AG13" s="2876"/>
      <c r="AH13" s="2882"/>
      <c r="AI13" s="2876"/>
      <c r="AJ13" s="2876"/>
      <c r="AK13" s="2876"/>
      <c r="AL13" s="2876"/>
      <c r="AM13" s="2876"/>
      <c r="AN13" s="2876"/>
      <c r="AO13" s="2883"/>
    </row>
    <row r="14" spans="1:55" s="225" customFormat="1" ht="20.149999999999999" customHeight="1">
      <c r="B14" s="2875"/>
      <c r="C14" s="2876"/>
      <c r="D14" s="2876"/>
      <c r="E14" s="2876"/>
      <c r="F14" s="2876"/>
      <c r="G14" s="2876"/>
      <c r="H14" s="2876"/>
      <c r="I14" s="2877"/>
      <c r="J14" s="2878"/>
      <c r="K14" s="2876"/>
      <c r="L14" s="2876"/>
      <c r="M14" s="2876"/>
      <c r="N14" s="2876"/>
      <c r="O14" s="2876"/>
      <c r="P14" s="2876"/>
      <c r="Q14" s="2877"/>
      <c r="R14" s="2879"/>
      <c r="S14" s="2880"/>
      <c r="T14" s="2880"/>
      <c r="U14" s="2880"/>
      <c r="V14" s="2880"/>
      <c r="W14" s="2880"/>
      <c r="X14" s="2880"/>
      <c r="Y14" s="2881"/>
      <c r="Z14" s="2882"/>
      <c r="AA14" s="2876"/>
      <c r="AB14" s="2876"/>
      <c r="AC14" s="2876"/>
      <c r="AD14" s="2876"/>
      <c r="AE14" s="2876"/>
      <c r="AF14" s="2876"/>
      <c r="AG14" s="2876"/>
      <c r="AH14" s="2882"/>
      <c r="AI14" s="2876"/>
      <c r="AJ14" s="2876"/>
      <c r="AK14" s="2876"/>
      <c r="AL14" s="2876"/>
      <c r="AM14" s="2876"/>
      <c r="AN14" s="2876"/>
      <c r="AO14" s="2883"/>
    </row>
    <row r="15" spans="1:55" s="225" customFormat="1" ht="20.149999999999999" customHeight="1">
      <c r="B15" s="2875"/>
      <c r="C15" s="2876"/>
      <c r="D15" s="2876"/>
      <c r="E15" s="2876"/>
      <c r="F15" s="2876"/>
      <c r="G15" s="2876"/>
      <c r="H15" s="2876"/>
      <c r="I15" s="2877"/>
      <c r="J15" s="2878"/>
      <c r="K15" s="2876"/>
      <c r="L15" s="2876"/>
      <c r="M15" s="2876"/>
      <c r="N15" s="2876"/>
      <c r="O15" s="2876"/>
      <c r="P15" s="2876"/>
      <c r="Q15" s="2877"/>
      <c r="R15" s="2879"/>
      <c r="S15" s="2880"/>
      <c r="T15" s="2880"/>
      <c r="U15" s="2880"/>
      <c r="V15" s="2880"/>
      <c r="W15" s="2880"/>
      <c r="X15" s="2880"/>
      <c r="Y15" s="2881"/>
      <c r="Z15" s="2882"/>
      <c r="AA15" s="2876"/>
      <c r="AB15" s="2876"/>
      <c r="AC15" s="2876"/>
      <c r="AD15" s="2876"/>
      <c r="AE15" s="2876"/>
      <c r="AF15" s="2876"/>
      <c r="AG15" s="2876"/>
      <c r="AH15" s="2882"/>
      <c r="AI15" s="2876"/>
      <c r="AJ15" s="2876"/>
      <c r="AK15" s="2876"/>
      <c r="AL15" s="2876"/>
      <c r="AM15" s="2876"/>
      <c r="AN15" s="2876"/>
      <c r="AO15" s="2883"/>
    </row>
    <row r="16" spans="1:55" s="225" customFormat="1" ht="20.149999999999999" customHeight="1" thickBot="1">
      <c r="B16" s="2884"/>
      <c r="C16" s="2885"/>
      <c r="D16" s="2885"/>
      <c r="E16" s="2885"/>
      <c r="F16" s="2885"/>
      <c r="G16" s="2885"/>
      <c r="H16" s="2885"/>
      <c r="I16" s="2886"/>
      <c r="J16" s="2887"/>
      <c r="K16" s="2885"/>
      <c r="L16" s="2885"/>
      <c r="M16" s="2885"/>
      <c r="N16" s="2885"/>
      <c r="O16" s="2885"/>
      <c r="P16" s="2885"/>
      <c r="Q16" s="2886"/>
      <c r="R16" s="2888"/>
      <c r="S16" s="2889"/>
      <c r="T16" s="2889"/>
      <c r="U16" s="2889"/>
      <c r="V16" s="2889"/>
      <c r="W16" s="2889"/>
      <c r="X16" s="2889"/>
      <c r="Y16" s="2890"/>
      <c r="Z16" s="2891"/>
      <c r="AA16" s="2885"/>
      <c r="AB16" s="2885"/>
      <c r="AC16" s="2885"/>
      <c r="AD16" s="2885"/>
      <c r="AE16" s="2885"/>
      <c r="AF16" s="2885"/>
      <c r="AG16" s="2885"/>
      <c r="AH16" s="2891"/>
      <c r="AI16" s="2885"/>
      <c r="AJ16" s="2885"/>
      <c r="AK16" s="2885"/>
      <c r="AL16" s="2885"/>
      <c r="AM16" s="2885"/>
      <c r="AN16" s="2885"/>
      <c r="AO16" s="2892"/>
    </row>
    <row r="17" spans="1:60" s="225" customFormat="1" ht="18.649999999999999" customHeight="1">
      <c r="A17" s="770"/>
      <c r="B17" s="771" t="s">
        <v>151</v>
      </c>
      <c r="C17" s="2873" t="s">
        <v>1398</v>
      </c>
      <c r="D17" s="2873"/>
      <c r="E17" s="2873"/>
      <c r="F17" s="2873"/>
      <c r="G17" s="2873"/>
      <c r="H17" s="2873"/>
      <c r="I17" s="2873"/>
      <c r="J17" s="2873"/>
      <c r="K17" s="2873"/>
      <c r="L17" s="2873"/>
      <c r="M17" s="2873"/>
      <c r="N17" s="2873"/>
      <c r="O17" s="2873"/>
      <c r="P17" s="2873"/>
      <c r="Q17" s="2873"/>
      <c r="R17" s="2873"/>
      <c r="S17" s="2873"/>
      <c r="T17" s="2873"/>
      <c r="U17" s="2873"/>
      <c r="V17" s="2873"/>
      <c r="W17" s="2873"/>
      <c r="X17" s="2873"/>
      <c r="Y17" s="2873"/>
      <c r="Z17" s="2873"/>
      <c r="AA17" s="2873"/>
      <c r="AB17" s="2873"/>
      <c r="AC17" s="2873"/>
      <c r="AD17" s="2873"/>
      <c r="AE17" s="2873"/>
      <c r="AF17" s="2873"/>
      <c r="AG17" s="2873"/>
      <c r="AH17" s="2873"/>
      <c r="AI17" s="2873"/>
      <c r="AJ17" s="2873"/>
      <c r="AK17" s="2873"/>
      <c r="AL17" s="2873"/>
      <c r="AM17" s="2873"/>
      <c r="AN17" s="2873"/>
      <c r="AO17" s="2873"/>
      <c r="AY17" s="770"/>
      <c r="AZ17" s="770"/>
      <c r="BA17" s="770"/>
      <c r="BB17" s="770"/>
      <c r="BC17" s="770"/>
      <c r="BD17" s="770"/>
      <c r="BE17" s="770"/>
      <c r="BF17" s="770"/>
      <c r="BG17" s="770"/>
      <c r="BH17" s="770"/>
    </row>
    <row r="18" spans="1:60" s="237" customFormat="1" ht="15.5">
      <c r="A18" s="191"/>
      <c r="B18" s="772"/>
      <c r="C18" s="773" t="s">
        <v>114</v>
      </c>
      <c r="D18" s="2874" t="s">
        <v>1469</v>
      </c>
      <c r="E18" s="2874"/>
      <c r="F18" s="2874"/>
      <c r="G18" s="2874"/>
      <c r="H18" s="2874"/>
      <c r="I18" s="2874"/>
      <c r="J18" s="2874"/>
      <c r="K18" s="2874"/>
      <c r="L18" s="2874"/>
      <c r="M18" s="2874"/>
      <c r="N18" s="2874"/>
      <c r="O18" s="2874"/>
      <c r="P18" s="2874"/>
      <c r="Q18" s="2874"/>
      <c r="R18" s="2874"/>
      <c r="S18" s="2874"/>
      <c r="T18" s="2874"/>
      <c r="U18" s="2874"/>
      <c r="V18" s="2874"/>
      <c r="W18" s="2874"/>
      <c r="X18" s="2874"/>
      <c r="Y18" s="2874"/>
      <c r="Z18" s="2874"/>
      <c r="AA18" s="2874"/>
      <c r="AB18" s="2874"/>
      <c r="AC18" s="2874"/>
      <c r="AD18" s="2874"/>
      <c r="AE18" s="2874"/>
      <c r="AF18" s="2874"/>
      <c r="AG18" s="2874"/>
      <c r="AH18" s="2874"/>
      <c r="AI18" s="2874"/>
      <c r="AJ18" s="2874"/>
      <c r="AK18" s="2874"/>
      <c r="AL18" s="2874"/>
      <c r="AM18" s="2874"/>
      <c r="AN18" s="2874"/>
      <c r="AO18" s="2874"/>
      <c r="AY18" s="191"/>
      <c r="AZ18" s="191"/>
      <c r="BA18" s="191"/>
      <c r="BB18" s="191"/>
      <c r="BC18" s="191"/>
      <c r="BD18" s="191"/>
      <c r="BE18" s="191"/>
      <c r="BF18" s="191"/>
      <c r="BG18" s="191"/>
      <c r="BH18" s="191"/>
    </row>
    <row r="19" spans="1:60" s="237" customFormat="1" ht="15.5">
      <c r="A19" s="191"/>
      <c r="B19" s="772"/>
      <c r="C19" s="773" t="s">
        <v>115</v>
      </c>
      <c r="D19" s="2874" t="s">
        <v>1458</v>
      </c>
      <c r="E19" s="2874"/>
      <c r="F19" s="2874"/>
      <c r="G19" s="2874"/>
      <c r="H19" s="2874"/>
      <c r="I19" s="2874"/>
      <c r="J19" s="2874"/>
      <c r="K19" s="2874"/>
      <c r="L19" s="2874"/>
      <c r="M19" s="2874"/>
      <c r="N19" s="2874"/>
      <c r="O19" s="2874"/>
      <c r="P19" s="2874"/>
      <c r="Q19" s="2874"/>
      <c r="R19" s="2874"/>
      <c r="S19" s="2874"/>
      <c r="T19" s="2874"/>
      <c r="U19" s="2874"/>
      <c r="V19" s="2874"/>
      <c r="W19" s="2874"/>
      <c r="X19" s="2874"/>
      <c r="Y19" s="2874"/>
      <c r="Z19" s="2874"/>
      <c r="AA19" s="2874"/>
      <c r="AB19" s="2874"/>
      <c r="AC19" s="2874"/>
      <c r="AD19" s="2874"/>
      <c r="AE19" s="2874"/>
      <c r="AF19" s="2874"/>
      <c r="AG19" s="2874"/>
      <c r="AH19" s="2874"/>
      <c r="AI19" s="2874"/>
      <c r="AJ19" s="2874"/>
      <c r="AK19" s="2874"/>
      <c r="AL19" s="2874"/>
      <c r="AM19" s="2874"/>
      <c r="AN19" s="2874"/>
      <c r="AO19" s="2874"/>
      <c r="AY19" s="191"/>
      <c r="AZ19" s="191"/>
      <c r="BA19" s="191"/>
      <c r="BB19" s="191"/>
      <c r="BC19" s="191"/>
      <c r="BD19" s="191"/>
      <c r="BE19" s="191"/>
      <c r="BF19" s="191"/>
      <c r="BG19" s="191"/>
      <c r="BH19" s="191"/>
    </row>
    <row r="20" spans="1:60" s="237" customFormat="1" ht="15.5">
      <c r="A20" s="191"/>
      <c r="B20" s="772"/>
      <c r="C20" s="773" t="s">
        <v>149</v>
      </c>
      <c r="D20" s="2874" t="s">
        <v>1459</v>
      </c>
      <c r="E20" s="2874"/>
      <c r="F20" s="2874"/>
      <c r="G20" s="2874"/>
      <c r="H20" s="2874"/>
      <c r="I20" s="2874"/>
      <c r="J20" s="2874"/>
      <c r="K20" s="2874"/>
      <c r="L20" s="2874"/>
      <c r="M20" s="2874"/>
      <c r="N20" s="2874"/>
      <c r="O20" s="2874"/>
      <c r="P20" s="2874"/>
      <c r="Q20" s="2874"/>
      <c r="R20" s="2874"/>
      <c r="S20" s="2874"/>
      <c r="T20" s="2874"/>
      <c r="U20" s="2874"/>
      <c r="V20" s="2874"/>
      <c r="W20" s="2874"/>
      <c r="X20" s="2874"/>
      <c r="Y20" s="2874"/>
      <c r="Z20" s="2874"/>
      <c r="AA20" s="2874"/>
      <c r="AB20" s="2874"/>
      <c r="AC20" s="2874"/>
      <c r="AD20" s="2874"/>
      <c r="AE20" s="2874"/>
      <c r="AF20" s="2874"/>
      <c r="AG20" s="2874"/>
      <c r="AH20" s="2874"/>
      <c r="AI20" s="2874"/>
      <c r="AJ20" s="2874"/>
      <c r="AK20" s="2874"/>
      <c r="AL20" s="2874"/>
      <c r="AM20" s="2874"/>
      <c r="AN20" s="2874"/>
      <c r="AO20" s="2874"/>
      <c r="AY20" s="191"/>
      <c r="AZ20" s="191"/>
      <c r="BA20" s="191"/>
      <c r="BB20" s="191"/>
      <c r="BC20" s="191"/>
      <c r="BD20" s="191"/>
      <c r="BE20" s="191"/>
      <c r="BF20" s="191"/>
      <c r="BG20" s="191"/>
      <c r="BH20" s="191"/>
    </row>
    <row r="21" spans="1:60" s="237" customFormat="1" ht="15.5">
      <c r="A21" s="191"/>
      <c r="B21" s="772"/>
      <c r="C21" s="773" t="s">
        <v>150</v>
      </c>
      <c r="D21" s="2874" t="s">
        <v>1460</v>
      </c>
      <c r="E21" s="2874"/>
      <c r="F21" s="2874"/>
      <c r="G21" s="2874"/>
      <c r="H21" s="2874"/>
      <c r="I21" s="2874"/>
      <c r="J21" s="2874"/>
      <c r="K21" s="2874"/>
      <c r="L21" s="2874"/>
      <c r="M21" s="2874"/>
      <c r="N21" s="2874"/>
      <c r="O21" s="2874"/>
      <c r="P21" s="2874"/>
      <c r="Q21" s="2874"/>
      <c r="R21" s="2874"/>
      <c r="S21" s="2874"/>
      <c r="T21" s="2874"/>
      <c r="U21" s="2874"/>
      <c r="V21" s="2874"/>
      <c r="W21" s="2874"/>
      <c r="X21" s="2874"/>
      <c r="Y21" s="2874"/>
      <c r="Z21" s="2874"/>
      <c r="AA21" s="2874"/>
      <c r="AB21" s="2874"/>
      <c r="AC21" s="2874"/>
      <c r="AD21" s="2874"/>
      <c r="AE21" s="2874"/>
      <c r="AF21" s="2874"/>
      <c r="AG21" s="2874"/>
      <c r="AH21" s="2874"/>
      <c r="AI21" s="2874"/>
      <c r="AJ21" s="2874"/>
      <c r="AK21" s="2874"/>
      <c r="AL21" s="2874"/>
      <c r="AM21" s="2874"/>
      <c r="AN21" s="2874"/>
      <c r="AO21" s="2874"/>
      <c r="AY21" s="191"/>
      <c r="AZ21" s="191"/>
      <c r="BA21" s="191"/>
      <c r="BB21" s="191"/>
      <c r="BC21" s="191"/>
      <c r="BD21" s="191"/>
      <c r="BE21" s="191"/>
      <c r="BF21" s="191"/>
      <c r="BG21" s="191"/>
      <c r="BH21" s="191"/>
    </row>
    <row r="22" spans="1:60" s="237" customFormat="1" ht="15.5">
      <c r="A22" s="191"/>
      <c r="B22" s="772"/>
      <c r="C22" s="773" t="s">
        <v>167</v>
      </c>
      <c r="D22" s="2874" t="s">
        <v>1461</v>
      </c>
      <c r="E22" s="2874"/>
      <c r="F22" s="2874"/>
      <c r="G22" s="2874"/>
      <c r="H22" s="2874"/>
      <c r="I22" s="2874"/>
      <c r="J22" s="2874"/>
      <c r="K22" s="2874"/>
      <c r="L22" s="2874"/>
      <c r="M22" s="2874"/>
      <c r="N22" s="2874"/>
      <c r="O22" s="2874"/>
      <c r="P22" s="2874"/>
      <c r="Q22" s="2874"/>
      <c r="R22" s="2874"/>
      <c r="S22" s="2874"/>
      <c r="T22" s="2874"/>
      <c r="U22" s="2874"/>
      <c r="V22" s="2874"/>
      <c r="W22" s="2874"/>
      <c r="X22" s="2874"/>
      <c r="Y22" s="2874"/>
      <c r="Z22" s="2874"/>
      <c r="AA22" s="2874"/>
      <c r="AB22" s="2874"/>
      <c r="AC22" s="2874"/>
      <c r="AD22" s="2874"/>
      <c r="AE22" s="2874"/>
      <c r="AF22" s="2874"/>
      <c r="AG22" s="2874"/>
      <c r="AH22" s="2874"/>
      <c r="AI22" s="2874"/>
      <c r="AJ22" s="2874"/>
      <c r="AK22" s="2874"/>
      <c r="AL22" s="2874"/>
      <c r="AM22" s="2874"/>
      <c r="AN22" s="2874"/>
      <c r="AO22" s="2874"/>
      <c r="AY22" s="191"/>
      <c r="AZ22" s="191"/>
      <c r="BA22" s="191"/>
      <c r="BB22" s="191"/>
      <c r="BC22" s="191"/>
      <c r="BD22" s="191"/>
      <c r="BE22" s="191"/>
      <c r="BF22" s="191"/>
      <c r="BG22" s="191"/>
      <c r="BH22" s="191"/>
    </row>
    <row r="23" spans="1:60" s="237" customFormat="1" ht="15.5">
      <c r="A23" s="191"/>
      <c r="B23" s="772"/>
      <c r="C23" s="773" t="s">
        <v>172</v>
      </c>
      <c r="D23" s="2874" t="s">
        <v>1462</v>
      </c>
      <c r="E23" s="2874"/>
      <c r="F23" s="2874"/>
      <c r="G23" s="2874"/>
      <c r="H23" s="2874"/>
      <c r="I23" s="2874"/>
      <c r="J23" s="2874"/>
      <c r="K23" s="2874"/>
      <c r="L23" s="2874"/>
      <c r="M23" s="2874"/>
      <c r="N23" s="2874"/>
      <c r="O23" s="2874"/>
      <c r="P23" s="2874"/>
      <c r="Q23" s="2874"/>
      <c r="R23" s="2874"/>
      <c r="S23" s="2874"/>
      <c r="T23" s="2874"/>
      <c r="U23" s="2874"/>
      <c r="V23" s="2874"/>
      <c r="W23" s="2874"/>
      <c r="X23" s="2874"/>
      <c r="Y23" s="2874"/>
      <c r="Z23" s="2874"/>
      <c r="AA23" s="2874"/>
      <c r="AB23" s="2874"/>
      <c r="AC23" s="2874"/>
      <c r="AD23" s="2874"/>
      <c r="AE23" s="2874"/>
      <c r="AF23" s="2874"/>
      <c r="AG23" s="2874"/>
      <c r="AH23" s="2874"/>
      <c r="AI23" s="2874"/>
      <c r="AJ23" s="2874"/>
      <c r="AK23" s="2874"/>
      <c r="AL23" s="2874"/>
      <c r="AM23" s="2874"/>
      <c r="AN23" s="2874"/>
      <c r="AO23" s="2874"/>
      <c r="AY23" s="191"/>
      <c r="AZ23" s="191"/>
      <c r="BA23" s="191"/>
      <c r="BB23" s="191"/>
      <c r="BC23" s="191"/>
      <c r="BD23" s="191"/>
      <c r="BE23" s="191"/>
      <c r="BF23" s="191"/>
      <c r="BG23" s="191"/>
      <c r="BH23" s="191"/>
    </row>
    <row r="24" spans="1:60" s="237" customFormat="1" ht="15.5">
      <c r="A24" s="191"/>
      <c r="B24" s="772"/>
      <c r="C24" s="773" t="s">
        <v>173</v>
      </c>
      <c r="D24" s="2874" t="s">
        <v>1463</v>
      </c>
      <c r="E24" s="2874"/>
      <c r="F24" s="2874"/>
      <c r="G24" s="2874"/>
      <c r="H24" s="2874"/>
      <c r="I24" s="2874"/>
      <c r="J24" s="2874"/>
      <c r="K24" s="2874"/>
      <c r="L24" s="2874"/>
      <c r="M24" s="2874"/>
      <c r="N24" s="2874"/>
      <c r="O24" s="2874"/>
      <c r="P24" s="2874"/>
      <c r="Q24" s="2874"/>
      <c r="R24" s="2874"/>
      <c r="S24" s="2874"/>
      <c r="T24" s="2874"/>
      <c r="U24" s="2874"/>
      <c r="V24" s="2874"/>
      <c r="W24" s="2874"/>
      <c r="X24" s="2874"/>
      <c r="Y24" s="2874"/>
      <c r="Z24" s="2874"/>
      <c r="AA24" s="2874"/>
      <c r="AB24" s="2874"/>
      <c r="AC24" s="2874"/>
      <c r="AD24" s="2874"/>
      <c r="AE24" s="2874"/>
      <c r="AF24" s="2874"/>
      <c r="AG24" s="2874"/>
      <c r="AH24" s="2874"/>
      <c r="AI24" s="2874"/>
      <c r="AJ24" s="2874"/>
      <c r="AK24" s="2874"/>
      <c r="AL24" s="2874"/>
      <c r="AM24" s="2874"/>
      <c r="AN24" s="2874"/>
      <c r="AO24" s="2874"/>
      <c r="AY24" s="191"/>
      <c r="AZ24" s="191"/>
      <c r="BA24" s="191"/>
      <c r="BB24" s="191"/>
      <c r="BC24" s="191"/>
      <c r="BD24" s="191"/>
      <c r="BE24" s="191"/>
      <c r="BF24" s="191"/>
      <c r="BG24" s="191"/>
      <c r="BH24" s="191"/>
    </row>
    <row r="25" spans="1:60" s="237" customFormat="1">
      <c r="A25" s="774"/>
      <c r="B25" s="775" t="s">
        <v>152</v>
      </c>
      <c r="C25" s="2872" t="s">
        <v>1464</v>
      </c>
      <c r="D25" s="2872"/>
      <c r="E25" s="2872"/>
      <c r="F25" s="2872"/>
      <c r="G25" s="2872"/>
      <c r="H25" s="2872"/>
      <c r="I25" s="2872"/>
      <c r="J25" s="2872"/>
      <c r="K25" s="2872"/>
      <c r="L25" s="2872"/>
      <c r="M25" s="2872"/>
      <c r="N25" s="2872"/>
      <c r="O25" s="2872"/>
      <c r="P25" s="2872"/>
      <c r="Q25" s="2872"/>
      <c r="R25" s="2872"/>
      <c r="S25" s="2872"/>
      <c r="T25" s="2872"/>
      <c r="U25" s="2872"/>
      <c r="V25" s="2872"/>
      <c r="W25" s="2872"/>
      <c r="X25" s="2872"/>
      <c r="Y25" s="2872"/>
      <c r="Z25" s="2872"/>
      <c r="AA25" s="2872"/>
      <c r="AB25" s="2872"/>
      <c r="AC25" s="2872"/>
      <c r="AD25" s="2872"/>
      <c r="AE25" s="2872"/>
      <c r="AF25" s="2872"/>
      <c r="AG25" s="2872"/>
      <c r="AH25" s="2872"/>
      <c r="AI25" s="2872"/>
      <c r="AJ25" s="2872"/>
      <c r="AK25" s="2872"/>
      <c r="AL25" s="2872"/>
      <c r="AM25" s="2872"/>
      <c r="AN25" s="2872"/>
      <c r="AO25" s="2872"/>
      <c r="AY25" s="774"/>
      <c r="AZ25" s="774"/>
      <c r="BA25" s="774"/>
      <c r="BB25" s="774"/>
      <c r="BC25" s="774"/>
      <c r="BD25" s="774"/>
      <c r="BE25" s="774"/>
      <c r="BF25" s="774"/>
      <c r="BG25" s="774"/>
      <c r="BH25" s="774"/>
    </row>
    <row r="26" spans="1:60" s="237" customFormat="1">
      <c r="A26" s="774"/>
      <c r="B26" s="775" t="s">
        <v>153</v>
      </c>
      <c r="C26" s="2872" t="s">
        <v>1465</v>
      </c>
      <c r="D26" s="2872"/>
      <c r="E26" s="2872"/>
      <c r="F26" s="2872"/>
      <c r="G26" s="2872"/>
      <c r="H26" s="2872"/>
      <c r="I26" s="2872"/>
      <c r="J26" s="2872"/>
      <c r="K26" s="2872"/>
      <c r="L26" s="2872"/>
      <c r="M26" s="2872"/>
      <c r="N26" s="2872"/>
      <c r="O26" s="2872"/>
      <c r="P26" s="2872"/>
      <c r="Q26" s="2872"/>
      <c r="R26" s="2872"/>
      <c r="S26" s="2872"/>
      <c r="T26" s="2872"/>
      <c r="U26" s="2872"/>
      <c r="V26" s="2872"/>
      <c r="W26" s="2872"/>
      <c r="X26" s="2872"/>
      <c r="Y26" s="2872"/>
      <c r="Z26" s="2872"/>
      <c r="AA26" s="2872"/>
      <c r="AB26" s="2872"/>
      <c r="AC26" s="2872"/>
      <c r="AD26" s="2872"/>
      <c r="AE26" s="2872"/>
      <c r="AF26" s="2872"/>
      <c r="AG26" s="2872"/>
      <c r="AH26" s="2872"/>
      <c r="AI26" s="2872"/>
      <c r="AJ26" s="2872"/>
      <c r="AK26" s="2872"/>
      <c r="AL26" s="2872"/>
      <c r="AM26" s="2872"/>
      <c r="AN26" s="2872"/>
      <c r="AO26" s="2872"/>
      <c r="AY26" s="774"/>
      <c r="AZ26" s="774"/>
      <c r="BA26" s="774"/>
      <c r="BB26" s="774"/>
      <c r="BC26" s="774"/>
      <c r="BD26" s="774"/>
      <c r="BE26" s="774"/>
      <c r="BF26" s="774"/>
      <c r="BG26" s="774"/>
      <c r="BH26" s="774"/>
    </row>
    <row r="27" spans="1:60" s="237" customFormat="1">
      <c r="A27" s="774"/>
      <c r="B27" s="775" t="s">
        <v>154</v>
      </c>
      <c r="C27" s="2872" t="s">
        <v>1466</v>
      </c>
      <c r="D27" s="2872"/>
      <c r="E27" s="2872"/>
      <c r="F27" s="2872"/>
      <c r="G27" s="2872"/>
      <c r="H27" s="2872"/>
      <c r="I27" s="2872"/>
      <c r="J27" s="2872"/>
      <c r="K27" s="2872"/>
      <c r="L27" s="2872"/>
      <c r="M27" s="2872"/>
      <c r="N27" s="2872"/>
      <c r="O27" s="2872"/>
      <c r="P27" s="2872"/>
      <c r="Q27" s="2872"/>
      <c r="R27" s="2872"/>
      <c r="S27" s="2872"/>
      <c r="T27" s="2872"/>
      <c r="U27" s="2872"/>
      <c r="V27" s="2872"/>
      <c r="W27" s="2872"/>
      <c r="X27" s="2872"/>
      <c r="Y27" s="2872"/>
      <c r="Z27" s="2872"/>
      <c r="AA27" s="2872"/>
      <c r="AB27" s="2872"/>
      <c r="AC27" s="2872"/>
      <c r="AD27" s="2872"/>
      <c r="AE27" s="2872"/>
      <c r="AF27" s="2872"/>
      <c r="AG27" s="2872"/>
      <c r="AH27" s="2872"/>
      <c r="AI27" s="2872"/>
      <c r="AJ27" s="2872"/>
      <c r="AK27" s="2872"/>
      <c r="AL27" s="2872"/>
      <c r="AM27" s="2872"/>
      <c r="AN27" s="2872"/>
      <c r="AO27" s="2872"/>
      <c r="AY27" s="774"/>
      <c r="AZ27" s="774"/>
      <c r="BA27" s="774"/>
      <c r="BB27" s="774"/>
      <c r="BC27" s="774"/>
      <c r="BD27" s="774"/>
      <c r="BE27" s="774"/>
      <c r="BF27" s="774"/>
      <c r="BG27" s="774"/>
      <c r="BH27" s="774"/>
    </row>
    <row r="28" spans="1:60" s="237" customFormat="1">
      <c r="A28" s="774"/>
      <c r="B28" s="775" t="s">
        <v>155</v>
      </c>
      <c r="C28" s="2872" t="s">
        <v>1467</v>
      </c>
      <c r="D28" s="2872"/>
      <c r="E28" s="2872"/>
      <c r="F28" s="2872"/>
      <c r="G28" s="2872"/>
      <c r="H28" s="2872"/>
      <c r="I28" s="2872"/>
      <c r="J28" s="2872"/>
      <c r="K28" s="2872"/>
      <c r="L28" s="2872"/>
      <c r="M28" s="2872"/>
      <c r="N28" s="2872"/>
      <c r="O28" s="2872"/>
      <c r="P28" s="2872"/>
      <c r="Q28" s="2872"/>
      <c r="R28" s="2872"/>
      <c r="S28" s="2872"/>
      <c r="T28" s="2872"/>
      <c r="U28" s="2872"/>
      <c r="V28" s="2872"/>
      <c r="W28" s="2872"/>
      <c r="X28" s="2872"/>
      <c r="Y28" s="2872"/>
      <c r="Z28" s="2872"/>
      <c r="AA28" s="2872"/>
      <c r="AB28" s="2872"/>
      <c r="AC28" s="2872"/>
      <c r="AD28" s="2872"/>
      <c r="AE28" s="2872"/>
      <c r="AF28" s="2872"/>
      <c r="AG28" s="2872"/>
      <c r="AH28" s="2872"/>
      <c r="AI28" s="2872"/>
      <c r="AJ28" s="2872"/>
      <c r="AK28" s="2872"/>
      <c r="AL28" s="2872"/>
      <c r="AM28" s="2872"/>
      <c r="AN28" s="2872"/>
      <c r="AO28" s="2872"/>
      <c r="AY28" s="774"/>
      <c r="AZ28" s="774"/>
      <c r="BA28" s="774"/>
      <c r="BB28" s="774"/>
      <c r="BC28" s="774"/>
      <c r="BD28" s="774"/>
      <c r="BE28" s="774"/>
      <c r="BF28" s="774"/>
      <c r="BG28" s="774"/>
      <c r="BH28" s="774"/>
    </row>
    <row r="29" spans="1:60" s="661" customFormat="1" ht="30.75" customHeight="1">
      <c r="B29" s="319"/>
      <c r="C29" s="319"/>
      <c r="D29" s="319"/>
    </row>
    <row r="30" spans="1:60" s="745" customFormat="1">
      <c r="B30" s="169" t="s">
        <v>847</v>
      </c>
      <c r="P30" s="169" t="s">
        <v>764</v>
      </c>
      <c r="Q30" s="169"/>
      <c r="AD30" s="169" t="s">
        <v>783</v>
      </c>
    </row>
    <row r="31" spans="1:60" s="745" customFormat="1" ht="21.75" customHeight="1">
      <c r="B31" s="169" t="s">
        <v>756</v>
      </c>
      <c r="F31" s="2838" t="str">
        <f>activesheet!E29</f>
        <v>RICO S. MISPEROS</v>
      </c>
      <c r="G31" s="2838"/>
      <c r="H31" s="2838"/>
      <c r="I31" s="2838"/>
      <c r="J31" s="2838"/>
      <c r="K31" s="2838"/>
      <c r="L31" s="2838"/>
      <c r="M31" s="2838"/>
      <c r="N31" s="776"/>
      <c r="P31" s="1956" t="str">
        <f>activesheet!E1376</f>
        <v>ANNE VALERIE KERSTEINE I. VILLANUEVA</v>
      </c>
      <c r="Q31" s="1956"/>
      <c r="R31" s="1956"/>
      <c r="S31" s="1956"/>
      <c r="T31" s="1956"/>
      <c r="U31" s="1956"/>
      <c r="V31" s="1956"/>
      <c r="W31" s="1956"/>
      <c r="X31" s="1956"/>
      <c r="Y31" s="1956"/>
      <c r="Z31" s="1956"/>
      <c r="AA31" s="1956"/>
      <c r="AD31" s="1956" t="str">
        <f>activesheet!E31</f>
        <v>MICHAEL T. JAMIS</v>
      </c>
      <c r="AE31" s="1956"/>
      <c r="AF31" s="1956"/>
      <c r="AG31" s="1956"/>
      <c r="AH31" s="1956"/>
      <c r="AI31" s="1956"/>
      <c r="AJ31" s="1956"/>
      <c r="AK31" s="1956"/>
      <c r="AL31" s="1956"/>
      <c r="AM31" s="1956"/>
      <c r="AN31" s="1956"/>
      <c r="AO31" s="1956"/>
    </row>
    <row r="32" spans="1:60" s="746" customFormat="1">
      <c r="B32" s="655"/>
      <c r="F32" s="1764" t="s">
        <v>741</v>
      </c>
      <c r="G32" s="1764"/>
      <c r="H32" s="1764"/>
      <c r="I32" s="1764"/>
      <c r="J32" s="1764"/>
      <c r="K32" s="1764"/>
      <c r="L32" s="1764"/>
      <c r="M32" s="1764"/>
      <c r="N32" s="184"/>
      <c r="O32" s="655"/>
      <c r="P32" s="1957"/>
      <c r="Q32" s="1957"/>
      <c r="R32" s="1957"/>
      <c r="S32" s="1957"/>
      <c r="T32" s="1957"/>
      <c r="U32" s="1957"/>
      <c r="V32" s="1957"/>
      <c r="W32" s="1957"/>
      <c r="X32" s="1957"/>
      <c r="Y32" s="1957"/>
      <c r="Z32" s="1957"/>
      <c r="AA32" s="1957"/>
      <c r="AB32" s="745"/>
      <c r="AC32" s="745"/>
      <c r="AD32" s="1957"/>
      <c r="AE32" s="1957"/>
      <c r="AF32" s="1957"/>
      <c r="AG32" s="1957"/>
      <c r="AH32" s="1957"/>
      <c r="AI32" s="1957"/>
      <c r="AJ32" s="1957"/>
      <c r="AK32" s="1957"/>
      <c r="AL32" s="1957"/>
      <c r="AM32" s="1957"/>
      <c r="AN32" s="1957"/>
      <c r="AO32" s="1957"/>
      <c r="AP32" s="655"/>
    </row>
    <row r="33" spans="2:41" s="745" customFormat="1" ht="21.75" customHeight="1">
      <c r="B33" s="169" t="s">
        <v>71</v>
      </c>
      <c r="F33" s="2838" t="str">
        <f>activesheet!E30</f>
        <v>SCHOOL PRINCIPAL II</v>
      </c>
      <c r="G33" s="2838"/>
      <c r="H33" s="2838"/>
      <c r="I33" s="2838"/>
      <c r="J33" s="2838"/>
      <c r="K33" s="2838"/>
      <c r="L33" s="2838"/>
      <c r="M33" s="2838"/>
      <c r="N33" s="776"/>
      <c r="P33" s="1764" t="s">
        <v>741</v>
      </c>
      <c r="Q33" s="1764"/>
      <c r="R33" s="1764"/>
      <c r="S33" s="1764"/>
      <c r="T33" s="1764"/>
      <c r="U33" s="1764"/>
      <c r="V33" s="1764"/>
      <c r="W33" s="1764"/>
      <c r="X33" s="1764"/>
      <c r="Y33" s="1764"/>
      <c r="Z33" s="1764"/>
      <c r="AA33" s="1764"/>
      <c r="AB33" s="153"/>
      <c r="AC33" s="151"/>
      <c r="AD33" s="1764" t="s">
        <v>741</v>
      </c>
      <c r="AE33" s="1764"/>
      <c r="AF33" s="1764"/>
      <c r="AG33" s="1764"/>
      <c r="AH33" s="1764"/>
      <c r="AI33" s="1764"/>
      <c r="AJ33" s="1764"/>
      <c r="AK33" s="1764"/>
      <c r="AL33" s="1764"/>
      <c r="AM33" s="1764"/>
      <c r="AN33" s="1764"/>
      <c r="AO33" s="655"/>
    </row>
    <row r="34" spans="2:41">
      <c r="AB34" s="745"/>
      <c r="AC34" s="745"/>
    </row>
  </sheetData>
  <sheetProtection algorithmName="SHA-512" hashValue="N12TIYPV4sCVpnKWTf1IwTRm1gnjqgAr0cOmCF4JaRwheNNCWryQhUZnko5u6ZoDxtSowEtSgOebLay9st4/3Q==" saltValue="T//FjMUDXuG1d2BqksqhEw==" spinCount="100000" sheet="1" objects="1" scenarios="1" selectLockedCells="1"/>
  <mergeCells count="79">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B16:I16"/>
    <mergeCell ref="J16:Q16"/>
    <mergeCell ref="R16:Y16"/>
    <mergeCell ref="Z16:AG16"/>
    <mergeCell ref="AH16:AO16"/>
    <mergeCell ref="B15:I15"/>
    <mergeCell ref="J15:Q15"/>
    <mergeCell ref="R15:Y15"/>
    <mergeCell ref="Z15:AG15"/>
    <mergeCell ref="AH15:AO15"/>
    <mergeCell ref="C28:AO28"/>
    <mergeCell ref="C17:AO17"/>
    <mergeCell ref="D18:AO18"/>
    <mergeCell ref="D19:AO19"/>
    <mergeCell ref="D20:AO20"/>
    <mergeCell ref="D21:AO21"/>
    <mergeCell ref="D22:AO22"/>
    <mergeCell ref="D23:AO23"/>
    <mergeCell ref="D24:AO24"/>
    <mergeCell ref="C25:AO25"/>
    <mergeCell ref="C26:AO26"/>
    <mergeCell ref="C27:AO27"/>
    <mergeCell ref="F31:M31"/>
    <mergeCell ref="P31:AA32"/>
    <mergeCell ref="AD31:AO32"/>
    <mergeCell ref="F32:M32"/>
    <mergeCell ref="F33:M33"/>
    <mergeCell ref="P33:AA33"/>
    <mergeCell ref="AD33:AN33"/>
  </mergeCells>
  <phoneticPr fontId="75" type="noConversion"/>
  <dataValidations count="1">
    <dataValidation type="decimal" allowBlank="1" showInputMessage="1" showErrorMessage="1" errorTitle="GESP SY 2022-2023" error="Please input valid number between 0 - 1,000,000." sqref="R7:Y16" xr:uid="{00000000-0002-0000-1700-000000000000}">
      <formula1>0</formula1>
      <formula2>1000000</formula2>
    </dataValidation>
  </dataValidations>
  <printOptions horizontalCentered="1" verticalCentered="1"/>
  <pageMargins left="0.25" right="0.25" top="0.2" bottom="0.2" header="0" footer="0.1"/>
  <pageSetup paperSize="9" scale="37" orientation="landscape" r:id="rId1"/>
  <headerFooter alignWithMargins="0">
    <oddFooter>&amp;L&amp;10&amp;F &amp;A&amp;R&amp;10Page 20 of 60</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700-000001000000}">
          <x14:formula1>
            <xm:f>Dropdowns!$G$1:$G$9</xm:f>
          </x14:formula1>
          <xm:sqref>Z7:AG16</xm:sqref>
        </x14:dataValidation>
        <x14:dataValidation type="list" allowBlank="1" showInputMessage="1" showErrorMessage="1" errorTitle="GESP SY 2022-2023" error="Please select on the list provided._x000a_" xr:uid="{00000000-0002-0000-1700-000002000000}">
          <x14:formula1>
            <xm:f>Dropdowns!$D$24:$D$31</xm:f>
          </x14:formula1>
          <xm:sqref>B7:I16</xm:sqref>
        </x14:dataValidation>
        <x14:dataValidation type="list" allowBlank="1" showInputMessage="1" showErrorMessage="1" errorTitle="GESP SY 2022-2023" error="Please select on the list provided." xr:uid="{00000000-0002-0000-1700-000003000000}">
          <x14:formula1>
            <xm:f>Dropdowns!$J$12:$J$15</xm:f>
          </x14:formula1>
          <xm:sqref>AH7:AO16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BX35"/>
  <sheetViews>
    <sheetView showGridLines="0" zoomScaleNormal="100" workbookViewId="0">
      <selection activeCell="V6" sqref="V6:Z6"/>
    </sheetView>
  </sheetViews>
  <sheetFormatPr defaultColWidth="8" defaultRowHeight="14"/>
  <cols>
    <col min="1" max="1" width="2.08203125" style="681" customWidth="1"/>
    <col min="2" max="51" width="3.58203125" style="681" customWidth="1"/>
    <col min="52" max="52" width="2.08203125" style="681" customWidth="1"/>
    <col min="53" max="16384" width="8" style="681"/>
  </cols>
  <sheetData>
    <row r="1" spans="1:51" ht="12" customHeight="1"/>
    <row r="2" spans="1:51" s="755" customFormat="1" ht="16.5">
      <c r="B2" s="756" t="s">
        <v>11777</v>
      </c>
      <c r="C2" s="757"/>
      <c r="D2" s="757"/>
      <c r="E2" s="757"/>
      <c r="F2" s="757"/>
    </row>
    <row r="3" spans="1:51" s="568" customFormat="1" ht="16" thickBot="1">
      <c r="B3" s="582" t="s">
        <v>903</v>
      </c>
    </row>
    <row r="4" spans="1:51" s="786" customFormat="1" ht="47.5" customHeight="1">
      <c r="B4" s="2975" t="s">
        <v>1435</v>
      </c>
      <c r="C4" s="2959"/>
      <c r="D4" s="2959"/>
      <c r="E4" s="2959"/>
      <c r="F4" s="2960"/>
      <c r="G4" s="2958" t="s">
        <v>1372</v>
      </c>
      <c r="H4" s="2959"/>
      <c r="I4" s="2959"/>
      <c r="J4" s="2959"/>
      <c r="K4" s="2960"/>
      <c r="L4" s="2958" t="s">
        <v>1377</v>
      </c>
      <c r="M4" s="2959"/>
      <c r="N4" s="2959"/>
      <c r="O4" s="2959"/>
      <c r="P4" s="2960"/>
      <c r="Q4" s="2958" t="s">
        <v>1378</v>
      </c>
      <c r="R4" s="2959"/>
      <c r="S4" s="2959"/>
      <c r="T4" s="2959"/>
      <c r="U4" s="2960"/>
      <c r="V4" s="2958" t="s">
        <v>1373</v>
      </c>
      <c r="W4" s="2959"/>
      <c r="X4" s="2959"/>
      <c r="Y4" s="2959"/>
      <c r="Z4" s="2960"/>
      <c r="AA4" s="2958" t="s">
        <v>1436</v>
      </c>
      <c r="AB4" s="2959"/>
      <c r="AC4" s="2959"/>
      <c r="AD4" s="2959"/>
      <c r="AE4" s="2960"/>
      <c r="AF4" s="2958" t="s">
        <v>1437</v>
      </c>
      <c r="AG4" s="2959"/>
      <c r="AH4" s="2959"/>
      <c r="AI4" s="2959"/>
      <c r="AJ4" s="2960"/>
      <c r="AK4" s="2961" t="s">
        <v>1374</v>
      </c>
      <c r="AL4" s="2139"/>
      <c r="AM4" s="2139"/>
      <c r="AN4" s="2139"/>
      <c r="AO4" s="2139"/>
      <c r="AP4" s="2139"/>
      <c r="AQ4" s="2139"/>
      <c r="AR4" s="2139"/>
      <c r="AS4" s="2139"/>
      <c r="AT4" s="2139"/>
      <c r="AU4" s="2139"/>
      <c r="AV4" s="2139"/>
      <c r="AW4" s="2139"/>
      <c r="AX4" s="2139"/>
      <c r="AY4" s="2140"/>
    </row>
    <row r="5" spans="1:51" s="787" customFormat="1" ht="44.25" customHeight="1" thickBot="1">
      <c r="B5" s="2962" t="s">
        <v>1438</v>
      </c>
      <c r="C5" s="2963"/>
      <c r="D5" s="2963"/>
      <c r="E5" s="2963"/>
      <c r="F5" s="2964"/>
      <c r="G5" s="788"/>
      <c r="H5" s="789"/>
      <c r="I5" s="789"/>
      <c r="J5" s="789"/>
      <c r="K5" s="790"/>
      <c r="L5" s="2965" t="s">
        <v>1439</v>
      </c>
      <c r="M5" s="2963"/>
      <c r="N5" s="2963"/>
      <c r="O5" s="2963"/>
      <c r="P5" s="2964"/>
      <c r="Q5" s="2966" t="s">
        <v>1440</v>
      </c>
      <c r="R5" s="2967"/>
      <c r="S5" s="2967"/>
      <c r="T5" s="2967"/>
      <c r="U5" s="2968"/>
      <c r="V5" s="788"/>
      <c r="W5" s="789"/>
      <c r="X5" s="789"/>
      <c r="Y5" s="789"/>
      <c r="Z5" s="790"/>
      <c r="AA5" s="2965" t="s">
        <v>1441</v>
      </c>
      <c r="AB5" s="2963"/>
      <c r="AC5" s="2963"/>
      <c r="AD5" s="2963"/>
      <c r="AE5" s="2964"/>
      <c r="AF5" s="2965" t="s">
        <v>1442</v>
      </c>
      <c r="AG5" s="2963"/>
      <c r="AH5" s="2963"/>
      <c r="AI5" s="2963"/>
      <c r="AJ5" s="2964"/>
      <c r="AK5" s="2969" t="s">
        <v>1375</v>
      </c>
      <c r="AL5" s="2970"/>
      <c r="AM5" s="2970"/>
      <c r="AN5" s="2970"/>
      <c r="AO5" s="2971"/>
      <c r="AP5" s="2972" t="s">
        <v>7</v>
      </c>
      <c r="AQ5" s="2973"/>
      <c r="AR5" s="2973"/>
      <c r="AS5" s="2973"/>
      <c r="AT5" s="2974"/>
      <c r="AU5" s="2972" t="s">
        <v>1376</v>
      </c>
      <c r="AV5" s="2973"/>
      <c r="AW5" s="2973"/>
      <c r="AX5" s="2973"/>
      <c r="AY5" s="2974"/>
    </row>
    <row r="6" spans="1:51" s="225" customFormat="1" ht="20.149999999999999" customHeight="1">
      <c r="B6" s="2976"/>
      <c r="C6" s="2932"/>
      <c r="D6" s="2932"/>
      <c r="E6" s="2932"/>
      <c r="F6" s="2933"/>
      <c r="G6" s="2946"/>
      <c r="H6" s="2932"/>
      <c r="I6" s="2932"/>
      <c r="J6" s="2932"/>
      <c r="K6" s="2933"/>
      <c r="L6" s="2946"/>
      <c r="M6" s="2932"/>
      <c r="N6" s="2932"/>
      <c r="O6" s="2932"/>
      <c r="P6" s="2933"/>
      <c r="Q6" s="2946"/>
      <c r="R6" s="2932"/>
      <c r="S6" s="2932"/>
      <c r="T6" s="2932"/>
      <c r="U6" s="2933"/>
      <c r="V6" s="2946"/>
      <c r="W6" s="2932"/>
      <c r="X6" s="2932"/>
      <c r="Y6" s="2932"/>
      <c r="Z6" s="2933"/>
      <c r="AA6" s="2946"/>
      <c r="AB6" s="2932"/>
      <c r="AC6" s="2932"/>
      <c r="AD6" s="2932"/>
      <c r="AE6" s="2933"/>
      <c r="AF6" s="2947"/>
      <c r="AG6" s="2948"/>
      <c r="AH6" s="2948"/>
      <c r="AI6" s="2948"/>
      <c r="AJ6" s="2949"/>
      <c r="AK6" s="2946"/>
      <c r="AL6" s="2932"/>
      <c r="AM6" s="2932"/>
      <c r="AN6" s="2932"/>
      <c r="AO6" s="2933"/>
      <c r="AP6" s="2946"/>
      <c r="AQ6" s="2932"/>
      <c r="AR6" s="2932"/>
      <c r="AS6" s="2932"/>
      <c r="AT6" s="2933"/>
      <c r="AU6" s="2931"/>
      <c r="AV6" s="2932"/>
      <c r="AW6" s="2932"/>
      <c r="AX6" s="2932"/>
      <c r="AY6" s="2933"/>
    </row>
    <row r="7" spans="1:51" s="225" customFormat="1" ht="20.149999999999999" customHeight="1">
      <c r="B7" s="2950"/>
      <c r="C7" s="2935"/>
      <c r="D7" s="2935"/>
      <c r="E7" s="2935"/>
      <c r="F7" s="2936"/>
      <c r="G7" s="2934"/>
      <c r="H7" s="2935"/>
      <c r="I7" s="2935"/>
      <c r="J7" s="2935"/>
      <c r="K7" s="2936"/>
      <c r="L7" s="2934"/>
      <c r="M7" s="2935"/>
      <c r="N7" s="2935"/>
      <c r="O7" s="2935"/>
      <c r="P7" s="2936"/>
      <c r="Q7" s="2934"/>
      <c r="R7" s="2935"/>
      <c r="S7" s="2935"/>
      <c r="T7" s="2935"/>
      <c r="U7" s="2936"/>
      <c r="V7" s="2934"/>
      <c r="W7" s="2935"/>
      <c r="X7" s="2935"/>
      <c r="Y7" s="2935"/>
      <c r="Z7" s="2936"/>
      <c r="AA7" s="2934"/>
      <c r="AB7" s="2935"/>
      <c r="AC7" s="2935"/>
      <c r="AD7" s="2935"/>
      <c r="AE7" s="2936"/>
      <c r="AF7" s="2943"/>
      <c r="AG7" s="2944"/>
      <c r="AH7" s="2944"/>
      <c r="AI7" s="2944"/>
      <c r="AJ7" s="2945"/>
      <c r="AK7" s="2934"/>
      <c r="AL7" s="2935"/>
      <c r="AM7" s="2935"/>
      <c r="AN7" s="2935"/>
      <c r="AO7" s="2936"/>
      <c r="AP7" s="2934"/>
      <c r="AQ7" s="2935"/>
      <c r="AR7" s="2935"/>
      <c r="AS7" s="2935"/>
      <c r="AT7" s="2936"/>
      <c r="AU7" s="2934"/>
      <c r="AV7" s="2935"/>
      <c r="AW7" s="2935"/>
      <c r="AX7" s="2935"/>
      <c r="AY7" s="2936"/>
    </row>
    <row r="8" spans="1:51" s="225" customFormat="1" ht="20.149999999999999" customHeight="1">
      <c r="B8" s="2950"/>
      <c r="C8" s="2935"/>
      <c r="D8" s="2935"/>
      <c r="E8" s="2935"/>
      <c r="F8" s="2936"/>
      <c r="G8" s="2934"/>
      <c r="H8" s="2935"/>
      <c r="I8" s="2935"/>
      <c r="J8" s="2935"/>
      <c r="K8" s="2936"/>
      <c r="L8" s="2934"/>
      <c r="M8" s="2935"/>
      <c r="N8" s="2935"/>
      <c r="O8" s="2935"/>
      <c r="P8" s="2936"/>
      <c r="Q8" s="2934"/>
      <c r="R8" s="2935"/>
      <c r="S8" s="2935"/>
      <c r="T8" s="2935"/>
      <c r="U8" s="2936"/>
      <c r="V8" s="2934"/>
      <c r="W8" s="2935"/>
      <c r="X8" s="2935"/>
      <c r="Y8" s="2935"/>
      <c r="Z8" s="2936"/>
      <c r="AA8" s="2934"/>
      <c r="AB8" s="2935"/>
      <c r="AC8" s="2935"/>
      <c r="AD8" s="2935"/>
      <c r="AE8" s="2936"/>
      <c r="AF8" s="2943"/>
      <c r="AG8" s="2944"/>
      <c r="AH8" s="2944"/>
      <c r="AI8" s="2944"/>
      <c r="AJ8" s="2945"/>
      <c r="AK8" s="2934"/>
      <c r="AL8" s="2935"/>
      <c r="AM8" s="2935"/>
      <c r="AN8" s="2935"/>
      <c r="AO8" s="2936"/>
      <c r="AP8" s="2934"/>
      <c r="AQ8" s="2935"/>
      <c r="AR8" s="2935"/>
      <c r="AS8" s="2935"/>
      <c r="AT8" s="2936"/>
      <c r="AU8" s="2934"/>
      <c r="AV8" s="2935"/>
      <c r="AW8" s="2935"/>
      <c r="AX8" s="2935"/>
      <c r="AY8" s="2936"/>
    </row>
    <row r="9" spans="1:51" s="225" customFormat="1" ht="20.149999999999999" customHeight="1">
      <c r="B9" s="2950"/>
      <c r="C9" s="2935"/>
      <c r="D9" s="2935"/>
      <c r="E9" s="2935"/>
      <c r="F9" s="2936"/>
      <c r="G9" s="2934"/>
      <c r="H9" s="2935"/>
      <c r="I9" s="2935"/>
      <c r="J9" s="2935"/>
      <c r="K9" s="2936"/>
      <c r="L9" s="2934"/>
      <c r="M9" s="2935"/>
      <c r="N9" s="2935"/>
      <c r="O9" s="2935"/>
      <c r="P9" s="2936"/>
      <c r="Q9" s="2934"/>
      <c r="R9" s="2935"/>
      <c r="S9" s="2935"/>
      <c r="T9" s="2935"/>
      <c r="U9" s="2936"/>
      <c r="V9" s="2934"/>
      <c r="W9" s="2935"/>
      <c r="X9" s="2935"/>
      <c r="Y9" s="2935"/>
      <c r="Z9" s="2936"/>
      <c r="AA9" s="2934"/>
      <c r="AB9" s="2935"/>
      <c r="AC9" s="2935"/>
      <c r="AD9" s="2935"/>
      <c r="AE9" s="2936"/>
      <c r="AF9" s="2943"/>
      <c r="AG9" s="2944"/>
      <c r="AH9" s="2944"/>
      <c r="AI9" s="2944"/>
      <c r="AJ9" s="2945"/>
      <c r="AK9" s="2934"/>
      <c r="AL9" s="2935"/>
      <c r="AM9" s="2935"/>
      <c r="AN9" s="2935"/>
      <c r="AO9" s="2936"/>
      <c r="AP9" s="2934"/>
      <c r="AQ9" s="2935"/>
      <c r="AR9" s="2935"/>
      <c r="AS9" s="2935"/>
      <c r="AT9" s="2936"/>
      <c r="AU9" s="2934"/>
      <c r="AV9" s="2935"/>
      <c r="AW9" s="2935"/>
      <c r="AX9" s="2935"/>
      <c r="AY9" s="2936"/>
    </row>
    <row r="10" spans="1:51" s="225" customFormat="1" ht="20.149999999999999" customHeight="1">
      <c r="B10" s="2950"/>
      <c r="C10" s="2935"/>
      <c r="D10" s="2935"/>
      <c r="E10" s="2935"/>
      <c r="F10" s="2936"/>
      <c r="G10" s="2934"/>
      <c r="H10" s="2935"/>
      <c r="I10" s="2935"/>
      <c r="J10" s="2935"/>
      <c r="K10" s="2936"/>
      <c r="L10" s="2934"/>
      <c r="M10" s="2935"/>
      <c r="N10" s="2935"/>
      <c r="O10" s="2935"/>
      <c r="P10" s="2936"/>
      <c r="Q10" s="2934"/>
      <c r="R10" s="2935"/>
      <c r="S10" s="2935"/>
      <c r="T10" s="2935"/>
      <c r="U10" s="2936"/>
      <c r="V10" s="2934"/>
      <c r="W10" s="2935"/>
      <c r="X10" s="2935"/>
      <c r="Y10" s="2935"/>
      <c r="Z10" s="2936"/>
      <c r="AA10" s="2934"/>
      <c r="AB10" s="2935"/>
      <c r="AC10" s="2935"/>
      <c r="AD10" s="2935"/>
      <c r="AE10" s="2936"/>
      <c r="AF10" s="2943"/>
      <c r="AG10" s="2944"/>
      <c r="AH10" s="2944"/>
      <c r="AI10" s="2944"/>
      <c r="AJ10" s="2945"/>
      <c r="AK10" s="2934"/>
      <c r="AL10" s="2935"/>
      <c r="AM10" s="2935"/>
      <c r="AN10" s="2935"/>
      <c r="AO10" s="2936"/>
      <c r="AP10" s="2934"/>
      <c r="AQ10" s="2935"/>
      <c r="AR10" s="2935"/>
      <c r="AS10" s="2935"/>
      <c r="AT10" s="2936"/>
      <c r="AU10" s="2934"/>
      <c r="AV10" s="2935"/>
      <c r="AW10" s="2935"/>
      <c r="AX10" s="2935"/>
      <c r="AY10" s="2936"/>
    </row>
    <row r="11" spans="1:51" s="225" customFormat="1" ht="20.149999999999999" customHeight="1">
      <c r="B11" s="2950"/>
      <c r="C11" s="2935"/>
      <c r="D11" s="2935"/>
      <c r="E11" s="2935"/>
      <c r="F11" s="2936"/>
      <c r="G11" s="2934"/>
      <c r="H11" s="2935"/>
      <c r="I11" s="2935"/>
      <c r="J11" s="2935"/>
      <c r="K11" s="2936"/>
      <c r="L11" s="2934"/>
      <c r="M11" s="2935"/>
      <c r="N11" s="2935"/>
      <c r="O11" s="2935"/>
      <c r="P11" s="2936"/>
      <c r="Q11" s="2934"/>
      <c r="R11" s="2935"/>
      <c r="S11" s="2935"/>
      <c r="T11" s="2935"/>
      <c r="U11" s="2936"/>
      <c r="V11" s="2934"/>
      <c r="W11" s="2935"/>
      <c r="X11" s="2935"/>
      <c r="Y11" s="2935"/>
      <c r="Z11" s="2936"/>
      <c r="AA11" s="2934"/>
      <c r="AB11" s="2935"/>
      <c r="AC11" s="2935"/>
      <c r="AD11" s="2935"/>
      <c r="AE11" s="2936"/>
      <c r="AF11" s="2943"/>
      <c r="AG11" s="2944"/>
      <c r="AH11" s="2944"/>
      <c r="AI11" s="2944"/>
      <c r="AJ11" s="2945"/>
      <c r="AK11" s="2934"/>
      <c r="AL11" s="2935"/>
      <c r="AM11" s="2935"/>
      <c r="AN11" s="2935"/>
      <c r="AO11" s="2936"/>
      <c r="AP11" s="2934"/>
      <c r="AQ11" s="2935"/>
      <c r="AR11" s="2935"/>
      <c r="AS11" s="2935"/>
      <c r="AT11" s="2936"/>
      <c r="AU11" s="2934"/>
      <c r="AV11" s="2935"/>
      <c r="AW11" s="2935"/>
      <c r="AX11" s="2935"/>
      <c r="AY11" s="2936"/>
    </row>
    <row r="12" spans="1:51" s="225" customFormat="1" ht="20.149999999999999" customHeight="1">
      <c r="B12" s="2950"/>
      <c r="C12" s="2935"/>
      <c r="D12" s="2935"/>
      <c r="E12" s="2935"/>
      <c r="F12" s="2936"/>
      <c r="G12" s="2934"/>
      <c r="H12" s="2935"/>
      <c r="I12" s="2935"/>
      <c r="J12" s="2935"/>
      <c r="K12" s="2936"/>
      <c r="L12" s="2934"/>
      <c r="M12" s="2935"/>
      <c r="N12" s="2935"/>
      <c r="O12" s="2935"/>
      <c r="P12" s="2936"/>
      <c r="Q12" s="2934"/>
      <c r="R12" s="2935"/>
      <c r="S12" s="2935"/>
      <c r="T12" s="2935"/>
      <c r="U12" s="2936"/>
      <c r="V12" s="2934"/>
      <c r="W12" s="2935"/>
      <c r="X12" s="2935"/>
      <c r="Y12" s="2935"/>
      <c r="Z12" s="2936"/>
      <c r="AA12" s="2934"/>
      <c r="AB12" s="2935"/>
      <c r="AC12" s="2935"/>
      <c r="AD12" s="2935"/>
      <c r="AE12" s="2936"/>
      <c r="AF12" s="2943"/>
      <c r="AG12" s="2944"/>
      <c r="AH12" s="2944"/>
      <c r="AI12" s="2944"/>
      <c r="AJ12" s="2945"/>
      <c r="AK12" s="2934"/>
      <c r="AL12" s="2935"/>
      <c r="AM12" s="2935"/>
      <c r="AN12" s="2935"/>
      <c r="AO12" s="2936"/>
      <c r="AP12" s="2934"/>
      <c r="AQ12" s="2935"/>
      <c r="AR12" s="2935"/>
      <c r="AS12" s="2935"/>
      <c r="AT12" s="2936"/>
      <c r="AU12" s="2934"/>
      <c r="AV12" s="2935"/>
      <c r="AW12" s="2935"/>
      <c r="AX12" s="2935"/>
      <c r="AY12" s="2936"/>
    </row>
    <row r="13" spans="1:51" s="225" customFormat="1" ht="20.149999999999999" customHeight="1">
      <c r="B13" s="2950"/>
      <c r="C13" s="2935"/>
      <c r="D13" s="2935"/>
      <c r="E13" s="2935"/>
      <c r="F13" s="2936"/>
      <c r="G13" s="2934"/>
      <c r="H13" s="2935"/>
      <c r="I13" s="2935"/>
      <c r="J13" s="2935"/>
      <c r="K13" s="2936"/>
      <c r="L13" s="2934"/>
      <c r="M13" s="2935"/>
      <c r="N13" s="2935"/>
      <c r="O13" s="2935"/>
      <c r="P13" s="2936"/>
      <c r="Q13" s="2934"/>
      <c r="R13" s="2935"/>
      <c r="S13" s="2935"/>
      <c r="T13" s="2935"/>
      <c r="U13" s="2936"/>
      <c r="V13" s="2934"/>
      <c r="W13" s="2935"/>
      <c r="X13" s="2935"/>
      <c r="Y13" s="2935"/>
      <c r="Z13" s="2936"/>
      <c r="AA13" s="2934"/>
      <c r="AB13" s="2935"/>
      <c r="AC13" s="2935"/>
      <c r="AD13" s="2935"/>
      <c r="AE13" s="2936"/>
      <c r="AF13" s="2943"/>
      <c r="AG13" s="2944"/>
      <c r="AH13" s="2944"/>
      <c r="AI13" s="2944"/>
      <c r="AJ13" s="2945"/>
      <c r="AK13" s="2934"/>
      <c r="AL13" s="2935"/>
      <c r="AM13" s="2935"/>
      <c r="AN13" s="2935"/>
      <c r="AO13" s="2936"/>
      <c r="AP13" s="2934"/>
      <c r="AQ13" s="2935"/>
      <c r="AR13" s="2935"/>
      <c r="AS13" s="2935"/>
      <c r="AT13" s="2936"/>
      <c r="AU13" s="2934"/>
      <c r="AV13" s="2935"/>
      <c r="AW13" s="2935"/>
      <c r="AX13" s="2935"/>
      <c r="AY13" s="2936"/>
    </row>
    <row r="14" spans="1:51" s="225" customFormat="1" ht="20.149999999999999" customHeight="1" thickBot="1">
      <c r="B14" s="2957"/>
      <c r="C14" s="2938"/>
      <c r="D14" s="2938"/>
      <c r="E14" s="2938"/>
      <c r="F14" s="2939"/>
      <c r="G14" s="2937"/>
      <c r="H14" s="2938"/>
      <c r="I14" s="2938"/>
      <c r="J14" s="2938"/>
      <c r="K14" s="2939"/>
      <c r="L14" s="2937"/>
      <c r="M14" s="2938"/>
      <c r="N14" s="2938"/>
      <c r="O14" s="2938"/>
      <c r="P14" s="2939"/>
      <c r="Q14" s="2937"/>
      <c r="R14" s="2938"/>
      <c r="S14" s="2938"/>
      <c r="T14" s="2938"/>
      <c r="U14" s="2939"/>
      <c r="V14" s="2937"/>
      <c r="W14" s="2938"/>
      <c r="X14" s="2938"/>
      <c r="Y14" s="2938"/>
      <c r="Z14" s="2939"/>
      <c r="AA14" s="2937"/>
      <c r="AB14" s="2938"/>
      <c r="AC14" s="2938"/>
      <c r="AD14" s="2938"/>
      <c r="AE14" s="2939"/>
      <c r="AF14" s="2940"/>
      <c r="AG14" s="2941"/>
      <c r="AH14" s="2941"/>
      <c r="AI14" s="2941"/>
      <c r="AJ14" s="2942"/>
      <c r="AK14" s="2937"/>
      <c r="AL14" s="2938"/>
      <c r="AM14" s="2938"/>
      <c r="AN14" s="2938"/>
      <c r="AO14" s="2939"/>
      <c r="AP14" s="2937"/>
      <c r="AQ14" s="2938"/>
      <c r="AR14" s="2938"/>
      <c r="AS14" s="2938"/>
      <c r="AT14" s="2939"/>
      <c r="AU14" s="2937"/>
      <c r="AV14" s="2938"/>
      <c r="AW14" s="2938"/>
      <c r="AX14" s="2938"/>
      <c r="AY14" s="2939"/>
    </row>
    <row r="15" spans="1:51" s="225" customFormat="1" ht="20.5" customHeight="1">
      <c r="A15" s="777"/>
      <c r="B15" s="778" t="s">
        <v>151</v>
      </c>
      <c r="C15" s="2956" t="s">
        <v>1443</v>
      </c>
      <c r="D15" s="2956"/>
      <c r="E15" s="2956"/>
      <c r="F15" s="2956"/>
      <c r="G15" s="2956"/>
      <c r="H15" s="2956"/>
      <c r="I15" s="2956"/>
      <c r="J15" s="2956"/>
      <c r="K15" s="2956"/>
      <c r="L15" s="2956"/>
      <c r="M15" s="2956"/>
      <c r="N15" s="2956"/>
      <c r="O15" s="2956"/>
      <c r="P15" s="2956"/>
      <c r="Q15" s="2956"/>
      <c r="R15" s="2956"/>
      <c r="S15" s="2956"/>
      <c r="T15" s="2956"/>
      <c r="U15" s="2956"/>
      <c r="V15" s="2956"/>
      <c r="W15" s="2956"/>
      <c r="X15" s="2956"/>
      <c r="Y15" s="2956"/>
      <c r="Z15" s="2956"/>
      <c r="AA15" s="2956"/>
      <c r="AB15" s="2956"/>
      <c r="AC15" s="2956"/>
      <c r="AD15" s="2956"/>
      <c r="AE15" s="2956"/>
      <c r="AF15" s="2956"/>
      <c r="AG15" s="2956"/>
      <c r="AH15" s="2956"/>
      <c r="AI15" s="2956"/>
      <c r="AJ15" s="2956"/>
      <c r="AK15" s="2956"/>
      <c r="AL15" s="2956"/>
      <c r="AM15" s="2956"/>
      <c r="AN15" s="2956"/>
      <c r="AO15" s="2956"/>
      <c r="AP15" s="2956"/>
      <c r="AQ15" s="2956"/>
      <c r="AR15" s="2956"/>
      <c r="AS15" s="2956"/>
      <c r="AT15" s="2956"/>
      <c r="AU15" s="2956"/>
      <c r="AV15" s="2956"/>
      <c r="AW15" s="2956"/>
      <c r="AX15" s="2956"/>
      <c r="AY15" s="2956"/>
    </row>
    <row r="16" spans="1:51" s="225" customFormat="1">
      <c r="B16" s="779"/>
      <c r="C16" s="780" t="s">
        <v>114</v>
      </c>
      <c r="D16" s="2916" t="s">
        <v>1444</v>
      </c>
      <c r="E16" s="2916"/>
      <c r="F16" s="2916"/>
      <c r="G16" s="2916"/>
      <c r="H16" s="2916"/>
      <c r="I16" s="2916"/>
      <c r="J16" s="2916"/>
      <c r="K16" s="2916"/>
      <c r="L16" s="2916"/>
      <c r="M16" s="2916"/>
      <c r="N16" s="2916"/>
      <c r="O16" s="2916"/>
      <c r="P16" s="2916"/>
      <c r="Q16" s="2916"/>
      <c r="R16" s="2916"/>
      <c r="S16" s="2916"/>
      <c r="T16" s="2916"/>
      <c r="U16" s="2916"/>
      <c r="V16" s="2916"/>
      <c r="W16" s="2916"/>
      <c r="X16" s="2916"/>
      <c r="Y16" s="2916"/>
      <c r="Z16" s="2916"/>
      <c r="AA16" s="2916"/>
      <c r="AB16" s="2916"/>
      <c r="AC16" s="2916"/>
      <c r="AD16" s="2916"/>
      <c r="AE16" s="2916"/>
      <c r="AF16" s="2916"/>
      <c r="AG16" s="2916"/>
      <c r="AH16" s="2916"/>
      <c r="AI16" s="2916"/>
      <c r="AJ16" s="2916"/>
      <c r="AK16" s="2916"/>
      <c r="AL16" s="2916"/>
      <c r="AM16" s="2916"/>
      <c r="AN16" s="2916"/>
      <c r="AO16" s="2916"/>
      <c r="AP16" s="2916"/>
      <c r="AQ16" s="2916"/>
      <c r="AR16" s="2916"/>
      <c r="AS16" s="2916"/>
      <c r="AT16" s="2916"/>
      <c r="AU16" s="2916"/>
      <c r="AV16" s="2916"/>
      <c r="AW16" s="2916"/>
      <c r="AX16" s="2916"/>
      <c r="AY16" s="2916"/>
    </row>
    <row r="17" spans="1:51" s="225" customFormat="1">
      <c r="B17" s="780"/>
      <c r="C17" s="780" t="s">
        <v>115</v>
      </c>
      <c r="D17" s="2916" t="s">
        <v>1445</v>
      </c>
      <c r="E17" s="2916"/>
      <c r="F17" s="2916"/>
      <c r="G17" s="2916"/>
      <c r="H17" s="2916"/>
      <c r="I17" s="2916"/>
      <c r="J17" s="2916"/>
      <c r="K17" s="2916"/>
      <c r="L17" s="2916"/>
      <c r="M17" s="2916"/>
      <c r="N17" s="2916"/>
      <c r="O17" s="2916"/>
      <c r="P17" s="2916"/>
      <c r="Q17" s="2916"/>
      <c r="R17" s="2916"/>
      <c r="S17" s="2916"/>
      <c r="T17" s="2916"/>
      <c r="U17" s="2916"/>
      <c r="V17" s="2916"/>
      <c r="W17" s="2916"/>
      <c r="X17" s="2916"/>
      <c r="Y17" s="2916"/>
      <c r="Z17" s="2916"/>
      <c r="AA17" s="2916"/>
      <c r="AB17" s="2916"/>
      <c r="AC17" s="2916"/>
      <c r="AD17" s="2916"/>
      <c r="AE17" s="2916"/>
      <c r="AF17" s="2916"/>
      <c r="AG17" s="2916"/>
      <c r="AH17" s="2916"/>
      <c r="AI17" s="2916"/>
      <c r="AJ17" s="2916"/>
      <c r="AK17" s="2916"/>
      <c r="AL17" s="2916"/>
      <c r="AM17" s="2916"/>
      <c r="AN17" s="2916"/>
      <c r="AO17" s="2916"/>
      <c r="AP17" s="2916"/>
      <c r="AQ17" s="2916"/>
      <c r="AR17" s="2916"/>
      <c r="AS17" s="2916"/>
      <c r="AT17" s="2916"/>
      <c r="AU17" s="2916"/>
      <c r="AV17" s="2916"/>
      <c r="AW17" s="2916"/>
      <c r="AX17" s="2916"/>
      <c r="AY17" s="2916"/>
    </row>
    <row r="18" spans="1:51" s="225" customFormat="1">
      <c r="B18" s="780"/>
      <c r="C18" s="780" t="s">
        <v>149</v>
      </c>
      <c r="D18" s="2916" t="s">
        <v>1446</v>
      </c>
      <c r="E18" s="2916"/>
      <c r="F18" s="2916"/>
      <c r="G18" s="2916"/>
      <c r="H18" s="2916"/>
      <c r="I18" s="2916"/>
      <c r="J18" s="2916"/>
      <c r="K18" s="2916"/>
      <c r="L18" s="2916"/>
      <c r="M18" s="2916"/>
      <c r="N18" s="2916"/>
      <c r="O18" s="2916"/>
      <c r="P18" s="2916"/>
      <c r="Q18" s="2916"/>
      <c r="R18" s="2916"/>
      <c r="S18" s="2916"/>
      <c r="T18" s="2916"/>
      <c r="U18" s="2916"/>
      <c r="V18" s="2916"/>
      <c r="W18" s="2916"/>
      <c r="X18" s="2916"/>
      <c r="Y18" s="2916"/>
      <c r="Z18" s="2916"/>
      <c r="AA18" s="2916"/>
      <c r="AB18" s="2916"/>
      <c r="AC18" s="2916"/>
      <c r="AD18" s="2916"/>
      <c r="AE18" s="2916"/>
      <c r="AF18" s="2916"/>
      <c r="AG18" s="2916"/>
      <c r="AH18" s="2916"/>
      <c r="AI18" s="2916"/>
      <c r="AJ18" s="2916"/>
      <c r="AK18" s="2916"/>
      <c r="AL18" s="2916"/>
      <c r="AM18" s="2916"/>
      <c r="AN18" s="2916"/>
      <c r="AO18" s="2916"/>
      <c r="AP18" s="2916"/>
      <c r="AQ18" s="2916"/>
      <c r="AR18" s="2916"/>
      <c r="AS18" s="2916"/>
      <c r="AT18" s="2916"/>
      <c r="AU18" s="2916"/>
      <c r="AV18" s="2916"/>
      <c r="AW18" s="2916"/>
      <c r="AX18" s="2916"/>
      <c r="AY18" s="2916"/>
    </row>
    <row r="19" spans="1:51" s="225" customFormat="1">
      <c r="B19" s="780"/>
      <c r="C19" s="780" t="s">
        <v>150</v>
      </c>
      <c r="D19" s="2916" t="s">
        <v>1447</v>
      </c>
      <c r="E19" s="2916"/>
      <c r="F19" s="2916"/>
      <c r="G19" s="2916"/>
      <c r="H19" s="2916"/>
      <c r="I19" s="2916"/>
      <c r="J19" s="2916"/>
      <c r="K19" s="2916"/>
      <c r="L19" s="2916"/>
      <c r="M19" s="2916"/>
      <c r="N19" s="2916"/>
      <c r="O19" s="2916"/>
      <c r="P19" s="2916"/>
      <c r="Q19" s="2916"/>
      <c r="R19" s="2916"/>
      <c r="S19" s="2916"/>
      <c r="T19" s="2916"/>
      <c r="U19" s="2916"/>
      <c r="V19" s="2916"/>
      <c r="W19" s="2916"/>
      <c r="X19" s="2916"/>
      <c r="Y19" s="2916"/>
      <c r="Z19" s="2916"/>
      <c r="AA19" s="2916"/>
      <c r="AB19" s="2916"/>
      <c r="AC19" s="2916"/>
      <c r="AD19" s="2916"/>
      <c r="AE19" s="2916"/>
      <c r="AF19" s="2916"/>
      <c r="AG19" s="2916"/>
      <c r="AH19" s="2916"/>
      <c r="AI19" s="2916"/>
      <c r="AJ19" s="2916"/>
      <c r="AK19" s="2916"/>
      <c r="AL19" s="2916"/>
      <c r="AM19" s="2916"/>
      <c r="AN19" s="2916"/>
      <c r="AO19" s="2916"/>
      <c r="AP19" s="2916"/>
      <c r="AQ19" s="2916"/>
      <c r="AR19" s="2916"/>
      <c r="AS19" s="2916"/>
      <c r="AT19" s="2916"/>
      <c r="AU19" s="2916"/>
      <c r="AV19" s="2916"/>
      <c r="AW19" s="2916"/>
      <c r="AX19" s="2916"/>
      <c r="AY19" s="2916"/>
    </row>
    <row r="20" spans="1:51" s="225" customFormat="1">
      <c r="B20" s="780"/>
      <c r="C20" s="780" t="s">
        <v>167</v>
      </c>
      <c r="D20" s="2916" t="s">
        <v>1448</v>
      </c>
      <c r="E20" s="2916"/>
      <c r="F20" s="2916"/>
      <c r="G20" s="2916"/>
      <c r="H20" s="2916"/>
      <c r="I20" s="2916"/>
      <c r="J20" s="2916"/>
      <c r="K20" s="2916"/>
      <c r="L20" s="2916"/>
      <c r="M20" s="2916"/>
      <c r="N20" s="2916"/>
      <c r="O20" s="2916"/>
      <c r="P20" s="2916"/>
      <c r="Q20" s="2916"/>
      <c r="R20" s="2916"/>
      <c r="S20" s="2916"/>
      <c r="T20" s="2916"/>
      <c r="U20" s="2916"/>
      <c r="V20" s="2916"/>
      <c r="W20" s="2916"/>
      <c r="X20" s="2916"/>
      <c r="Y20" s="2916"/>
      <c r="Z20" s="2916"/>
      <c r="AA20" s="2916"/>
      <c r="AB20" s="2916"/>
      <c r="AC20" s="2916"/>
      <c r="AD20" s="2916"/>
      <c r="AE20" s="2916"/>
      <c r="AF20" s="2916"/>
      <c r="AG20" s="2916"/>
      <c r="AH20" s="2916"/>
      <c r="AI20" s="2916"/>
      <c r="AJ20" s="2916"/>
      <c r="AK20" s="2916"/>
      <c r="AL20" s="2916"/>
      <c r="AM20" s="2916"/>
      <c r="AN20" s="2916"/>
      <c r="AO20" s="2916"/>
      <c r="AP20" s="2916"/>
      <c r="AQ20" s="2916"/>
      <c r="AR20" s="2916"/>
      <c r="AS20" s="2916"/>
      <c r="AT20" s="2916"/>
      <c r="AU20" s="2916"/>
      <c r="AV20" s="2916"/>
      <c r="AW20" s="2916"/>
      <c r="AX20" s="2916"/>
      <c r="AY20" s="2916"/>
    </row>
    <row r="21" spans="1:51" s="225" customFormat="1">
      <c r="A21" s="777"/>
      <c r="B21" s="778" t="s">
        <v>152</v>
      </c>
      <c r="C21" s="2953" t="s">
        <v>1449</v>
      </c>
      <c r="D21" s="2953"/>
      <c r="E21" s="2953"/>
      <c r="F21" s="2953"/>
      <c r="G21" s="2953"/>
      <c r="H21" s="2953"/>
      <c r="I21" s="2953"/>
      <c r="J21" s="2953"/>
      <c r="K21" s="2953"/>
      <c r="L21" s="2953"/>
      <c r="M21" s="2953"/>
      <c r="N21" s="2953"/>
      <c r="O21" s="2953"/>
      <c r="P21" s="2953"/>
      <c r="Q21" s="2953"/>
      <c r="R21" s="2953"/>
      <c r="S21" s="2953"/>
      <c r="T21" s="2953"/>
      <c r="U21" s="2953"/>
      <c r="V21" s="2953"/>
      <c r="W21" s="2953"/>
      <c r="X21" s="2953"/>
      <c r="Y21" s="2953"/>
      <c r="Z21" s="2953"/>
      <c r="AA21" s="2953"/>
      <c r="AB21" s="2953"/>
      <c r="AC21" s="2953"/>
      <c r="AD21" s="2953"/>
      <c r="AE21" s="2953"/>
      <c r="AF21" s="2953"/>
      <c r="AG21" s="2953"/>
      <c r="AH21" s="2953"/>
      <c r="AI21" s="2953"/>
      <c r="AJ21" s="2953"/>
      <c r="AK21" s="2953"/>
      <c r="AL21" s="2953"/>
      <c r="AM21" s="2953"/>
      <c r="AN21" s="2953"/>
      <c r="AO21" s="2953"/>
      <c r="AP21" s="2953"/>
      <c r="AQ21" s="2953"/>
      <c r="AR21" s="2953"/>
      <c r="AS21" s="2953"/>
      <c r="AT21" s="2953"/>
      <c r="AU21" s="2953"/>
      <c r="AV21" s="2953"/>
      <c r="AW21" s="2953"/>
      <c r="AX21" s="2953"/>
      <c r="AY21" s="2953"/>
    </row>
    <row r="22" spans="1:51" s="225" customFormat="1">
      <c r="A22" s="777"/>
      <c r="B22" s="778" t="s">
        <v>153</v>
      </c>
      <c r="C22" s="2953" t="s">
        <v>1431</v>
      </c>
      <c r="D22" s="2953"/>
      <c r="E22" s="2953"/>
      <c r="F22" s="2953"/>
      <c r="G22" s="2953"/>
      <c r="H22" s="2953"/>
      <c r="I22" s="2953"/>
      <c r="J22" s="2953"/>
      <c r="K22" s="2953"/>
      <c r="L22" s="2953"/>
      <c r="M22" s="2953"/>
      <c r="N22" s="2953"/>
      <c r="O22" s="2953"/>
      <c r="P22" s="2953"/>
      <c r="Q22" s="2953"/>
      <c r="R22" s="2953"/>
      <c r="S22" s="2953"/>
      <c r="T22" s="2953"/>
      <c r="U22" s="2953"/>
      <c r="V22" s="2953"/>
      <c r="W22" s="2953"/>
      <c r="X22" s="2953"/>
      <c r="Y22" s="2953"/>
      <c r="Z22" s="2953"/>
      <c r="AA22" s="2953"/>
      <c r="AB22" s="2953"/>
      <c r="AC22" s="2953"/>
      <c r="AD22" s="2953"/>
      <c r="AE22" s="2953"/>
      <c r="AF22" s="2953"/>
      <c r="AG22" s="2953"/>
      <c r="AH22" s="2953"/>
      <c r="AI22" s="2953"/>
      <c r="AJ22" s="2953"/>
      <c r="AK22" s="2953"/>
      <c r="AL22" s="2953"/>
      <c r="AM22" s="2953"/>
      <c r="AN22" s="2953"/>
      <c r="AO22" s="2953"/>
      <c r="AP22" s="2953"/>
      <c r="AQ22" s="2953"/>
      <c r="AR22" s="2953"/>
      <c r="AS22" s="2953"/>
      <c r="AT22" s="2953"/>
      <c r="AU22" s="2953"/>
      <c r="AV22" s="2953"/>
      <c r="AW22" s="2953"/>
      <c r="AX22" s="2953"/>
      <c r="AY22" s="2953"/>
    </row>
    <row r="23" spans="1:51" s="225" customFormat="1">
      <c r="A23" s="777"/>
      <c r="B23" s="778" t="s">
        <v>154</v>
      </c>
      <c r="C23" s="2953" t="s">
        <v>1450</v>
      </c>
      <c r="D23" s="2953"/>
      <c r="E23" s="2953"/>
      <c r="F23" s="2953"/>
      <c r="G23" s="2953"/>
      <c r="H23" s="2953"/>
      <c r="I23" s="2953"/>
      <c r="J23" s="2953"/>
      <c r="K23" s="2953"/>
      <c r="L23" s="2953"/>
      <c r="M23" s="2953"/>
      <c r="N23" s="2953"/>
      <c r="O23" s="2953"/>
      <c r="P23" s="2953"/>
      <c r="Q23" s="2953"/>
      <c r="R23" s="2953"/>
      <c r="S23" s="2953"/>
      <c r="T23" s="2953"/>
      <c r="U23" s="2953"/>
      <c r="V23" s="2953"/>
      <c r="W23" s="2953"/>
      <c r="X23" s="2953"/>
      <c r="Y23" s="2953"/>
      <c r="Z23" s="2953"/>
      <c r="AA23" s="2953"/>
      <c r="AB23" s="2953"/>
      <c r="AC23" s="2953"/>
      <c r="AD23" s="2953"/>
      <c r="AE23" s="2953"/>
      <c r="AF23" s="2953"/>
      <c r="AG23" s="2953"/>
      <c r="AH23" s="2953"/>
      <c r="AI23" s="2953"/>
      <c r="AJ23" s="2953"/>
      <c r="AK23" s="2953"/>
      <c r="AL23" s="2953"/>
      <c r="AM23" s="2953"/>
      <c r="AN23" s="2953"/>
      <c r="AO23" s="2953"/>
      <c r="AP23" s="2953"/>
      <c r="AQ23" s="2953"/>
      <c r="AR23" s="2953"/>
      <c r="AS23" s="2953"/>
      <c r="AT23" s="2953"/>
      <c r="AU23" s="2953"/>
      <c r="AV23" s="2953"/>
      <c r="AW23" s="2953"/>
      <c r="AX23" s="2953"/>
      <c r="AY23" s="2953"/>
    </row>
    <row r="24" spans="1:51" s="225" customFormat="1">
      <c r="A24" s="777"/>
      <c r="B24" s="778" t="s">
        <v>155</v>
      </c>
      <c r="C24" s="2953" t="s">
        <v>1451</v>
      </c>
      <c r="D24" s="2953"/>
      <c r="E24" s="2953"/>
      <c r="F24" s="2953"/>
      <c r="G24" s="2953"/>
      <c r="H24" s="2953"/>
      <c r="I24" s="2953"/>
      <c r="J24" s="2953"/>
      <c r="K24" s="2953"/>
      <c r="L24" s="2953"/>
      <c r="M24" s="2953"/>
      <c r="N24" s="2953"/>
      <c r="O24" s="2953"/>
      <c r="P24" s="2953"/>
      <c r="Q24" s="2953"/>
      <c r="R24" s="2953"/>
      <c r="S24" s="2953"/>
      <c r="T24" s="2953"/>
      <c r="U24" s="2953"/>
      <c r="V24" s="2953"/>
      <c r="W24" s="2953"/>
      <c r="X24" s="2953"/>
      <c r="Y24" s="2953"/>
      <c r="Z24" s="2953"/>
      <c r="AA24" s="2953"/>
      <c r="AB24" s="2953"/>
      <c r="AC24" s="2953"/>
      <c r="AD24" s="2953"/>
      <c r="AE24" s="2953"/>
      <c r="AF24" s="2953"/>
      <c r="AG24" s="2953"/>
      <c r="AH24" s="2953"/>
      <c r="AI24" s="2953"/>
      <c r="AJ24" s="2953"/>
      <c r="AK24" s="2953"/>
      <c r="AL24" s="2953"/>
      <c r="AM24" s="2953"/>
      <c r="AN24" s="2953"/>
      <c r="AO24" s="2953"/>
      <c r="AP24" s="2953"/>
      <c r="AQ24" s="2953"/>
      <c r="AR24" s="2953"/>
      <c r="AS24" s="2953"/>
      <c r="AT24" s="2953"/>
      <c r="AU24" s="2953"/>
      <c r="AV24" s="2953"/>
      <c r="AW24" s="2953"/>
      <c r="AX24" s="2953"/>
      <c r="AY24" s="2953"/>
    </row>
    <row r="25" spans="1:51" s="225" customFormat="1">
      <c r="A25" s="777"/>
      <c r="B25" s="778" t="s">
        <v>156</v>
      </c>
      <c r="C25" s="2953" t="s">
        <v>1452</v>
      </c>
      <c r="D25" s="2953"/>
      <c r="E25" s="2953"/>
      <c r="F25" s="2953"/>
      <c r="G25" s="2953"/>
      <c r="H25" s="2953"/>
      <c r="I25" s="2953"/>
      <c r="J25" s="2953"/>
      <c r="K25" s="2953"/>
      <c r="L25" s="2953"/>
      <c r="M25" s="2953"/>
      <c r="N25" s="2953"/>
      <c r="O25" s="2953"/>
      <c r="P25" s="2953"/>
      <c r="Q25" s="2953"/>
      <c r="R25" s="2953"/>
      <c r="S25" s="2953"/>
      <c r="T25" s="2953"/>
      <c r="U25" s="2953"/>
      <c r="V25" s="2953"/>
      <c r="W25" s="2953"/>
      <c r="X25" s="2953"/>
      <c r="Y25" s="2953"/>
      <c r="Z25" s="2953"/>
      <c r="AA25" s="2953"/>
      <c r="AB25" s="2953"/>
      <c r="AC25" s="2953"/>
      <c r="AD25" s="2953"/>
      <c r="AE25" s="2953"/>
      <c r="AF25" s="2953"/>
      <c r="AG25" s="2953"/>
      <c r="AH25" s="2953"/>
      <c r="AI25" s="2953"/>
      <c r="AJ25" s="2953"/>
      <c r="AK25" s="2953"/>
      <c r="AL25" s="2953"/>
      <c r="AM25" s="2953"/>
      <c r="AN25" s="2953"/>
      <c r="AO25" s="2953"/>
      <c r="AP25" s="2953"/>
      <c r="AQ25" s="2953"/>
      <c r="AR25" s="2953"/>
      <c r="AS25" s="2953"/>
      <c r="AT25" s="2953"/>
      <c r="AU25" s="2953"/>
      <c r="AV25" s="2953"/>
      <c r="AW25" s="2953"/>
      <c r="AX25" s="2953"/>
      <c r="AY25" s="2953"/>
    </row>
    <row r="26" spans="1:51" s="225" customFormat="1">
      <c r="A26" s="777"/>
      <c r="B26" s="778" t="s">
        <v>157</v>
      </c>
      <c r="C26" s="2953" t="s">
        <v>1453</v>
      </c>
      <c r="D26" s="2953"/>
      <c r="E26" s="2953"/>
      <c r="F26" s="2953"/>
      <c r="G26" s="2953"/>
      <c r="H26" s="2953"/>
      <c r="I26" s="2953"/>
      <c r="J26" s="2953"/>
      <c r="K26" s="2953"/>
      <c r="L26" s="2953"/>
      <c r="M26" s="2953"/>
      <c r="N26" s="2953"/>
      <c r="O26" s="2953"/>
      <c r="P26" s="2953"/>
      <c r="Q26" s="2953"/>
      <c r="R26" s="2953"/>
      <c r="S26" s="2953"/>
      <c r="T26" s="2953"/>
      <c r="U26" s="2953"/>
      <c r="V26" s="2953"/>
      <c r="W26" s="2953"/>
      <c r="X26" s="2953"/>
      <c r="Y26" s="2953"/>
      <c r="Z26" s="2953"/>
      <c r="AA26" s="2953"/>
      <c r="AB26" s="2953"/>
      <c r="AC26" s="2953"/>
      <c r="AD26" s="2953"/>
      <c r="AE26" s="2953"/>
      <c r="AF26" s="2953"/>
      <c r="AG26" s="2953"/>
      <c r="AH26" s="2953"/>
      <c r="AI26" s="2953"/>
      <c r="AJ26" s="2953"/>
      <c r="AK26" s="2953"/>
      <c r="AL26" s="2953"/>
      <c r="AM26" s="2953"/>
      <c r="AN26" s="2953"/>
      <c r="AO26" s="2953"/>
      <c r="AP26" s="2953"/>
      <c r="AQ26" s="2953"/>
      <c r="AR26" s="2953"/>
      <c r="AS26" s="2953"/>
      <c r="AT26" s="2953"/>
      <c r="AU26" s="2953"/>
      <c r="AV26" s="2953"/>
      <c r="AW26" s="2953"/>
      <c r="AX26" s="2953"/>
      <c r="AY26" s="2953"/>
    </row>
    <row r="27" spans="1:51" s="225" customFormat="1">
      <c r="A27" s="777"/>
      <c r="B27" s="778" t="s">
        <v>158</v>
      </c>
      <c r="C27" s="2953" t="s">
        <v>1454</v>
      </c>
      <c r="D27" s="2953"/>
      <c r="E27" s="2953"/>
      <c r="F27" s="2953"/>
      <c r="G27" s="2953"/>
      <c r="H27" s="2953"/>
      <c r="I27" s="2953"/>
      <c r="J27" s="2953"/>
      <c r="K27" s="2953"/>
      <c r="L27" s="2953"/>
      <c r="M27" s="2953"/>
      <c r="N27" s="2953"/>
      <c r="O27" s="2953"/>
      <c r="P27" s="2953"/>
      <c r="Q27" s="2953"/>
      <c r="R27" s="2953"/>
      <c r="S27" s="2953"/>
      <c r="T27" s="2953"/>
      <c r="U27" s="2953"/>
      <c r="V27" s="2953"/>
      <c r="W27" s="2953"/>
      <c r="X27" s="2953"/>
      <c r="Y27" s="2953"/>
      <c r="Z27" s="2953"/>
      <c r="AA27" s="2953"/>
      <c r="AB27" s="2953"/>
      <c r="AC27" s="2953"/>
      <c r="AD27" s="2953"/>
      <c r="AE27" s="2953"/>
      <c r="AF27" s="2953"/>
      <c r="AG27" s="2953"/>
      <c r="AH27" s="2953"/>
      <c r="AI27" s="2953"/>
      <c r="AJ27" s="2953"/>
      <c r="AK27" s="2953"/>
      <c r="AL27" s="2953"/>
      <c r="AM27" s="2953"/>
      <c r="AN27" s="2953"/>
      <c r="AO27" s="2953"/>
      <c r="AP27" s="2953"/>
      <c r="AQ27" s="2953"/>
      <c r="AR27" s="2953"/>
      <c r="AS27" s="2953"/>
      <c r="AT27" s="2953"/>
      <c r="AU27" s="2953"/>
      <c r="AV27" s="2953"/>
      <c r="AW27" s="2953"/>
      <c r="AX27" s="2953"/>
      <c r="AY27" s="2953"/>
    </row>
    <row r="28" spans="1:51" s="225" customFormat="1" ht="14.15" customHeight="1">
      <c r="B28" s="781"/>
      <c r="C28" s="781"/>
      <c r="D28" s="781"/>
      <c r="E28" s="781"/>
      <c r="F28" s="781"/>
      <c r="G28" s="781"/>
      <c r="H28" s="781"/>
      <c r="I28" s="781"/>
      <c r="J28" s="781"/>
      <c r="K28" s="781"/>
      <c r="L28" s="781"/>
      <c r="M28" s="781"/>
      <c r="N28" s="781"/>
      <c r="O28" s="781"/>
      <c r="P28" s="781"/>
      <c r="Q28" s="781"/>
      <c r="R28" s="781"/>
      <c r="S28" s="781"/>
      <c r="T28" s="781"/>
      <c r="U28" s="781"/>
      <c r="V28" s="781"/>
      <c r="W28" s="781"/>
      <c r="X28" s="781"/>
    </row>
    <row r="29" spans="1:51" s="782" customFormat="1" ht="18">
      <c r="B29" s="2954" t="s">
        <v>1455</v>
      </c>
      <c r="C29" s="2954"/>
      <c r="D29" s="2954"/>
      <c r="E29" s="2954"/>
      <c r="F29" s="2954"/>
      <c r="G29" s="2954"/>
      <c r="H29" s="2954"/>
      <c r="I29" s="2954"/>
      <c r="J29" s="2954"/>
      <c r="K29" s="2954"/>
      <c r="L29" s="2954"/>
      <c r="M29" s="2954"/>
      <c r="N29" s="2954"/>
      <c r="O29" s="2954"/>
      <c r="P29" s="2954"/>
      <c r="Q29" s="2954"/>
      <c r="R29" s="2954"/>
      <c r="S29" s="2954"/>
      <c r="T29" s="2954"/>
      <c r="U29" s="2954"/>
      <c r="V29" s="2954"/>
      <c r="W29" s="2954"/>
      <c r="X29" s="2954"/>
      <c r="Y29" s="2954"/>
      <c r="Z29" s="2954"/>
      <c r="AA29" s="2954"/>
      <c r="AB29" s="2954"/>
      <c r="AC29" s="2954"/>
      <c r="AD29" s="2954"/>
      <c r="AE29" s="2954"/>
      <c r="AF29" s="2954"/>
      <c r="AG29" s="2954"/>
      <c r="AH29" s="2954"/>
      <c r="AI29" s="2954"/>
      <c r="AJ29" s="2954"/>
      <c r="AK29" s="2954"/>
      <c r="AL29" s="2954"/>
      <c r="AM29" s="2954"/>
      <c r="AN29" s="2954"/>
      <c r="AO29" s="2954"/>
      <c r="AP29" s="2954"/>
      <c r="AQ29" s="2954"/>
      <c r="AR29" s="2954"/>
      <c r="AS29" s="2954"/>
      <c r="AT29" s="2954"/>
      <c r="AU29" s="2954"/>
      <c r="AV29" s="2954"/>
      <c r="AW29" s="2954"/>
      <c r="AX29" s="2954"/>
      <c r="AY29" s="2954"/>
    </row>
    <row r="30" spans="1:51" s="225" customFormat="1">
      <c r="B30" s="299"/>
      <c r="C30" s="783"/>
      <c r="D30" s="299"/>
      <c r="E30" s="299"/>
      <c r="F30" s="299"/>
      <c r="G30" s="299"/>
      <c r="H30" s="299"/>
      <c r="I30" s="299"/>
      <c r="J30" s="299"/>
      <c r="K30" s="299"/>
      <c r="L30" s="299"/>
      <c r="M30" s="299"/>
      <c r="N30" s="299"/>
      <c r="O30" s="299"/>
      <c r="P30" s="299"/>
      <c r="Q30" s="299"/>
      <c r="R30" s="299"/>
      <c r="S30" s="299"/>
      <c r="T30" s="299"/>
      <c r="U30" s="299"/>
      <c r="V30" s="299"/>
      <c r="W30" s="299"/>
      <c r="X30" s="299"/>
    </row>
    <row r="31" spans="1:51" s="225" customFormat="1" ht="30.75" customHeight="1">
      <c r="A31" s="784"/>
      <c r="B31" s="785"/>
      <c r="C31" s="785"/>
      <c r="D31" s="785"/>
      <c r="E31" s="784"/>
      <c r="F31" s="784"/>
      <c r="G31" s="784"/>
      <c r="H31" s="784"/>
      <c r="I31" s="784"/>
      <c r="J31" s="784"/>
      <c r="K31" s="784"/>
      <c r="L31" s="784"/>
      <c r="M31" s="784"/>
      <c r="N31" s="784"/>
      <c r="O31" s="784"/>
      <c r="P31" s="784"/>
      <c r="Q31" s="784"/>
      <c r="R31" s="784"/>
      <c r="S31" s="784"/>
      <c r="T31" s="784"/>
      <c r="U31" s="784"/>
      <c r="V31" s="784"/>
      <c r="W31" s="784"/>
      <c r="X31" s="784"/>
      <c r="Y31" s="784"/>
      <c r="Z31" s="784"/>
      <c r="AA31" s="784"/>
      <c r="AB31" s="784"/>
      <c r="AC31" s="784"/>
      <c r="AD31" s="784"/>
      <c r="AE31" s="784"/>
      <c r="AF31" s="784"/>
      <c r="AG31" s="784"/>
      <c r="AH31" s="784"/>
      <c r="AI31" s="784"/>
      <c r="AJ31" s="784"/>
      <c r="AK31" s="784"/>
      <c r="AL31" s="784"/>
      <c r="AM31" s="784"/>
      <c r="AN31" s="784"/>
      <c r="AO31" s="784"/>
      <c r="AP31" s="784"/>
    </row>
    <row r="32" spans="1:51" s="225" customFormat="1" ht="20.149999999999999" customHeight="1">
      <c r="B32" s="508" t="s">
        <v>847</v>
      </c>
      <c r="S32" s="508" t="s">
        <v>764</v>
      </c>
      <c r="AJ32" s="508" t="s">
        <v>783</v>
      </c>
    </row>
    <row r="33" spans="1:76" s="225" customFormat="1" ht="20.149999999999999" customHeight="1">
      <c r="B33" s="508" t="s">
        <v>756</v>
      </c>
      <c r="F33" s="2951" t="str">
        <f>activesheet!E29</f>
        <v>RICO S. MISPEROS</v>
      </c>
      <c r="G33" s="2951"/>
      <c r="H33" s="2951"/>
      <c r="I33" s="2951"/>
      <c r="J33" s="2951"/>
      <c r="K33" s="2951"/>
      <c r="L33" s="2951"/>
      <c r="M33" s="2951"/>
      <c r="N33" s="2951"/>
      <c r="O33" s="2951"/>
      <c r="P33" s="2951"/>
      <c r="S33" s="2955" t="str">
        <f>activesheet!E1376</f>
        <v>ANNE VALERIE KERSTEINE I. VILLANUEVA</v>
      </c>
      <c r="T33" s="2955"/>
      <c r="U33" s="2955"/>
      <c r="V33" s="2955"/>
      <c r="W33" s="2955"/>
      <c r="X33" s="2955"/>
      <c r="Y33" s="2955"/>
      <c r="Z33" s="2955"/>
      <c r="AA33" s="2955"/>
      <c r="AB33" s="2955"/>
      <c r="AC33" s="2955"/>
      <c r="AD33" s="2955"/>
      <c r="AE33" s="2955"/>
      <c r="AF33" s="2955"/>
      <c r="AG33" s="2955"/>
      <c r="AJ33" s="2955" t="str">
        <f>activesheet!E31</f>
        <v>MICHAEL T. JAMIS</v>
      </c>
      <c r="AK33" s="2955"/>
      <c r="AL33" s="2955"/>
      <c r="AM33" s="2955"/>
      <c r="AN33" s="2955"/>
      <c r="AO33" s="2955"/>
      <c r="AP33" s="2955"/>
      <c r="AQ33" s="2955"/>
      <c r="AR33" s="2955"/>
      <c r="AS33" s="2955"/>
      <c r="AT33" s="2955"/>
      <c r="AU33" s="2955"/>
      <c r="AV33" s="2955"/>
      <c r="AW33" s="2955"/>
      <c r="AX33" s="2955"/>
    </row>
    <row r="34" spans="1:76" s="225" customFormat="1" ht="20.149999999999999" customHeight="1">
      <c r="A34" s="654"/>
      <c r="B34" s="654"/>
      <c r="C34" s="654"/>
      <c r="D34" s="654"/>
      <c r="E34" s="654"/>
      <c r="F34" s="2952" t="s">
        <v>741</v>
      </c>
      <c r="G34" s="2952"/>
      <c r="H34" s="2952"/>
      <c r="I34" s="2952"/>
      <c r="J34" s="2952"/>
      <c r="K34" s="2952"/>
      <c r="L34" s="2952"/>
      <c r="M34" s="2952"/>
      <c r="N34" s="2952"/>
      <c r="O34" s="2952"/>
      <c r="P34" s="2952"/>
      <c r="Q34" s="654"/>
      <c r="S34" s="2951"/>
      <c r="T34" s="2951"/>
      <c r="U34" s="2951"/>
      <c r="V34" s="2951"/>
      <c r="W34" s="2951"/>
      <c r="X34" s="2951"/>
      <c r="Y34" s="2951"/>
      <c r="Z34" s="2951"/>
      <c r="AA34" s="2951"/>
      <c r="AB34" s="2951"/>
      <c r="AC34" s="2951"/>
      <c r="AD34" s="2951"/>
      <c r="AE34" s="2951"/>
      <c r="AF34" s="2951"/>
      <c r="AG34" s="2951"/>
      <c r="AJ34" s="2951"/>
      <c r="AK34" s="2951"/>
      <c r="AL34" s="2951"/>
      <c r="AM34" s="2951"/>
      <c r="AN34" s="2951"/>
      <c r="AO34" s="2951"/>
      <c r="AP34" s="2951"/>
      <c r="AQ34" s="2951"/>
      <c r="AR34" s="2951"/>
      <c r="AS34" s="2951"/>
      <c r="AT34" s="2951"/>
      <c r="AU34" s="2951"/>
      <c r="AV34" s="2951"/>
      <c r="AW34" s="2951"/>
      <c r="AX34" s="2951"/>
      <c r="BK34" s="654"/>
      <c r="BL34" s="654"/>
      <c r="BM34" s="654"/>
      <c r="BN34" s="654"/>
      <c r="BO34" s="654"/>
      <c r="BP34" s="654"/>
      <c r="BQ34" s="654"/>
      <c r="BR34" s="654"/>
      <c r="BS34" s="654"/>
      <c r="BT34" s="654"/>
      <c r="BU34" s="654"/>
      <c r="BV34" s="654"/>
      <c r="BW34" s="654"/>
      <c r="BX34" s="654"/>
    </row>
    <row r="35" spans="1:76" s="225" customFormat="1" ht="20.149999999999999" customHeight="1">
      <c r="B35" s="508" t="s">
        <v>71</v>
      </c>
      <c r="F35" s="2951" t="str">
        <f>activesheet!E30</f>
        <v>SCHOOL PRINCIPAL II</v>
      </c>
      <c r="G35" s="2951"/>
      <c r="H35" s="2951"/>
      <c r="I35" s="2951"/>
      <c r="J35" s="2951"/>
      <c r="K35" s="2951"/>
      <c r="L35" s="2951"/>
      <c r="M35" s="2951"/>
      <c r="N35" s="2951"/>
      <c r="O35" s="2951"/>
      <c r="P35" s="2951"/>
      <c r="S35" s="2952" t="s">
        <v>741</v>
      </c>
      <c r="T35" s="2952"/>
      <c r="U35" s="2952"/>
      <c r="V35" s="2952"/>
      <c r="W35" s="2952"/>
      <c r="X35" s="2952"/>
      <c r="Y35" s="2952"/>
      <c r="Z35" s="2952"/>
      <c r="AA35" s="2952"/>
      <c r="AB35" s="2952"/>
      <c r="AC35" s="2952"/>
      <c r="AD35" s="2952"/>
      <c r="AE35" s="2952"/>
      <c r="AF35" s="2952"/>
      <c r="AG35" s="2952"/>
      <c r="AJ35" s="2952" t="s">
        <v>741</v>
      </c>
      <c r="AK35" s="2952"/>
      <c r="AL35" s="2952"/>
      <c r="AM35" s="2952"/>
      <c r="AN35" s="2952"/>
      <c r="AO35" s="2952"/>
      <c r="AP35" s="2952"/>
      <c r="AQ35" s="2952"/>
      <c r="AR35" s="2952"/>
      <c r="AS35" s="2952"/>
      <c r="AT35" s="2952"/>
      <c r="AU35" s="2952"/>
      <c r="AV35" s="2952"/>
      <c r="AW35" s="2952"/>
      <c r="AX35" s="2952"/>
    </row>
  </sheetData>
  <sheetProtection algorithmName="SHA-512" hashValue="cvf39990yRbCS/opIwFn0W1JG6ZCwVNdmI5k0z21R13Wn7qO9ITNTFwMvxKjaK7+G+1eiY5kpjr4zjj4TPszIQ==" saltValue="z/Y5cDfMJmTIESobTxwuiQ==" spinCount="100000" sheet="1" selectLockedCells="1"/>
  <mergeCells count="127">
    <mergeCell ref="C22:AY22"/>
    <mergeCell ref="C23:AY23"/>
    <mergeCell ref="C24:AY24"/>
    <mergeCell ref="B11:F11"/>
    <mergeCell ref="B12:F12"/>
    <mergeCell ref="B13:F13"/>
    <mergeCell ref="B14:F14"/>
    <mergeCell ref="AF4:AJ4"/>
    <mergeCell ref="AK4:AY4"/>
    <mergeCell ref="B5:F5"/>
    <mergeCell ref="L5:P5"/>
    <mergeCell ref="Q5:U5"/>
    <mergeCell ref="AA5:AE5"/>
    <mergeCell ref="AF5:AJ5"/>
    <mergeCell ref="AK5:AO5"/>
    <mergeCell ref="AP5:AT5"/>
    <mergeCell ref="AU5:AY5"/>
    <mergeCell ref="B4:F4"/>
    <mergeCell ref="G4:K4"/>
    <mergeCell ref="L4:P4"/>
    <mergeCell ref="Q4:U4"/>
    <mergeCell ref="V4:Z4"/>
    <mergeCell ref="AA4:AE4"/>
    <mergeCell ref="B6:F6"/>
    <mergeCell ref="B7:F7"/>
    <mergeCell ref="B8:F8"/>
    <mergeCell ref="B9:F9"/>
    <mergeCell ref="B10:F10"/>
    <mergeCell ref="F35:P35"/>
    <mergeCell ref="S35:AG35"/>
    <mergeCell ref="AJ35:AX35"/>
    <mergeCell ref="C26:AY26"/>
    <mergeCell ref="C27:AY27"/>
    <mergeCell ref="B29:AY29"/>
    <mergeCell ref="F33:P33"/>
    <mergeCell ref="S33:AG34"/>
    <mergeCell ref="AJ33:AX34"/>
    <mergeCell ref="F34:P34"/>
    <mergeCell ref="C25:AY25"/>
    <mergeCell ref="AK7:AO7"/>
    <mergeCell ref="C15:AY15"/>
    <mergeCell ref="D16:AY16"/>
    <mergeCell ref="D17:AY17"/>
    <mergeCell ref="D18:AY18"/>
    <mergeCell ref="D19:AY19"/>
    <mergeCell ref="D20:AY20"/>
    <mergeCell ref="C21:AY21"/>
    <mergeCell ref="G11:K11"/>
    <mergeCell ref="G12:K12"/>
    <mergeCell ref="G13:K13"/>
    <mergeCell ref="G14:K14"/>
    <mergeCell ref="L6:P6"/>
    <mergeCell ref="L7:P7"/>
    <mergeCell ref="L8:P8"/>
    <mergeCell ref="L9:P9"/>
    <mergeCell ref="L10:P10"/>
    <mergeCell ref="L11:P11"/>
    <mergeCell ref="L12:P12"/>
    <mergeCell ref="L13:P13"/>
    <mergeCell ref="L14:P14"/>
    <mergeCell ref="G6:K6"/>
    <mergeCell ref="G7:K7"/>
    <mergeCell ref="G8:K8"/>
    <mergeCell ref="G9:K9"/>
    <mergeCell ref="G10:K10"/>
    <mergeCell ref="Q7:U7"/>
    <mergeCell ref="V7:Z7"/>
    <mergeCell ref="AA7:AE7"/>
    <mergeCell ref="AF7:AJ7"/>
    <mergeCell ref="AP7:AT7"/>
    <mergeCell ref="Q6:U6"/>
    <mergeCell ref="V6:Z6"/>
    <mergeCell ref="AA6:AE6"/>
    <mergeCell ref="AF6:AJ6"/>
    <mergeCell ref="AK6:AO6"/>
    <mergeCell ref="AP6:AT6"/>
    <mergeCell ref="Q9:U9"/>
    <mergeCell ref="V9:Z9"/>
    <mergeCell ref="AA9:AE9"/>
    <mergeCell ref="AF9:AJ9"/>
    <mergeCell ref="AK9:AO9"/>
    <mergeCell ref="AP9:AT9"/>
    <mergeCell ref="Q8:U8"/>
    <mergeCell ref="V8:Z8"/>
    <mergeCell ref="AA8:AE8"/>
    <mergeCell ref="AF8:AJ8"/>
    <mergeCell ref="AK8:AO8"/>
    <mergeCell ref="AP8:AT8"/>
    <mergeCell ref="Q11:U11"/>
    <mergeCell ref="V11:Z11"/>
    <mergeCell ref="AA11:AE11"/>
    <mergeCell ref="AF11:AJ11"/>
    <mergeCell ref="AK11:AO11"/>
    <mergeCell ref="AP11:AT11"/>
    <mergeCell ref="Q10:U10"/>
    <mergeCell ref="V10:Z10"/>
    <mergeCell ref="AA10:AE10"/>
    <mergeCell ref="AF10:AJ10"/>
    <mergeCell ref="AK10:AO10"/>
    <mergeCell ref="AP10:AT10"/>
    <mergeCell ref="Q14:U14"/>
    <mergeCell ref="V14:Z14"/>
    <mergeCell ref="AA14:AE14"/>
    <mergeCell ref="AF14:AJ14"/>
    <mergeCell ref="AK14:AO14"/>
    <mergeCell ref="AP12:AT12"/>
    <mergeCell ref="Q13:U13"/>
    <mergeCell ref="V13:Z13"/>
    <mergeCell ref="AA13:AE13"/>
    <mergeCell ref="AF13:AJ13"/>
    <mergeCell ref="AK13:AO13"/>
    <mergeCell ref="AP13:AT13"/>
    <mergeCell ref="Q12:U12"/>
    <mergeCell ref="V12:Z12"/>
    <mergeCell ref="AA12:AE12"/>
    <mergeCell ref="AF12:AJ12"/>
    <mergeCell ref="AK12:AO12"/>
    <mergeCell ref="AP14:AT14"/>
    <mergeCell ref="AU6:AY6"/>
    <mergeCell ref="AU7:AY7"/>
    <mergeCell ref="AU8:AY8"/>
    <mergeCell ref="AU9:AY9"/>
    <mergeCell ref="AU10:AY10"/>
    <mergeCell ref="AU11:AY11"/>
    <mergeCell ref="AU12:AY12"/>
    <mergeCell ref="AU13:AY13"/>
    <mergeCell ref="AU14:AY14"/>
  </mergeCells>
  <phoneticPr fontId="75" type="noConversion"/>
  <dataValidations count="1">
    <dataValidation type="date" allowBlank="1" showInputMessage="1" showErrorMessage="1" errorTitle="GESP SY 2022-2023" error="Please enter date until October 31, 2022 in M/D/YYYY or D/M/YYYY format (depend on your computer’s date)." sqref="AF6:AJ14" xr:uid="{00000000-0002-0000-1800-000000000000}">
      <formula1>1</formula1>
      <formula2>44865</formula2>
    </dataValidation>
  </dataValidations>
  <printOptions horizontalCentered="1" verticalCentered="1"/>
  <pageMargins left="0.25" right="0.25" top="0.2" bottom="0.2" header="0" footer="0.1"/>
  <pageSetup paperSize="9" scale="35" orientation="landscape" r:id="rId1"/>
  <headerFooter alignWithMargins="0">
    <oddFooter>&amp;L&amp;10&amp;F &amp;A&amp;R&amp;10Page 21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800-000001000000}">
          <x14:formula1>
            <xm:f>Dropdowns!$J$1:$J$6</xm:f>
          </x14:formula1>
          <xm:sqref>B6:F14</xm:sqref>
        </x14:dataValidation>
        <x14:dataValidation type="list" allowBlank="1" showInputMessage="1" showErrorMessage="1" errorTitle="GESP SY 2022-2023" error="Please select on the list provided." xr:uid="{00000000-0002-0000-1800-000002000000}">
          <x14:formula1>
            <xm:f>Dropdowns!$G$24:$G$27</xm:f>
          </x14:formula1>
          <xm:sqref>AA6:AE14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BH31"/>
  <sheetViews>
    <sheetView showGridLines="0" zoomScaleNormal="100" workbookViewId="0">
      <selection activeCell="B7" sqref="B7:I7"/>
    </sheetView>
  </sheetViews>
  <sheetFormatPr defaultColWidth="8" defaultRowHeight="14"/>
  <cols>
    <col min="1" max="1" width="2.08203125" style="681" customWidth="1"/>
    <col min="2" max="9" width="3.58203125" style="681" customWidth="1"/>
    <col min="10" max="17" width="5.08203125" style="681" customWidth="1"/>
    <col min="18" max="41" width="3.58203125" style="681" customWidth="1"/>
    <col min="42" max="42" width="2.08203125" style="681" customWidth="1"/>
    <col min="43" max="44" width="3.58203125" style="681" customWidth="1"/>
    <col min="45" max="45" width="2.08203125" style="681" customWidth="1"/>
    <col min="46" max="51" width="3.58203125" style="681" customWidth="1"/>
    <col min="52" max="16384" width="8" style="681"/>
  </cols>
  <sheetData>
    <row r="1" spans="1:55" ht="12" customHeight="1"/>
    <row r="2" spans="1:55" s="755" customFormat="1" ht="16.5">
      <c r="B2" s="756" t="s">
        <v>11778</v>
      </c>
      <c r="C2" s="757"/>
      <c r="D2" s="757"/>
      <c r="E2" s="757"/>
      <c r="F2" s="757"/>
    </row>
    <row r="3" spans="1:55" s="568" customFormat="1" ht="16" thickBot="1">
      <c r="B3" s="582" t="s">
        <v>903</v>
      </c>
    </row>
    <row r="4" spans="1:55" s="225" customFormat="1" ht="23.15" customHeight="1">
      <c r="A4" s="237"/>
      <c r="B4" s="2902" t="s">
        <v>1425</v>
      </c>
      <c r="C4" s="2903"/>
      <c r="D4" s="2903"/>
      <c r="E4" s="2903"/>
      <c r="F4" s="2903"/>
      <c r="G4" s="2903"/>
      <c r="H4" s="2903"/>
      <c r="I4" s="2904"/>
      <c r="J4" s="2907" t="s">
        <v>1371</v>
      </c>
      <c r="K4" s="2905"/>
      <c r="L4" s="2905"/>
      <c r="M4" s="2905"/>
      <c r="N4" s="2905"/>
      <c r="O4" s="2905"/>
      <c r="P4" s="2905"/>
      <c r="Q4" s="2906"/>
      <c r="R4" s="2903" t="s">
        <v>1377</v>
      </c>
      <c r="S4" s="2905"/>
      <c r="T4" s="2905"/>
      <c r="U4" s="2905"/>
      <c r="V4" s="2905"/>
      <c r="W4" s="2905"/>
      <c r="X4" s="2905"/>
      <c r="Y4" s="2906"/>
      <c r="Z4" s="2907" t="s">
        <v>1378</v>
      </c>
      <c r="AA4" s="2905"/>
      <c r="AB4" s="2905"/>
      <c r="AC4" s="2905"/>
      <c r="AD4" s="2905"/>
      <c r="AE4" s="2905"/>
      <c r="AF4" s="2905"/>
      <c r="AG4" s="2905"/>
      <c r="AH4" s="2907" t="s">
        <v>1426</v>
      </c>
      <c r="AI4" s="2905"/>
      <c r="AJ4" s="2905"/>
      <c r="AK4" s="2905"/>
      <c r="AL4" s="2905"/>
      <c r="AM4" s="2905"/>
      <c r="AN4" s="2905"/>
      <c r="AO4" s="2908"/>
      <c r="AP4" s="237"/>
      <c r="AQ4" s="237"/>
      <c r="AR4" s="237"/>
      <c r="AS4" s="237"/>
      <c r="AT4" s="237"/>
      <c r="AU4" s="237"/>
      <c r="AV4" s="237"/>
      <c r="AW4" s="237"/>
      <c r="AX4" s="237"/>
      <c r="AY4" s="237"/>
      <c r="AZ4" s="237"/>
      <c r="BA4" s="237"/>
      <c r="BB4" s="237"/>
      <c r="BC4" s="237"/>
    </row>
    <row r="5" spans="1:55" s="508" customFormat="1" ht="27" customHeight="1">
      <c r="B5" s="2909" t="s">
        <v>1427</v>
      </c>
      <c r="C5" s="2910"/>
      <c r="D5" s="2910"/>
      <c r="E5" s="2910"/>
      <c r="F5" s="2910"/>
      <c r="G5" s="2910"/>
      <c r="H5" s="2910"/>
      <c r="I5" s="2911"/>
      <c r="J5" s="2922" t="s">
        <v>1428</v>
      </c>
      <c r="K5" s="2926"/>
      <c r="L5" s="2926"/>
      <c r="M5" s="2926"/>
      <c r="N5" s="2926"/>
      <c r="O5" s="2926"/>
      <c r="P5" s="2926"/>
      <c r="Q5" s="2979"/>
      <c r="R5" s="2915" t="s">
        <v>11858</v>
      </c>
      <c r="S5" s="2916"/>
      <c r="T5" s="2916"/>
      <c r="U5" s="2916"/>
      <c r="V5" s="2916"/>
      <c r="W5" s="2916"/>
      <c r="X5" s="2916"/>
      <c r="Y5" s="2917"/>
      <c r="Z5" s="2922"/>
      <c r="AA5" s="2923"/>
      <c r="AB5" s="2923"/>
      <c r="AC5" s="2923"/>
      <c r="AD5" s="2923"/>
      <c r="AE5" s="2923"/>
      <c r="AF5" s="2923"/>
      <c r="AG5" s="2923"/>
      <c r="AH5" s="2922"/>
      <c r="AI5" s="2926"/>
      <c r="AJ5" s="2926"/>
      <c r="AK5" s="2926"/>
      <c r="AL5" s="2926"/>
      <c r="AM5" s="2926"/>
      <c r="AN5" s="2926"/>
      <c r="AO5" s="2927"/>
    </row>
    <row r="6" spans="1:55" s="508" customFormat="1" ht="27" customHeight="1" thickBot="1">
      <c r="B6" s="2912"/>
      <c r="C6" s="2913"/>
      <c r="D6" s="2913"/>
      <c r="E6" s="2913"/>
      <c r="F6" s="2913"/>
      <c r="G6" s="2913"/>
      <c r="H6" s="2913"/>
      <c r="I6" s="2914"/>
      <c r="J6" s="2928"/>
      <c r="K6" s="2929"/>
      <c r="L6" s="2929"/>
      <c r="M6" s="2929"/>
      <c r="N6" s="2929"/>
      <c r="O6" s="2929"/>
      <c r="P6" s="2929"/>
      <c r="Q6" s="2980"/>
      <c r="R6" s="2918"/>
      <c r="S6" s="2918"/>
      <c r="T6" s="2918"/>
      <c r="U6" s="2918"/>
      <c r="V6" s="2918"/>
      <c r="W6" s="2918"/>
      <c r="X6" s="2918"/>
      <c r="Y6" s="2919"/>
      <c r="Z6" s="2924"/>
      <c r="AA6" s="2925"/>
      <c r="AB6" s="2925"/>
      <c r="AC6" s="2925"/>
      <c r="AD6" s="2925"/>
      <c r="AE6" s="2925"/>
      <c r="AF6" s="2925"/>
      <c r="AG6" s="2925"/>
      <c r="AH6" s="2928"/>
      <c r="AI6" s="2929"/>
      <c r="AJ6" s="2929"/>
      <c r="AK6" s="2929"/>
      <c r="AL6" s="2929"/>
      <c r="AM6" s="2929"/>
      <c r="AN6" s="2929"/>
      <c r="AO6" s="2930"/>
    </row>
    <row r="7" spans="1:55" s="225" customFormat="1" ht="20.149999999999999" customHeight="1">
      <c r="B7" s="2893"/>
      <c r="C7" s="2894"/>
      <c r="D7" s="2894"/>
      <c r="E7" s="2894"/>
      <c r="F7" s="2894"/>
      <c r="G7" s="2894"/>
      <c r="H7" s="2894"/>
      <c r="I7" s="2895"/>
      <c r="J7" s="2896"/>
      <c r="K7" s="2894"/>
      <c r="L7" s="2894"/>
      <c r="M7" s="2894"/>
      <c r="N7" s="2894"/>
      <c r="O7" s="2894"/>
      <c r="P7" s="2894"/>
      <c r="Q7" s="2895"/>
      <c r="R7" s="2900"/>
      <c r="S7" s="2894"/>
      <c r="T7" s="2894"/>
      <c r="U7" s="2894"/>
      <c r="V7" s="2894"/>
      <c r="W7" s="2894"/>
      <c r="X7" s="2894"/>
      <c r="Y7" s="2895"/>
      <c r="Z7" s="2900"/>
      <c r="AA7" s="2894"/>
      <c r="AB7" s="2894"/>
      <c r="AC7" s="2894"/>
      <c r="AD7" s="2894"/>
      <c r="AE7" s="2894"/>
      <c r="AF7" s="2894"/>
      <c r="AG7" s="2894"/>
      <c r="AH7" s="2900"/>
      <c r="AI7" s="2894"/>
      <c r="AJ7" s="2894"/>
      <c r="AK7" s="2894"/>
      <c r="AL7" s="2894"/>
      <c r="AM7" s="2894"/>
      <c r="AN7" s="2894"/>
      <c r="AO7" s="2901"/>
    </row>
    <row r="8" spans="1:55" s="225" customFormat="1" ht="20.149999999999999" customHeight="1">
      <c r="B8" s="2875"/>
      <c r="C8" s="2876"/>
      <c r="D8" s="2876"/>
      <c r="E8" s="2876"/>
      <c r="F8" s="2876"/>
      <c r="G8" s="2876"/>
      <c r="H8" s="2876"/>
      <c r="I8" s="2877"/>
      <c r="J8" s="2878"/>
      <c r="K8" s="2876"/>
      <c r="L8" s="2876"/>
      <c r="M8" s="2876"/>
      <c r="N8" s="2876"/>
      <c r="O8" s="2876"/>
      <c r="P8" s="2876"/>
      <c r="Q8" s="2877"/>
      <c r="R8" s="2882"/>
      <c r="S8" s="2876"/>
      <c r="T8" s="2876"/>
      <c r="U8" s="2876"/>
      <c r="V8" s="2876"/>
      <c r="W8" s="2876"/>
      <c r="X8" s="2876"/>
      <c r="Y8" s="2877"/>
      <c r="Z8" s="2882"/>
      <c r="AA8" s="2876"/>
      <c r="AB8" s="2876"/>
      <c r="AC8" s="2876"/>
      <c r="AD8" s="2876"/>
      <c r="AE8" s="2876"/>
      <c r="AF8" s="2876"/>
      <c r="AG8" s="2876"/>
      <c r="AH8" s="2882"/>
      <c r="AI8" s="2876"/>
      <c r="AJ8" s="2876"/>
      <c r="AK8" s="2876"/>
      <c r="AL8" s="2876"/>
      <c r="AM8" s="2876"/>
      <c r="AN8" s="2876"/>
      <c r="AO8" s="2883"/>
    </row>
    <row r="9" spans="1:55" s="225" customFormat="1" ht="20.149999999999999" customHeight="1">
      <c r="B9" s="2875"/>
      <c r="C9" s="2876"/>
      <c r="D9" s="2876"/>
      <c r="E9" s="2876"/>
      <c r="F9" s="2876"/>
      <c r="G9" s="2876"/>
      <c r="H9" s="2876"/>
      <c r="I9" s="2877"/>
      <c r="J9" s="2878"/>
      <c r="K9" s="2876"/>
      <c r="L9" s="2876"/>
      <c r="M9" s="2876"/>
      <c r="N9" s="2876"/>
      <c r="O9" s="2876"/>
      <c r="P9" s="2876"/>
      <c r="Q9" s="2877"/>
      <c r="R9" s="2882"/>
      <c r="S9" s="2876"/>
      <c r="T9" s="2876"/>
      <c r="U9" s="2876"/>
      <c r="V9" s="2876"/>
      <c r="W9" s="2876"/>
      <c r="X9" s="2876"/>
      <c r="Y9" s="2877"/>
      <c r="Z9" s="2882"/>
      <c r="AA9" s="2876"/>
      <c r="AB9" s="2876"/>
      <c r="AC9" s="2876"/>
      <c r="AD9" s="2876"/>
      <c r="AE9" s="2876"/>
      <c r="AF9" s="2876"/>
      <c r="AG9" s="2876"/>
      <c r="AH9" s="2882"/>
      <c r="AI9" s="2876"/>
      <c r="AJ9" s="2876"/>
      <c r="AK9" s="2876"/>
      <c r="AL9" s="2876"/>
      <c r="AM9" s="2876"/>
      <c r="AN9" s="2876"/>
      <c r="AO9" s="2883"/>
    </row>
    <row r="10" spans="1:55" s="225" customFormat="1" ht="20.149999999999999" customHeight="1">
      <c r="B10" s="2875"/>
      <c r="C10" s="2876"/>
      <c r="D10" s="2876"/>
      <c r="E10" s="2876"/>
      <c r="F10" s="2876"/>
      <c r="G10" s="2876"/>
      <c r="H10" s="2876"/>
      <c r="I10" s="2877"/>
      <c r="J10" s="2878"/>
      <c r="K10" s="2876"/>
      <c r="L10" s="2876"/>
      <c r="M10" s="2876"/>
      <c r="N10" s="2876"/>
      <c r="O10" s="2876"/>
      <c r="P10" s="2876"/>
      <c r="Q10" s="2877"/>
      <c r="R10" s="2882"/>
      <c r="S10" s="2876"/>
      <c r="T10" s="2876"/>
      <c r="U10" s="2876"/>
      <c r="V10" s="2876"/>
      <c r="W10" s="2876"/>
      <c r="X10" s="2876"/>
      <c r="Y10" s="2877"/>
      <c r="Z10" s="2882"/>
      <c r="AA10" s="2876"/>
      <c r="AB10" s="2876"/>
      <c r="AC10" s="2876"/>
      <c r="AD10" s="2876"/>
      <c r="AE10" s="2876"/>
      <c r="AF10" s="2876"/>
      <c r="AG10" s="2876"/>
      <c r="AH10" s="2882"/>
      <c r="AI10" s="2876"/>
      <c r="AJ10" s="2876"/>
      <c r="AK10" s="2876"/>
      <c r="AL10" s="2876"/>
      <c r="AM10" s="2876"/>
      <c r="AN10" s="2876"/>
      <c r="AO10" s="2883"/>
    </row>
    <row r="11" spans="1:55" s="225" customFormat="1" ht="20.149999999999999" customHeight="1">
      <c r="B11" s="2875"/>
      <c r="C11" s="2876"/>
      <c r="D11" s="2876"/>
      <c r="E11" s="2876"/>
      <c r="F11" s="2876"/>
      <c r="G11" s="2876"/>
      <c r="H11" s="2876"/>
      <c r="I11" s="2877"/>
      <c r="J11" s="2878"/>
      <c r="K11" s="2876"/>
      <c r="L11" s="2876"/>
      <c r="M11" s="2876"/>
      <c r="N11" s="2876"/>
      <c r="O11" s="2876"/>
      <c r="P11" s="2876"/>
      <c r="Q11" s="2877"/>
      <c r="R11" s="2882"/>
      <c r="S11" s="2876"/>
      <c r="T11" s="2876"/>
      <c r="U11" s="2876"/>
      <c r="V11" s="2876"/>
      <c r="W11" s="2876"/>
      <c r="X11" s="2876"/>
      <c r="Y11" s="2877"/>
      <c r="Z11" s="2882"/>
      <c r="AA11" s="2876"/>
      <c r="AB11" s="2876"/>
      <c r="AC11" s="2876"/>
      <c r="AD11" s="2876"/>
      <c r="AE11" s="2876"/>
      <c r="AF11" s="2876"/>
      <c r="AG11" s="2876"/>
      <c r="AH11" s="2882"/>
      <c r="AI11" s="2876"/>
      <c r="AJ11" s="2876"/>
      <c r="AK11" s="2876"/>
      <c r="AL11" s="2876"/>
      <c r="AM11" s="2876"/>
      <c r="AN11" s="2876"/>
      <c r="AO11" s="2883"/>
    </row>
    <row r="12" spans="1:55" s="225" customFormat="1" ht="20.149999999999999" customHeight="1">
      <c r="B12" s="2875"/>
      <c r="C12" s="2876"/>
      <c r="D12" s="2876"/>
      <c r="E12" s="2876"/>
      <c r="F12" s="2876"/>
      <c r="G12" s="2876"/>
      <c r="H12" s="2876"/>
      <c r="I12" s="2877"/>
      <c r="J12" s="2878"/>
      <c r="K12" s="2876"/>
      <c r="L12" s="2876"/>
      <c r="M12" s="2876"/>
      <c r="N12" s="2876"/>
      <c r="O12" s="2876"/>
      <c r="P12" s="2876"/>
      <c r="Q12" s="2877"/>
      <c r="R12" s="2882"/>
      <c r="S12" s="2876"/>
      <c r="T12" s="2876"/>
      <c r="U12" s="2876"/>
      <c r="V12" s="2876"/>
      <c r="W12" s="2876"/>
      <c r="X12" s="2876"/>
      <c r="Y12" s="2877"/>
      <c r="Z12" s="2882"/>
      <c r="AA12" s="2876"/>
      <c r="AB12" s="2876"/>
      <c r="AC12" s="2876"/>
      <c r="AD12" s="2876"/>
      <c r="AE12" s="2876"/>
      <c r="AF12" s="2876"/>
      <c r="AG12" s="2876"/>
      <c r="AH12" s="2882"/>
      <c r="AI12" s="2876"/>
      <c r="AJ12" s="2876"/>
      <c r="AK12" s="2876"/>
      <c r="AL12" s="2876"/>
      <c r="AM12" s="2876"/>
      <c r="AN12" s="2876"/>
      <c r="AO12" s="2883"/>
    </row>
    <row r="13" spans="1:55" s="225" customFormat="1" ht="20.149999999999999" customHeight="1">
      <c r="B13" s="2875"/>
      <c r="C13" s="2876"/>
      <c r="D13" s="2876"/>
      <c r="E13" s="2876"/>
      <c r="F13" s="2876"/>
      <c r="G13" s="2876"/>
      <c r="H13" s="2876"/>
      <c r="I13" s="2877"/>
      <c r="J13" s="2878"/>
      <c r="K13" s="2876"/>
      <c r="L13" s="2876"/>
      <c r="M13" s="2876"/>
      <c r="N13" s="2876"/>
      <c r="O13" s="2876"/>
      <c r="P13" s="2876"/>
      <c r="Q13" s="2877"/>
      <c r="R13" s="2882"/>
      <c r="S13" s="2876"/>
      <c r="T13" s="2876"/>
      <c r="U13" s="2876"/>
      <c r="V13" s="2876"/>
      <c r="W13" s="2876"/>
      <c r="X13" s="2876"/>
      <c r="Y13" s="2877"/>
      <c r="Z13" s="2882"/>
      <c r="AA13" s="2876"/>
      <c r="AB13" s="2876"/>
      <c r="AC13" s="2876"/>
      <c r="AD13" s="2876"/>
      <c r="AE13" s="2876"/>
      <c r="AF13" s="2876"/>
      <c r="AG13" s="2876"/>
      <c r="AH13" s="2882"/>
      <c r="AI13" s="2876"/>
      <c r="AJ13" s="2876"/>
      <c r="AK13" s="2876"/>
      <c r="AL13" s="2876"/>
      <c r="AM13" s="2876"/>
      <c r="AN13" s="2876"/>
      <c r="AO13" s="2883"/>
    </row>
    <row r="14" spans="1:55" s="225" customFormat="1" ht="20.149999999999999" customHeight="1">
      <c r="B14" s="2875"/>
      <c r="C14" s="2876"/>
      <c r="D14" s="2876"/>
      <c r="E14" s="2876"/>
      <c r="F14" s="2876"/>
      <c r="G14" s="2876"/>
      <c r="H14" s="2876"/>
      <c r="I14" s="2877"/>
      <c r="J14" s="2878"/>
      <c r="K14" s="2876"/>
      <c r="L14" s="2876"/>
      <c r="M14" s="2876"/>
      <c r="N14" s="2876"/>
      <c r="O14" s="2876"/>
      <c r="P14" s="2876"/>
      <c r="Q14" s="2877"/>
      <c r="R14" s="2882"/>
      <c r="S14" s="2876"/>
      <c r="T14" s="2876"/>
      <c r="U14" s="2876"/>
      <c r="V14" s="2876"/>
      <c r="W14" s="2876"/>
      <c r="X14" s="2876"/>
      <c r="Y14" s="2877"/>
      <c r="Z14" s="2882"/>
      <c r="AA14" s="2876"/>
      <c r="AB14" s="2876"/>
      <c r="AC14" s="2876"/>
      <c r="AD14" s="2876"/>
      <c r="AE14" s="2876"/>
      <c r="AF14" s="2876"/>
      <c r="AG14" s="2876"/>
      <c r="AH14" s="2882"/>
      <c r="AI14" s="2876"/>
      <c r="AJ14" s="2876"/>
      <c r="AK14" s="2876"/>
      <c r="AL14" s="2876"/>
      <c r="AM14" s="2876"/>
      <c r="AN14" s="2876"/>
      <c r="AO14" s="2883"/>
    </row>
    <row r="15" spans="1:55" s="225" customFormat="1" ht="20.149999999999999" customHeight="1">
      <c r="B15" s="2875"/>
      <c r="C15" s="2876"/>
      <c r="D15" s="2876"/>
      <c r="E15" s="2876"/>
      <c r="F15" s="2876"/>
      <c r="G15" s="2876"/>
      <c r="H15" s="2876"/>
      <c r="I15" s="2877"/>
      <c r="J15" s="2878"/>
      <c r="K15" s="2876"/>
      <c r="L15" s="2876"/>
      <c r="M15" s="2876"/>
      <c r="N15" s="2876"/>
      <c r="O15" s="2876"/>
      <c r="P15" s="2876"/>
      <c r="Q15" s="2877"/>
      <c r="R15" s="2882"/>
      <c r="S15" s="2876"/>
      <c r="T15" s="2876"/>
      <c r="U15" s="2876"/>
      <c r="V15" s="2876"/>
      <c r="W15" s="2876"/>
      <c r="X15" s="2876"/>
      <c r="Y15" s="2877"/>
      <c r="Z15" s="2882"/>
      <c r="AA15" s="2876"/>
      <c r="AB15" s="2876"/>
      <c r="AC15" s="2876"/>
      <c r="AD15" s="2876"/>
      <c r="AE15" s="2876"/>
      <c r="AF15" s="2876"/>
      <c r="AG15" s="2876"/>
      <c r="AH15" s="2882"/>
      <c r="AI15" s="2876"/>
      <c r="AJ15" s="2876"/>
      <c r="AK15" s="2876"/>
      <c r="AL15" s="2876"/>
      <c r="AM15" s="2876"/>
      <c r="AN15" s="2876"/>
      <c r="AO15" s="2883"/>
    </row>
    <row r="16" spans="1:55" s="225" customFormat="1" ht="20.149999999999999" customHeight="1" thickBot="1">
      <c r="B16" s="2884"/>
      <c r="C16" s="2885"/>
      <c r="D16" s="2885"/>
      <c r="E16" s="2885"/>
      <c r="F16" s="2885"/>
      <c r="G16" s="2885"/>
      <c r="H16" s="2885"/>
      <c r="I16" s="2886"/>
      <c r="J16" s="2887"/>
      <c r="K16" s="2885"/>
      <c r="L16" s="2885"/>
      <c r="M16" s="2885"/>
      <c r="N16" s="2885"/>
      <c r="O16" s="2885"/>
      <c r="P16" s="2885"/>
      <c r="Q16" s="2886"/>
      <c r="R16" s="2882"/>
      <c r="S16" s="2876"/>
      <c r="T16" s="2876"/>
      <c r="U16" s="2876"/>
      <c r="V16" s="2876"/>
      <c r="W16" s="2876"/>
      <c r="X16" s="2876"/>
      <c r="Y16" s="2877"/>
      <c r="Z16" s="2882"/>
      <c r="AA16" s="2876"/>
      <c r="AB16" s="2876"/>
      <c r="AC16" s="2876"/>
      <c r="AD16" s="2876"/>
      <c r="AE16" s="2876"/>
      <c r="AF16" s="2876"/>
      <c r="AG16" s="2876"/>
      <c r="AH16" s="2891"/>
      <c r="AI16" s="2885"/>
      <c r="AJ16" s="2885"/>
      <c r="AK16" s="2885"/>
      <c r="AL16" s="2885"/>
      <c r="AM16" s="2885"/>
      <c r="AN16" s="2885"/>
      <c r="AO16" s="2892"/>
    </row>
    <row r="17" spans="1:60" s="792" customFormat="1" ht="18.649999999999999" customHeight="1">
      <c r="A17" s="225"/>
      <c r="B17" s="791" t="s">
        <v>151</v>
      </c>
      <c r="C17" s="2977" t="s">
        <v>1399</v>
      </c>
      <c r="D17" s="2977"/>
      <c r="E17" s="2977"/>
      <c r="F17" s="2977"/>
      <c r="G17" s="2977"/>
      <c r="H17" s="2977"/>
      <c r="I17" s="2977"/>
      <c r="J17" s="2977"/>
      <c r="K17" s="2977"/>
      <c r="L17" s="2977"/>
      <c r="M17" s="2977"/>
      <c r="N17" s="2977"/>
      <c r="O17" s="2977"/>
      <c r="P17" s="2977"/>
      <c r="Q17" s="2977"/>
      <c r="R17" s="2977"/>
      <c r="S17" s="2977"/>
      <c r="T17" s="2977"/>
      <c r="U17" s="2977"/>
      <c r="V17" s="2977"/>
      <c r="W17" s="2977"/>
      <c r="X17" s="2977"/>
      <c r="Y17" s="2977"/>
      <c r="Z17" s="2977"/>
      <c r="AA17" s="2977"/>
      <c r="AB17" s="2977"/>
      <c r="AC17" s="2977"/>
      <c r="AD17" s="2977"/>
      <c r="AE17" s="2977"/>
      <c r="AF17" s="2977"/>
      <c r="AG17" s="2977"/>
      <c r="AH17" s="2977"/>
      <c r="AI17" s="2977"/>
      <c r="AJ17" s="2977"/>
      <c r="AK17" s="2977"/>
      <c r="AL17" s="2977"/>
      <c r="AM17" s="2977"/>
      <c r="AN17" s="2977"/>
      <c r="AO17" s="2977"/>
      <c r="AP17" s="225"/>
      <c r="AQ17" s="225"/>
      <c r="AR17" s="225"/>
      <c r="AS17" s="225"/>
      <c r="AT17" s="225"/>
      <c r="AU17" s="225"/>
      <c r="AV17" s="225"/>
      <c r="AW17" s="225"/>
      <c r="AX17" s="225"/>
      <c r="AY17" s="225"/>
      <c r="AZ17" s="225"/>
      <c r="BA17" s="225"/>
      <c r="BB17" s="225"/>
      <c r="BC17" s="225"/>
      <c r="BD17" s="225"/>
      <c r="BE17" s="225"/>
      <c r="BF17" s="225"/>
      <c r="BG17" s="225"/>
      <c r="BH17" s="225"/>
    </row>
    <row r="18" spans="1:60" s="792" customFormat="1">
      <c r="A18" s="225"/>
      <c r="B18" s="793"/>
      <c r="C18" s="794" t="s">
        <v>114</v>
      </c>
      <c r="D18" s="2923" t="s">
        <v>1429</v>
      </c>
      <c r="E18" s="2923"/>
      <c r="F18" s="2923"/>
      <c r="G18" s="2923"/>
      <c r="H18" s="2923"/>
      <c r="I18" s="2923"/>
      <c r="J18" s="2923"/>
      <c r="K18" s="2923"/>
      <c r="L18" s="2923"/>
      <c r="M18" s="2923"/>
      <c r="N18" s="2923"/>
      <c r="O18" s="2923"/>
      <c r="P18" s="2923"/>
      <c r="Q18" s="2923"/>
      <c r="R18" s="2923"/>
      <c r="S18" s="2923"/>
      <c r="T18" s="2923"/>
      <c r="U18" s="2923"/>
      <c r="V18" s="2923"/>
      <c r="W18" s="2923"/>
      <c r="X18" s="2923"/>
      <c r="Y18" s="2923"/>
      <c r="Z18" s="2923"/>
      <c r="AA18" s="2923"/>
      <c r="AB18" s="2923"/>
      <c r="AC18" s="2923"/>
      <c r="AD18" s="2923"/>
      <c r="AE18" s="2923"/>
      <c r="AF18" s="2923"/>
      <c r="AG18" s="2923"/>
      <c r="AH18" s="2923"/>
      <c r="AI18" s="2923"/>
      <c r="AJ18" s="2923"/>
      <c r="AK18" s="2923"/>
      <c r="AL18" s="2923"/>
      <c r="AM18" s="2923"/>
      <c r="AN18" s="2923"/>
      <c r="AO18" s="2923"/>
      <c r="AP18" s="225"/>
      <c r="AQ18" s="225"/>
      <c r="AR18" s="225"/>
      <c r="AS18" s="225"/>
      <c r="AT18" s="225"/>
      <c r="AU18" s="225"/>
      <c r="AV18" s="225"/>
      <c r="AW18" s="225"/>
      <c r="AX18" s="225"/>
      <c r="AY18" s="225"/>
      <c r="AZ18" s="225"/>
      <c r="BA18" s="225"/>
      <c r="BB18" s="225"/>
      <c r="BC18" s="225"/>
      <c r="BD18" s="225"/>
      <c r="BE18" s="225"/>
      <c r="BF18" s="225"/>
      <c r="BG18" s="225"/>
      <c r="BH18" s="225"/>
    </row>
    <row r="19" spans="1:60" s="792" customFormat="1">
      <c r="A19" s="225"/>
      <c r="B19" s="793"/>
      <c r="C19" s="794" t="s">
        <v>115</v>
      </c>
      <c r="D19" s="2923" t="s">
        <v>1430</v>
      </c>
      <c r="E19" s="2923"/>
      <c r="F19" s="2923"/>
      <c r="G19" s="2923"/>
      <c r="H19" s="2923"/>
      <c r="I19" s="2923"/>
      <c r="J19" s="2923"/>
      <c r="K19" s="2923"/>
      <c r="L19" s="2923"/>
      <c r="M19" s="2923"/>
      <c r="N19" s="2923"/>
      <c r="O19" s="2923"/>
      <c r="P19" s="2923"/>
      <c r="Q19" s="2923"/>
      <c r="R19" s="2923"/>
      <c r="S19" s="2923"/>
      <c r="T19" s="2923"/>
      <c r="U19" s="2923"/>
      <c r="V19" s="2923"/>
      <c r="W19" s="2923"/>
      <c r="X19" s="2923"/>
      <c r="Y19" s="2923"/>
      <c r="Z19" s="2923"/>
      <c r="AA19" s="2923"/>
      <c r="AB19" s="2923"/>
      <c r="AC19" s="2923"/>
      <c r="AD19" s="2923"/>
      <c r="AE19" s="2923"/>
      <c r="AF19" s="2923"/>
      <c r="AG19" s="2923"/>
      <c r="AH19" s="2923"/>
      <c r="AI19" s="2923"/>
      <c r="AJ19" s="2923"/>
      <c r="AK19" s="2923"/>
      <c r="AL19" s="2923"/>
      <c r="AM19" s="2923"/>
      <c r="AN19" s="2923"/>
      <c r="AO19" s="2923"/>
      <c r="AP19" s="225"/>
      <c r="AQ19" s="225"/>
      <c r="AR19" s="225"/>
      <c r="AS19" s="225"/>
      <c r="AT19" s="225"/>
      <c r="AU19" s="225"/>
      <c r="AV19" s="225"/>
      <c r="AW19" s="225"/>
      <c r="AX19" s="225"/>
      <c r="AY19" s="225"/>
      <c r="AZ19" s="225"/>
      <c r="BA19" s="225"/>
      <c r="BB19" s="225"/>
      <c r="BC19" s="225"/>
      <c r="BD19" s="225"/>
      <c r="BE19" s="225"/>
      <c r="BF19" s="225"/>
      <c r="BG19" s="225"/>
      <c r="BH19" s="225"/>
    </row>
    <row r="20" spans="1:60" s="796" customFormat="1">
      <c r="A20" s="223"/>
      <c r="B20" s="795" t="s">
        <v>152</v>
      </c>
      <c r="C20" s="2978" t="s">
        <v>1400</v>
      </c>
      <c r="D20" s="2978"/>
      <c r="E20" s="2978"/>
      <c r="F20" s="2978"/>
      <c r="G20" s="2978"/>
      <c r="H20" s="2978"/>
      <c r="I20" s="2978"/>
      <c r="J20" s="2978"/>
      <c r="K20" s="2978"/>
      <c r="L20" s="2978"/>
      <c r="M20" s="2978"/>
      <c r="N20" s="2978"/>
      <c r="O20" s="2978"/>
      <c r="P20" s="2978"/>
      <c r="Q20" s="2978"/>
      <c r="R20" s="2978"/>
      <c r="S20" s="2978"/>
      <c r="T20" s="2978"/>
      <c r="U20" s="2978"/>
      <c r="V20" s="2978"/>
      <c r="W20" s="2978"/>
      <c r="X20" s="2978"/>
      <c r="Y20" s="2978"/>
      <c r="Z20" s="2978"/>
      <c r="AA20" s="2978"/>
      <c r="AB20" s="2978"/>
      <c r="AC20" s="2978"/>
      <c r="AD20" s="2978"/>
      <c r="AE20" s="2978"/>
      <c r="AF20" s="2978"/>
      <c r="AG20" s="2978"/>
      <c r="AH20" s="2978"/>
      <c r="AI20" s="2978"/>
      <c r="AJ20" s="2978"/>
      <c r="AK20" s="2978"/>
      <c r="AL20" s="2978"/>
      <c r="AM20" s="2978"/>
      <c r="AN20" s="2978"/>
      <c r="AO20" s="2978"/>
      <c r="AP20" s="223"/>
      <c r="AQ20" s="223"/>
      <c r="AR20" s="223"/>
      <c r="AS20" s="223"/>
      <c r="AT20" s="223"/>
      <c r="AU20" s="223"/>
      <c r="AV20" s="223"/>
      <c r="AW20" s="223"/>
      <c r="AX20" s="223"/>
      <c r="AY20" s="223"/>
      <c r="AZ20" s="223"/>
      <c r="BA20" s="223"/>
      <c r="BB20" s="223"/>
      <c r="BC20" s="223"/>
      <c r="BD20" s="223"/>
      <c r="BE20" s="223"/>
      <c r="BF20" s="223"/>
      <c r="BG20" s="223"/>
      <c r="BH20" s="223"/>
    </row>
    <row r="21" spans="1:60" s="225" customFormat="1">
      <c r="A21" s="777"/>
      <c r="B21" s="778" t="s">
        <v>153</v>
      </c>
      <c r="C21" s="2953" t="s">
        <v>1431</v>
      </c>
      <c r="D21" s="2953"/>
      <c r="E21" s="2953"/>
      <c r="F21" s="2953"/>
      <c r="G21" s="2953"/>
      <c r="H21" s="2953"/>
      <c r="I21" s="2953"/>
      <c r="J21" s="2953"/>
      <c r="K21" s="2953"/>
      <c r="L21" s="2953"/>
      <c r="M21" s="2953"/>
      <c r="N21" s="2953"/>
      <c r="O21" s="2953"/>
      <c r="P21" s="2953"/>
      <c r="Q21" s="2953"/>
      <c r="R21" s="2953"/>
      <c r="S21" s="2953"/>
      <c r="T21" s="2953"/>
      <c r="U21" s="2953"/>
      <c r="V21" s="2953"/>
      <c r="W21" s="2953"/>
      <c r="X21" s="2953"/>
      <c r="Y21" s="2953"/>
      <c r="Z21" s="2953"/>
      <c r="AA21" s="2953"/>
      <c r="AB21" s="2953"/>
      <c r="AC21" s="2953"/>
      <c r="AD21" s="2953"/>
      <c r="AE21" s="2953"/>
      <c r="AF21" s="2953"/>
      <c r="AG21" s="2953"/>
      <c r="AH21" s="2953"/>
      <c r="AI21" s="2953"/>
      <c r="AJ21" s="2953"/>
      <c r="AK21" s="2953"/>
      <c r="AL21" s="2953"/>
      <c r="AM21" s="2953"/>
      <c r="AN21" s="2953"/>
      <c r="AO21" s="2953"/>
      <c r="AP21" s="797"/>
      <c r="AQ21" s="797"/>
      <c r="AR21" s="797"/>
      <c r="AS21" s="797"/>
      <c r="AT21" s="797"/>
      <c r="AU21" s="797"/>
      <c r="AV21" s="797"/>
      <c r="AW21" s="797"/>
      <c r="AX21" s="797"/>
      <c r="AY21" s="797"/>
    </row>
    <row r="22" spans="1:60" s="796" customFormat="1">
      <c r="A22" s="223"/>
      <c r="B22" s="795" t="s">
        <v>154</v>
      </c>
      <c r="C22" s="2978" t="s">
        <v>1432</v>
      </c>
      <c r="D22" s="2978"/>
      <c r="E22" s="2978"/>
      <c r="F22" s="2978"/>
      <c r="G22" s="2978"/>
      <c r="H22" s="2978"/>
      <c r="I22" s="2978"/>
      <c r="J22" s="2978"/>
      <c r="K22" s="2978"/>
      <c r="L22" s="2978"/>
      <c r="M22" s="2978"/>
      <c r="N22" s="2978"/>
      <c r="O22" s="2978"/>
      <c r="P22" s="2978"/>
      <c r="Q22" s="2978"/>
      <c r="R22" s="2978"/>
      <c r="S22" s="2978"/>
      <c r="T22" s="2978"/>
      <c r="U22" s="2978"/>
      <c r="V22" s="2978"/>
      <c r="W22" s="2978"/>
      <c r="X22" s="2978"/>
      <c r="Y22" s="2978"/>
      <c r="Z22" s="2978"/>
      <c r="AA22" s="2978"/>
      <c r="AB22" s="2978"/>
      <c r="AC22" s="2978"/>
      <c r="AD22" s="2978"/>
      <c r="AE22" s="2978"/>
      <c r="AF22" s="2978"/>
      <c r="AG22" s="2978"/>
      <c r="AH22" s="2978"/>
      <c r="AI22" s="2978"/>
      <c r="AJ22" s="2978"/>
      <c r="AK22" s="2978"/>
      <c r="AL22" s="2978"/>
      <c r="AM22" s="2978"/>
      <c r="AN22" s="2978"/>
      <c r="AO22" s="2978"/>
      <c r="AP22" s="223"/>
      <c r="AQ22" s="223"/>
      <c r="AR22" s="223"/>
      <c r="AS22" s="223"/>
      <c r="AT22" s="223"/>
      <c r="AU22" s="223"/>
      <c r="AV22" s="223"/>
      <c r="AW22" s="223"/>
      <c r="AX22" s="223"/>
      <c r="AY22" s="223"/>
      <c r="AZ22" s="223"/>
      <c r="BA22" s="223"/>
      <c r="BB22" s="223"/>
      <c r="BC22" s="223"/>
      <c r="BD22" s="223"/>
      <c r="BE22" s="223"/>
      <c r="BF22" s="223"/>
      <c r="BG22" s="223"/>
      <c r="BH22" s="223"/>
    </row>
    <row r="23" spans="1:60" s="796" customFormat="1">
      <c r="A23" s="223"/>
      <c r="B23" s="795" t="s">
        <v>155</v>
      </c>
      <c r="C23" s="2978" t="s">
        <v>1433</v>
      </c>
      <c r="D23" s="2978"/>
      <c r="E23" s="2978"/>
      <c r="F23" s="2978"/>
      <c r="G23" s="2978"/>
      <c r="H23" s="2978"/>
      <c r="I23" s="2978"/>
      <c r="J23" s="2978"/>
      <c r="K23" s="2978"/>
      <c r="L23" s="2978"/>
      <c r="M23" s="2978"/>
      <c r="N23" s="2978"/>
      <c r="O23" s="2978"/>
      <c r="P23" s="2978"/>
      <c r="Q23" s="2978"/>
      <c r="R23" s="2978"/>
      <c r="S23" s="2978"/>
      <c r="T23" s="2978"/>
      <c r="U23" s="2978"/>
      <c r="V23" s="2978"/>
      <c r="W23" s="2978"/>
      <c r="X23" s="2978"/>
      <c r="Y23" s="2978"/>
      <c r="Z23" s="2978"/>
      <c r="AA23" s="2978"/>
      <c r="AB23" s="2978"/>
      <c r="AC23" s="2978"/>
      <c r="AD23" s="2978"/>
      <c r="AE23" s="2978"/>
      <c r="AF23" s="2978"/>
      <c r="AG23" s="2978"/>
      <c r="AH23" s="2978"/>
      <c r="AI23" s="2978"/>
      <c r="AJ23" s="2978"/>
      <c r="AK23" s="2978"/>
      <c r="AL23" s="2978"/>
      <c r="AM23" s="2978"/>
      <c r="AN23" s="2978"/>
      <c r="AO23" s="2978"/>
      <c r="AP23" s="223"/>
      <c r="AQ23" s="223"/>
      <c r="AR23" s="223"/>
      <c r="AS23" s="223"/>
      <c r="AT23" s="223"/>
      <c r="AU23" s="223"/>
      <c r="AV23" s="223"/>
      <c r="AW23" s="223"/>
      <c r="AX23" s="223"/>
      <c r="AY23" s="223"/>
      <c r="AZ23" s="223"/>
      <c r="BA23" s="223"/>
      <c r="BB23" s="223"/>
      <c r="BC23" s="223"/>
      <c r="BD23" s="223"/>
      <c r="BE23" s="223"/>
      <c r="BF23" s="223"/>
      <c r="BG23" s="223"/>
      <c r="BH23" s="223"/>
    </row>
    <row r="24" spans="1:60" s="796" customFormat="1" ht="14.5" customHeight="1">
      <c r="A24" s="223"/>
      <c r="B24" s="798"/>
      <c r="C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c r="AD24" s="223"/>
      <c r="AE24" s="223"/>
      <c r="AF24" s="223"/>
      <c r="AG24" s="223"/>
      <c r="AH24" s="223"/>
      <c r="AI24" s="223"/>
      <c r="AJ24" s="223"/>
      <c r="AK24" s="223"/>
      <c r="AL24" s="223"/>
      <c r="AM24" s="223"/>
      <c r="AN24" s="223"/>
      <c r="AO24" s="223"/>
      <c r="AP24" s="223"/>
      <c r="AQ24" s="223"/>
      <c r="AR24" s="223"/>
      <c r="AS24" s="223"/>
      <c r="AT24" s="223"/>
      <c r="AU24" s="223"/>
      <c r="AV24" s="223"/>
      <c r="AW24" s="223"/>
      <c r="AX24" s="223"/>
      <c r="AY24" s="223"/>
      <c r="AZ24" s="223"/>
      <c r="BA24" s="223"/>
      <c r="BB24" s="223"/>
      <c r="BC24" s="223"/>
      <c r="BD24" s="223"/>
      <c r="BE24" s="223"/>
      <c r="BF24" s="223"/>
      <c r="BG24" s="223"/>
      <c r="BH24" s="223"/>
    </row>
    <row r="25" spans="1:60" s="782" customFormat="1" ht="18">
      <c r="B25" s="785" t="s">
        <v>1434</v>
      </c>
      <c r="C25" s="785"/>
      <c r="D25" s="785"/>
      <c r="E25" s="785"/>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785"/>
      <c r="AL25" s="785"/>
      <c r="AM25" s="785"/>
      <c r="AN25" s="785"/>
      <c r="AO25" s="785"/>
      <c r="AP25" s="785"/>
      <c r="AQ25" s="785"/>
      <c r="AR25" s="785"/>
      <c r="AS25" s="785"/>
      <c r="AT25" s="785"/>
      <c r="AU25" s="785"/>
      <c r="AV25" s="785"/>
      <c r="AW25" s="785"/>
      <c r="AX25" s="785"/>
      <c r="AY25" s="785"/>
    </row>
    <row r="26" spans="1:60" s="661" customFormat="1" ht="30.75" customHeight="1">
      <c r="B26" s="319"/>
      <c r="C26" s="319"/>
      <c r="D26" s="319"/>
    </row>
    <row r="27" spans="1:60" s="745" customFormat="1">
      <c r="B27" s="169" t="s">
        <v>847</v>
      </c>
      <c r="P27" s="169" t="s">
        <v>764</v>
      </c>
      <c r="Q27" s="169"/>
      <c r="AD27" s="169" t="s">
        <v>783</v>
      </c>
    </row>
    <row r="28" spans="1:60" s="745" customFormat="1" ht="21.75" customHeight="1">
      <c r="B28" s="169" t="s">
        <v>756</v>
      </c>
      <c r="F28" s="2838" t="str">
        <f>activesheet!E29</f>
        <v>RICO S. MISPEROS</v>
      </c>
      <c r="G28" s="2838"/>
      <c r="H28" s="2838"/>
      <c r="I28" s="2838"/>
      <c r="J28" s="2838"/>
      <c r="K28" s="2838"/>
      <c r="L28" s="2838"/>
      <c r="M28" s="2838"/>
      <c r="N28" s="776"/>
      <c r="P28" s="1956" t="str">
        <f>activesheet!E1376</f>
        <v>ANNE VALERIE KERSTEINE I. VILLANUEVA</v>
      </c>
      <c r="Q28" s="1956"/>
      <c r="R28" s="1956"/>
      <c r="S28" s="1956"/>
      <c r="T28" s="1956"/>
      <c r="U28" s="1956"/>
      <c r="V28" s="1956"/>
      <c r="W28" s="1956"/>
      <c r="X28" s="1956"/>
      <c r="Y28" s="1956"/>
      <c r="Z28" s="1956"/>
      <c r="AA28" s="1956"/>
      <c r="AD28" s="1956" t="str">
        <f>activesheet!E31</f>
        <v>MICHAEL T. JAMIS</v>
      </c>
      <c r="AE28" s="1956"/>
      <c r="AF28" s="1956"/>
      <c r="AG28" s="1956"/>
      <c r="AH28" s="1956"/>
      <c r="AI28" s="1956"/>
      <c r="AJ28" s="1956"/>
      <c r="AK28" s="1956"/>
      <c r="AL28" s="1956"/>
      <c r="AM28" s="1956"/>
      <c r="AN28" s="1956"/>
      <c r="AO28" s="1956"/>
    </row>
    <row r="29" spans="1:60" s="746" customFormat="1">
      <c r="B29" s="655"/>
      <c r="F29" s="1764" t="s">
        <v>741</v>
      </c>
      <c r="G29" s="1764"/>
      <c r="H29" s="1764"/>
      <c r="I29" s="1764"/>
      <c r="J29" s="1764"/>
      <c r="K29" s="1764"/>
      <c r="L29" s="1764"/>
      <c r="M29" s="1764"/>
      <c r="N29" s="184"/>
      <c r="O29" s="655"/>
      <c r="P29" s="1957"/>
      <c r="Q29" s="1957"/>
      <c r="R29" s="1957"/>
      <c r="S29" s="1957"/>
      <c r="T29" s="1957"/>
      <c r="U29" s="1957"/>
      <c r="V29" s="1957"/>
      <c r="W29" s="1957"/>
      <c r="X29" s="1957"/>
      <c r="Y29" s="1957"/>
      <c r="Z29" s="1957"/>
      <c r="AA29" s="1957"/>
      <c r="AB29" s="745"/>
      <c r="AC29" s="745"/>
      <c r="AD29" s="1957"/>
      <c r="AE29" s="1957"/>
      <c r="AF29" s="1957"/>
      <c r="AG29" s="1957"/>
      <c r="AH29" s="1957"/>
      <c r="AI29" s="1957"/>
      <c r="AJ29" s="1957"/>
      <c r="AK29" s="1957"/>
      <c r="AL29" s="1957"/>
      <c r="AM29" s="1957"/>
      <c r="AN29" s="1957"/>
      <c r="AO29" s="1957"/>
      <c r="AP29" s="655"/>
    </row>
    <row r="30" spans="1:60" s="745" customFormat="1" ht="21.75" customHeight="1">
      <c r="B30" s="169" t="s">
        <v>71</v>
      </c>
      <c r="F30" s="2838" t="str">
        <f>activesheet!E30</f>
        <v>SCHOOL PRINCIPAL II</v>
      </c>
      <c r="G30" s="2838"/>
      <c r="H30" s="2838"/>
      <c r="I30" s="2838"/>
      <c r="J30" s="2838"/>
      <c r="K30" s="2838"/>
      <c r="L30" s="2838"/>
      <c r="M30" s="2838"/>
      <c r="N30" s="776"/>
      <c r="P30" s="1764" t="s">
        <v>741</v>
      </c>
      <c r="Q30" s="1764"/>
      <c r="R30" s="1764"/>
      <c r="S30" s="1764"/>
      <c r="T30" s="1764"/>
      <c r="U30" s="1764"/>
      <c r="V30" s="1764"/>
      <c r="W30" s="1764"/>
      <c r="X30" s="1764"/>
      <c r="Y30" s="1764"/>
      <c r="Z30" s="1764"/>
      <c r="AA30" s="1764"/>
      <c r="AB30" s="153"/>
      <c r="AC30" s="151"/>
      <c r="AD30" s="1764" t="s">
        <v>741</v>
      </c>
      <c r="AE30" s="1764"/>
      <c r="AF30" s="1764"/>
      <c r="AG30" s="1764"/>
      <c r="AH30" s="1764"/>
      <c r="AI30" s="1764"/>
      <c r="AJ30" s="1764"/>
      <c r="AK30" s="1764"/>
      <c r="AL30" s="1764"/>
      <c r="AM30" s="1764"/>
      <c r="AN30" s="1764"/>
      <c r="AO30" s="655"/>
    </row>
    <row r="31" spans="1:60">
      <c r="AB31" s="745"/>
      <c r="AC31" s="745"/>
    </row>
  </sheetData>
  <sheetProtection algorithmName="SHA-512" hashValue="KThr2871LEZhUtEEYuPfe2W3Hjjnx1wmyreljSfzqWw7E/H1lCKfGC8jkT8Nu3EB7sqhHtBA+6PGY6qZm+IbIQ==" saltValue="9/XFNSt4uND/FwWTC/zNsQ==" spinCount="100000" sheet="1" objects="1" scenarios="1" selectLockedCells="1"/>
  <mergeCells count="74">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B16:I16"/>
    <mergeCell ref="J16:Q16"/>
    <mergeCell ref="R16:Y16"/>
    <mergeCell ref="Z16:AG16"/>
    <mergeCell ref="AH16:AO16"/>
    <mergeCell ref="B15:I15"/>
    <mergeCell ref="J15:Q15"/>
    <mergeCell ref="R15:Y15"/>
    <mergeCell ref="Z15:AG15"/>
    <mergeCell ref="AH15:AO15"/>
    <mergeCell ref="F30:M30"/>
    <mergeCell ref="P30:AA30"/>
    <mergeCell ref="AD30:AN30"/>
    <mergeCell ref="C17:AO17"/>
    <mergeCell ref="D18:AO18"/>
    <mergeCell ref="D19:AO19"/>
    <mergeCell ref="C20:AO20"/>
    <mergeCell ref="C21:AO21"/>
    <mergeCell ref="C22:AO22"/>
    <mergeCell ref="C23:AO23"/>
    <mergeCell ref="F28:M28"/>
    <mergeCell ref="P28:AA29"/>
    <mergeCell ref="AD28:AO29"/>
    <mergeCell ref="F29:M29"/>
  </mergeCells>
  <phoneticPr fontId="75" type="noConversion"/>
  <dataValidations count="1">
    <dataValidation type="whole" allowBlank="1" showInputMessage="1" showErrorMessage="1" errorTitle="GESP SY 2022-2023" error="Please enter valid number between 0 - 999." sqref="AH7:AO16" xr:uid="{00000000-0002-0000-1900-000000000000}">
      <formula1>0</formula1>
      <formula2>999</formula2>
    </dataValidation>
  </dataValidations>
  <printOptions horizontalCentered="1" verticalCentered="1"/>
  <pageMargins left="0.25" right="0.25" top="0.2" bottom="0.2" header="0" footer="0.1"/>
  <pageSetup paperSize="9" scale="38" orientation="landscape" r:id="rId1"/>
  <headerFooter alignWithMargins="0">
    <oddFooter>&amp;L&amp;10&amp;F &amp;A&amp;R&amp;10Page 22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900-000001000000}">
          <x14:formula1>
            <xm:f>Dropdowns!$J$12:$J$15</xm:f>
          </x14:formula1>
          <xm:sqref>J7:Q16</xm:sqref>
        </x14:dataValidation>
        <x14:dataValidation type="list" allowBlank="1" showInputMessage="1" showErrorMessage="1" errorTitle="GESP SY 2022-2023" error="Please select on the list provided." xr:uid="{00000000-0002-0000-1900-000002000000}">
          <x14:formula1>
            <xm:f>Dropdowns!$J$24:$J$26</xm:f>
          </x14:formula1>
          <xm:sqref>B7:I16</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pageSetUpPr fitToPage="1"/>
  </sheetPr>
  <dimension ref="A1:CA47"/>
  <sheetViews>
    <sheetView showGridLines="0" tabSelected="1" zoomScaleNormal="100" workbookViewId="0">
      <selection activeCell="O32" sqref="O32:S32"/>
    </sheetView>
  </sheetViews>
  <sheetFormatPr defaultColWidth="9" defaultRowHeight="15.5"/>
  <cols>
    <col min="1" max="1" width="2.08203125" style="755" customWidth="1"/>
    <col min="2" max="7" width="3.58203125" style="755" customWidth="1"/>
    <col min="8" max="8" width="3.83203125" style="755" customWidth="1"/>
    <col min="9" max="10" width="3.58203125" style="755" customWidth="1"/>
    <col min="11" max="11" width="4" style="755" customWidth="1"/>
    <col min="12" max="13" width="3.58203125" style="755" customWidth="1"/>
    <col min="14" max="14" width="4.08203125" style="755" customWidth="1"/>
    <col min="15" max="16" width="3.58203125" style="755" customWidth="1"/>
    <col min="17" max="17" width="4" style="755" customWidth="1"/>
    <col min="18" max="22" width="3.58203125" style="755" customWidth="1"/>
    <col min="23" max="23" width="3.83203125" style="755" customWidth="1"/>
    <col min="24" max="25" width="3.58203125" style="755" customWidth="1"/>
    <col min="26" max="26" width="4.08203125" style="755" customWidth="1"/>
    <col min="27" max="27" width="3.58203125" style="755" customWidth="1"/>
    <col min="28" max="28" width="3.83203125" style="755" customWidth="1"/>
    <col min="29" max="30" width="3.58203125" style="755" customWidth="1"/>
    <col min="31" max="31" width="3.83203125" style="755" customWidth="1"/>
    <col min="32" max="57" width="3.58203125" style="755" customWidth="1"/>
    <col min="58" max="58" width="2.08203125" style="755" customWidth="1"/>
    <col min="59" max="73" width="3.58203125" style="755" customWidth="1"/>
    <col min="74" max="16384" width="9" style="755"/>
  </cols>
  <sheetData>
    <row r="1" spans="1:61" ht="9.65" customHeight="1"/>
    <row r="2" spans="1:61" ht="15.75" customHeight="1">
      <c r="B2" s="851" t="s">
        <v>1424</v>
      </c>
      <c r="C2" s="818"/>
      <c r="D2" s="818"/>
      <c r="E2" s="818"/>
      <c r="F2" s="818"/>
      <c r="G2" s="818"/>
      <c r="H2" s="818"/>
      <c r="I2" s="818"/>
      <c r="J2" s="818"/>
      <c r="K2" s="818"/>
      <c r="L2" s="818"/>
      <c r="M2" s="818"/>
      <c r="N2" s="818"/>
      <c r="O2" s="818"/>
      <c r="P2" s="818"/>
      <c r="Q2" s="818"/>
      <c r="R2" s="818"/>
      <c r="S2" s="818"/>
      <c r="T2" s="818"/>
      <c r="U2" s="818"/>
      <c r="V2" s="818"/>
      <c r="W2" s="818"/>
      <c r="X2" s="818"/>
      <c r="Y2" s="818"/>
      <c r="Z2" s="818"/>
      <c r="AA2" s="818"/>
      <c r="AB2" s="818"/>
    </row>
    <row r="3" spans="1:61" ht="15.75" customHeight="1">
      <c r="B3" s="851" t="s">
        <v>11779</v>
      </c>
      <c r="C3" s="818"/>
      <c r="D3" s="818"/>
      <c r="E3" s="818"/>
      <c r="F3" s="818"/>
      <c r="G3" s="818"/>
      <c r="H3" s="818"/>
      <c r="I3" s="818"/>
      <c r="J3" s="818"/>
      <c r="K3" s="818"/>
      <c r="L3" s="818"/>
      <c r="M3" s="818"/>
      <c r="N3" s="818"/>
      <c r="O3" s="818"/>
      <c r="P3" s="818"/>
      <c r="Q3" s="818"/>
      <c r="R3" s="818"/>
      <c r="S3" s="818"/>
      <c r="T3" s="818"/>
      <c r="U3" s="818"/>
      <c r="V3" s="818"/>
      <c r="W3" s="818"/>
      <c r="X3" s="818"/>
      <c r="Y3" s="818"/>
      <c r="Z3" s="818"/>
      <c r="AA3" s="818"/>
      <c r="AB3" s="818"/>
    </row>
    <row r="4" spans="1:61" s="681" customFormat="1" ht="16" thickBot="1">
      <c r="A4" s="588"/>
      <c r="B4" s="582" t="s">
        <v>903</v>
      </c>
      <c r="C4" s="222"/>
      <c r="D4" s="221"/>
      <c r="E4" s="221"/>
      <c r="F4" s="221"/>
      <c r="G4" s="221"/>
      <c r="H4" s="221"/>
      <c r="I4" s="221"/>
      <c r="J4" s="221"/>
      <c r="K4" s="221"/>
      <c r="L4" s="221"/>
      <c r="M4" s="221"/>
      <c r="N4" s="221"/>
      <c r="O4" s="221"/>
      <c r="P4" s="221"/>
      <c r="Q4" s="221"/>
      <c r="R4" s="680"/>
      <c r="S4" s="680"/>
      <c r="T4" s="661"/>
      <c r="U4" s="661"/>
      <c r="V4" s="680"/>
      <c r="W4" s="680"/>
      <c r="X4" s="680"/>
    </row>
    <row r="5" spans="1:61" ht="31.5" customHeight="1">
      <c r="B5" s="2990" t="s">
        <v>124</v>
      </c>
      <c r="C5" s="2991"/>
      <c r="D5" s="2991"/>
      <c r="E5" s="2991"/>
      <c r="F5" s="2992"/>
      <c r="G5" s="2996" t="s">
        <v>1403</v>
      </c>
      <c r="H5" s="2997"/>
      <c r="I5" s="2997"/>
      <c r="J5" s="2997"/>
      <c r="K5" s="2997"/>
      <c r="L5" s="2997"/>
      <c r="M5" s="2997"/>
      <c r="N5" s="2997"/>
      <c r="O5" s="2997"/>
      <c r="P5" s="2997"/>
      <c r="Q5" s="2997"/>
      <c r="R5" s="2997"/>
      <c r="S5" s="2997"/>
      <c r="T5" s="2997"/>
      <c r="U5" s="2998"/>
      <c r="V5" s="2999" t="s">
        <v>1404</v>
      </c>
      <c r="W5" s="3000"/>
      <c r="X5" s="3000"/>
      <c r="Y5" s="3000"/>
      <c r="Z5" s="3000"/>
      <c r="AA5" s="3000"/>
      <c r="AB5" s="3000"/>
      <c r="AC5" s="3000"/>
      <c r="AD5" s="3000"/>
      <c r="AE5" s="3000"/>
      <c r="AF5" s="3000"/>
      <c r="AG5" s="3000"/>
      <c r="AH5" s="3000"/>
      <c r="AI5" s="3000"/>
      <c r="AJ5" s="3001"/>
      <c r="AK5" s="501"/>
    </row>
    <row r="6" spans="1:61" ht="15.75" customHeight="1" thickBot="1">
      <c r="B6" s="2993"/>
      <c r="C6" s="2994"/>
      <c r="D6" s="2994"/>
      <c r="E6" s="2994"/>
      <c r="F6" s="2995"/>
      <c r="G6" s="3002" t="s">
        <v>1405</v>
      </c>
      <c r="H6" s="3003"/>
      <c r="I6" s="3004"/>
      <c r="J6" s="3005" t="s">
        <v>1406</v>
      </c>
      <c r="K6" s="3003"/>
      <c r="L6" s="3003"/>
      <c r="M6" s="3005" t="s">
        <v>1407</v>
      </c>
      <c r="N6" s="3003"/>
      <c r="O6" s="3004"/>
      <c r="P6" s="3003" t="s">
        <v>1408</v>
      </c>
      <c r="Q6" s="3003"/>
      <c r="R6" s="3006"/>
      <c r="S6" s="3007" t="s">
        <v>29</v>
      </c>
      <c r="T6" s="3003"/>
      <c r="U6" s="3008"/>
      <c r="V6" s="3002" t="s">
        <v>1405</v>
      </c>
      <c r="W6" s="3003"/>
      <c r="X6" s="3004"/>
      <c r="Y6" s="3005" t="s">
        <v>1406</v>
      </c>
      <c r="Z6" s="3003"/>
      <c r="AA6" s="3003"/>
      <c r="AB6" s="3005" t="s">
        <v>1407</v>
      </c>
      <c r="AC6" s="3003"/>
      <c r="AD6" s="3004"/>
      <c r="AE6" s="3003" t="s">
        <v>1408</v>
      </c>
      <c r="AF6" s="3003"/>
      <c r="AG6" s="3006"/>
      <c r="AH6" s="3007" t="s">
        <v>29</v>
      </c>
      <c r="AI6" s="3003"/>
      <c r="AJ6" s="3008"/>
      <c r="AM6" s="838"/>
      <c r="AN6" s="838"/>
      <c r="AO6" s="838"/>
      <c r="AP6" s="838"/>
      <c r="AQ6" s="838"/>
      <c r="AR6" s="838"/>
      <c r="AS6" s="838"/>
      <c r="AT6" s="838"/>
      <c r="AU6" s="838"/>
      <c r="AV6" s="838"/>
      <c r="AW6" s="838"/>
      <c r="AX6" s="838"/>
      <c r="AY6" s="838"/>
      <c r="AZ6" s="838"/>
      <c r="BA6" s="838"/>
      <c r="BB6" s="838"/>
      <c r="BC6" s="838"/>
      <c r="BD6" s="838"/>
      <c r="BE6" s="838"/>
      <c r="BF6" s="838"/>
      <c r="BG6" s="838"/>
      <c r="BH6" s="838"/>
      <c r="BI6" s="838"/>
    </row>
    <row r="7" spans="1:61" ht="25" customHeight="1">
      <c r="B7" s="839"/>
      <c r="C7" s="840" t="s">
        <v>57</v>
      </c>
      <c r="D7" s="840"/>
      <c r="E7" s="840"/>
      <c r="F7" s="841"/>
      <c r="G7" s="2989">
        <v>0</v>
      </c>
      <c r="H7" s="2985"/>
      <c r="I7" s="2986"/>
      <c r="J7" s="2984">
        <v>0</v>
      </c>
      <c r="K7" s="2985"/>
      <c r="L7" s="2985"/>
      <c r="M7" s="2984">
        <v>0</v>
      </c>
      <c r="N7" s="2985"/>
      <c r="O7" s="2986"/>
      <c r="P7" s="2985">
        <v>0</v>
      </c>
      <c r="Q7" s="2985"/>
      <c r="R7" s="2987"/>
      <c r="S7" s="2981">
        <f>SUM(G7:R7)</f>
        <v>0</v>
      </c>
      <c r="T7" s="2982"/>
      <c r="U7" s="2983"/>
      <c r="V7" s="2989">
        <v>0</v>
      </c>
      <c r="W7" s="2985"/>
      <c r="X7" s="2986"/>
      <c r="Y7" s="2984">
        <v>0</v>
      </c>
      <c r="Z7" s="2985"/>
      <c r="AA7" s="2985"/>
      <c r="AB7" s="2984">
        <v>0</v>
      </c>
      <c r="AC7" s="2985"/>
      <c r="AD7" s="2986"/>
      <c r="AE7" s="2985">
        <v>0</v>
      </c>
      <c r="AF7" s="2985"/>
      <c r="AG7" s="2987"/>
      <c r="AH7" s="2981">
        <f>SUM(V7:AG7)</f>
        <v>0</v>
      </c>
      <c r="AI7" s="2982"/>
      <c r="AJ7" s="2983"/>
      <c r="AM7" s="838"/>
      <c r="AN7" s="838"/>
      <c r="AO7" s="838"/>
      <c r="AP7" s="838"/>
      <c r="AQ7" s="838"/>
      <c r="AR7" s="838"/>
      <c r="AS7" s="838"/>
      <c r="AT7" s="838"/>
      <c r="AU7" s="838"/>
      <c r="AV7" s="838"/>
      <c r="AW7" s="838"/>
      <c r="AX7" s="838"/>
      <c r="AY7" s="838"/>
      <c r="AZ7" s="838"/>
      <c r="BA7" s="838"/>
      <c r="BB7" s="838"/>
      <c r="BC7" s="838"/>
      <c r="BD7" s="838"/>
      <c r="BE7" s="838"/>
      <c r="BF7" s="838"/>
      <c r="BG7" s="838"/>
      <c r="BH7" s="838"/>
      <c r="BI7" s="838"/>
    </row>
    <row r="8" spans="1:61" ht="25" customHeight="1">
      <c r="B8" s="842"/>
      <c r="C8" s="843" t="s">
        <v>19</v>
      </c>
      <c r="D8" s="843"/>
      <c r="E8" s="843"/>
      <c r="F8" s="844"/>
      <c r="G8" s="2989">
        <v>0</v>
      </c>
      <c r="H8" s="2985"/>
      <c r="I8" s="2986"/>
      <c r="J8" s="2984">
        <v>0</v>
      </c>
      <c r="K8" s="2985"/>
      <c r="L8" s="2986"/>
      <c r="M8" s="2984">
        <v>0</v>
      </c>
      <c r="N8" s="2985"/>
      <c r="O8" s="2986"/>
      <c r="P8" s="2984">
        <v>0</v>
      </c>
      <c r="Q8" s="2985"/>
      <c r="R8" s="2986"/>
      <c r="S8" s="2988">
        <f t="shared" ref="S8:S13" si="0">SUM(G8:R8)</f>
        <v>0</v>
      </c>
      <c r="T8" s="2982"/>
      <c r="U8" s="2983"/>
      <c r="V8" s="2989">
        <v>0</v>
      </c>
      <c r="W8" s="2985"/>
      <c r="X8" s="2986"/>
      <c r="Y8" s="2984">
        <v>0</v>
      </c>
      <c r="Z8" s="2985"/>
      <c r="AA8" s="2985"/>
      <c r="AB8" s="2984">
        <v>0</v>
      </c>
      <c r="AC8" s="2985"/>
      <c r="AD8" s="2986"/>
      <c r="AE8" s="2985">
        <v>0</v>
      </c>
      <c r="AF8" s="2985"/>
      <c r="AG8" s="2987"/>
      <c r="AH8" s="2988">
        <f>SUM(V8:AG8)</f>
        <v>0</v>
      </c>
      <c r="AI8" s="2982"/>
      <c r="AJ8" s="2983"/>
      <c r="AM8" s="838"/>
      <c r="AN8" s="838"/>
      <c r="AO8" s="838"/>
      <c r="AP8" s="838"/>
      <c r="AQ8" s="838"/>
      <c r="AR8" s="838"/>
      <c r="AS8" s="838"/>
      <c r="AT8" s="838"/>
      <c r="AU8" s="838"/>
      <c r="AV8" s="838"/>
      <c r="AW8" s="838"/>
      <c r="AX8" s="838"/>
      <c r="AY8" s="838"/>
      <c r="AZ8" s="838"/>
      <c r="BA8" s="838"/>
      <c r="BB8" s="838"/>
      <c r="BC8" s="838"/>
      <c r="BD8" s="838"/>
      <c r="BE8" s="838"/>
      <c r="BF8" s="838"/>
      <c r="BG8" s="838"/>
      <c r="BH8" s="838"/>
      <c r="BI8" s="838"/>
    </row>
    <row r="9" spans="1:61" ht="25" customHeight="1">
      <c r="B9" s="842"/>
      <c r="C9" s="843" t="s">
        <v>20</v>
      </c>
      <c r="D9" s="843"/>
      <c r="E9" s="843"/>
      <c r="F9" s="844"/>
      <c r="G9" s="2989">
        <v>0</v>
      </c>
      <c r="H9" s="2985"/>
      <c r="I9" s="2986"/>
      <c r="J9" s="2984">
        <v>0</v>
      </c>
      <c r="K9" s="2985"/>
      <c r="L9" s="2985"/>
      <c r="M9" s="2984">
        <v>0</v>
      </c>
      <c r="N9" s="2985"/>
      <c r="O9" s="2986"/>
      <c r="P9" s="2985">
        <v>0</v>
      </c>
      <c r="Q9" s="2985"/>
      <c r="R9" s="2987"/>
      <c r="S9" s="2988">
        <f t="shared" si="0"/>
        <v>0</v>
      </c>
      <c r="T9" s="2982"/>
      <c r="U9" s="2983"/>
      <c r="V9" s="2989">
        <v>0</v>
      </c>
      <c r="W9" s="2985"/>
      <c r="X9" s="2986"/>
      <c r="Y9" s="2984">
        <v>0</v>
      </c>
      <c r="Z9" s="2985"/>
      <c r="AA9" s="2985"/>
      <c r="AB9" s="2984">
        <v>0</v>
      </c>
      <c r="AC9" s="2985"/>
      <c r="AD9" s="2986"/>
      <c r="AE9" s="2985">
        <v>0</v>
      </c>
      <c r="AF9" s="2985"/>
      <c r="AG9" s="2987"/>
      <c r="AH9" s="2988">
        <f>SUM(V9:AG9)</f>
        <v>0</v>
      </c>
      <c r="AI9" s="2982"/>
      <c r="AJ9" s="2983"/>
      <c r="AM9" s="838"/>
      <c r="AN9" s="838"/>
      <c r="AO9" s="838"/>
      <c r="AP9" s="838"/>
      <c r="AQ9" s="838"/>
      <c r="AR9" s="838"/>
      <c r="AS9" s="838"/>
      <c r="AT9" s="838"/>
      <c r="AU9" s="838"/>
      <c r="AV9" s="838"/>
      <c r="AW9" s="838"/>
      <c r="AX9" s="838"/>
      <c r="AY9" s="838"/>
      <c r="AZ9" s="838"/>
      <c r="BA9" s="838"/>
      <c r="BB9" s="838"/>
      <c r="BC9" s="838"/>
      <c r="BD9" s="838"/>
      <c r="BE9" s="838"/>
      <c r="BF9" s="838"/>
      <c r="BG9" s="838"/>
      <c r="BH9" s="838"/>
      <c r="BI9" s="838"/>
    </row>
    <row r="10" spans="1:61" ht="25" customHeight="1">
      <c r="B10" s="842"/>
      <c r="C10" s="843" t="s">
        <v>21</v>
      </c>
      <c r="D10" s="843"/>
      <c r="E10" s="843"/>
      <c r="F10" s="844"/>
      <c r="G10" s="2989">
        <v>0</v>
      </c>
      <c r="H10" s="2985"/>
      <c r="I10" s="2986"/>
      <c r="J10" s="2984">
        <v>0</v>
      </c>
      <c r="K10" s="2985"/>
      <c r="L10" s="2986"/>
      <c r="M10" s="2984">
        <v>0</v>
      </c>
      <c r="N10" s="2985"/>
      <c r="O10" s="2986"/>
      <c r="P10" s="2984">
        <v>0</v>
      </c>
      <c r="Q10" s="2985"/>
      <c r="R10" s="2986"/>
      <c r="S10" s="2988">
        <f t="shared" si="0"/>
        <v>0</v>
      </c>
      <c r="T10" s="2982"/>
      <c r="U10" s="2983"/>
      <c r="V10" s="2989">
        <v>0</v>
      </c>
      <c r="W10" s="2985"/>
      <c r="X10" s="2986"/>
      <c r="Y10" s="2984">
        <v>0</v>
      </c>
      <c r="Z10" s="2985"/>
      <c r="AA10" s="2985"/>
      <c r="AB10" s="2984">
        <v>0</v>
      </c>
      <c r="AC10" s="2985"/>
      <c r="AD10" s="2986"/>
      <c r="AE10" s="2985">
        <v>0</v>
      </c>
      <c r="AF10" s="2985"/>
      <c r="AG10" s="2987"/>
      <c r="AH10" s="2988">
        <f t="shared" ref="AH10:AH13" si="1">SUM(V10:AG10)</f>
        <v>0</v>
      </c>
      <c r="AI10" s="2982"/>
      <c r="AJ10" s="2983"/>
      <c r="AM10" s="838"/>
      <c r="AN10" s="838"/>
      <c r="AO10" s="838"/>
      <c r="AP10" s="838"/>
      <c r="AQ10" s="838"/>
      <c r="AR10" s="838"/>
      <c r="AS10" s="838"/>
      <c r="AT10" s="838"/>
      <c r="AU10" s="838"/>
      <c r="AV10" s="838"/>
      <c r="AW10" s="838"/>
      <c r="AX10" s="838"/>
      <c r="AY10" s="838"/>
      <c r="AZ10" s="838"/>
      <c r="BA10" s="838"/>
      <c r="BB10" s="838"/>
      <c r="BC10" s="838"/>
      <c r="BD10" s="838"/>
      <c r="BE10" s="838"/>
      <c r="BF10" s="838"/>
      <c r="BG10" s="838"/>
      <c r="BH10" s="838"/>
      <c r="BI10" s="838"/>
    </row>
    <row r="11" spans="1:61" ht="25" customHeight="1">
      <c r="B11" s="845"/>
      <c r="C11" s="846" t="s">
        <v>22</v>
      </c>
      <c r="D11" s="846"/>
      <c r="E11" s="846"/>
      <c r="F11" s="847"/>
      <c r="G11" s="2989">
        <v>0</v>
      </c>
      <c r="H11" s="2985"/>
      <c r="I11" s="2986"/>
      <c r="J11" s="2984">
        <v>0</v>
      </c>
      <c r="K11" s="2985"/>
      <c r="L11" s="2985"/>
      <c r="M11" s="2984">
        <v>0</v>
      </c>
      <c r="N11" s="2985"/>
      <c r="O11" s="2986"/>
      <c r="P11" s="2985">
        <v>0</v>
      </c>
      <c r="Q11" s="2985"/>
      <c r="R11" s="2987"/>
      <c r="S11" s="2988">
        <f t="shared" si="0"/>
        <v>0</v>
      </c>
      <c r="T11" s="2982"/>
      <c r="U11" s="2983"/>
      <c r="V11" s="2989">
        <v>0</v>
      </c>
      <c r="W11" s="2985"/>
      <c r="X11" s="2986"/>
      <c r="Y11" s="2984">
        <v>0</v>
      </c>
      <c r="Z11" s="2985"/>
      <c r="AA11" s="2985"/>
      <c r="AB11" s="2984">
        <v>0</v>
      </c>
      <c r="AC11" s="2985"/>
      <c r="AD11" s="2986"/>
      <c r="AE11" s="2985">
        <v>0</v>
      </c>
      <c r="AF11" s="2985"/>
      <c r="AG11" s="2987"/>
      <c r="AH11" s="2988">
        <f t="shared" si="1"/>
        <v>0</v>
      </c>
      <c r="AI11" s="2982"/>
      <c r="AJ11" s="2983"/>
      <c r="AM11" s="838"/>
      <c r="AN11" s="838"/>
      <c r="AO11" s="838"/>
      <c r="AP11" s="838"/>
      <c r="AQ11" s="838"/>
      <c r="AR11" s="838"/>
      <c r="AS11" s="838"/>
      <c r="AT11" s="838"/>
      <c r="AU11" s="838"/>
      <c r="AV11" s="838"/>
      <c r="AW11" s="838"/>
      <c r="AX11" s="838"/>
      <c r="AY11" s="838"/>
      <c r="AZ11" s="838"/>
      <c r="BA11" s="838"/>
      <c r="BB11" s="838"/>
      <c r="BC11" s="838"/>
      <c r="BD11" s="838"/>
      <c r="BE11" s="838"/>
      <c r="BF11" s="838"/>
      <c r="BG11" s="838"/>
      <c r="BH11" s="838"/>
      <c r="BI11" s="838"/>
    </row>
    <row r="12" spans="1:61" ht="25" customHeight="1">
      <c r="B12" s="845"/>
      <c r="C12" s="846" t="s">
        <v>23</v>
      </c>
      <c r="D12" s="846"/>
      <c r="E12" s="846"/>
      <c r="F12" s="847"/>
      <c r="G12" s="2989">
        <v>0</v>
      </c>
      <c r="H12" s="2985"/>
      <c r="I12" s="2986"/>
      <c r="J12" s="2984">
        <v>0</v>
      </c>
      <c r="K12" s="2985"/>
      <c r="L12" s="2986"/>
      <c r="M12" s="2984">
        <v>0</v>
      </c>
      <c r="N12" s="2985"/>
      <c r="O12" s="2986"/>
      <c r="P12" s="2984">
        <v>0</v>
      </c>
      <c r="Q12" s="2985"/>
      <c r="R12" s="2986"/>
      <c r="S12" s="2988">
        <f t="shared" si="0"/>
        <v>0</v>
      </c>
      <c r="T12" s="2982"/>
      <c r="U12" s="2983"/>
      <c r="V12" s="2989">
        <v>0</v>
      </c>
      <c r="W12" s="2985"/>
      <c r="X12" s="2986"/>
      <c r="Y12" s="2984">
        <v>0</v>
      </c>
      <c r="Z12" s="2985"/>
      <c r="AA12" s="2985"/>
      <c r="AB12" s="2984">
        <v>0</v>
      </c>
      <c r="AC12" s="2985"/>
      <c r="AD12" s="2986"/>
      <c r="AE12" s="2985">
        <v>0</v>
      </c>
      <c r="AF12" s="2985"/>
      <c r="AG12" s="2987"/>
      <c r="AH12" s="2988">
        <f t="shared" si="1"/>
        <v>0</v>
      </c>
      <c r="AI12" s="2982"/>
      <c r="AJ12" s="2983"/>
      <c r="AL12" s="838"/>
      <c r="AM12" s="838"/>
      <c r="AN12" s="838"/>
      <c r="AO12" s="838"/>
      <c r="AP12" s="838"/>
      <c r="AQ12" s="838"/>
      <c r="AR12" s="838"/>
      <c r="AS12" s="838"/>
      <c r="AT12" s="838"/>
      <c r="AU12" s="838"/>
      <c r="AV12" s="838"/>
      <c r="AW12" s="838"/>
      <c r="AX12" s="838"/>
      <c r="AY12" s="838"/>
      <c r="AZ12" s="838"/>
      <c r="BA12" s="838"/>
      <c r="BB12" s="838"/>
      <c r="BC12" s="838"/>
      <c r="BD12" s="838"/>
      <c r="BE12" s="838"/>
      <c r="BF12" s="838"/>
      <c r="BG12" s="838"/>
      <c r="BH12" s="838"/>
      <c r="BI12" s="838"/>
    </row>
    <row r="13" spans="1:61" ht="25" customHeight="1" thickBot="1">
      <c r="B13" s="848"/>
      <c r="C13" s="849" t="s">
        <v>24</v>
      </c>
      <c r="D13" s="849"/>
      <c r="E13" s="849"/>
      <c r="F13" s="850"/>
      <c r="G13" s="2989">
        <v>0</v>
      </c>
      <c r="H13" s="2985"/>
      <c r="I13" s="2986"/>
      <c r="J13" s="2984">
        <v>0</v>
      </c>
      <c r="K13" s="2985"/>
      <c r="L13" s="2985"/>
      <c r="M13" s="2984">
        <v>0</v>
      </c>
      <c r="N13" s="2985"/>
      <c r="O13" s="2986"/>
      <c r="P13" s="2985">
        <v>0</v>
      </c>
      <c r="Q13" s="2985"/>
      <c r="R13" s="2987"/>
      <c r="S13" s="3009">
        <f t="shared" si="0"/>
        <v>0</v>
      </c>
      <c r="T13" s="3010"/>
      <c r="U13" s="3011"/>
      <c r="V13" s="2989">
        <v>0</v>
      </c>
      <c r="W13" s="2985"/>
      <c r="X13" s="2986"/>
      <c r="Y13" s="2984">
        <v>0</v>
      </c>
      <c r="Z13" s="2985"/>
      <c r="AA13" s="2985"/>
      <c r="AB13" s="2984">
        <v>0</v>
      </c>
      <c r="AC13" s="2985"/>
      <c r="AD13" s="2986"/>
      <c r="AE13" s="2985">
        <v>0</v>
      </c>
      <c r="AF13" s="2985"/>
      <c r="AG13" s="2987"/>
      <c r="AH13" s="3009">
        <f t="shared" si="1"/>
        <v>0</v>
      </c>
      <c r="AI13" s="3010"/>
      <c r="AJ13" s="3011"/>
      <c r="AK13" s="818"/>
      <c r="AL13" s="550"/>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row>
    <row r="14" spans="1:61" s="818" customFormat="1" ht="25" customHeight="1" thickTop="1" thickBot="1">
      <c r="B14" s="819"/>
      <c r="C14" s="820" t="s">
        <v>1409</v>
      </c>
      <c r="D14" s="820"/>
      <c r="E14" s="820"/>
      <c r="F14" s="821"/>
      <c r="G14" s="3014">
        <f>SUM(G7:I13)</f>
        <v>0</v>
      </c>
      <c r="H14" s="3015"/>
      <c r="I14" s="3016"/>
      <c r="J14" s="3017">
        <f t="shared" ref="J14" si="2">SUM(J7:L13)</f>
        <v>0</v>
      </c>
      <c r="K14" s="3015"/>
      <c r="L14" s="3015"/>
      <c r="M14" s="3017">
        <f t="shared" ref="M14" si="3">SUM(M7:O13)</f>
        <v>0</v>
      </c>
      <c r="N14" s="3015"/>
      <c r="O14" s="3016"/>
      <c r="P14" s="3015">
        <f t="shared" ref="P14" si="4">SUM(P7:R13)</f>
        <v>0</v>
      </c>
      <c r="Q14" s="3015"/>
      <c r="R14" s="3018"/>
      <c r="S14" s="3014">
        <f t="shared" ref="S14" si="5">SUM(S7:U13)</f>
        <v>0</v>
      </c>
      <c r="T14" s="3015"/>
      <c r="U14" s="3019"/>
      <c r="V14" s="3014">
        <f t="shared" ref="V14" si="6">SUM(V7:X13)</f>
        <v>0</v>
      </c>
      <c r="W14" s="3015"/>
      <c r="X14" s="3016"/>
      <c r="Y14" s="3017">
        <f t="shared" ref="Y14" si="7">SUM(Y7:AA13)</f>
        <v>0</v>
      </c>
      <c r="Z14" s="3015"/>
      <c r="AA14" s="3015"/>
      <c r="AB14" s="3017">
        <f t="shared" ref="AB14" si="8">SUM(AB7:AD13)</f>
        <v>0</v>
      </c>
      <c r="AC14" s="3015"/>
      <c r="AD14" s="3016"/>
      <c r="AE14" s="3015">
        <f t="shared" ref="AE14" si="9">SUM(AE7:AG13)</f>
        <v>0</v>
      </c>
      <c r="AF14" s="3015"/>
      <c r="AG14" s="3018"/>
      <c r="AH14" s="3014">
        <f t="shared" ref="AH14" si="10">SUM(AH7:AJ13)</f>
        <v>0</v>
      </c>
      <c r="AI14" s="3015"/>
      <c r="AJ14" s="3019"/>
      <c r="AK14" s="822"/>
      <c r="AL14" s="522"/>
      <c r="AM14" s="823"/>
      <c r="AN14" s="823"/>
      <c r="AO14" s="823"/>
      <c r="AP14" s="823"/>
      <c r="AQ14" s="823"/>
      <c r="AR14" s="823"/>
      <c r="AS14" s="823"/>
      <c r="AT14" s="823"/>
      <c r="AU14" s="823"/>
      <c r="AV14" s="823"/>
      <c r="AW14" s="823"/>
      <c r="AX14" s="823"/>
      <c r="AY14" s="823"/>
      <c r="AZ14" s="823"/>
      <c r="BA14" s="823"/>
      <c r="BB14" s="823"/>
      <c r="BC14" s="823"/>
      <c r="BD14" s="823"/>
      <c r="BE14" s="823"/>
      <c r="BF14" s="823"/>
      <c r="BG14" s="823"/>
      <c r="BH14" s="823"/>
      <c r="BI14" s="823"/>
    </row>
    <row r="15" spans="1:61" s="818" customFormat="1" ht="6.65" customHeight="1">
      <c r="B15" s="824"/>
      <c r="C15" s="824"/>
      <c r="D15" s="824"/>
      <c r="E15" s="824"/>
      <c r="F15" s="824"/>
      <c r="G15" s="825"/>
      <c r="H15" s="825"/>
      <c r="I15" s="825"/>
      <c r="J15" s="825"/>
      <c r="K15" s="825"/>
      <c r="L15" s="825"/>
      <c r="M15" s="825"/>
      <c r="N15" s="825"/>
      <c r="O15" s="825"/>
      <c r="P15" s="825"/>
      <c r="Q15" s="825"/>
      <c r="R15" s="825"/>
      <c r="S15" s="825"/>
      <c r="T15" s="825"/>
      <c r="U15" s="825"/>
      <c r="V15" s="825"/>
      <c r="W15" s="825"/>
      <c r="X15" s="825"/>
      <c r="Y15" s="825"/>
      <c r="Z15" s="825"/>
      <c r="AA15" s="825"/>
      <c r="AB15" s="825"/>
      <c r="AC15" s="825"/>
      <c r="AD15" s="825"/>
      <c r="AE15" s="825"/>
      <c r="AF15" s="825"/>
      <c r="AG15" s="825"/>
      <c r="AH15" s="825"/>
      <c r="AI15" s="825"/>
      <c r="AJ15" s="825"/>
      <c r="AL15" s="522"/>
      <c r="AM15" s="823"/>
      <c r="AN15" s="823"/>
      <c r="AO15" s="823"/>
      <c r="AP15" s="823"/>
      <c r="AQ15" s="823"/>
      <c r="AR15" s="823"/>
      <c r="AS15" s="823"/>
      <c r="AT15" s="823"/>
      <c r="AU15" s="823"/>
      <c r="AV15" s="823"/>
      <c r="AW15" s="823"/>
      <c r="AX15" s="823"/>
      <c r="AY15" s="823"/>
      <c r="AZ15" s="823"/>
      <c r="BA15" s="823"/>
      <c r="BB15" s="823"/>
      <c r="BC15" s="823"/>
      <c r="BD15" s="823"/>
      <c r="BE15" s="823"/>
      <c r="BF15" s="823"/>
      <c r="BG15" s="823"/>
      <c r="BH15" s="823"/>
      <c r="BI15" s="823"/>
    </row>
    <row r="16" spans="1:61" s="681" customFormat="1" ht="49.75" customHeight="1">
      <c r="A16" s="826"/>
      <c r="B16" s="801" t="s">
        <v>151</v>
      </c>
      <c r="C16" s="3012" t="s">
        <v>1410</v>
      </c>
      <c r="D16" s="3012"/>
      <c r="E16" s="3012"/>
      <c r="F16" s="3012"/>
      <c r="G16" s="3012"/>
      <c r="H16" s="3012"/>
      <c r="I16" s="3012"/>
      <c r="J16" s="3012"/>
      <c r="K16" s="3012"/>
      <c r="L16" s="3012"/>
      <c r="M16" s="3012"/>
      <c r="N16" s="3012"/>
      <c r="O16" s="3012"/>
      <c r="P16" s="3012"/>
      <c r="Q16" s="3012"/>
      <c r="R16" s="3012"/>
      <c r="S16" s="3012"/>
      <c r="T16" s="3012"/>
      <c r="U16" s="3012"/>
      <c r="V16" s="3012"/>
      <c r="W16" s="3012"/>
      <c r="X16" s="3012"/>
      <c r="Y16" s="3012"/>
      <c r="Z16" s="3012"/>
      <c r="AA16" s="3012"/>
      <c r="AB16" s="3012"/>
      <c r="AC16" s="3012"/>
      <c r="AD16" s="3012"/>
      <c r="AE16" s="3012"/>
      <c r="AF16" s="3012"/>
      <c r="AG16" s="3012"/>
      <c r="AH16" s="3012"/>
      <c r="AI16" s="3012"/>
      <c r="AJ16" s="3012"/>
      <c r="AK16" s="802"/>
      <c r="AL16" s="802"/>
      <c r="AM16" s="802"/>
      <c r="AN16" s="802"/>
    </row>
    <row r="17" spans="1:79" s="681" customFormat="1" ht="20.149999999999999" customHeight="1">
      <c r="A17" s="826"/>
      <c r="B17" s="801" t="s">
        <v>152</v>
      </c>
      <c r="C17" s="3013" t="s">
        <v>1411</v>
      </c>
      <c r="D17" s="3013"/>
      <c r="E17" s="3013"/>
      <c r="F17" s="3013"/>
      <c r="G17" s="3013"/>
      <c r="H17" s="3013"/>
      <c r="I17" s="3013"/>
      <c r="J17" s="3013"/>
      <c r="K17" s="3013"/>
      <c r="L17" s="3013"/>
      <c r="M17" s="3013"/>
      <c r="N17" s="3013"/>
      <c r="O17" s="3013"/>
      <c r="P17" s="3013"/>
      <c r="Q17" s="3013"/>
      <c r="R17" s="3013"/>
      <c r="S17" s="3013"/>
      <c r="T17" s="3013"/>
      <c r="U17" s="3013"/>
      <c r="V17" s="3013"/>
      <c r="W17" s="3013"/>
      <c r="X17" s="3013"/>
      <c r="Y17" s="3013"/>
      <c r="Z17" s="3013"/>
      <c r="AA17" s="3013"/>
      <c r="AB17" s="3013"/>
      <c r="AC17" s="3013"/>
      <c r="AD17" s="3013"/>
      <c r="AE17" s="3013"/>
      <c r="AF17" s="3013"/>
      <c r="AG17" s="3013"/>
      <c r="AH17" s="3013"/>
      <c r="AI17" s="3013"/>
      <c r="AJ17" s="3013"/>
      <c r="AK17" s="802"/>
      <c r="AL17" s="802"/>
      <c r="AM17" s="802"/>
    </row>
    <row r="18" spans="1:79" s="681" customFormat="1" ht="20.149999999999999" customHeight="1">
      <c r="A18" s="826"/>
      <c r="B18" s="801" t="s">
        <v>153</v>
      </c>
      <c r="C18" s="3013" t="s">
        <v>1412</v>
      </c>
      <c r="D18" s="3013"/>
      <c r="E18" s="3013"/>
      <c r="F18" s="3013"/>
      <c r="G18" s="3013"/>
      <c r="H18" s="3013"/>
      <c r="I18" s="3013"/>
      <c r="J18" s="3013"/>
      <c r="K18" s="3013"/>
      <c r="L18" s="3013"/>
      <c r="M18" s="3013"/>
      <c r="N18" s="3013"/>
      <c r="O18" s="3013"/>
      <c r="P18" s="3013"/>
      <c r="Q18" s="3013"/>
      <c r="R18" s="3013"/>
      <c r="S18" s="3013"/>
      <c r="T18" s="3013"/>
      <c r="U18" s="3013"/>
      <c r="V18" s="3013"/>
      <c r="W18" s="3013"/>
      <c r="X18" s="3013"/>
      <c r="Y18" s="3013"/>
      <c r="Z18" s="3013"/>
      <c r="AA18" s="3013"/>
      <c r="AB18" s="3013"/>
      <c r="AC18" s="3013"/>
      <c r="AD18" s="3013"/>
      <c r="AE18" s="3013"/>
      <c r="AF18" s="3013"/>
      <c r="AG18" s="3013"/>
      <c r="AH18" s="3013"/>
      <c r="AI18" s="3013"/>
      <c r="AJ18" s="3013"/>
      <c r="AK18" s="802"/>
      <c r="AL18" s="802"/>
      <c r="AM18" s="802"/>
    </row>
    <row r="19" spans="1:79" s="681" customFormat="1" ht="20.149999999999999" customHeight="1">
      <c r="A19" s="826"/>
      <c r="B19" s="801" t="s">
        <v>154</v>
      </c>
      <c r="C19" s="3013" t="s">
        <v>1413</v>
      </c>
      <c r="D19" s="3013"/>
      <c r="E19" s="3013"/>
      <c r="F19" s="3013"/>
      <c r="G19" s="3013"/>
      <c r="H19" s="3013"/>
      <c r="I19" s="3013"/>
      <c r="J19" s="3013"/>
      <c r="K19" s="3013"/>
      <c r="L19" s="3013"/>
      <c r="M19" s="3013"/>
      <c r="N19" s="3013"/>
      <c r="O19" s="3013"/>
      <c r="P19" s="3013"/>
      <c r="Q19" s="3013"/>
      <c r="R19" s="3013"/>
      <c r="S19" s="3013"/>
      <c r="T19" s="3013"/>
      <c r="U19" s="3013"/>
      <c r="V19" s="3013"/>
      <c r="W19" s="3013"/>
      <c r="X19" s="3013"/>
      <c r="Y19" s="3013"/>
      <c r="Z19" s="3013"/>
      <c r="AA19" s="3013"/>
      <c r="AB19" s="3013"/>
      <c r="AC19" s="3013"/>
      <c r="AD19" s="3013"/>
      <c r="AE19" s="3013"/>
      <c r="AF19" s="3013"/>
      <c r="AG19" s="3013"/>
      <c r="AH19" s="3013"/>
      <c r="AI19" s="3013"/>
      <c r="AJ19" s="3013"/>
      <c r="AK19" s="802"/>
      <c r="AL19" s="802"/>
      <c r="AM19" s="802"/>
      <c r="AN19" s="802"/>
    </row>
    <row r="20" spans="1:79" s="681" customFormat="1" ht="30" customHeight="1">
      <c r="A20" s="826"/>
      <c r="B20" s="801" t="s">
        <v>155</v>
      </c>
      <c r="C20" s="3013" t="s">
        <v>1414</v>
      </c>
      <c r="D20" s="3013"/>
      <c r="E20" s="3013"/>
      <c r="F20" s="3013"/>
      <c r="G20" s="3013"/>
      <c r="H20" s="3013"/>
      <c r="I20" s="3013"/>
      <c r="J20" s="3013"/>
      <c r="K20" s="3013"/>
      <c r="L20" s="3013"/>
      <c r="M20" s="3013"/>
      <c r="N20" s="3013"/>
      <c r="O20" s="3013"/>
      <c r="P20" s="3013"/>
      <c r="Q20" s="3013"/>
      <c r="R20" s="3013"/>
      <c r="S20" s="3013"/>
      <c r="T20" s="3013"/>
      <c r="U20" s="3013"/>
      <c r="V20" s="3013"/>
      <c r="W20" s="3013"/>
      <c r="X20" s="3013"/>
      <c r="Y20" s="3013"/>
      <c r="Z20" s="3013"/>
      <c r="AA20" s="3013"/>
      <c r="AB20" s="3013"/>
      <c r="AC20" s="3013"/>
      <c r="AD20" s="3013"/>
      <c r="AE20" s="3013"/>
      <c r="AF20" s="3013"/>
      <c r="AG20" s="3013"/>
      <c r="AH20" s="3013"/>
      <c r="AI20" s="3013"/>
      <c r="AJ20" s="3013"/>
      <c r="AK20" s="802"/>
      <c r="AL20" s="802"/>
      <c r="AM20" s="802"/>
      <c r="AN20" s="802"/>
    </row>
    <row r="21" spans="1:79" s="681" customFormat="1" ht="19.75" customHeight="1">
      <c r="A21" s="826"/>
      <c r="B21" s="801" t="s">
        <v>156</v>
      </c>
      <c r="C21" s="3013" t="s">
        <v>1415</v>
      </c>
      <c r="D21" s="3013"/>
      <c r="E21" s="3013"/>
      <c r="F21" s="3013"/>
      <c r="G21" s="3013"/>
      <c r="H21" s="3013"/>
      <c r="I21" s="3013"/>
      <c r="J21" s="3013"/>
      <c r="K21" s="3013"/>
      <c r="L21" s="3013"/>
      <c r="M21" s="3013"/>
      <c r="N21" s="3013"/>
      <c r="O21" s="3013"/>
      <c r="P21" s="3013"/>
      <c r="Q21" s="3013"/>
      <c r="R21" s="3013"/>
      <c r="S21" s="3013"/>
      <c r="T21" s="3013"/>
      <c r="U21" s="3013"/>
      <c r="V21" s="3013"/>
      <c r="W21" s="3013"/>
      <c r="X21" s="3013"/>
      <c r="Y21" s="3013"/>
      <c r="Z21" s="3013"/>
      <c r="AA21" s="3013"/>
      <c r="AB21" s="3013"/>
      <c r="AC21" s="3013"/>
      <c r="AD21" s="3013"/>
      <c r="AE21" s="3013"/>
      <c r="AF21" s="3013"/>
      <c r="AG21" s="3013"/>
      <c r="AH21" s="3013"/>
      <c r="AI21" s="3013"/>
      <c r="AJ21" s="3013"/>
      <c r="AK21" s="802"/>
      <c r="AL21" s="802"/>
      <c r="AM21" s="802"/>
      <c r="AN21" s="802"/>
    </row>
    <row r="22" spans="1:79" s="681" customFormat="1" ht="75" customHeight="1">
      <c r="A22" s="826"/>
      <c r="B22" s="801" t="s">
        <v>157</v>
      </c>
      <c r="C22" s="3030" t="s">
        <v>1957</v>
      </c>
      <c r="D22" s="3030"/>
      <c r="E22" s="3030"/>
      <c r="F22" s="3030"/>
      <c r="G22" s="3030"/>
      <c r="H22" s="3030"/>
      <c r="I22" s="3030"/>
      <c r="J22" s="3030"/>
      <c r="K22" s="3030"/>
      <c r="L22" s="3030"/>
      <c r="M22" s="3030"/>
      <c r="N22" s="3030"/>
      <c r="O22" s="3030"/>
      <c r="P22" s="3030"/>
      <c r="Q22" s="3030"/>
      <c r="R22" s="3030"/>
      <c r="S22" s="3030"/>
      <c r="T22" s="3030"/>
      <c r="U22" s="3030"/>
      <c r="V22" s="3030"/>
      <c r="W22" s="3030"/>
      <c r="X22" s="3030"/>
      <c r="Y22" s="3030"/>
      <c r="Z22" s="3030"/>
      <c r="AA22" s="3030"/>
      <c r="AB22" s="3030"/>
      <c r="AC22" s="3030"/>
      <c r="AD22" s="3030"/>
      <c r="AE22" s="3030"/>
      <c r="AF22" s="3030"/>
      <c r="AG22" s="3030"/>
      <c r="AH22" s="3030"/>
      <c r="AI22" s="3030"/>
      <c r="AJ22" s="3030"/>
      <c r="AK22" s="802"/>
      <c r="AL22" s="802"/>
      <c r="AM22" s="802"/>
      <c r="AN22" s="802"/>
    </row>
    <row r="23" spans="1:79" s="681" customFormat="1" ht="19.75" customHeight="1">
      <c r="A23" s="826"/>
      <c r="B23" s="801" t="s">
        <v>158</v>
      </c>
      <c r="C23" s="3013" t="s">
        <v>1416</v>
      </c>
      <c r="D23" s="3013"/>
      <c r="E23" s="3013"/>
      <c r="F23" s="3013"/>
      <c r="G23" s="3013"/>
      <c r="H23" s="3013"/>
      <c r="I23" s="3013"/>
      <c r="J23" s="3013"/>
      <c r="K23" s="3013"/>
      <c r="L23" s="3013"/>
      <c r="M23" s="3013"/>
      <c r="N23" s="3013"/>
      <c r="O23" s="3013"/>
      <c r="P23" s="3013"/>
      <c r="Q23" s="3013"/>
      <c r="R23" s="3013"/>
      <c r="S23" s="3013"/>
      <c r="T23" s="3013"/>
      <c r="U23" s="3013"/>
      <c r="V23" s="3013"/>
      <c r="W23" s="3013"/>
      <c r="X23" s="3013"/>
      <c r="Y23" s="3013"/>
      <c r="Z23" s="3013"/>
      <c r="AA23" s="3013"/>
      <c r="AB23" s="3013"/>
      <c r="AC23" s="3013"/>
      <c r="AD23" s="3013"/>
      <c r="AE23" s="3013"/>
      <c r="AF23" s="3013"/>
      <c r="AG23" s="3013"/>
      <c r="AH23" s="3013"/>
      <c r="AI23" s="3013"/>
      <c r="AJ23" s="3013"/>
      <c r="AK23" s="802"/>
      <c r="AL23" s="802"/>
      <c r="AM23" s="802"/>
      <c r="AN23" s="802"/>
    </row>
    <row r="24" spans="1:79" s="681" customFormat="1" ht="30.65" customHeight="1">
      <c r="A24" s="826"/>
      <c r="B24" s="801"/>
      <c r="C24" s="827"/>
      <c r="D24" s="828"/>
      <c r="E24" s="828"/>
      <c r="F24" s="828"/>
      <c r="G24" s="828"/>
      <c r="H24" s="828"/>
      <c r="I24" s="828"/>
      <c r="J24" s="828"/>
      <c r="K24" s="828"/>
      <c r="L24" s="828"/>
      <c r="M24" s="828"/>
      <c r="N24" s="828"/>
      <c r="O24" s="828"/>
      <c r="P24" s="828"/>
      <c r="Q24" s="828"/>
      <c r="R24" s="828"/>
      <c r="S24" s="828"/>
      <c r="T24" s="828"/>
      <c r="U24" s="828"/>
      <c r="V24" s="828"/>
      <c r="W24" s="828"/>
      <c r="X24" s="828"/>
      <c r="Y24" s="828"/>
      <c r="Z24" s="828"/>
      <c r="AA24" s="828"/>
      <c r="AB24" s="828"/>
      <c r="AC24" s="828"/>
      <c r="AD24" s="828"/>
      <c r="AE24" s="828"/>
      <c r="AF24" s="828"/>
      <c r="AG24" s="828"/>
      <c r="AH24" s="828"/>
      <c r="AI24" s="828"/>
      <c r="AJ24" s="828"/>
      <c r="AK24" s="828"/>
      <c r="AL24" s="828"/>
      <c r="AM24" s="828"/>
      <c r="AN24" s="828"/>
    </row>
    <row r="25" spans="1:79" s="681" customFormat="1" ht="16.5" customHeight="1">
      <c r="B25" s="627" t="s">
        <v>11780</v>
      </c>
      <c r="C25" s="628"/>
      <c r="D25" s="628"/>
      <c r="E25" s="628"/>
      <c r="F25" s="628"/>
      <c r="G25" s="629"/>
      <c r="H25" s="629"/>
      <c r="I25" s="629"/>
      <c r="J25" s="629"/>
      <c r="K25" s="629"/>
      <c r="L25" s="629"/>
      <c r="M25" s="629"/>
      <c r="N25" s="629"/>
      <c r="O25" s="629"/>
      <c r="P25" s="629"/>
    </row>
    <row r="26" spans="1:79" s="681" customFormat="1" ht="16.5" customHeight="1" thickBot="1">
      <c r="B26" s="222" t="s">
        <v>904</v>
      </c>
      <c r="C26" s="628"/>
      <c r="D26" s="628"/>
      <c r="E26" s="628"/>
      <c r="F26" s="628"/>
      <c r="G26" s="629"/>
      <c r="H26" s="629"/>
      <c r="I26" s="629"/>
      <c r="J26" s="629"/>
      <c r="K26" s="629"/>
      <c r="L26" s="629"/>
      <c r="M26" s="629"/>
      <c r="N26" s="629"/>
      <c r="O26" s="629"/>
      <c r="P26" s="629"/>
    </row>
    <row r="27" spans="1:79" s="568" customFormat="1" ht="25" customHeight="1" thickBot="1">
      <c r="B27" s="829"/>
      <c r="C27" s="584" t="s">
        <v>1379</v>
      </c>
      <c r="D27" s="584"/>
      <c r="E27" s="634"/>
      <c r="F27" s="634"/>
      <c r="G27" s="634"/>
      <c r="H27" s="634"/>
      <c r="I27" s="634"/>
      <c r="J27" s="634"/>
      <c r="K27" s="634"/>
      <c r="L27" s="634"/>
      <c r="M27" s="830"/>
      <c r="N27" s="634"/>
      <c r="O27" s="830"/>
      <c r="P27" s="634"/>
      <c r="Q27" s="634"/>
      <c r="R27" s="634"/>
      <c r="S27" s="634"/>
      <c r="T27" s="634"/>
      <c r="U27" s="634"/>
      <c r="V27" s="634"/>
      <c r="W27" s="634"/>
      <c r="X27" s="634"/>
      <c r="Y27" s="634"/>
      <c r="Z27" s="634"/>
      <c r="AA27" s="634"/>
      <c r="AB27" s="634"/>
      <c r="AC27" s="634"/>
      <c r="AD27" s="634"/>
      <c r="AE27" s="634"/>
      <c r="AF27" s="634"/>
      <c r="AG27" s="584" t="s">
        <v>1383</v>
      </c>
      <c r="AH27" s="584"/>
      <c r="AI27" s="634"/>
      <c r="AJ27" s="634"/>
      <c r="AK27" s="634"/>
      <c r="AL27" s="634"/>
      <c r="AM27" s="634"/>
      <c r="AN27" s="634"/>
      <c r="AO27" s="634"/>
      <c r="AP27" s="634"/>
      <c r="AQ27" s="830"/>
      <c r="AR27" s="634"/>
      <c r="AS27" s="830"/>
      <c r="AT27" s="634"/>
      <c r="AU27" s="634"/>
      <c r="AV27" s="634"/>
      <c r="AW27" s="634"/>
      <c r="AX27" s="634"/>
      <c r="AY27" s="634"/>
      <c r="AZ27" s="634"/>
      <c r="BA27" s="634"/>
      <c r="BB27" s="634"/>
      <c r="BC27" s="634"/>
      <c r="BD27" s="634"/>
      <c r="BE27" s="810"/>
    </row>
    <row r="28" spans="1:79" s="568" customFormat="1" ht="25" customHeight="1">
      <c r="B28" s="576"/>
      <c r="C28" s="2675" t="s">
        <v>1417</v>
      </c>
      <c r="D28" s="2676"/>
      <c r="E28" s="2676"/>
      <c r="F28" s="2676"/>
      <c r="G28" s="2676"/>
      <c r="H28" s="2676"/>
      <c r="I28" s="2677"/>
      <c r="J28" s="3020" t="s">
        <v>125</v>
      </c>
      <c r="K28" s="3021"/>
      <c r="L28" s="3021"/>
      <c r="M28" s="3021"/>
      <c r="N28" s="3021"/>
      <c r="O28" s="3021"/>
      <c r="P28" s="3021"/>
      <c r="Q28" s="3021"/>
      <c r="R28" s="3021"/>
      <c r="S28" s="3021"/>
      <c r="T28" s="3021"/>
      <c r="U28" s="3021"/>
      <c r="V28" s="3021"/>
      <c r="W28" s="3021"/>
      <c r="X28" s="3022"/>
      <c r="AG28" s="831"/>
      <c r="AH28" s="852" t="b">
        <v>0</v>
      </c>
      <c r="AI28" s="634" t="s">
        <v>1384</v>
      </c>
      <c r="AJ28" s="634"/>
      <c r="AK28" s="832"/>
      <c r="AL28" s="832"/>
      <c r="AM28" s="832"/>
      <c r="AN28" s="832"/>
      <c r="AO28" s="832"/>
      <c r="AP28" s="809"/>
      <c r="AQ28" s="852" t="b">
        <v>0</v>
      </c>
      <c r="AR28" s="634" t="s">
        <v>1385</v>
      </c>
      <c r="AS28" s="832"/>
      <c r="AT28" s="832"/>
      <c r="AU28" s="832"/>
      <c r="AV28" s="832"/>
      <c r="AW28" s="832"/>
      <c r="AX28" s="833"/>
      <c r="AY28" s="813"/>
      <c r="AZ28" s="588"/>
      <c r="BA28" s="588"/>
      <c r="BB28" s="588"/>
      <c r="BC28" s="588"/>
      <c r="BD28" s="588"/>
      <c r="BE28" s="812"/>
      <c r="BF28" s="588"/>
      <c r="BG28" s="588"/>
      <c r="BH28" s="588"/>
      <c r="BI28" s="588"/>
      <c r="BJ28" s="588"/>
      <c r="BK28" s="588"/>
      <c r="BL28" s="588"/>
      <c r="BM28" s="588"/>
      <c r="BN28" s="588"/>
      <c r="BO28" s="588"/>
    </row>
    <row r="29" spans="1:79" s="568" customFormat="1" ht="25" customHeight="1" thickBot="1">
      <c r="B29" s="576"/>
      <c r="C29" s="2678"/>
      <c r="D29" s="2679"/>
      <c r="E29" s="2679"/>
      <c r="F29" s="2679"/>
      <c r="G29" s="2679"/>
      <c r="H29" s="2679"/>
      <c r="I29" s="2680"/>
      <c r="J29" s="3023" t="s">
        <v>15</v>
      </c>
      <c r="K29" s="3024"/>
      <c r="L29" s="3024"/>
      <c r="M29" s="3024"/>
      <c r="N29" s="3025"/>
      <c r="O29" s="3024" t="s">
        <v>16</v>
      </c>
      <c r="P29" s="3024"/>
      <c r="Q29" s="3024"/>
      <c r="R29" s="3024"/>
      <c r="S29" s="3026"/>
      <c r="T29" s="3027" t="s">
        <v>29</v>
      </c>
      <c r="U29" s="3028"/>
      <c r="V29" s="3028"/>
      <c r="W29" s="3028"/>
      <c r="X29" s="3029"/>
      <c r="AG29" s="834"/>
      <c r="AH29" s="853" t="b">
        <v>0</v>
      </c>
      <c r="AI29" s="562" t="s">
        <v>1386</v>
      </c>
      <c r="AJ29" s="562"/>
      <c r="AK29" s="835"/>
      <c r="AL29" s="835"/>
      <c r="AM29" s="835"/>
      <c r="AN29" s="835"/>
      <c r="AO29" s="835"/>
      <c r="AP29" s="836"/>
      <c r="AQ29" s="853" t="b">
        <v>1</v>
      </c>
      <c r="AR29" s="562" t="s">
        <v>1387</v>
      </c>
      <c r="AS29" s="835"/>
      <c r="AT29" s="835"/>
      <c r="AU29" s="835"/>
      <c r="AV29" s="835"/>
      <c r="AW29" s="835"/>
      <c r="AX29" s="837"/>
      <c r="AY29" s="813"/>
      <c r="AZ29" s="588"/>
      <c r="BA29" s="588"/>
      <c r="BB29" s="588"/>
      <c r="BC29" s="588"/>
      <c r="BD29" s="588"/>
      <c r="BE29" s="812"/>
      <c r="BF29" s="588"/>
      <c r="BG29" s="588"/>
      <c r="BH29" s="588"/>
      <c r="BI29" s="588"/>
      <c r="BJ29" s="588"/>
      <c r="BK29" s="588"/>
      <c r="BL29" s="588"/>
      <c r="BM29" s="588"/>
      <c r="BN29" s="588"/>
      <c r="BO29" s="588"/>
      <c r="BP29" s="588"/>
      <c r="BQ29" s="588"/>
      <c r="BR29" s="588"/>
      <c r="BS29" s="588"/>
      <c r="BT29" s="588"/>
      <c r="BU29" s="588"/>
      <c r="BV29" s="588"/>
      <c r="BW29" s="588"/>
      <c r="BX29" s="588"/>
      <c r="BY29" s="588"/>
      <c r="BZ29" s="588"/>
      <c r="CA29" s="588"/>
    </row>
    <row r="30" spans="1:79" s="588" customFormat="1" ht="25" customHeight="1">
      <c r="B30" s="813"/>
      <c r="C30" s="583"/>
      <c r="D30" s="584"/>
      <c r="E30" s="584" t="s">
        <v>1380</v>
      </c>
      <c r="F30" s="584"/>
      <c r="G30" s="584"/>
      <c r="H30" s="584"/>
      <c r="I30" s="585"/>
      <c r="J30" s="3034">
        <v>0</v>
      </c>
      <c r="K30" s="3035"/>
      <c r="L30" s="3035"/>
      <c r="M30" s="3035"/>
      <c r="N30" s="3036"/>
      <c r="O30" s="3043">
        <v>0</v>
      </c>
      <c r="P30" s="3035"/>
      <c r="Q30" s="3035"/>
      <c r="R30" s="3035"/>
      <c r="S30" s="3044"/>
      <c r="T30" s="3049">
        <f>SUM(J30:S30)</f>
        <v>0</v>
      </c>
      <c r="U30" s="3050"/>
      <c r="V30" s="3050"/>
      <c r="W30" s="3050"/>
      <c r="X30" s="3051"/>
      <c r="AG30" s="3031" t="s">
        <v>1418</v>
      </c>
      <c r="AH30" s="3031"/>
      <c r="AI30" s="3031"/>
      <c r="AJ30" s="3031"/>
      <c r="AK30" s="3031"/>
      <c r="AL30" s="3031"/>
      <c r="AM30" s="3031"/>
      <c r="AN30" s="3031"/>
      <c r="AO30" s="3031"/>
      <c r="AP30" s="3031"/>
      <c r="AQ30" s="3031"/>
      <c r="AR30" s="3031"/>
      <c r="AS30" s="3031"/>
      <c r="AT30" s="3031"/>
      <c r="AU30" s="3031"/>
      <c r="AV30" s="3031"/>
      <c r="AW30" s="3031"/>
      <c r="AX30" s="3031"/>
      <c r="AY30" s="802"/>
      <c r="AZ30" s="802"/>
      <c r="BA30" s="802"/>
      <c r="BB30" s="802"/>
      <c r="BC30" s="802"/>
      <c r="BD30" s="802"/>
      <c r="BE30" s="811"/>
      <c r="BF30" s="802"/>
      <c r="BG30" s="802"/>
      <c r="BH30" s="802"/>
      <c r="BI30" s="802"/>
      <c r="BJ30" s="802"/>
      <c r="BK30" s="802"/>
      <c r="BL30" s="802"/>
      <c r="BM30" s="802"/>
      <c r="BN30" s="802"/>
      <c r="BO30" s="802"/>
    </row>
    <row r="31" spans="1:79" s="588" customFormat="1" ht="25" customHeight="1">
      <c r="B31" s="813"/>
      <c r="C31" s="814"/>
      <c r="D31" s="815"/>
      <c r="E31" s="815" t="s">
        <v>1381</v>
      </c>
      <c r="F31" s="815"/>
      <c r="G31" s="815"/>
      <c r="H31" s="815"/>
      <c r="I31" s="816"/>
      <c r="J31" s="3037">
        <v>0</v>
      </c>
      <c r="K31" s="3038"/>
      <c r="L31" s="3038"/>
      <c r="M31" s="3038"/>
      <c r="N31" s="3039"/>
      <c r="O31" s="3045">
        <v>0</v>
      </c>
      <c r="P31" s="3038"/>
      <c r="Q31" s="3038"/>
      <c r="R31" s="3038"/>
      <c r="S31" s="3046"/>
      <c r="T31" s="3052">
        <f>SUM(J31:S31)</f>
        <v>0</v>
      </c>
      <c r="U31" s="3053"/>
      <c r="V31" s="3053"/>
      <c r="W31" s="3053"/>
      <c r="X31" s="3054"/>
      <c r="AG31" s="3012"/>
      <c r="AH31" s="3012"/>
      <c r="AI31" s="3012"/>
      <c r="AJ31" s="3012"/>
      <c r="AK31" s="3012"/>
      <c r="AL31" s="3012"/>
      <c r="AM31" s="3012"/>
      <c r="AN31" s="3012"/>
      <c r="AO31" s="3012"/>
      <c r="AP31" s="3012"/>
      <c r="AQ31" s="3012"/>
      <c r="AR31" s="3012"/>
      <c r="AS31" s="3012"/>
      <c r="AT31" s="3012"/>
      <c r="AU31" s="3012"/>
      <c r="AV31" s="3012"/>
      <c r="AW31" s="3012"/>
      <c r="AX31" s="3012"/>
      <c r="BE31" s="812"/>
      <c r="BP31" s="802"/>
      <c r="BQ31" s="802"/>
      <c r="BR31" s="802"/>
      <c r="BS31" s="802"/>
      <c r="BT31" s="802"/>
      <c r="BU31" s="802"/>
      <c r="BV31" s="802"/>
      <c r="BW31" s="802"/>
      <c r="BX31" s="802"/>
      <c r="BY31" s="802"/>
      <c r="BZ31" s="802"/>
      <c r="CA31" s="802"/>
    </row>
    <row r="32" spans="1:79" s="588" customFormat="1" ht="25" customHeight="1" thickBot="1">
      <c r="B32" s="813"/>
      <c r="C32" s="817"/>
      <c r="D32" s="563"/>
      <c r="E32" s="563" t="s">
        <v>1382</v>
      </c>
      <c r="F32" s="563"/>
      <c r="G32" s="563"/>
      <c r="H32" s="563"/>
      <c r="I32" s="564"/>
      <c r="J32" s="3040">
        <v>0</v>
      </c>
      <c r="K32" s="3041"/>
      <c r="L32" s="3041"/>
      <c r="M32" s="3041"/>
      <c r="N32" s="3042"/>
      <c r="O32" s="3047">
        <v>0</v>
      </c>
      <c r="P32" s="3041"/>
      <c r="Q32" s="3041"/>
      <c r="R32" s="3041"/>
      <c r="S32" s="3048"/>
      <c r="T32" s="3055">
        <f>SUM(J32:S32)</f>
        <v>0</v>
      </c>
      <c r="U32" s="3056"/>
      <c r="V32" s="3056"/>
      <c r="W32" s="3056"/>
      <c r="X32" s="3057"/>
      <c r="AG32" s="565" t="s">
        <v>1755</v>
      </c>
      <c r="AH32" s="565"/>
      <c r="AI32" s="568"/>
      <c r="AJ32" s="568"/>
      <c r="AK32" s="568"/>
      <c r="AL32" s="568"/>
      <c r="AM32" s="568"/>
      <c r="AN32" s="568"/>
      <c r="AO32" s="568"/>
      <c r="AP32" s="568"/>
      <c r="AQ32" s="609"/>
      <c r="AR32" s="568"/>
      <c r="AS32" s="609"/>
      <c r="AT32" s="568"/>
      <c r="AU32" s="568"/>
      <c r="AV32" s="568"/>
      <c r="AW32" s="568"/>
      <c r="AX32" s="568"/>
      <c r="AY32" s="568"/>
      <c r="AZ32" s="568"/>
      <c r="BA32" s="568"/>
      <c r="BB32" s="568"/>
      <c r="BC32" s="568"/>
      <c r="BD32" s="568"/>
      <c r="BE32" s="574"/>
      <c r="BF32" s="568"/>
      <c r="BG32" s="568"/>
      <c r="BH32" s="568"/>
      <c r="BI32" s="568"/>
      <c r="BJ32" s="568"/>
      <c r="BK32" s="568"/>
      <c r="BL32" s="568"/>
      <c r="BM32" s="568"/>
      <c r="BN32" s="568"/>
      <c r="BO32" s="568"/>
    </row>
    <row r="33" spans="2:74" s="681" customFormat="1" ht="27" customHeight="1">
      <c r="B33" s="800"/>
      <c r="C33" s="801" t="s">
        <v>151</v>
      </c>
      <c r="D33" s="3031" t="s">
        <v>1419</v>
      </c>
      <c r="E33" s="3031"/>
      <c r="F33" s="3031"/>
      <c r="G33" s="3031"/>
      <c r="H33" s="3031"/>
      <c r="I33" s="3031"/>
      <c r="J33" s="3031"/>
      <c r="K33" s="3031"/>
      <c r="L33" s="3031"/>
      <c r="M33" s="3031"/>
      <c r="N33" s="3031"/>
      <c r="O33" s="3031"/>
      <c r="P33" s="3031"/>
      <c r="Q33" s="3031"/>
      <c r="R33" s="3031"/>
      <c r="S33" s="3031"/>
      <c r="T33" s="3031"/>
      <c r="U33" s="3031"/>
      <c r="V33" s="3031"/>
      <c r="W33" s="3031"/>
      <c r="X33" s="3031"/>
      <c r="Y33" s="802"/>
      <c r="Z33" s="802"/>
      <c r="AA33" s="802"/>
      <c r="AB33" s="802"/>
      <c r="AC33" s="802"/>
      <c r="AD33" s="802"/>
      <c r="AE33" s="802"/>
      <c r="AF33" s="802"/>
      <c r="AG33" s="808"/>
      <c r="AH33" s="854" t="b">
        <v>1</v>
      </c>
      <c r="AI33" s="3032" t="s">
        <v>1057</v>
      </c>
      <c r="AJ33" s="3032"/>
      <c r="AK33" s="3032"/>
      <c r="AL33" s="3032"/>
      <c r="AM33" s="3032"/>
      <c r="AN33" s="3032"/>
      <c r="AO33" s="3032"/>
      <c r="AP33" s="809"/>
      <c r="AQ33" s="852" t="b">
        <v>1</v>
      </c>
      <c r="AR33" s="3032" t="s">
        <v>234</v>
      </c>
      <c r="AS33" s="3032"/>
      <c r="AT33" s="3032"/>
      <c r="AU33" s="3032"/>
      <c r="AV33" s="3032"/>
      <c r="AW33" s="3032"/>
      <c r="AX33" s="3032"/>
      <c r="AY33" s="3032"/>
      <c r="AZ33" s="3032"/>
      <c r="BA33" s="3032"/>
      <c r="BB33" s="3032"/>
      <c r="BC33" s="3032"/>
      <c r="BD33" s="810"/>
      <c r="BE33" s="574"/>
      <c r="BF33" s="568"/>
      <c r="BG33" s="568"/>
      <c r="BH33" s="568"/>
      <c r="BI33" s="568"/>
      <c r="BJ33" s="568"/>
      <c r="BK33" s="568"/>
    </row>
    <row r="34" spans="2:74" s="681" customFormat="1" ht="25" customHeight="1">
      <c r="B34" s="800"/>
      <c r="C34" s="801"/>
      <c r="D34" s="3012"/>
      <c r="E34" s="3012"/>
      <c r="F34" s="3012"/>
      <c r="G34" s="3012"/>
      <c r="H34" s="3012"/>
      <c r="I34" s="3012"/>
      <c r="J34" s="3012"/>
      <c r="K34" s="3012"/>
      <c r="L34" s="3012"/>
      <c r="M34" s="3012"/>
      <c r="N34" s="3012"/>
      <c r="O34" s="3012"/>
      <c r="P34" s="3012"/>
      <c r="Q34" s="3012"/>
      <c r="R34" s="3012"/>
      <c r="S34" s="3012"/>
      <c r="T34" s="3012"/>
      <c r="U34" s="3012"/>
      <c r="V34" s="3012"/>
      <c r="W34" s="3012"/>
      <c r="X34" s="3012"/>
      <c r="Y34" s="802"/>
      <c r="Z34" s="802"/>
      <c r="AA34" s="802"/>
      <c r="AB34" s="802"/>
      <c r="AC34" s="802"/>
      <c r="AD34" s="802"/>
      <c r="AE34" s="802"/>
      <c r="AF34" s="802"/>
      <c r="AG34" s="803"/>
      <c r="AH34" s="855" t="b">
        <v>1</v>
      </c>
      <c r="AI34" s="3033" t="s">
        <v>84</v>
      </c>
      <c r="AJ34" s="3033"/>
      <c r="AK34" s="3033"/>
      <c r="AL34" s="3033"/>
      <c r="AM34" s="3033"/>
      <c r="AN34" s="3033"/>
      <c r="AO34" s="3033"/>
      <c r="AP34" s="588"/>
      <c r="AQ34" s="856" t="b">
        <v>1</v>
      </c>
      <c r="AR34" s="3033" t="s">
        <v>1388</v>
      </c>
      <c r="AS34" s="3033"/>
      <c r="AT34" s="3033"/>
      <c r="AU34" s="3033"/>
      <c r="AV34" s="3033"/>
      <c r="AW34" s="3033"/>
      <c r="AX34" s="3033"/>
      <c r="AY34" s="3033"/>
      <c r="AZ34" s="3033"/>
      <c r="BA34" s="3033"/>
      <c r="BB34" s="3033"/>
      <c r="BC34" s="3033"/>
      <c r="BD34" s="574"/>
      <c r="BE34" s="574"/>
      <c r="BF34" s="568"/>
      <c r="BG34" s="568"/>
      <c r="BH34" s="568"/>
      <c r="BI34" s="568"/>
      <c r="BJ34" s="568"/>
      <c r="BK34" s="568"/>
    </row>
    <row r="35" spans="2:74" s="681" customFormat="1" ht="25" customHeight="1">
      <c r="B35" s="800"/>
      <c r="C35" s="801" t="s">
        <v>152</v>
      </c>
      <c r="D35" s="3012" t="s">
        <v>1420</v>
      </c>
      <c r="E35" s="3012"/>
      <c r="F35" s="3012"/>
      <c r="G35" s="3012"/>
      <c r="H35" s="3012"/>
      <c r="I35" s="3012"/>
      <c r="J35" s="3012"/>
      <c r="K35" s="3012"/>
      <c r="L35" s="3012"/>
      <c r="M35" s="3012"/>
      <c r="N35" s="3012"/>
      <c r="O35" s="3012"/>
      <c r="P35" s="3012"/>
      <c r="Q35" s="3012"/>
      <c r="R35" s="3012"/>
      <c r="S35" s="3012"/>
      <c r="T35" s="3012"/>
      <c r="U35" s="3012"/>
      <c r="V35" s="3012"/>
      <c r="W35" s="3012"/>
      <c r="X35" s="3012"/>
      <c r="Y35" s="802"/>
      <c r="Z35" s="802"/>
      <c r="AA35" s="802"/>
      <c r="AB35" s="802"/>
      <c r="AC35" s="802"/>
      <c r="AD35" s="802"/>
      <c r="AE35" s="802"/>
      <c r="AF35" s="802"/>
      <c r="AG35" s="803"/>
      <c r="AH35" s="855" t="b">
        <v>1</v>
      </c>
      <c r="AI35" s="3033" t="s">
        <v>80</v>
      </c>
      <c r="AJ35" s="3033"/>
      <c r="AK35" s="3033"/>
      <c r="AL35" s="3033"/>
      <c r="AM35" s="3033"/>
      <c r="AN35" s="3033"/>
      <c r="AO35" s="3033"/>
      <c r="AP35" s="588"/>
      <c r="AQ35" s="856" t="b">
        <v>1</v>
      </c>
      <c r="AR35" s="3033" t="s">
        <v>1058</v>
      </c>
      <c r="AS35" s="3033"/>
      <c r="AT35" s="3033"/>
      <c r="AU35" s="3033"/>
      <c r="AV35" s="3033"/>
      <c r="AW35" s="3033"/>
      <c r="AX35" s="3033"/>
      <c r="AY35" s="3033"/>
      <c r="AZ35" s="3033"/>
      <c r="BA35" s="3033"/>
      <c r="BB35" s="3033"/>
      <c r="BC35" s="3033"/>
      <c r="BD35" s="574"/>
      <c r="BE35" s="574"/>
      <c r="BF35" s="568"/>
      <c r="BG35" s="568"/>
      <c r="BH35" s="568"/>
      <c r="BI35" s="568"/>
      <c r="BJ35" s="568"/>
      <c r="BK35" s="568"/>
    </row>
    <row r="36" spans="2:74" s="681" customFormat="1" ht="12.25" customHeight="1">
      <c r="B36" s="800"/>
      <c r="C36" s="801"/>
      <c r="D36" s="3012"/>
      <c r="E36" s="3012"/>
      <c r="F36" s="3012"/>
      <c r="G36" s="3012"/>
      <c r="H36" s="3012"/>
      <c r="I36" s="3012"/>
      <c r="J36" s="3012"/>
      <c r="K36" s="3012"/>
      <c r="L36" s="3012"/>
      <c r="M36" s="3012"/>
      <c r="N36" s="3012"/>
      <c r="O36" s="3012"/>
      <c r="P36" s="3012"/>
      <c r="Q36" s="3012"/>
      <c r="R36" s="3012"/>
      <c r="S36" s="3012"/>
      <c r="T36" s="3012"/>
      <c r="U36" s="3012"/>
      <c r="V36" s="3012"/>
      <c r="W36" s="3012"/>
      <c r="X36" s="3012"/>
      <c r="Y36" s="802"/>
      <c r="Z36" s="802"/>
      <c r="AA36" s="802"/>
      <c r="AB36" s="802"/>
      <c r="AC36" s="802"/>
      <c r="AD36" s="802"/>
      <c r="AE36" s="802"/>
      <c r="AF36" s="802"/>
      <c r="AG36" s="803"/>
      <c r="AH36" s="3062" t="b">
        <v>1</v>
      </c>
      <c r="AI36" s="3071" t="s">
        <v>81</v>
      </c>
      <c r="AJ36" s="3071"/>
      <c r="AK36" s="3071"/>
      <c r="AL36" s="3071"/>
      <c r="AM36" s="3071"/>
      <c r="AN36" s="3071"/>
      <c r="AO36" s="3071"/>
      <c r="AP36" s="3065"/>
      <c r="AQ36" s="3062" t="b">
        <v>0</v>
      </c>
      <c r="AR36" s="3033" t="s">
        <v>908</v>
      </c>
      <c r="AS36" s="3033"/>
      <c r="AT36" s="3033"/>
      <c r="AU36" s="3033"/>
      <c r="AV36" s="3072"/>
      <c r="AW36" s="3072"/>
      <c r="AX36" s="3072"/>
      <c r="AY36" s="3072"/>
      <c r="AZ36" s="3072"/>
      <c r="BA36" s="3072"/>
      <c r="BB36" s="807"/>
      <c r="BC36" s="568"/>
      <c r="BD36" s="3061"/>
      <c r="BE36" s="574"/>
      <c r="BF36" s="568"/>
      <c r="BG36" s="568"/>
      <c r="BH36" s="568"/>
      <c r="BI36" s="568"/>
      <c r="BJ36" s="568"/>
      <c r="BK36" s="568"/>
    </row>
    <row r="37" spans="2:74" s="681" customFormat="1" ht="12.25" customHeight="1">
      <c r="B37" s="800"/>
      <c r="C37" s="801" t="s">
        <v>153</v>
      </c>
      <c r="D37" s="3013" t="s">
        <v>1421</v>
      </c>
      <c r="E37" s="3013"/>
      <c r="F37" s="3013"/>
      <c r="G37" s="3013"/>
      <c r="H37" s="3013"/>
      <c r="I37" s="3013"/>
      <c r="J37" s="3013"/>
      <c r="K37" s="3013"/>
      <c r="L37" s="3013"/>
      <c r="M37" s="3013"/>
      <c r="N37" s="3013"/>
      <c r="O37" s="3013"/>
      <c r="P37" s="3013"/>
      <c r="Q37" s="3013"/>
      <c r="R37" s="3013"/>
      <c r="S37" s="3013"/>
      <c r="T37" s="3013"/>
      <c r="U37" s="3013"/>
      <c r="V37" s="3013"/>
      <c r="W37" s="3013"/>
      <c r="X37" s="3013"/>
      <c r="Y37" s="802"/>
      <c r="Z37" s="802"/>
      <c r="AA37" s="802"/>
      <c r="AB37" s="802"/>
      <c r="AC37" s="802"/>
      <c r="AD37" s="802"/>
      <c r="AE37" s="802"/>
      <c r="AF37" s="802"/>
      <c r="AG37" s="803"/>
      <c r="AH37" s="3062"/>
      <c r="AI37" s="3071"/>
      <c r="AJ37" s="3071"/>
      <c r="AK37" s="3071"/>
      <c r="AL37" s="3071"/>
      <c r="AM37" s="3071"/>
      <c r="AN37" s="3071"/>
      <c r="AO37" s="3071"/>
      <c r="AP37" s="3065"/>
      <c r="AQ37" s="3062"/>
      <c r="AR37" s="3033"/>
      <c r="AS37" s="3033"/>
      <c r="AT37" s="3033"/>
      <c r="AU37" s="3033"/>
      <c r="AV37" s="3073"/>
      <c r="AW37" s="3073"/>
      <c r="AX37" s="3073"/>
      <c r="AY37" s="3073"/>
      <c r="AZ37" s="3073"/>
      <c r="BA37" s="3073"/>
      <c r="BD37" s="3061"/>
      <c r="BE37" s="711"/>
    </row>
    <row r="38" spans="2:74" s="681" customFormat="1" ht="12.25" customHeight="1">
      <c r="B38" s="800"/>
      <c r="C38" s="801"/>
      <c r="D38" s="3013"/>
      <c r="E38" s="3013"/>
      <c r="F38" s="3013"/>
      <c r="G38" s="3013"/>
      <c r="H38" s="3013"/>
      <c r="I38" s="3013"/>
      <c r="J38" s="3013"/>
      <c r="K38" s="3013"/>
      <c r="L38" s="3013"/>
      <c r="M38" s="3013"/>
      <c r="N38" s="3013"/>
      <c r="O38" s="3013"/>
      <c r="P38" s="3013"/>
      <c r="Q38" s="3013"/>
      <c r="R38" s="3013"/>
      <c r="S38" s="3013"/>
      <c r="T38" s="3013"/>
      <c r="U38" s="3013"/>
      <c r="V38" s="3013"/>
      <c r="W38" s="3013"/>
      <c r="X38" s="3013"/>
      <c r="Y38" s="802"/>
      <c r="Z38" s="802"/>
      <c r="AA38" s="802"/>
      <c r="AB38" s="802"/>
      <c r="AC38" s="802"/>
      <c r="AD38" s="802"/>
      <c r="AE38" s="802"/>
      <c r="AF38" s="802"/>
      <c r="AG38" s="803"/>
      <c r="AH38" s="3062" t="b">
        <v>1</v>
      </c>
      <c r="AI38" s="3033" t="s">
        <v>405</v>
      </c>
      <c r="AJ38" s="3033"/>
      <c r="AK38" s="3033"/>
      <c r="AL38" s="3033"/>
      <c r="AM38" s="3033"/>
      <c r="AN38" s="3033"/>
      <c r="AO38" s="3033"/>
      <c r="AP38" s="3065"/>
      <c r="AQ38" s="3067"/>
      <c r="AR38" s="568"/>
      <c r="AS38" s="568"/>
      <c r="AT38" s="568"/>
      <c r="AU38" s="568"/>
      <c r="AV38" s="3074" t="str">
        <f>IF(AND(teacher_identify_needs_more_resources_depedtv_others=TRUE,ISBLANK(teacher_identify_needs_more_resources_depedtv_others_specify)),"Please specify.",IF(AND(teacher_identify_needs_more_resources_depedtv_others=FALSE,(teacher_identify_needs_more_resources_depedtv_others_specify&gt;0)),"Please check Others if you have entries.",""))</f>
        <v/>
      </c>
      <c r="AW38" s="3074"/>
      <c r="AX38" s="3074"/>
      <c r="AY38" s="3074"/>
      <c r="AZ38" s="3074"/>
      <c r="BA38" s="3074"/>
      <c r="BB38" s="568"/>
      <c r="BC38" s="568"/>
      <c r="BD38" s="3069"/>
      <c r="BE38" s="711"/>
    </row>
    <row r="39" spans="2:74" s="681" customFormat="1" ht="12.25" customHeight="1" thickBot="1">
      <c r="B39" s="800"/>
      <c r="C39" s="801" t="s">
        <v>154</v>
      </c>
      <c r="D39" s="3012" t="s">
        <v>1422</v>
      </c>
      <c r="E39" s="3012"/>
      <c r="F39" s="3012"/>
      <c r="G39" s="3012"/>
      <c r="H39" s="3012"/>
      <c r="I39" s="3012"/>
      <c r="J39" s="3012"/>
      <c r="K39" s="3012"/>
      <c r="L39" s="3012"/>
      <c r="M39" s="3012"/>
      <c r="N39" s="3012"/>
      <c r="O39" s="3012"/>
      <c r="P39" s="3012"/>
      <c r="Q39" s="3012"/>
      <c r="R39" s="3012"/>
      <c r="S39" s="3012"/>
      <c r="T39" s="3012"/>
      <c r="U39" s="3012"/>
      <c r="V39" s="3012"/>
      <c r="W39" s="3012"/>
      <c r="X39" s="3012"/>
      <c r="Y39" s="802"/>
      <c r="Z39" s="802"/>
      <c r="AA39" s="802"/>
      <c r="AB39" s="802"/>
      <c r="AC39" s="802"/>
      <c r="AD39" s="802"/>
      <c r="AE39" s="802"/>
      <c r="AF39" s="802"/>
      <c r="AG39" s="804"/>
      <c r="AH39" s="3063"/>
      <c r="AI39" s="3064"/>
      <c r="AJ39" s="3064"/>
      <c r="AK39" s="3064"/>
      <c r="AL39" s="3064"/>
      <c r="AM39" s="3064"/>
      <c r="AN39" s="3064"/>
      <c r="AO39" s="3064"/>
      <c r="AP39" s="3066"/>
      <c r="AQ39" s="3068"/>
      <c r="AR39" s="562"/>
      <c r="AS39" s="562"/>
      <c r="AT39" s="562"/>
      <c r="AU39" s="562"/>
      <c r="AV39" s="3075"/>
      <c r="AW39" s="3075"/>
      <c r="AX39" s="3075"/>
      <c r="AY39" s="3075"/>
      <c r="AZ39" s="3075"/>
      <c r="BA39" s="3075"/>
      <c r="BB39" s="562"/>
      <c r="BC39" s="562"/>
      <c r="BD39" s="3070"/>
      <c r="BE39" s="711"/>
    </row>
    <row r="40" spans="2:74" s="681" customFormat="1" ht="12.25" customHeight="1">
      <c r="B40" s="800"/>
      <c r="D40" s="3012"/>
      <c r="E40" s="3012"/>
      <c r="F40" s="3012"/>
      <c r="G40" s="3012"/>
      <c r="H40" s="3012"/>
      <c r="I40" s="3012"/>
      <c r="J40" s="3012"/>
      <c r="K40" s="3012"/>
      <c r="L40" s="3012"/>
      <c r="M40" s="3012"/>
      <c r="N40" s="3012"/>
      <c r="O40" s="3012"/>
      <c r="P40" s="3012"/>
      <c r="Q40" s="3012"/>
      <c r="R40" s="3012"/>
      <c r="S40" s="3012"/>
      <c r="T40" s="3012"/>
      <c r="U40" s="3012"/>
      <c r="V40" s="3012"/>
      <c r="W40" s="3012"/>
      <c r="X40" s="3012"/>
      <c r="Z40" s="802"/>
      <c r="AA40" s="802"/>
      <c r="AB40" s="802"/>
      <c r="AC40" s="802"/>
      <c r="AD40" s="802"/>
      <c r="AE40" s="802"/>
      <c r="AF40" s="802"/>
      <c r="BE40" s="711"/>
    </row>
    <row r="41" spans="2:74" s="681" customFormat="1" ht="12.25" customHeight="1">
      <c r="B41" s="800"/>
      <c r="C41" s="801" t="s">
        <v>155</v>
      </c>
      <c r="D41" s="3013" t="s">
        <v>1423</v>
      </c>
      <c r="E41" s="3013"/>
      <c r="F41" s="3013"/>
      <c r="G41" s="3013"/>
      <c r="H41" s="3013"/>
      <c r="I41" s="3013"/>
      <c r="J41" s="3013"/>
      <c r="K41" s="3013"/>
      <c r="L41" s="3013"/>
      <c r="M41" s="3013"/>
      <c r="N41" s="3013"/>
      <c r="O41" s="3013"/>
      <c r="P41" s="3013"/>
      <c r="Q41" s="3013"/>
      <c r="R41" s="3013"/>
      <c r="S41" s="3013"/>
      <c r="T41" s="3013"/>
      <c r="U41" s="3013"/>
      <c r="V41" s="3013"/>
      <c r="W41" s="3013"/>
      <c r="X41" s="3013"/>
      <c r="Y41" s="802"/>
      <c r="Z41" s="802"/>
      <c r="AA41" s="802"/>
      <c r="AB41" s="802"/>
      <c r="AC41" s="802"/>
      <c r="AD41" s="802"/>
      <c r="AE41" s="802"/>
      <c r="AF41" s="802"/>
      <c r="AG41" s="805"/>
      <c r="BE41" s="711"/>
    </row>
    <row r="42" spans="2:74" s="568" customFormat="1" ht="12.25" customHeight="1" thickBot="1">
      <c r="B42" s="561"/>
      <c r="C42" s="562"/>
      <c r="D42" s="3060"/>
      <c r="E42" s="3060"/>
      <c r="F42" s="3060"/>
      <c r="G42" s="3060"/>
      <c r="H42" s="3060"/>
      <c r="I42" s="3060"/>
      <c r="J42" s="3060"/>
      <c r="K42" s="3060"/>
      <c r="L42" s="3060"/>
      <c r="M42" s="3060"/>
      <c r="N42" s="3060"/>
      <c r="O42" s="3060"/>
      <c r="P42" s="3060"/>
      <c r="Q42" s="3060"/>
      <c r="R42" s="3060"/>
      <c r="S42" s="3060"/>
      <c r="T42" s="3060"/>
      <c r="U42" s="3060"/>
      <c r="V42" s="3060"/>
      <c r="W42" s="3060"/>
      <c r="X42" s="3060"/>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806"/>
    </row>
    <row r="43" spans="2:74" ht="30" customHeight="1">
      <c r="C43" s="501"/>
    </row>
    <row r="44" spans="2:74">
      <c r="B44" s="147" t="s">
        <v>847</v>
      </c>
      <c r="V44" s="147" t="s">
        <v>1754</v>
      </c>
      <c r="W44" s="745"/>
      <c r="X44" s="745"/>
      <c r="Y44" s="745"/>
      <c r="Z44" s="745"/>
      <c r="AA44" s="745"/>
      <c r="AB44" s="745"/>
      <c r="AC44" s="745"/>
      <c r="AD44" s="745"/>
      <c r="AE44" s="745"/>
      <c r="AF44" s="745"/>
      <c r="AG44" s="745"/>
      <c r="AH44" s="745"/>
      <c r="AI44" s="745"/>
      <c r="AP44" s="147" t="s">
        <v>783</v>
      </c>
    </row>
    <row r="45" spans="2:74" ht="21.75" customHeight="1">
      <c r="B45" s="147" t="s">
        <v>756</v>
      </c>
      <c r="F45" s="3058" t="str">
        <f>activesheet!E29</f>
        <v>RICO S. MISPEROS</v>
      </c>
      <c r="G45" s="3058"/>
      <c r="H45" s="3058"/>
      <c r="I45" s="3058"/>
      <c r="J45" s="3058"/>
      <c r="K45" s="3058"/>
      <c r="L45" s="3058"/>
      <c r="M45" s="3058"/>
      <c r="N45" s="3058"/>
      <c r="O45" s="3058"/>
      <c r="P45" s="3058"/>
      <c r="Q45" s="3058"/>
      <c r="V45" s="3059" t="s">
        <v>11873</v>
      </c>
      <c r="W45" s="3059"/>
      <c r="X45" s="3059"/>
      <c r="Y45" s="3059"/>
      <c r="Z45" s="3059"/>
      <c r="AA45" s="3059"/>
      <c r="AB45" s="3059"/>
      <c r="AC45" s="3059"/>
      <c r="AD45" s="3059"/>
      <c r="AE45" s="3059"/>
      <c r="AF45" s="3059"/>
      <c r="AG45" s="3059"/>
      <c r="AH45" s="3059"/>
      <c r="AI45" s="3059"/>
      <c r="AJ45" s="3059"/>
      <c r="AK45" s="3059"/>
      <c r="AP45" s="1786" t="str">
        <f>activesheet!E31</f>
        <v>MICHAEL T. JAMIS</v>
      </c>
      <c r="AQ45" s="1786"/>
      <c r="AR45" s="1786"/>
      <c r="AS45" s="1786"/>
      <c r="AT45" s="1786"/>
      <c r="AU45" s="1786"/>
      <c r="AV45" s="1786"/>
      <c r="AW45" s="1786"/>
      <c r="AX45" s="1786"/>
      <c r="AY45" s="1786"/>
      <c r="AZ45" s="1786"/>
      <c r="BA45" s="1786"/>
      <c r="BB45" s="1786"/>
      <c r="BC45" s="1786"/>
      <c r="BD45" s="1786"/>
      <c r="BE45" s="1786"/>
    </row>
    <row r="46" spans="2:74" s="746" customFormat="1" ht="15.75" customHeight="1">
      <c r="B46" s="655"/>
      <c r="F46" s="1764" t="s">
        <v>741</v>
      </c>
      <c r="G46" s="1764"/>
      <c r="H46" s="1764"/>
      <c r="I46" s="1764"/>
      <c r="J46" s="1764"/>
      <c r="K46" s="1764"/>
      <c r="L46" s="1764"/>
      <c r="M46" s="1764"/>
      <c r="N46" s="1764"/>
      <c r="O46" s="1764"/>
      <c r="P46" s="1764"/>
      <c r="Q46" s="1764"/>
      <c r="R46" s="152"/>
      <c r="S46" s="152"/>
      <c r="T46" s="152"/>
      <c r="U46" s="152"/>
      <c r="V46" s="1764" t="s">
        <v>741</v>
      </c>
      <c r="W46" s="1764"/>
      <c r="X46" s="1764"/>
      <c r="Y46" s="1764"/>
      <c r="Z46" s="1764"/>
      <c r="AA46" s="1764"/>
      <c r="AB46" s="1764"/>
      <c r="AC46" s="1764"/>
      <c r="AD46" s="1764"/>
      <c r="AE46" s="1764"/>
      <c r="AF46" s="1764"/>
      <c r="AG46" s="1764"/>
      <c r="AH46" s="1764"/>
      <c r="AI46" s="1764"/>
      <c r="AJ46" s="1764"/>
      <c r="AK46" s="1764"/>
      <c r="AL46" s="152"/>
      <c r="AM46" s="152"/>
      <c r="AN46" s="152"/>
      <c r="AO46" s="152"/>
      <c r="AP46" s="1787"/>
      <c r="AQ46" s="1787"/>
      <c r="AR46" s="1787"/>
      <c r="AS46" s="1787"/>
      <c r="AT46" s="1787"/>
      <c r="AU46" s="1787"/>
      <c r="AV46" s="1787"/>
      <c r="AW46" s="1787"/>
      <c r="AX46" s="1787"/>
      <c r="AY46" s="1787"/>
      <c r="AZ46" s="1787"/>
      <c r="BA46" s="1787"/>
      <c r="BB46" s="1787"/>
      <c r="BC46" s="1787"/>
      <c r="BD46" s="1787"/>
      <c r="BE46" s="1787"/>
      <c r="BF46" s="799"/>
      <c r="BG46" s="799"/>
      <c r="BH46" s="799"/>
      <c r="BI46" s="799"/>
      <c r="BJ46" s="799"/>
      <c r="BK46" s="799"/>
      <c r="BL46" s="799"/>
      <c r="BM46" s="799"/>
      <c r="BN46" s="799"/>
      <c r="BO46" s="799"/>
      <c r="BP46" s="799"/>
      <c r="BQ46" s="799"/>
      <c r="BR46" s="799"/>
      <c r="BS46" s="799"/>
      <c r="BT46" s="799"/>
      <c r="BU46" s="799"/>
      <c r="BV46" s="799"/>
    </row>
    <row r="47" spans="2:74" ht="21.75" customHeight="1">
      <c r="B47" s="147" t="s">
        <v>1027</v>
      </c>
      <c r="F47" s="3058" t="str">
        <f>activesheet!E30</f>
        <v>SCHOOL PRINCIPAL II</v>
      </c>
      <c r="G47" s="3058"/>
      <c r="H47" s="3058"/>
      <c r="I47" s="3058"/>
      <c r="J47" s="3058"/>
      <c r="K47" s="3058"/>
      <c r="L47" s="3058"/>
      <c r="M47" s="3058"/>
      <c r="N47" s="3058"/>
      <c r="O47" s="3058"/>
      <c r="P47" s="3058"/>
      <c r="Q47" s="3058"/>
      <c r="V47" s="147" t="s">
        <v>1027</v>
      </c>
      <c r="Z47" s="3059" t="s">
        <v>11876</v>
      </c>
      <c r="AA47" s="3059"/>
      <c r="AB47" s="3059"/>
      <c r="AC47" s="3059"/>
      <c r="AD47" s="3059"/>
      <c r="AE47" s="3059"/>
      <c r="AF47" s="3059"/>
      <c r="AG47" s="3059"/>
      <c r="AH47" s="3059"/>
      <c r="AI47" s="3059"/>
      <c r="AJ47" s="3059"/>
      <c r="AK47" s="3059"/>
      <c r="AP47" s="1764" t="s">
        <v>741</v>
      </c>
      <c r="AQ47" s="1764"/>
      <c r="AR47" s="1764"/>
      <c r="AS47" s="1764"/>
      <c r="AT47" s="1764"/>
      <c r="AU47" s="1764"/>
      <c r="AV47" s="1764"/>
      <c r="AW47" s="1764"/>
      <c r="AX47" s="1764"/>
      <c r="AY47" s="1764"/>
      <c r="AZ47" s="1764"/>
      <c r="BA47" s="1764"/>
      <c r="BB47" s="1764"/>
      <c r="BC47" s="1764"/>
      <c r="BD47" s="1764"/>
      <c r="BE47" s="1764"/>
    </row>
  </sheetData>
  <sheetProtection algorithmName="SHA-512" hashValue="oaYOKevwtY5F9aMXfikNV9ynEhUQvpsZKqRtOvTAiHqMNzFO28fWuJISmkDFdgUR1n/EEs7RcyNqRxElz7F3mw==" saltValue="lAaE7zNKBN1TRqlB85zFjg==" spinCount="100000" sheet="1" objects="1" scenarios="1" selectLockedCells="1"/>
  <mergeCells count="148">
    <mergeCell ref="BD36:BD37"/>
    <mergeCell ref="D37:X38"/>
    <mergeCell ref="AH38:AH39"/>
    <mergeCell ref="AI38:AO39"/>
    <mergeCell ref="AP38:AP39"/>
    <mergeCell ref="AQ38:AQ39"/>
    <mergeCell ref="BD38:BD39"/>
    <mergeCell ref="D39:X40"/>
    <mergeCell ref="D35:X36"/>
    <mergeCell ref="AI35:AO35"/>
    <mergeCell ref="AR35:BC35"/>
    <mergeCell ref="AH36:AH37"/>
    <mergeCell ref="AI36:AO37"/>
    <mergeCell ref="AP36:AP37"/>
    <mergeCell ref="AQ36:AQ37"/>
    <mergeCell ref="AR36:AU37"/>
    <mergeCell ref="AV36:BA37"/>
    <mergeCell ref="AV38:BA39"/>
    <mergeCell ref="F47:Q47"/>
    <mergeCell ref="Z47:AK47"/>
    <mergeCell ref="AP47:BE47"/>
    <mergeCell ref="D41:X42"/>
    <mergeCell ref="F45:Q45"/>
    <mergeCell ref="V45:AK45"/>
    <mergeCell ref="AP45:BE46"/>
    <mergeCell ref="F46:Q46"/>
    <mergeCell ref="V46:AK46"/>
    <mergeCell ref="AG30:AX31"/>
    <mergeCell ref="D33:X34"/>
    <mergeCell ref="AI33:AO33"/>
    <mergeCell ref="AR33:BC33"/>
    <mergeCell ref="AI34:AO34"/>
    <mergeCell ref="AR34:BC34"/>
    <mergeCell ref="J30:N30"/>
    <mergeCell ref="J31:N31"/>
    <mergeCell ref="J32:N32"/>
    <mergeCell ref="O30:S30"/>
    <mergeCell ref="O31:S31"/>
    <mergeCell ref="O32:S32"/>
    <mergeCell ref="T30:X30"/>
    <mergeCell ref="T31:X31"/>
    <mergeCell ref="T32:X32"/>
    <mergeCell ref="C19:AJ19"/>
    <mergeCell ref="C20:AJ20"/>
    <mergeCell ref="C21:AJ21"/>
    <mergeCell ref="C23:AJ23"/>
    <mergeCell ref="C28:I29"/>
    <mergeCell ref="J28:X28"/>
    <mergeCell ref="J29:N29"/>
    <mergeCell ref="O29:S29"/>
    <mergeCell ref="T29:X29"/>
    <mergeCell ref="C22:AJ22"/>
    <mergeCell ref="C16:AJ16"/>
    <mergeCell ref="C17:AJ17"/>
    <mergeCell ref="C18:AJ18"/>
    <mergeCell ref="AB13:AD13"/>
    <mergeCell ref="AE13:AG13"/>
    <mergeCell ref="AH13:AJ13"/>
    <mergeCell ref="G14:I14"/>
    <mergeCell ref="J14:L14"/>
    <mergeCell ref="M14:O14"/>
    <mergeCell ref="P14:R14"/>
    <mergeCell ref="S14:U14"/>
    <mergeCell ref="V14:X14"/>
    <mergeCell ref="Y14:AA14"/>
    <mergeCell ref="AB14:AD14"/>
    <mergeCell ref="AE14:AG14"/>
    <mergeCell ref="AH14:AJ14"/>
    <mergeCell ref="AE11:AG11"/>
    <mergeCell ref="V10:X10"/>
    <mergeCell ref="AH12:AJ12"/>
    <mergeCell ref="G13:I13"/>
    <mergeCell ref="J13:L13"/>
    <mergeCell ref="M13:O13"/>
    <mergeCell ref="P13:R13"/>
    <mergeCell ref="S13:U13"/>
    <mergeCell ref="V13:X13"/>
    <mergeCell ref="Y13:AA13"/>
    <mergeCell ref="G12:I12"/>
    <mergeCell ref="J12:L12"/>
    <mergeCell ref="M12:O12"/>
    <mergeCell ref="P12:R12"/>
    <mergeCell ref="S12:U12"/>
    <mergeCell ref="V12:X12"/>
    <mergeCell ref="Y12:AA12"/>
    <mergeCell ref="AB12:AD12"/>
    <mergeCell ref="AE12:AG12"/>
    <mergeCell ref="Y8:AA8"/>
    <mergeCell ref="Y10:AA10"/>
    <mergeCell ref="AH11:AJ11"/>
    <mergeCell ref="G7:I7"/>
    <mergeCell ref="J7:L7"/>
    <mergeCell ref="M7:O7"/>
    <mergeCell ref="P7:R7"/>
    <mergeCell ref="S7:U7"/>
    <mergeCell ref="V7:X7"/>
    <mergeCell ref="Y7:AA7"/>
    <mergeCell ref="AB7:AD7"/>
    <mergeCell ref="AE7:AG7"/>
    <mergeCell ref="S8:U8"/>
    <mergeCell ref="S9:U9"/>
    <mergeCell ref="S10:U10"/>
    <mergeCell ref="AH8:AJ8"/>
    <mergeCell ref="G11:I11"/>
    <mergeCell ref="J11:L11"/>
    <mergeCell ref="M11:O11"/>
    <mergeCell ref="P11:R11"/>
    <mergeCell ref="S11:U11"/>
    <mergeCell ref="V11:X11"/>
    <mergeCell ref="Y11:AA11"/>
    <mergeCell ref="AB11:AD11"/>
    <mergeCell ref="B5:F6"/>
    <mergeCell ref="G5:U5"/>
    <mergeCell ref="V5:AJ5"/>
    <mergeCell ref="G6:I6"/>
    <mergeCell ref="J6:L6"/>
    <mergeCell ref="M6:O6"/>
    <mergeCell ref="P6:R6"/>
    <mergeCell ref="S6:U6"/>
    <mergeCell ref="V6:X6"/>
    <mergeCell ref="Y6:AA6"/>
    <mergeCell ref="AB6:AD6"/>
    <mergeCell ref="AE6:AG6"/>
    <mergeCell ref="AH6:AJ6"/>
    <mergeCell ref="AH7:AJ7"/>
    <mergeCell ref="AB10:AD10"/>
    <mergeCell ref="AE10:AG10"/>
    <mergeCell ref="AH9:AJ9"/>
    <mergeCell ref="AH10:AJ10"/>
    <mergeCell ref="G8:I8"/>
    <mergeCell ref="G9:I9"/>
    <mergeCell ref="G10:I10"/>
    <mergeCell ref="J8:L8"/>
    <mergeCell ref="J9:L9"/>
    <mergeCell ref="AB8:AD8"/>
    <mergeCell ref="AE8:AG8"/>
    <mergeCell ref="V9:X9"/>
    <mergeCell ref="Y9:AA9"/>
    <mergeCell ref="AB9:AD9"/>
    <mergeCell ref="AE9:AG9"/>
    <mergeCell ref="J10:L10"/>
    <mergeCell ref="M8:O8"/>
    <mergeCell ref="P8:R8"/>
    <mergeCell ref="M9:O9"/>
    <mergeCell ref="P9:R9"/>
    <mergeCell ref="M10:O10"/>
    <mergeCell ref="P10:R10"/>
    <mergeCell ref="V8:X8"/>
  </mergeCells>
  <dataValidations count="2">
    <dataValidation type="whole" allowBlank="1" showInputMessage="1" showErrorMessage="1" errorTitle="GESP SY 2022-2023" error="Please enter valid number between 0-999." sqref="G7:R13 V7:AG13" xr:uid="{00000000-0002-0000-1A00-000000000000}">
      <formula1>0</formula1>
      <formula2>999</formula2>
    </dataValidation>
    <dataValidation type="whole" allowBlank="1" showInputMessage="1" showErrorMessage="1" errorTitle="GESP SY 2022-2023" error="Please enter valid number between 0 - 999." sqref="J30:S32" xr:uid="{00000000-0002-0000-1A00-000001000000}">
      <formula1>0</formula1>
      <formula2>999</formula2>
    </dataValidation>
  </dataValidations>
  <printOptions horizontalCentered="1" verticalCentered="1"/>
  <pageMargins left="0.25" right="0.25" top="0.2" bottom="0.2" header="0" footer="0.1"/>
  <pageSetup paperSize="9" scale="42" orientation="landscape" r:id="rId1"/>
  <headerFooter alignWithMargins="0">
    <oddFooter>&amp;L&amp;10&amp;F &amp;A&amp;R&amp;10Page 23 of 60</oddFooter>
  </headerFooter>
  <ignoredErrors>
    <ignoredError sqref="T30:X3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55298" r:id="rId4" name="Check Box 2">
              <controlPr locked="0" defaultSize="0" autoFill="0" autoLine="0" autoPict="0">
                <anchor moveWithCells="1">
                  <from>
                    <xdr:col>33</xdr:col>
                    <xdr:colOff>50800</xdr:colOff>
                    <xdr:row>27</xdr:row>
                    <xdr:rowOff>31750</xdr:rowOff>
                  </from>
                  <to>
                    <xdr:col>34</xdr:col>
                    <xdr:colOff>165100</xdr:colOff>
                    <xdr:row>27</xdr:row>
                    <xdr:rowOff>260350</xdr:rowOff>
                  </to>
                </anchor>
              </controlPr>
            </control>
          </mc:Choice>
        </mc:AlternateContent>
        <mc:AlternateContent xmlns:mc="http://schemas.openxmlformats.org/markup-compatibility/2006">
          <mc:Choice Requires="x14">
            <control shapeId="55299" r:id="rId5" name="Check Box 3">
              <controlPr locked="0" defaultSize="0" autoFill="0" autoLine="0" autoPict="0">
                <anchor moveWithCells="1">
                  <from>
                    <xdr:col>33</xdr:col>
                    <xdr:colOff>50800</xdr:colOff>
                    <xdr:row>28</xdr:row>
                    <xdr:rowOff>31750</xdr:rowOff>
                  </from>
                  <to>
                    <xdr:col>34</xdr:col>
                    <xdr:colOff>165100</xdr:colOff>
                    <xdr:row>28</xdr:row>
                    <xdr:rowOff>260350</xdr:rowOff>
                  </to>
                </anchor>
              </controlPr>
            </control>
          </mc:Choice>
        </mc:AlternateContent>
        <mc:AlternateContent xmlns:mc="http://schemas.openxmlformats.org/markup-compatibility/2006">
          <mc:Choice Requires="x14">
            <control shapeId="55300" r:id="rId6" name="Check Box 4">
              <controlPr locked="0" defaultSize="0" autoFill="0" autoLine="0" autoPict="0">
                <anchor moveWithCells="1">
                  <from>
                    <xdr:col>42</xdr:col>
                    <xdr:colOff>50800</xdr:colOff>
                    <xdr:row>27</xdr:row>
                    <xdr:rowOff>31750</xdr:rowOff>
                  </from>
                  <to>
                    <xdr:col>43</xdr:col>
                    <xdr:colOff>165100</xdr:colOff>
                    <xdr:row>27</xdr:row>
                    <xdr:rowOff>260350</xdr:rowOff>
                  </to>
                </anchor>
              </controlPr>
            </control>
          </mc:Choice>
        </mc:AlternateContent>
        <mc:AlternateContent xmlns:mc="http://schemas.openxmlformats.org/markup-compatibility/2006">
          <mc:Choice Requires="x14">
            <control shapeId="55301" r:id="rId7" name="Check Box 5">
              <controlPr locked="0" defaultSize="0" autoFill="0" autoLine="0" autoPict="0">
                <anchor moveWithCells="1">
                  <from>
                    <xdr:col>42</xdr:col>
                    <xdr:colOff>50800</xdr:colOff>
                    <xdr:row>28</xdr:row>
                    <xdr:rowOff>31750</xdr:rowOff>
                  </from>
                  <to>
                    <xdr:col>43</xdr:col>
                    <xdr:colOff>165100</xdr:colOff>
                    <xdr:row>28</xdr:row>
                    <xdr:rowOff>260350</xdr:rowOff>
                  </to>
                </anchor>
              </controlPr>
            </control>
          </mc:Choice>
        </mc:AlternateContent>
        <mc:AlternateContent xmlns:mc="http://schemas.openxmlformats.org/markup-compatibility/2006">
          <mc:Choice Requires="x14">
            <control shapeId="55302" r:id="rId8" name="Check Box 6">
              <controlPr locked="0" defaultSize="0" autoFill="0" autoLine="0" autoPict="0">
                <anchor moveWithCells="1">
                  <from>
                    <xdr:col>33</xdr:col>
                    <xdr:colOff>50800</xdr:colOff>
                    <xdr:row>32</xdr:row>
                    <xdr:rowOff>50800</xdr:rowOff>
                  </from>
                  <to>
                    <xdr:col>34</xdr:col>
                    <xdr:colOff>165100</xdr:colOff>
                    <xdr:row>32</xdr:row>
                    <xdr:rowOff>266700</xdr:rowOff>
                  </to>
                </anchor>
              </controlPr>
            </control>
          </mc:Choice>
        </mc:AlternateContent>
        <mc:AlternateContent xmlns:mc="http://schemas.openxmlformats.org/markup-compatibility/2006">
          <mc:Choice Requires="x14">
            <control shapeId="55303" r:id="rId9" name="Check Box 7">
              <controlPr locked="0" defaultSize="0" autoFill="0" autoLine="0" autoPict="0">
                <anchor moveWithCells="1">
                  <from>
                    <xdr:col>33</xdr:col>
                    <xdr:colOff>50800</xdr:colOff>
                    <xdr:row>33</xdr:row>
                    <xdr:rowOff>31750</xdr:rowOff>
                  </from>
                  <to>
                    <xdr:col>34</xdr:col>
                    <xdr:colOff>165100</xdr:colOff>
                    <xdr:row>33</xdr:row>
                    <xdr:rowOff>260350</xdr:rowOff>
                  </to>
                </anchor>
              </controlPr>
            </control>
          </mc:Choice>
        </mc:AlternateContent>
        <mc:AlternateContent xmlns:mc="http://schemas.openxmlformats.org/markup-compatibility/2006">
          <mc:Choice Requires="x14">
            <control shapeId="55304" r:id="rId10" name="Check Box 8">
              <controlPr locked="0" defaultSize="0" autoFill="0" autoLine="0" autoPict="0">
                <anchor moveWithCells="1">
                  <from>
                    <xdr:col>33</xdr:col>
                    <xdr:colOff>50800</xdr:colOff>
                    <xdr:row>34</xdr:row>
                    <xdr:rowOff>31750</xdr:rowOff>
                  </from>
                  <to>
                    <xdr:col>34</xdr:col>
                    <xdr:colOff>165100</xdr:colOff>
                    <xdr:row>34</xdr:row>
                    <xdr:rowOff>260350</xdr:rowOff>
                  </to>
                </anchor>
              </controlPr>
            </control>
          </mc:Choice>
        </mc:AlternateContent>
        <mc:AlternateContent xmlns:mc="http://schemas.openxmlformats.org/markup-compatibility/2006">
          <mc:Choice Requires="x14">
            <control shapeId="55305" r:id="rId11" name="Check Box 9">
              <controlPr locked="0" defaultSize="0" autoFill="0" autoLine="0" autoPict="0">
                <anchor moveWithCells="1">
                  <from>
                    <xdr:col>33</xdr:col>
                    <xdr:colOff>50800</xdr:colOff>
                    <xdr:row>35</xdr:row>
                    <xdr:rowOff>31750</xdr:rowOff>
                  </from>
                  <to>
                    <xdr:col>34</xdr:col>
                    <xdr:colOff>165100</xdr:colOff>
                    <xdr:row>36</xdr:row>
                    <xdr:rowOff>107950</xdr:rowOff>
                  </to>
                </anchor>
              </controlPr>
            </control>
          </mc:Choice>
        </mc:AlternateContent>
        <mc:AlternateContent xmlns:mc="http://schemas.openxmlformats.org/markup-compatibility/2006">
          <mc:Choice Requires="x14">
            <control shapeId="55306" r:id="rId12" name="Check Box 10">
              <controlPr locked="0" defaultSize="0" autoFill="0" autoLine="0" autoPict="0">
                <anchor moveWithCells="1">
                  <from>
                    <xdr:col>33</xdr:col>
                    <xdr:colOff>50800</xdr:colOff>
                    <xdr:row>37</xdr:row>
                    <xdr:rowOff>31750</xdr:rowOff>
                  </from>
                  <to>
                    <xdr:col>34</xdr:col>
                    <xdr:colOff>165100</xdr:colOff>
                    <xdr:row>38</xdr:row>
                    <xdr:rowOff>107950</xdr:rowOff>
                  </to>
                </anchor>
              </controlPr>
            </control>
          </mc:Choice>
        </mc:AlternateContent>
        <mc:AlternateContent xmlns:mc="http://schemas.openxmlformats.org/markup-compatibility/2006">
          <mc:Choice Requires="x14">
            <control shapeId="55307" r:id="rId13" name="Check Box 11">
              <controlPr locked="0" defaultSize="0" autoFill="0" autoLine="0" autoPict="0">
                <anchor moveWithCells="1">
                  <from>
                    <xdr:col>42</xdr:col>
                    <xdr:colOff>50800</xdr:colOff>
                    <xdr:row>32</xdr:row>
                    <xdr:rowOff>31750</xdr:rowOff>
                  </from>
                  <to>
                    <xdr:col>43</xdr:col>
                    <xdr:colOff>165100</xdr:colOff>
                    <xdr:row>32</xdr:row>
                    <xdr:rowOff>260350</xdr:rowOff>
                  </to>
                </anchor>
              </controlPr>
            </control>
          </mc:Choice>
        </mc:AlternateContent>
        <mc:AlternateContent xmlns:mc="http://schemas.openxmlformats.org/markup-compatibility/2006">
          <mc:Choice Requires="x14">
            <control shapeId="55308" r:id="rId14" name="Check Box 12">
              <controlPr locked="0" defaultSize="0" autoFill="0" autoLine="0" autoPict="0">
                <anchor moveWithCells="1">
                  <from>
                    <xdr:col>42</xdr:col>
                    <xdr:colOff>50800</xdr:colOff>
                    <xdr:row>33</xdr:row>
                    <xdr:rowOff>31750</xdr:rowOff>
                  </from>
                  <to>
                    <xdr:col>43</xdr:col>
                    <xdr:colOff>165100</xdr:colOff>
                    <xdr:row>33</xdr:row>
                    <xdr:rowOff>260350</xdr:rowOff>
                  </to>
                </anchor>
              </controlPr>
            </control>
          </mc:Choice>
        </mc:AlternateContent>
        <mc:AlternateContent xmlns:mc="http://schemas.openxmlformats.org/markup-compatibility/2006">
          <mc:Choice Requires="x14">
            <control shapeId="55309" r:id="rId15" name="Check Box 13">
              <controlPr locked="0" defaultSize="0" autoFill="0" autoLine="0" autoPict="0">
                <anchor moveWithCells="1">
                  <from>
                    <xdr:col>42</xdr:col>
                    <xdr:colOff>50800</xdr:colOff>
                    <xdr:row>34</xdr:row>
                    <xdr:rowOff>31750</xdr:rowOff>
                  </from>
                  <to>
                    <xdr:col>43</xdr:col>
                    <xdr:colOff>165100</xdr:colOff>
                    <xdr:row>34</xdr:row>
                    <xdr:rowOff>260350</xdr:rowOff>
                  </to>
                </anchor>
              </controlPr>
            </control>
          </mc:Choice>
        </mc:AlternateContent>
        <mc:AlternateContent xmlns:mc="http://schemas.openxmlformats.org/markup-compatibility/2006">
          <mc:Choice Requires="x14">
            <control shapeId="55310" r:id="rId16" name="Check Box 14">
              <controlPr locked="0" defaultSize="0" autoFill="0" autoLine="0" autoPict="0">
                <anchor moveWithCells="1">
                  <from>
                    <xdr:col>42</xdr:col>
                    <xdr:colOff>50800</xdr:colOff>
                    <xdr:row>35</xdr:row>
                    <xdr:rowOff>31750</xdr:rowOff>
                  </from>
                  <to>
                    <xdr:col>43</xdr:col>
                    <xdr:colOff>165100</xdr:colOff>
                    <xdr:row>36</xdr:row>
                    <xdr:rowOff>107950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B1:BP33"/>
  <sheetViews>
    <sheetView showGridLines="0" zoomScaleNormal="100" workbookViewId="0">
      <selection activeCell="J7" sqref="J7:Q7"/>
    </sheetView>
  </sheetViews>
  <sheetFormatPr defaultColWidth="9" defaultRowHeight="15.5"/>
  <cols>
    <col min="1" max="1" width="2.08203125" style="180" customWidth="1"/>
    <col min="2" max="49" width="3.58203125" style="180" customWidth="1"/>
    <col min="50" max="50" width="2.08203125" style="180" customWidth="1"/>
    <col min="51" max="64" width="3.58203125" style="180" customWidth="1"/>
    <col min="65" max="16384" width="9" style="180"/>
  </cols>
  <sheetData>
    <row r="1" spans="2:49" ht="12" customHeight="1"/>
    <row r="2" spans="2:49" ht="16.5" customHeight="1">
      <c r="B2" s="470" t="s">
        <v>1401</v>
      </c>
      <c r="C2" s="470"/>
      <c r="D2" s="470"/>
      <c r="E2" s="470"/>
      <c r="F2" s="470"/>
      <c r="G2" s="470"/>
      <c r="H2" s="470"/>
      <c r="I2" s="470"/>
      <c r="J2" s="470"/>
      <c r="K2" s="470"/>
      <c r="L2" s="470"/>
      <c r="M2" s="470"/>
      <c r="N2" s="470"/>
      <c r="O2" s="470"/>
      <c r="P2" s="470"/>
      <c r="Q2" s="470"/>
      <c r="R2" s="470"/>
      <c r="S2" s="470"/>
      <c r="T2" s="883"/>
      <c r="U2" s="883"/>
      <c r="W2" s="470" t="s">
        <v>11782</v>
      </c>
      <c r="Y2" s="221"/>
      <c r="Z2" s="221"/>
      <c r="AA2" s="221"/>
      <c r="AB2" s="221"/>
      <c r="AC2" s="221"/>
      <c r="AD2" s="221"/>
      <c r="AE2" s="221"/>
      <c r="AF2" s="221"/>
      <c r="AG2" s="221"/>
      <c r="AH2" s="221"/>
      <c r="AI2" s="221"/>
      <c r="AJ2" s="221"/>
      <c r="AK2" s="221"/>
      <c r="AL2" s="221"/>
      <c r="AM2" s="221"/>
      <c r="AN2" s="221"/>
      <c r="AO2" s="884"/>
      <c r="AS2" s="188"/>
    </row>
    <row r="3" spans="2:49" ht="17" thickBot="1">
      <c r="B3" s="219" t="s">
        <v>11781</v>
      </c>
      <c r="C3" s="188"/>
      <c r="D3" s="188"/>
      <c r="E3" s="188"/>
      <c r="F3" s="188"/>
      <c r="G3" s="188"/>
      <c r="H3" s="188"/>
      <c r="I3" s="188"/>
      <c r="J3" s="188"/>
      <c r="K3" s="188"/>
      <c r="L3" s="188"/>
      <c r="M3" s="188"/>
      <c r="N3" s="188"/>
      <c r="O3" s="188"/>
      <c r="P3" s="188"/>
      <c r="Q3" s="188"/>
      <c r="R3" s="188"/>
      <c r="S3" s="885"/>
      <c r="T3" s="885"/>
      <c r="U3" s="885"/>
      <c r="W3" s="582" t="s">
        <v>904</v>
      </c>
      <c r="Y3" s="221"/>
      <c r="Z3" s="221"/>
      <c r="AA3" s="221"/>
      <c r="AB3" s="221"/>
      <c r="AC3" s="221"/>
      <c r="AD3" s="221"/>
      <c r="AE3" s="221"/>
      <c r="AF3" s="221"/>
      <c r="AG3" s="221"/>
      <c r="AH3" s="221"/>
      <c r="AI3" s="221"/>
      <c r="AJ3" s="221"/>
      <c r="AK3" s="221"/>
      <c r="AL3" s="221"/>
      <c r="AM3" s="221"/>
      <c r="AN3" s="221"/>
      <c r="AO3" s="884"/>
    </row>
    <row r="4" spans="2:49" s="128" customFormat="1" ht="8.15" customHeight="1">
      <c r="B4" s="3087" t="s">
        <v>244</v>
      </c>
      <c r="C4" s="3087"/>
      <c r="D4" s="3087"/>
      <c r="E4" s="3087"/>
      <c r="F4" s="3087"/>
      <c r="G4" s="3087"/>
      <c r="H4" s="3087"/>
      <c r="I4" s="3087"/>
      <c r="J4" s="3089" t="s">
        <v>245</v>
      </c>
      <c r="K4" s="3087"/>
      <c r="L4" s="3087"/>
      <c r="M4" s="3087"/>
      <c r="N4" s="3087"/>
      <c r="O4" s="3087"/>
      <c r="P4" s="3087"/>
      <c r="Q4" s="3087"/>
      <c r="W4" s="886"/>
      <c r="X4" s="728"/>
      <c r="Y4" s="728"/>
      <c r="Z4" s="728"/>
      <c r="AA4" s="728"/>
      <c r="AB4" s="728"/>
      <c r="AC4" s="728"/>
      <c r="AD4" s="728"/>
      <c r="AE4" s="728"/>
      <c r="AF4" s="728"/>
      <c r="AG4" s="728"/>
      <c r="AH4" s="728"/>
      <c r="AI4" s="728"/>
      <c r="AJ4" s="887"/>
      <c r="AK4" s="887"/>
      <c r="AL4" s="887"/>
      <c r="AM4" s="887"/>
      <c r="AN4" s="887"/>
      <c r="AO4" s="887"/>
      <c r="AP4" s="887"/>
      <c r="AQ4" s="887"/>
      <c r="AR4" s="887"/>
      <c r="AS4" s="887"/>
      <c r="AT4" s="887"/>
      <c r="AU4" s="887"/>
      <c r="AV4" s="887"/>
      <c r="AW4" s="888"/>
    </row>
    <row r="5" spans="2:49" s="128" customFormat="1" ht="20.149999999999999" customHeight="1" thickBot="1">
      <c r="B5" s="3088"/>
      <c r="C5" s="3088"/>
      <c r="D5" s="3088"/>
      <c r="E5" s="3088"/>
      <c r="F5" s="3088"/>
      <c r="G5" s="3088"/>
      <c r="H5" s="3088"/>
      <c r="I5" s="3088"/>
      <c r="J5" s="3090"/>
      <c r="K5" s="3088"/>
      <c r="L5" s="3088"/>
      <c r="M5" s="3088"/>
      <c r="N5" s="3088"/>
      <c r="O5" s="3088"/>
      <c r="P5" s="3088"/>
      <c r="Q5" s="3088"/>
      <c r="W5" s="889"/>
      <c r="X5" s="890" t="s">
        <v>151</v>
      </c>
      <c r="Y5" s="162" t="s">
        <v>246</v>
      </c>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891"/>
    </row>
    <row r="6" spans="2:49" s="128" customFormat="1" ht="20.149999999999999" customHeight="1">
      <c r="B6" s="3091" t="s">
        <v>247</v>
      </c>
      <c r="C6" s="3092"/>
      <c r="D6" s="3092"/>
      <c r="E6" s="3092"/>
      <c r="F6" s="3092"/>
      <c r="G6" s="3092"/>
      <c r="H6" s="3092"/>
      <c r="I6" s="3093"/>
      <c r="J6" s="3094">
        <v>762549.96</v>
      </c>
      <c r="K6" s="3095"/>
      <c r="L6" s="3095"/>
      <c r="M6" s="3095"/>
      <c r="N6" s="3095"/>
      <c r="O6" s="3095"/>
      <c r="P6" s="3095"/>
      <c r="Q6" s="3096"/>
      <c r="W6" s="875"/>
      <c r="AB6" s="76" t="b">
        <v>1</v>
      </c>
      <c r="AC6" s="568" t="s">
        <v>55</v>
      </c>
      <c r="AD6" s="872"/>
      <c r="AE6" s="872"/>
      <c r="AF6" s="872"/>
      <c r="AI6" s="681"/>
      <c r="AJ6" s="609"/>
      <c r="AK6" s="681"/>
      <c r="AL6" s="681"/>
      <c r="AM6" s="681"/>
      <c r="AN6" s="681"/>
      <c r="AO6" s="681"/>
      <c r="AP6" s="681"/>
      <c r="AQ6" s="681"/>
      <c r="AR6" s="681"/>
      <c r="AS6" s="681"/>
      <c r="AT6" s="681"/>
      <c r="AU6" s="681"/>
      <c r="AV6" s="681"/>
      <c r="AW6" s="711"/>
    </row>
    <row r="7" spans="2:49" s="128" customFormat="1" ht="20.149999999999999" customHeight="1">
      <c r="B7" s="3097" t="s">
        <v>248</v>
      </c>
      <c r="C7" s="3098"/>
      <c r="D7" s="3098"/>
      <c r="E7" s="3098"/>
      <c r="F7" s="3098"/>
      <c r="G7" s="3098"/>
      <c r="H7" s="3098"/>
      <c r="I7" s="3099"/>
      <c r="J7" s="3100">
        <v>762549.96</v>
      </c>
      <c r="K7" s="3101"/>
      <c r="L7" s="3101"/>
      <c r="M7" s="3101"/>
      <c r="N7" s="3101"/>
      <c r="O7" s="3101"/>
      <c r="P7" s="3101"/>
      <c r="Q7" s="3102"/>
      <c r="W7" s="875"/>
      <c r="AB7" s="76" t="b">
        <v>0</v>
      </c>
      <c r="AC7" s="568" t="s">
        <v>126</v>
      </c>
      <c r="AD7" s="872"/>
      <c r="AE7" s="609"/>
      <c r="AF7" s="568"/>
      <c r="AG7" s="609"/>
      <c r="AH7" s="568"/>
      <c r="AK7" s="609"/>
      <c r="AL7" s="609"/>
      <c r="AM7" s="609"/>
      <c r="AN7" s="609"/>
      <c r="AO7" s="609"/>
      <c r="AP7" s="609"/>
      <c r="AQ7" s="609"/>
      <c r="AR7" s="609"/>
      <c r="AS7" s="609"/>
      <c r="AT7" s="609"/>
      <c r="AU7" s="681"/>
      <c r="AV7" s="681"/>
      <c r="AW7" s="711"/>
    </row>
    <row r="8" spans="2:49" s="128" customFormat="1" ht="20.149999999999999" customHeight="1" thickBot="1">
      <c r="B8" s="3079" t="s">
        <v>249</v>
      </c>
      <c r="C8" s="3080"/>
      <c r="D8" s="3080"/>
      <c r="E8" s="3080"/>
      <c r="F8" s="3080"/>
      <c r="G8" s="3080"/>
      <c r="H8" s="3080"/>
      <c r="I8" s="3081"/>
      <c r="J8" s="3082">
        <v>762549.96</v>
      </c>
      <c r="K8" s="3083"/>
      <c r="L8" s="3083"/>
      <c r="M8" s="3083"/>
      <c r="N8" s="3083"/>
      <c r="O8" s="3083"/>
      <c r="P8" s="3083"/>
      <c r="Q8" s="3084"/>
      <c r="W8" s="875"/>
      <c r="X8" s="872"/>
      <c r="AB8" s="872"/>
      <c r="AC8" s="872"/>
      <c r="AE8" s="76" t="b">
        <v>0</v>
      </c>
      <c r="AF8" s="568" t="s">
        <v>53</v>
      </c>
      <c r="AG8" s="609"/>
      <c r="AK8" s="681"/>
      <c r="AL8" s="681"/>
      <c r="AM8" s="681"/>
      <c r="AN8" s="681"/>
      <c r="AO8" s="681"/>
      <c r="AP8" s="681"/>
      <c r="AQ8" s="681"/>
      <c r="AR8" s="681"/>
      <c r="AW8" s="574"/>
    </row>
    <row r="9" spans="2:49" s="128" customFormat="1" ht="20.149999999999999" customHeight="1">
      <c r="B9" s="880"/>
      <c r="C9" s="881"/>
      <c r="D9" s="881"/>
      <c r="E9" s="881"/>
      <c r="F9" s="881"/>
      <c r="G9" s="881"/>
      <c r="H9" s="881"/>
      <c r="I9" s="881"/>
      <c r="J9" s="881"/>
      <c r="K9" s="881"/>
      <c r="L9" s="881"/>
      <c r="M9" s="881"/>
      <c r="N9" s="881"/>
      <c r="O9" s="881"/>
      <c r="P9" s="881"/>
      <c r="Q9" s="881"/>
      <c r="W9" s="875"/>
      <c r="AE9" s="76" t="b">
        <v>0</v>
      </c>
      <c r="AF9" s="568" t="s">
        <v>54</v>
      </c>
      <c r="AW9" s="882"/>
    </row>
    <row r="10" spans="2:49" s="128" customFormat="1" ht="20.149999999999999" customHeight="1">
      <c r="B10" s="3085" t="s">
        <v>151</v>
      </c>
      <c r="C10" s="3086" t="s">
        <v>1130</v>
      </c>
      <c r="D10" s="3086"/>
      <c r="E10" s="3086"/>
      <c r="F10" s="3086"/>
      <c r="G10" s="3086"/>
      <c r="H10" s="3086"/>
      <c r="I10" s="3086"/>
      <c r="J10" s="3086"/>
      <c r="K10" s="3086"/>
      <c r="L10" s="3086"/>
      <c r="M10" s="3086"/>
      <c r="N10" s="3086"/>
      <c r="O10" s="3086"/>
      <c r="P10" s="3086"/>
      <c r="Q10" s="3086"/>
      <c r="W10" s="875"/>
      <c r="X10" s="872"/>
      <c r="AB10" s="609"/>
      <c r="AC10" s="568"/>
      <c r="AE10" s="76" t="b">
        <v>0</v>
      </c>
      <c r="AF10" s="568" t="s">
        <v>908</v>
      </c>
      <c r="AG10" s="609"/>
      <c r="AH10" s="568"/>
      <c r="AI10" s="681"/>
      <c r="AJ10" s="2672"/>
      <c r="AK10" s="2672"/>
      <c r="AL10" s="2672"/>
      <c r="AM10" s="2672"/>
      <c r="AN10" s="2672"/>
      <c r="AO10" s="2672"/>
      <c r="AP10" s="879" t="str">
        <f>IF(AND(electrical_offgrid_others=TRUE,ISBLANK(electrical_offgrid_others_specify)),"Please specify.",IF(AND(electrical_offgrid_others=FALSE,(electrical_offgrid_others_specify&gt;0)),"Please check Others if you have entries.",""))</f>
        <v/>
      </c>
      <c r="AQ10" s="609"/>
      <c r="AR10" s="609"/>
      <c r="AS10" s="609"/>
      <c r="AT10" s="609"/>
      <c r="AU10" s="567"/>
      <c r="AV10" s="567"/>
      <c r="AW10" s="711"/>
    </row>
    <row r="11" spans="2:49" s="128" customFormat="1" ht="20.149999999999999" customHeight="1">
      <c r="B11" s="3085"/>
      <c r="C11" s="3086"/>
      <c r="D11" s="3086"/>
      <c r="E11" s="3086"/>
      <c r="F11" s="3086"/>
      <c r="G11" s="3086"/>
      <c r="H11" s="3086"/>
      <c r="I11" s="3086"/>
      <c r="J11" s="3086"/>
      <c r="K11" s="3086"/>
      <c r="L11" s="3086"/>
      <c r="M11" s="3086"/>
      <c r="N11" s="3086"/>
      <c r="O11" s="3086"/>
      <c r="P11" s="3086"/>
      <c r="Q11" s="3086"/>
      <c r="W11" s="875"/>
      <c r="X11" s="872"/>
      <c r="AB11" s="76" t="b">
        <v>0</v>
      </c>
      <c r="AC11" s="568" t="s">
        <v>1</v>
      </c>
      <c r="AD11" s="609"/>
      <c r="AE11" s="568"/>
      <c r="AF11" s="568"/>
      <c r="AG11" s="609"/>
      <c r="AH11" s="568"/>
      <c r="AI11" s="681"/>
      <c r="AJ11" s="878"/>
      <c r="AK11" s="609"/>
      <c r="AL11" s="609"/>
      <c r="AM11" s="609"/>
      <c r="AN11" s="609"/>
      <c r="AO11" s="609"/>
      <c r="AP11" s="609"/>
      <c r="AQ11" s="609"/>
      <c r="AR11" s="609"/>
      <c r="AS11" s="609"/>
      <c r="AT11" s="609"/>
      <c r="AU11" s="567"/>
      <c r="AV11" s="567"/>
      <c r="AW11" s="711"/>
    </row>
    <row r="12" spans="2:49" s="128" customFormat="1" ht="20.149999999999999" customHeight="1">
      <c r="B12" s="3085"/>
      <c r="C12" s="3086"/>
      <c r="D12" s="3086"/>
      <c r="E12" s="3086"/>
      <c r="F12" s="3086"/>
      <c r="G12" s="3086"/>
      <c r="H12" s="3086"/>
      <c r="I12" s="3086"/>
      <c r="J12" s="3086"/>
      <c r="K12" s="3086"/>
      <c r="L12" s="3086"/>
      <c r="M12" s="3086"/>
      <c r="N12" s="3086"/>
      <c r="O12" s="3086"/>
      <c r="P12" s="3086"/>
      <c r="Q12" s="3086"/>
      <c r="W12" s="875"/>
      <c r="X12" s="721" t="s">
        <v>152</v>
      </c>
      <c r="Y12" s="128" t="s">
        <v>1132</v>
      </c>
      <c r="Z12" s="709"/>
      <c r="AA12" s="874"/>
      <c r="AB12" s="588"/>
      <c r="AC12" s="874"/>
      <c r="AD12" s="588"/>
      <c r="AE12" s="588"/>
      <c r="AF12" s="681"/>
      <c r="AH12" s="681"/>
      <c r="AI12" s="874"/>
      <c r="AJ12" s="874"/>
      <c r="AK12" s="874"/>
      <c r="AL12" s="874"/>
      <c r="AM12" s="874"/>
      <c r="AN12" s="874"/>
      <c r="AO12" s="874"/>
      <c r="AP12" s="568"/>
      <c r="AQ12" s="3103">
        <v>7500</v>
      </c>
      <c r="AR12" s="3103"/>
      <c r="AS12" s="3103"/>
      <c r="AT12" s="3103"/>
      <c r="AU12" s="3103"/>
      <c r="AV12" s="3103"/>
      <c r="AW12" s="711"/>
    </row>
    <row r="13" spans="2:49" s="128" customFormat="1" ht="20.149999999999999" customHeight="1">
      <c r="B13" s="3085"/>
      <c r="C13" s="3086"/>
      <c r="D13" s="3086"/>
      <c r="E13" s="3086"/>
      <c r="F13" s="3086"/>
      <c r="G13" s="3086"/>
      <c r="H13" s="3086"/>
      <c r="I13" s="3086"/>
      <c r="J13" s="3086"/>
      <c r="K13" s="3086"/>
      <c r="L13" s="3086"/>
      <c r="M13" s="3086"/>
      <c r="N13" s="3086"/>
      <c r="O13" s="3086"/>
      <c r="P13" s="3086"/>
      <c r="Q13" s="3086"/>
      <c r="W13" s="875"/>
      <c r="X13" s="721" t="s">
        <v>153</v>
      </c>
      <c r="Y13" s="128" t="s">
        <v>250</v>
      </c>
      <c r="Z13" s="709"/>
      <c r="AA13" s="874"/>
      <c r="AB13" s="588"/>
      <c r="AC13" s="874"/>
      <c r="AD13" s="588"/>
      <c r="AE13" s="588"/>
      <c r="AF13" s="681"/>
      <c r="AH13" s="681"/>
      <c r="AI13" s="874"/>
      <c r="AJ13" s="874"/>
      <c r="AK13" s="874"/>
      <c r="AL13" s="874"/>
      <c r="AM13" s="874"/>
      <c r="AN13" s="874"/>
      <c r="AO13" s="874"/>
      <c r="AP13" s="874"/>
      <c r="AQ13" s="874"/>
      <c r="AR13" s="874"/>
      <c r="AS13" s="874"/>
      <c r="AT13" s="874"/>
      <c r="AU13" s="681"/>
      <c r="AV13" s="681"/>
      <c r="AW13" s="711"/>
    </row>
    <row r="14" spans="2:49" s="128" customFormat="1" ht="17.25" customHeight="1">
      <c r="B14" s="316" t="s">
        <v>152</v>
      </c>
      <c r="C14" s="309" t="s">
        <v>388</v>
      </c>
      <c r="D14" s="317"/>
      <c r="E14" s="317"/>
      <c r="F14" s="317"/>
      <c r="G14" s="317"/>
      <c r="H14" s="317"/>
      <c r="I14" s="317"/>
      <c r="J14" s="317"/>
      <c r="K14" s="317"/>
      <c r="L14" s="317"/>
      <c r="M14" s="317"/>
      <c r="N14" s="317"/>
      <c r="O14" s="317"/>
      <c r="P14" s="317"/>
      <c r="Q14" s="317"/>
      <c r="W14" s="875"/>
      <c r="Y14" s="709"/>
      <c r="AB14" s="857" t="b">
        <v>1</v>
      </c>
      <c r="AC14" s="588" t="s">
        <v>65</v>
      </c>
      <c r="AD14" s="874"/>
      <c r="AE14" s="588"/>
      <c r="AF14" s="588"/>
      <c r="AH14" s="857" t="b">
        <v>0</v>
      </c>
      <c r="AI14" s="588" t="s">
        <v>69</v>
      </c>
      <c r="AJ14" s="874"/>
      <c r="AK14" s="874"/>
      <c r="AL14" s="874"/>
      <c r="AM14" s="874"/>
      <c r="AN14" s="874"/>
      <c r="AO14" s="874"/>
      <c r="AP14" s="874"/>
      <c r="AQ14" s="874"/>
      <c r="AR14" s="874"/>
      <c r="AS14" s="874"/>
      <c r="AT14" s="874"/>
      <c r="AU14" s="681"/>
      <c r="AV14" s="681"/>
      <c r="AW14" s="711"/>
    </row>
    <row r="15" spans="2:49" s="128" customFormat="1" ht="20.149999999999999" customHeight="1">
      <c r="B15" s="877"/>
      <c r="C15" s="317"/>
      <c r="D15" s="317"/>
      <c r="E15" s="317"/>
      <c r="F15" s="317"/>
      <c r="G15" s="317"/>
      <c r="H15" s="317"/>
      <c r="I15" s="317"/>
      <c r="J15" s="317"/>
      <c r="K15" s="317"/>
      <c r="L15" s="317"/>
      <c r="M15" s="317"/>
      <c r="N15" s="317"/>
      <c r="O15" s="317"/>
      <c r="P15" s="317"/>
      <c r="Q15" s="317"/>
      <c r="W15" s="875"/>
      <c r="Y15" s="709"/>
      <c r="AB15" s="857" t="b">
        <v>0</v>
      </c>
      <c r="AC15" s="588" t="s">
        <v>66</v>
      </c>
      <c r="AD15" s="874"/>
      <c r="AE15" s="588"/>
      <c r="AF15" s="588"/>
      <c r="AH15" s="857" t="b">
        <v>0</v>
      </c>
      <c r="AI15" s="588" t="s">
        <v>68</v>
      </c>
      <c r="AJ15" s="874"/>
      <c r="AK15" s="874"/>
      <c r="AL15" s="874"/>
      <c r="AM15" s="874"/>
      <c r="AN15" s="874"/>
      <c r="AO15" s="874"/>
      <c r="AP15" s="874"/>
      <c r="AQ15" s="874"/>
      <c r="AR15" s="874"/>
      <c r="AS15" s="874"/>
      <c r="AT15" s="874"/>
      <c r="AU15" s="681"/>
      <c r="AV15" s="681"/>
      <c r="AW15" s="711"/>
    </row>
    <row r="16" spans="2:49" s="128" customFormat="1" ht="20">
      <c r="B16" s="316" t="s">
        <v>153</v>
      </c>
      <c r="C16" s="3086" t="s">
        <v>389</v>
      </c>
      <c r="D16" s="3086"/>
      <c r="E16" s="3086"/>
      <c r="F16" s="3086"/>
      <c r="G16" s="3086"/>
      <c r="H16" s="3086"/>
      <c r="I16" s="3086"/>
      <c r="J16" s="3086"/>
      <c r="K16" s="3086"/>
      <c r="L16" s="3086"/>
      <c r="M16" s="3086"/>
      <c r="N16" s="3086"/>
      <c r="O16" s="3086"/>
      <c r="P16" s="3086"/>
      <c r="Q16" s="3086"/>
      <c r="W16" s="875"/>
      <c r="Y16" s="709"/>
      <c r="AB16" s="857" t="b">
        <v>0</v>
      </c>
      <c r="AC16" s="588" t="s">
        <v>67</v>
      </c>
      <c r="AD16" s="874"/>
      <c r="AE16" s="588"/>
      <c r="AF16" s="588"/>
      <c r="AH16" s="857" t="b">
        <v>0</v>
      </c>
      <c r="AI16" s="568" t="s">
        <v>908</v>
      </c>
      <c r="AJ16" s="609"/>
      <c r="AK16" s="568"/>
      <c r="AL16" s="681"/>
      <c r="AM16" s="2672"/>
      <c r="AN16" s="2672"/>
      <c r="AO16" s="2672"/>
      <c r="AP16" s="2672"/>
      <c r="AQ16" s="2672"/>
      <c r="AR16" s="2672"/>
      <c r="AS16" s="876" t="str">
        <f>IF(AND(electrical_funding_source_others=TRUE,ISBLANK(electrical_funding_source_others_specify)),"Please specify.",IF(AND(electrical_funding_source_others=FALSE,(electrical_funding_source_others_specify&gt;0)),"Please check Others if you have entries.",""))</f>
        <v/>
      </c>
      <c r="AT16" s="874"/>
      <c r="AU16" s="681"/>
      <c r="AV16" s="681"/>
      <c r="AW16" s="711"/>
    </row>
    <row r="17" spans="2:68" s="128" customFormat="1" ht="20">
      <c r="B17" s="316"/>
      <c r="C17" s="3086"/>
      <c r="D17" s="3086"/>
      <c r="E17" s="3086"/>
      <c r="F17" s="3086"/>
      <c r="G17" s="3086"/>
      <c r="H17" s="3086"/>
      <c r="I17" s="3086"/>
      <c r="J17" s="3086"/>
      <c r="K17" s="3086"/>
      <c r="L17" s="3086"/>
      <c r="M17" s="3086"/>
      <c r="N17" s="3086"/>
      <c r="O17" s="3086"/>
      <c r="P17" s="3086"/>
      <c r="Q17" s="3086"/>
      <c r="W17" s="875"/>
      <c r="X17" s="721" t="s">
        <v>154</v>
      </c>
      <c r="Y17" s="128" t="s">
        <v>1133</v>
      </c>
      <c r="AB17" s="874"/>
      <c r="AC17" s="588"/>
      <c r="AD17" s="874"/>
      <c r="AE17" s="588"/>
      <c r="AF17" s="588"/>
      <c r="AH17" s="874"/>
      <c r="AI17" s="588"/>
      <c r="AJ17" s="874"/>
      <c r="AK17" s="874"/>
      <c r="AL17" s="874"/>
      <c r="AM17" s="874"/>
      <c r="AN17" s="2672">
        <v>8</v>
      </c>
      <c r="AO17" s="2672"/>
      <c r="AP17" s="2672"/>
      <c r="AQ17" s="2672"/>
      <c r="AR17" s="2672"/>
      <c r="AS17" s="2672"/>
      <c r="AT17" s="874"/>
      <c r="AU17" s="681"/>
      <c r="AV17" s="681"/>
      <c r="AW17" s="711"/>
    </row>
    <row r="18" spans="2:68" s="128" customFormat="1" ht="7.5" customHeight="1" thickBot="1">
      <c r="B18" s="3085" t="s">
        <v>154</v>
      </c>
      <c r="C18" s="3086" t="s">
        <v>390</v>
      </c>
      <c r="D18" s="3086"/>
      <c r="E18" s="3086"/>
      <c r="F18" s="3086"/>
      <c r="G18" s="3086"/>
      <c r="H18" s="3086"/>
      <c r="I18" s="3086"/>
      <c r="J18" s="3086"/>
      <c r="K18" s="3086"/>
      <c r="L18" s="3086"/>
      <c r="M18" s="3086"/>
      <c r="N18" s="3086"/>
      <c r="O18" s="3086"/>
      <c r="P18" s="3086"/>
      <c r="Q18" s="3086"/>
      <c r="W18" s="863"/>
      <c r="X18" s="864"/>
      <c r="Y18" s="865"/>
      <c r="Z18" s="865"/>
      <c r="AA18" s="865"/>
      <c r="AB18" s="866"/>
      <c r="AC18" s="562"/>
      <c r="AD18" s="866"/>
      <c r="AE18" s="562"/>
      <c r="AF18" s="562"/>
      <c r="AG18" s="706"/>
      <c r="AH18" s="706"/>
      <c r="AI18" s="866"/>
      <c r="AJ18" s="866"/>
      <c r="AK18" s="866"/>
      <c r="AL18" s="866"/>
      <c r="AM18" s="866"/>
      <c r="AN18" s="866"/>
      <c r="AO18" s="866"/>
      <c r="AP18" s="866"/>
      <c r="AQ18" s="866"/>
      <c r="AR18" s="866"/>
      <c r="AS18" s="866"/>
      <c r="AT18" s="866"/>
      <c r="AU18" s="753"/>
      <c r="AV18" s="753"/>
      <c r="AW18" s="707"/>
    </row>
    <row r="19" spans="2:68" s="128" customFormat="1" ht="34.4" customHeight="1">
      <c r="B19" s="3085"/>
      <c r="C19" s="3086"/>
      <c r="D19" s="3086"/>
      <c r="E19" s="3086"/>
      <c r="F19" s="3086"/>
      <c r="G19" s="3086"/>
      <c r="H19" s="3086"/>
      <c r="I19" s="3086"/>
      <c r="J19" s="3086"/>
      <c r="K19" s="3086"/>
      <c r="L19" s="3086"/>
      <c r="M19" s="3086"/>
      <c r="N19" s="3086"/>
      <c r="O19" s="3086"/>
      <c r="P19" s="3086"/>
      <c r="Q19" s="3086"/>
      <c r="W19" s="867" t="s">
        <v>151</v>
      </c>
      <c r="X19" s="3076" t="s">
        <v>926</v>
      </c>
      <c r="Y19" s="3076"/>
      <c r="Z19" s="3076"/>
      <c r="AA19" s="3076"/>
      <c r="AB19" s="3076"/>
      <c r="AC19" s="3076"/>
      <c r="AD19" s="3076"/>
      <c r="AE19" s="3076"/>
      <c r="AF19" s="3076"/>
      <c r="AG19" s="3076"/>
      <c r="AH19" s="3076"/>
      <c r="AI19" s="3076"/>
      <c r="AJ19" s="3076"/>
      <c r="AK19" s="3076"/>
      <c r="AL19" s="3076"/>
      <c r="AM19" s="3076"/>
      <c r="AN19" s="3076"/>
      <c r="AO19" s="3076"/>
      <c r="AP19" s="3076"/>
      <c r="AQ19" s="3076"/>
      <c r="AR19" s="3076"/>
      <c r="AS19" s="3076"/>
      <c r="AT19" s="3076"/>
      <c r="AU19" s="3076"/>
      <c r="AV19" s="3076"/>
      <c r="AW19" s="3076"/>
    </row>
    <row r="20" spans="2:68" s="128" customFormat="1" ht="33" customHeight="1">
      <c r="B20" s="868"/>
      <c r="C20" s="3086"/>
      <c r="D20" s="3086"/>
      <c r="E20" s="3086"/>
      <c r="F20" s="3086"/>
      <c r="G20" s="3086"/>
      <c r="H20" s="3086"/>
      <c r="I20" s="3086"/>
      <c r="J20" s="3086"/>
      <c r="K20" s="3086"/>
      <c r="L20" s="3086"/>
      <c r="M20" s="3086"/>
      <c r="N20" s="3086"/>
      <c r="O20" s="3086"/>
      <c r="P20" s="3086"/>
      <c r="Q20" s="3086"/>
      <c r="R20" s="869"/>
      <c r="S20" s="869"/>
      <c r="T20" s="869"/>
      <c r="U20" s="869"/>
      <c r="V20" s="869"/>
      <c r="W20" s="870" t="s">
        <v>152</v>
      </c>
      <c r="X20" s="3077" t="s">
        <v>927</v>
      </c>
      <c r="Y20" s="3077"/>
      <c r="Z20" s="3077"/>
      <c r="AA20" s="3077"/>
      <c r="AB20" s="3077"/>
      <c r="AC20" s="3077"/>
      <c r="AD20" s="3077"/>
      <c r="AE20" s="3077"/>
      <c r="AF20" s="3077"/>
      <c r="AG20" s="3077"/>
      <c r="AH20" s="3077"/>
      <c r="AI20" s="3077"/>
      <c r="AJ20" s="3077"/>
      <c r="AK20" s="3077"/>
      <c r="AL20" s="3077"/>
      <c r="AM20" s="3077"/>
      <c r="AN20" s="3077"/>
      <c r="AO20" s="3077"/>
      <c r="AP20" s="3077"/>
      <c r="AQ20" s="3077"/>
      <c r="AR20" s="3077"/>
      <c r="AS20" s="3077"/>
      <c r="AT20" s="3077"/>
      <c r="AU20" s="3077"/>
      <c r="AV20" s="3077"/>
      <c r="AW20" s="3077"/>
    </row>
    <row r="21" spans="2:68" s="128" customFormat="1" ht="26.5" customHeight="1">
      <c r="B21" s="868"/>
      <c r="C21" s="871"/>
      <c r="D21" s="871"/>
      <c r="E21" s="871"/>
      <c r="F21" s="871"/>
      <c r="G21" s="871"/>
      <c r="H21" s="871"/>
      <c r="I21" s="871"/>
      <c r="J21" s="871"/>
      <c r="K21" s="871"/>
      <c r="L21" s="871"/>
      <c r="M21" s="871"/>
      <c r="N21" s="871"/>
      <c r="O21" s="871"/>
      <c r="P21" s="871"/>
      <c r="Q21" s="871"/>
      <c r="R21" s="869"/>
      <c r="S21" s="869"/>
      <c r="W21" s="870" t="s">
        <v>153</v>
      </c>
      <c r="X21" s="3078" t="s">
        <v>1131</v>
      </c>
      <c r="Y21" s="3078"/>
      <c r="Z21" s="3078"/>
      <c r="AA21" s="3078"/>
      <c r="AB21" s="3078"/>
      <c r="AC21" s="3078"/>
      <c r="AD21" s="3078"/>
      <c r="AE21" s="3078"/>
      <c r="AF21" s="3078"/>
      <c r="AG21" s="3078"/>
      <c r="AH21" s="3078"/>
      <c r="AI21" s="3078"/>
      <c r="AJ21" s="3078"/>
      <c r="AK21" s="3078"/>
      <c r="AL21" s="3078"/>
      <c r="AM21" s="3078"/>
      <c r="AN21" s="3078"/>
      <c r="AO21" s="3078"/>
      <c r="AP21" s="3078"/>
      <c r="AQ21" s="3078"/>
      <c r="AR21" s="3078"/>
      <c r="AS21" s="3078"/>
      <c r="AT21" s="3078"/>
      <c r="AU21" s="3078"/>
      <c r="AV21" s="3078"/>
      <c r="AW21" s="3078"/>
    </row>
    <row r="22" spans="2:68">
      <c r="B22" s="868"/>
      <c r="C22" s="871"/>
      <c r="D22" s="871"/>
      <c r="E22" s="871"/>
      <c r="F22" s="871"/>
      <c r="G22" s="871"/>
      <c r="H22" s="871"/>
      <c r="I22" s="871"/>
      <c r="J22" s="871"/>
      <c r="K22" s="871"/>
      <c r="L22" s="871"/>
      <c r="M22" s="871"/>
      <c r="N22" s="871"/>
      <c r="O22" s="871"/>
      <c r="P22" s="871"/>
      <c r="Q22" s="871"/>
      <c r="R22" s="869"/>
      <c r="S22" s="869"/>
    </row>
    <row r="23" spans="2:68" s="128" customFormat="1" ht="30.75" customHeight="1">
      <c r="B23" s="872"/>
      <c r="D23" s="872"/>
      <c r="F23" s="872"/>
      <c r="H23" s="872"/>
      <c r="J23" s="872"/>
      <c r="L23" s="872"/>
      <c r="N23" s="872"/>
      <c r="P23" s="872"/>
      <c r="Q23" s="681"/>
      <c r="R23" s="567"/>
      <c r="S23" s="567"/>
      <c r="T23" s="567"/>
      <c r="U23" s="567"/>
      <c r="V23" s="567"/>
      <c r="W23" s="872"/>
      <c r="Y23" s="872"/>
      <c r="AA23" s="872"/>
      <c r="AC23" s="872"/>
      <c r="AG23" s="872"/>
      <c r="AJ23" s="872"/>
      <c r="AL23" s="872"/>
      <c r="AM23" s="873"/>
      <c r="AN23" s="873"/>
      <c r="AO23" s="873"/>
      <c r="AP23" s="873"/>
      <c r="AQ23" s="873"/>
      <c r="AR23" s="873"/>
      <c r="AS23" s="873"/>
      <c r="AT23" s="873"/>
      <c r="AU23" s="873"/>
      <c r="AV23" s="873"/>
      <c r="AW23" s="873"/>
      <c r="AX23" s="873"/>
    </row>
    <row r="24" spans="2:68" s="128" customFormat="1">
      <c r="B24" s="147" t="s">
        <v>761</v>
      </c>
      <c r="AJ24" s="147" t="s">
        <v>755</v>
      </c>
    </row>
    <row r="25" spans="2:68" s="168" customFormat="1" ht="21.75" customHeight="1">
      <c r="B25" s="1763" t="s">
        <v>11883</v>
      </c>
      <c r="C25" s="1763"/>
      <c r="D25" s="1763"/>
      <c r="E25" s="1763"/>
      <c r="F25" s="1763"/>
      <c r="G25" s="1763"/>
      <c r="H25" s="1763"/>
      <c r="I25" s="1763"/>
      <c r="J25" s="1763"/>
      <c r="K25" s="1763"/>
      <c r="L25" s="1763"/>
      <c r="M25" s="1763"/>
      <c r="N25" s="1763"/>
      <c r="O25" s="1763"/>
      <c r="P25" s="1763"/>
      <c r="AJ25" s="1763" t="s">
        <v>11884</v>
      </c>
      <c r="AK25" s="1763"/>
      <c r="AL25" s="1763"/>
      <c r="AM25" s="1763"/>
      <c r="AN25" s="1763"/>
      <c r="AO25" s="1763"/>
      <c r="AP25" s="1763"/>
      <c r="AQ25" s="1763"/>
      <c r="AR25" s="1763"/>
      <c r="AS25" s="1763"/>
      <c r="AT25" s="1763"/>
      <c r="AU25" s="1763"/>
      <c r="AV25" s="1763"/>
      <c r="AW25" s="1763"/>
      <c r="AX25" s="862"/>
    </row>
    <row r="26" spans="2:68" s="156" customFormat="1" ht="13.5">
      <c r="B26" s="1764" t="s">
        <v>741</v>
      </c>
      <c r="C26" s="1764"/>
      <c r="D26" s="1764"/>
      <c r="E26" s="1764"/>
      <c r="F26" s="1764"/>
      <c r="G26" s="1764"/>
      <c r="H26" s="1764"/>
      <c r="I26" s="1764"/>
      <c r="J26" s="1764"/>
      <c r="K26" s="1764"/>
      <c r="L26" s="1764"/>
      <c r="M26" s="1764"/>
      <c r="N26" s="1764"/>
      <c r="O26" s="1764"/>
      <c r="P26" s="1764"/>
      <c r="Q26" s="152"/>
      <c r="R26" s="152"/>
      <c r="S26" s="152"/>
      <c r="T26" s="152"/>
      <c r="U26" s="152"/>
      <c r="V26" s="152"/>
      <c r="W26" s="152"/>
      <c r="X26" s="152"/>
      <c r="Y26" s="152"/>
      <c r="Z26" s="152"/>
      <c r="AA26" s="152"/>
      <c r="AB26" s="152"/>
      <c r="AC26" s="152"/>
      <c r="AD26" s="152"/>
      <c r="AE26" s="152"/>
      <c r="AF26" s="152"/>
      <c r="AG26" s="152"/>
      <c r="AH26" s="152"/>
      <c r="AI26" s="152"/>
      <c r="AJ26" s="1783" t="s">
        <v>741</v>
      </c>
      <c r="AK26" s="1783"/>
      <c r="AL26" s="1783"/>
      <c r="AM26" s="1783"/>
      <c r="AN26" s="1783"/>
      <c r="AO26" s="1783"/>
      <c r="AP26" s="1783"/>
      <c r="AQ26" s="1783"/>
      <c r="AR26" s="1783"/>
      <c r="AS26" s="1783"/>
      <c r="AT26" s="1783"/>
      <c r="AU26" s="1783"/>
      <c r="AV26" s="1783"/>
      <c r="AW26" s="1783"/>
      <c r="AX26" s="184"/>
    </row>
    <row r="27" spans="2:68" s="128" customFormat="1" ht="21.75" customHeight="1">
      <c r="B27" s="147" t="s">
        <v>71</v>
      </c>
      <c r="F27" s="1763" t="s">
        <v>11886</v>
      </c>
      <c r="G27" s="1763"/>
      <c r="H27" s="1763"/>
      <c r="I27" s="1763"/>
      <c r="J27" s="1763"/>
      <c r="K27" s="1763"/>
      <c r="L27" s="1763"/>
      <c r="M27" s="1763"/>
      <c r="N27" s="1763"/>
      <c r="O27" s="1763"/>
      <c r="P27" s="1763"/>
      <c r="AJ27" s="147" t="s">
        <v>71</v>
      </c>
      <c r="AN27" s="1763" t="s">
        <v>11885</v>
      </c>
      <c r="AO27" s="1763"/>
      <c r="AP27" s="1763"/>
      <c r="AQ27" s="1763"/>
      <c r="AR27" s="1763"/>
      <c r="AS27" s="1763"/>
      <c r="AT27" s="1763"/>
      <c r="AU27" s="1763"/>
      <c r="AV27" s="1763"/>
      <c r="AW27" s="1763"/>
      <c r="AX27" s="862"/>
    </row>
    <row r="28" spans="2:68" s="128" customFormat="1" ht="30.75" customHeight="1">
      <c r="B28" s="147"/>
    </row>
    <row r="29" spans="2:68" s="128" customFormat="1" ht="30.75" customHeight="1">
      <c r="B29" s="858"/>
      <c r="C29" s="858"/>
      <c r="D29" s="858"/>
      <c r="E29" s="858"/>
      <c r="F29" s="858"/>
      <c r="G29" s="858"/>
      <c r="H29" s="858"/>
      <c r="I29" s="858"/>
      <c r="J29" s="858"/>
      <c r="K29" s="858"/>
      <c r="L29" s="858"/>
      <c r="M29" s="858"/>
      <c r="N29" s="858"/>
      <c r="O29" s="858"/>
      <c r="P29" s="858"/>
      <c r="Q29" s="150"/>
      <c r="W29" s="858"/>
      <c r="X29" s="858"/>
      <c r="Y29" s="858"/>
      <c r="Z29" s="858"/>
      <c r="AA29" s="858"/>
      <c r="AB29" s="858"/>
      <c r="AC29" s="858"/>
      <c r="AD29" s="858"/>
      <c r="AE29" s="858"/>
      <c r="AF29" s="858"/>
      <c r="AG29" s="858"/>
      <c r="AH29" s="858"/>
      <c r="AI29" s="858"/>
      <c r="AJ29" s="858"/>
      <c r="AK29" s="858"/>
      <c r="AL29" s="858"/>
      <c r="AM29" s="858"/>
      <c r="AN29" s="858"/>
      <c r="AO29" s="858"/>
      <c r="AP29" s="858"/>
      <c r="AQ29" s="858"/>
      <c r="AR29" s="858"/>
      <c r="AS29" s="858"/>
      <c r="AT29" s="858"/>
    </row>
    <row r="30" spans="2:68" s="128" customFormat="1">
      <c r="B30" s="147" t="s">
        <v>847</v>
      </c>
      <c r="AJ30" s="147" t="s">
        <v>783</v>
      </c>
    </row>
    <row r="31" spans="2:68" s="128" customFormat="1" ht="21.75" customHeight="1">
      <c r="B31" s="147" t="s">
        <v>756</v>
      </c>
      <c r="F31" s="2399" t="str">
        <f>activesheet!E29</f>
        <v>RICO S. MISPEROS</v>
      </c>
      <c r="G31" s="2399"/>
      <c r="H31" s="2399"/>
      <c r="I31" s="2399"/>
      <c r="J31" s="2399"/>
      <c r="K31" s="2399"/>
      <c r="L31" s="2399"/>
      <c r="M31" s="2399"/>
      <c r="N31" s="2399"/>
      <c r="O31" s="2399"/>
      <c r="P31" s="2399"/>
      <c r="AJ31" s="1786" t="str">
        <f>activesheet!E31</f>
        <v>MICHAEL T. JAMIS</v>
      </c>
      <c r="AK31" s="1786"/>
      <c r="AL31" s="1786"/>
      <c r="AM31" s="1786"/>
      <c r="AN31" s="1786"/>
      <c r="AO31" s="1786"/>
      <c r="AP31" s="1786"/>
      <c r="AQ31" s="1786"/>
      <c r="AR31" s="1786"/>
      <c r="AS31" s="1786"/>
      <c r="AT31" s="1786"/>
      <c r="AU31" s="1786"/>
      <c r="AV31" s="1786"/>
      <c r="AW31" s="1786"/>
      <c r="AX31" s="185"/>
    </row>
    <row r="32" spans="2:68" s="859" customFormat="1">
      <c r="B32" s="153"/>
      <c r="F32" s="1764" t="s">
        <v>741</v>
      </c>
      <c r="G32" s="1764"/>
      <c r="H32" s="1764"/>
      <c r="I32" s="1764"/>
      <c r="J32" s="1764"/>
      <c r="K32" s="1764"/>
      <c r="L32" s="1764"/>
      <c r="M32" s="1764"/>
      <c r="N32" s="1764"/>
      <c r="O32" s="1764"/>
      <c r="P32" s="1764"/>
      <c r="Q32" s="151"/>
      <c r="R32" s="151"/>
      <c r="S32" s="151"/>
      <c r="T32" s="860"/>
      <c r="U32" s="860"/>
      <c r="V32" s="860"/>
      <c r="W32" s="860"/>
      <c r="X32" s="860"/>
      <c r="Y32" s="860"/>
      <c r="Z32" s="860"/>
      <c r="AA32" s="860"/>
      <c r="AB32" s="860"/>
      <c r="AC32" s="860"/>
      <c r="AD32" s="860"/>
      <c r="AE32" s="860"/>
      <c r="AF32" s="860"/>
      <c r="AG32" s="860"/>
      <c r="AH32" s="860"/>
      <c r="AI32" s="860"/>
      <c r="AJ32" s="1787"/>
      <c r="AK32" s="1787"/>
      <c r="AL32" s="1787"/>
      <c r="AM32" s="1787"/>
      <c r="AN32" s="1787"/>
      <c r="AO32" s="1787"/>
      <c r="AP32" s="1787"/>
      <c r="AQ32" s="1787"/>
      <c r="AR32" s="1787"/>
      <c r="AS32" s="1787"/>
      <c r="AT32" s="1787"/>
      <c r="AU32" s="1787"/>
      <c r="AV32" s="1787"/>
      <c r="AW32" s="1787"/>
      <c r="AX32" s="185"/>
      <c r="AY32" s="151"/>
      <c r="AZ32" s="861"/>
      <c r="BA32" s="861"/>
      <c r="BB32" s="861"/>
      <c r="BC32" s="861"/>
      <c r="BD32" s="861"/>
      <c r="BE32" s="861"/>
      <c r="BF32" s="861"/>
      <c r="BG32" s="861"/>
      <c r="BH32" s="861"/>
      <c r="BI32" s="861"/>
      <c r="BJ32" s="861"/>
      <c r="BK32" s="861"/>
      <c r="BL32" s="861"/>
      <c r="BM32" s="861"/>
      <c r="BN32" s="861"/>
      <c r="BO32" s="861"/>
      <c r="BP32" s="861"/>
    </row>
    <row r="33" spans="2:50" s="128" customFormat="1" ht="21.75" customHeight="1">
      <c r="B33" s="147" t="s">
        <v>1027</v>
      </c>
      <c r="F33" s="2399" t="str">
        <f>activesheet!E30</f>
        <v>SCHOOL PRINCIPAL II</v>
      </c>
      <c r="G33" s="2399"/>
      <c r="H33" s="2399"/>
      <c r="I33" s="2399"/>
      <c r="J33" s="2399"/>
      <c r="K33" s="2399"/>
      <c r="L33" s="2399"/>
      <c r="M33" s="2399"/>
      <c r="N33" s="2399"/>
      <c r="O33" s="2399"/>
      <c r="P33" s="2399"/>
      <c r="AJ33" s="1764" t="s">
        <v>741</v>
      </c>
      <c r="AK33" s="1764"/>
      <c r="AL33" s="1764"/>
      <c r="AM33" s="1764"/>
      <c r="AN33" s="1764"/>
      <c r="AO33" s="1764"/>
      <c r="AP33" s="1764"/>
      <c r="AQ33" s="1764"/>
      <c r="AR33" s="1764"/>
      <c r="AS33" s="1764"/>
      <c r="AT33" s="1764"/>
      <c r="AU33" s="1764"/>
      <c r="AV33" s="1764"/>
      <c r="AW33" s="1764"/>
      <c r="AX33" s="184"/>
    </row>
  </sheetData>
  <sheetProtection algorithmName="SHA-512" hashValue="PoliMBOywK4j7gBgflnFe66koNY4eaSvZEnHmwg6qat1lfAdjuyDdcJhvEYmNqz7QX3CSUAW6C0bM3vVZdkoUQ==" saltValue="3YWcAY7eX8qg8WXsS/zdjQ==" spinCount="100000" sheet="1" objects="1" scenarios="1" selectLockedCells="1"/>
  <mergeCells count="31">
    <mergeCell ref="AN17:AS17"/>
    <mergeCell ref="AJ10:AO10"/>
    <mergeCell ref="AQ12:AV12"/>
    <mergeCell ref="C16:Q17"/>
    <mergeCell ref="AM16:AR16"/>
    <mergeCell ref="B4:I5"/>
    <mergeCell ref="J4:Q5"/>
    <mergeCell ref="B6:I6"/>
    <mergeCell ref="J6:Q6"/>
    <mergeCell ref="B7:I7"/>
    <mergeCell ref="J7:Q7"/>
    <mergeCell ref="B8:I8"/>
    <mergeCell ref="J8:Q8"/>
    <mergeCell ref="B10:B13"/>
    <mergeCell ref="C10:Q13"/>
    <mergeCell ref="C18:Q20"/>
    <mergeCell ref="B18:B19"/>
    <mergeCell ref="X19:AW19"/>
    <mergeCell ref="F33:P33"/>
    <mergeCell ref="AJ33:AW33"/>
    <mergeCell ref="F27:P27"/>
    <mergeCell ref="AN27:AW27"/>
    <mergeCell ref="F31:P31"/>
    <mergeCell ref="AJ31:AW32"/>
    <mergeCell ref="F32:P32"/>
    <mergeCell ref="X20:AW20"/>
    <mergeCell ref="B25:P25"/>
    <mergeCell ref="AJ25:AW25"/>
    <mergeCell ref="B26:P26"/>
    <mergeCell ref="AJ26:AW26"/>
    <mergeCell ref="X21:AW21"/>
  </mergeCells>
  <dataValidations count="3">
    <dataValidation type="decimal" allowBlank="1" showInputMessage="1" showErrorMessage="1" errorTitle="GESP SY 2022-2023" error="Please enter valid number between 0 - 20,000,000." sqref="J6:Q8" xr:uid="{00000000-0002-0000-1B00-000000000000}">
      <formula1>0</formula1>
      <formula2>20000000</formula2>
    </dataValidation>
    <dataValidation type="decimal" allowBlank="1" showInputMessage="1" showErrorMessage="1" errorTitle="GESP SY 2022-2023" error="Please enter valid number between 0 - 1,000,000." sqref="AQ12:AV12" xr:uid="{00000000-0002-0000-1B00-000001000000}">
      <formula1>0</formula1>
      <formula2>1000000</formula2>
    </dataValidation>
    <dataValidation type="whole" allowBlank="1" showInputMessage="1" showErrorMessage="1" errorTitle="GESP SY 2022-2023" error="Please enter valid number between 0 - 24." sqref="AN17:AS17" xr:uid="{00000000-0002-0000-1B00-000002000000}">
      <formula1>0</formula1>
      <formula2>24</formula2>
    </dataValidation>
  </dataValidations>
  <printOptions horizontalCentered="1" verticalCentered="1"/>
  <pageMargins left="0.25" right="0.25" top="0.2" bottom="0.2" header="0" footer="0.1"/>
  <pageSetup paperSize="9" scale="50" orientation="landscape" r:id="rId1"/>
  <headerFooter alignWithMargins="0">
    <oddFooter>&amp;L&amp;10&amp;F &amp;A&amp;R&amp;11Page 24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6321" r:id="rId4" name="Check Box 1">
              <controlPr locked="0" defaultSize="0" autoFill="0" autoLine="0" autoPict="0">
                <anchor moveWithCells="1">
                  <from>
                    <xdr:col>27</xdr:col>
                    <xdr:colOff>31750</xdr:colOff>
                    <xdr:row>5</xdr:row>
                    <xdr:rowOff>31750</xdr:rowOff>
                  </from>
                  <to>
                    <xdr:col>28</xdr:col>
                    <xdr:colOff>69850</xdr:colOff>
                    <xdr:row>5</xdr:row>
                    <xdr:rowOff>241300</xdr:rowOff>
                  </to>
                </anchor>
              </controlPr>
            </control>
          </mc:Choice>
        </mc:AlternateContent>
        <mc:AlternateContent xmlns:mc="http://schemas.openxmlformats.org/markup-compatibility/2006">
          <mc:Choice Requires="x14">
            <control shapeId="56322" r:id="rId5" name="Check Box 2">
              <controlPr locked="0" defaultSize="0" autoFill="0" autoLine="0" autoPict="0">
                <anchor moveWithCells="1">
                  <from>
                    <xdr:col>27</xdr:col>
                    <xdr:colOff>31750</xdr:colOff>
                    <xdr:row>6</xdr:row>
                    <xdr:rowOff>31750</xdr:rowOff>
                  </from>
                  <to>
                    <xdr:col>28</xdr:col>
                    <xdr:colOff>69850</xdr:colOff>
                    <xdr:row>6</xdr:row>
                    <xdr:rowOff>241300</xdr:rowOff>
                  </to>
                </anchor>
              </controlPr>
            </control>
          </mc:Choice>
        </mc:AlternateContent>
        <mc:AlternateContent xmlns:mc="http://schemas.openxmlformats.org/markup-compatibility/2006">
          <mc:Choice Requires="x14">
            <control shapeId="56323" r:id="rId6" name="Check Box 3">
              <controlPr locked="0" defaultSize="0" autoFill="0" autoLine="0" autoPict="0">
                <anchor moveWithCells="1">
                  <from>
                    <xdr:col>30</xdr:col>
                    <xdr:colOff>31750</xdr:colOff>
                    <xdr:row>7</xdr:row>
                    <xdr:rowOff>31750</xdr:rowOff>
                  </from>
                  <to>
                    <xdr:col>31</xdr:col>
                    <xdr:colOff>69850</xdr:colOff>
                    <xdr:row>7</xdr:row>
                    <xdr:rowOff>241300</xdr:rowOff>
                  </to>
                </anchor>
              </controlPr>
            </control>
          </mc:Choice>
        </mc:AlternateContent>
        <mc:AlternateContent xmlns:mc="http://schemas.openxmlformats.org/markup-compatibility/2006">
          <mc:Choice Requires="x14">
            <control shapeId="56324" r:id="rId7" name="Check Box 4">
              <controlPr locked="0" defaultSize="0" autoFill="0" autoLine="0" autoPict="0">
                <anchor moveWithCells="1">
                  <from>
                    <xdr:col>30</xdr:col>
                    <xdr:colOff>31750</xdr:colOff>
                    <xdr:row>8</xdr:row>
                    <xdr:rowOff>31750</xdr:rowOff>
                  </from>
                  <to>
                    <xdr:col>31</xdr:col>
                    <xdr:colOff>69850</xdr:colOff>
                    <xdr:row>8</xdr:row>
                    <xdr:rowOff>241300</xdr:rowOff>
                  </to>
                </anchor>
              </controlPr>
            </control>
          </mc:Choice>
        </mc:AlternateContent>
        <mc:AlternateContent xmlns:mc="http://schemas.openxmlformats.org/markup-compatibility/2006">
          <mc:Choice Requires="x14">
            <control shapeId="56325" r:id="rId8" name="Check Box 5">
              <controlPr locked="0" defaultSize="0" autoFill="0" autoLine="0" autoPict="0">
                <anchor moveWithCells="1">
                  <from>
                    <xdr:col>30</xdr:col>
                    <xdr:colOff>31750</xdr:colOff>
                    <xdr:row>9</xdr:row>
                    <xdr:rowOff>31750</xdr:rowOff>
                  </from>
                  <to>
                    <xdr:col>31</xdr:col>
                    <xdr:colOff>69850</xdr:colOff>
                    <xdr:row>9</xdr:row>
                    <xdr:rowOff>241300</xdr:rowOff>
                  </to>
                </anchor>
              </controlPr>
            </control>
          </mc:Choice>
        </mc:AlternateContent>
        <mc:AlternateContent xmlns:mc="http://schemas.openxmlformats.org/markup-compatibility/2006">
          <mc:Choice Requires="x14">
            <control shapeId="56326" r:id="rId9" name="Check Box 6">
              <controlPr locked="0" defaultSize="0" autoFill="0" autoLine="0" autoPict="0">
                <anchor moveWithCells="1">
                  <from>
                    <xdr:col>27</xdr:col>
                    <xdr:colOff>31750</xdr:colOff>
                    <xdr:row>10</xdr:row>
                    <xdr:rowOff>31750</xdr:rowOff>
                  </from>
                  <to>
                    <xdr:col>28</xdr:col>
                    <xdr:colOff>69850</xdr:colOff>
                    <xdr:row>10</xdr:row>
                    <xdr:rowOff>241300</xdr:rowOff>
                  </to>
                </anchor>
              </controlPr>
            </control>
          </mc:Choice>
        </mc:AlternateContent>
        <mc:AlternateContent xmlns:mc="http://schemas.openxmlformats.org/markup-compatibility/2006">
          <mc:Choice Requires="x14">
            <control shapeId="56327" r:id="rId10" name="Check Box 7">
              <controlPr locked="0" defaultSize="0" autoFill="0" autoLine="0" autoPict="0">
                <anchor moveWithCells="1">
                  <from>
                    <xdr:col>27</xdr:col>
                    <xdr:colOff>31750</xdr:colOff>
                    <xdr:row>13</xdr:row>
                    <xdr:rowOff>31750</xdr:rowOff>
                  </from>
                  <to>
                    <xdr:col>28</xdr:col>
                    <xdr:colOff>69850</xdr:colOff>
                    <xdr:row>14</xdr:row>
                    <xdr:rowOff>31750</xdr:rowOff>
                  </to>
                </anchor>
              </controlPr>
            </control>
          </mc:Choice>
        </mc:AlternateContent>
        <mc:AlternateContent xmlns:mc="http://schemas.openxmlformats.org/markup-compatibility/2006">
          <mc:Choice Requires="x14">
            <control shapeId="56328" r:id="rId11" name="Check Box 8">
              <controlPr locked="0" defaultSize="0" autoFill="0" autoLine="0" autoPict="0">
                <anchor moveWithCells="1">
                  <from>
                    <xdr:col>27</xdr:col>
                    <xdr:colOff>31750</xdr:colOff>
                    <xdr:row>14</xdr:row>
                    <xdr:rowOff>31750</xdr:rowOff>
                  </from>
                  <to>
                    <xdr:col>28</xdr:col>
                    <xdr:colOff>69850</xdr:colOff>
                    <xdr:row>14</xdr:row>
                    <xdr:rowOff>241300</xdr:rowOff>
                  </to>
                </anchor>
              </controlPr>
            </control>
          </mc:Choice>
        </mc:AlternateContent>
        <mc:AlternateContent xmlns:mc="http://schemas.openxmlformats.org/markup-compatibility/2006">
          <mc:Choice Requires="x14">
            <control shapeId="56329" r:id="rId12" name="Check Box 9">
              <controlPr locked="0" defaultSize="0" autoFill="0" autoLine="0" autoPict="0">
                <anchor moveWithCells="1">
                  <from>
                    <xdr:col>27</xdr:col>
                    <xdr:colOff>31750</xdr:colOff>
                    <xdr:row>15</xdr:row>
                    <xdr:rowOff>31750</xdr:rowOff>
                  </from>
                  <to>
                    <xdr:col>28</xdr:col>
                    <xdr:colOff>69850</xdr:colOff>
                    <xdr:row>15</xdr:row>
                    <xdr:rowOff>241300</xdr:rowOff>
                  </to>
                </anchor>
              </controlPr>
            </control>
          </mc:Choice>
        </mc:AlternateContent>
        <mc:AlternateContent xmlns:mc="http://schemas.openxmlformats.org/markup-compatibility/2006">
          <mc:Choice Requires="x14">
            <control shapeId="56330" r:id="rId13" name="Check Box 10">
              <controlPr locked="0" defaultSize="0" autoFill="0" autoLine="0" autoPict="0">
                <anchor moveWithCells="1">
                  <from>
                    <xdr:col>33</xdr:col>
                    <xdr:colOff>31750</xdr:colOff>
                    <xdr:row>13</xdr:row>
                    <xdr:rowOff>31750</xdr:rowOff>
                  </from>
                  <to>
                    <xdr:col>34</xdr:col>
                    <xdr:colOff>69850</xdr:colOff>
                    <xdr:row>14</xdr:row>
                    <xdr:rowOff>31750</xdr:rowOff>
                  </to>
                </anchor>
              </controlPr>
            </control>
          </mc:Choice>
        </mc:AlternateContent>
        <mc:AlternateContent xmlns:mc="http://schemas.openxmlformats.org/markup-compatibility/2006">
          <mc:Choice Requires="x14">
            <control shapeId="56331" r:id="rId14" name="Check Box 11">
              <controlPr locked="0" defaultSize="0" autoFill="0" autoLine="0" autoPict="0">
                <anchor moveWithCells="1">
                  <from>
                    <xdr:col>33</xdr:col>
                    <xdr:colOff>31750</xdr:colOff>
                    <xdr:row>14</xdr:row>
                    <xdr:rowOff>31750</xdr:rowOff>
                  </from>
                  <to>
                    <xdr:col>34</xdr:col>
                    <xdr:colOff>69850</xdr:colOff>
                    <xdr:row>14</xdr:row>
                    <xdr:rowOff>241300</xdr:rowOff>
                  </to>
                </anchor>
              </controlPr>
            </control>
          </mc:Choice>
        </mc:AlternateContent>
        <mc:AlternateContent xmlns:mc="http://schemas.openxmlformats.org/markup-compatibility/2006">
          <mc:Choice Requires="x14">
            <control shapeId="56332" r:id="rId15" name="Check Box 12">
              <controlPr locked="0" defaultSize="0" autoFill="0" autoLine="0" autoPict="0">
                <anchor moveWithCells="1">
                  <from>
                    <xdr:col>33</xdr:col>
                    <xdr:colOff>31750</xdr:colOff>
                    <xdr:row>15</xdr:row>
                    <xdr:rowOff>31750</xdr:rowOff>
                  </from>
                  <to>
                    <xdr:col>34</xdr:col>
                    <xdr:colOff>69850</xdr:colOff>
                    <xdr:row>15</xdr:row>
                    <xdr:rowOff>241300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B1:BY72"/>
  <sheetViews>
    <sheetView showGridLines="0" zoomScaleNormal="100" workbookViewId="0">
      <selection activeCell="AQ20" sqref="AQ20:AU20"/>
    </sheetView>
  </sheetViews>
  <sheetFormatPr defaultColWidth="8.58203125" defaultRowHeight="15.5"/>
  <cols>
    <col min="1" max="1" width="2" style="180" customWidth="1"/>
    <col min="2" max="50" width="3.5" style="180" customWidth="1"/>
    <col min="51" max="51" width="2" style="180" customWidth="1"/>
    <col min="52" max="254" width="3.5" style="180" customWidth="1"/>
    <col min="255" max="270" width="8.58203125" style="180"/>
    <col min="271" max="271" width="1.58203125" style="180" customWidth="1"/>
    <col min="272" max="278" width="3.5" style="180" customWidth="1"/>
    <col min="279" max="279" width="3.33203125" style="180" customWidth="1"/>
    <col min="280" max="510" width="3.5" style="180" customWidth="1"/>
    <col min="511" max="526" width="8.58203125" style="180"/>
    <col min="527" max="527" width="1.58203125" style="180" customWidth="1"/>
    <col min="528" max="534" width="3.5" style="180" customWidth="1"/>
    <col min="535" max="535" width="3.33203125" style="180" customWidth="1"/>
    <col min="536" max="766" width="3.5" style="180" customWidth="1"/>
    <col min="767" max="782" width="8.58203125" style="180"/>
    <col min="783" max="783" width="1.58203125" style="180" customWidth="1"/>
    <col min="784" max="790" width="3.5" style="180" customWidth="1"/>
    <col min="791" max="791" width="3.33203125" style="180" customWidth="1"/>
    <col min="792" max="1022" width="3.5" style="180" customWidth="1"/>
    <col min="1023" max="1038" width="8.58203125" style="180"/>
    <col min="1039" max="1039" width="1.58203125" style="180" customWidth="1"/>
    <col min="1040" max="1046" width="3.5" style="180" customWidth="1"/>
    <col min="1047" max="1047" width="3.33203125" style="180" customWidth="1"/>
    <col min="1048" max="1278" width="3.5" style="180" customWidth="1"/>
    <col min="1279" max="1294" width="8.58203125" style="180"/>
    <col min="1295" max="1295" width="1.58203125" style="180" customWidth="1"/>
    <col min="1296" max="1302" width="3.5" style="180" customWidth="1"/>
    <col min="1303" max="1303" width="3.33203125" style="180" customWidth="1"/>
    <col min="1304" max="1534" width="3.5" style="180" customWidth="1"/>
    <col min="1535" max="1550" width="8.58203125" style="180"/>
    <col min="1551" max="1551" width="1.58203125" style="180" customWidth="1"/>
    <col min="1552" max="1558" width="3.5" style="180" customWidth="1"/>
    <col min="1559" max="1559" width="3.33203125" style="180" customWidth="1"/>
    <col min="1560" max="1790" width="3.5" style="180" customWidth="1"/>
    <col min="1791" max="1806" width="8.58203125" style="180"/>
    <col min="1807" max="1807" width="1.58203125" style="180" customWidth="1"/>
    <col min="1808" max="1814" width="3.5" style="180" customWidth="1"/>
    <col min="1815" max="1815" width="3.33203125" style="180" customWidth="1"/>
    <col min="1816" max="2046" width="3.5" style="180" customWidth="1"/>
    <col min="2047" max="2062" width="8.58203125" style="180"/>
    <col min="2063" max="2063" width="1.58203125" style="180" customWidth="1"/>
    <col min="2064" max="2070" width="3.5" style="180" customWidth="1"/>
    <col min="2071" max="2071" width="3.33203125" style="180" customWidth="1"/>
    <col min="2072" max="2302" width="3.5" style="180" customWidth="1"/>
    <col min="2303" max="2318" width="8.58203125" style="180"/>
    <col min="2319" max="2319" width="1.58203125" style="180" customWidth="1"/>
    <col min="2320" max="2326" width="3.5" style="180" customWidth="1"/>
    <col min="2327" max="2327" width="3.33203125" style="180" customWidth="1"/>
    <col min="2328" max="2558" width="3.5" style="180" customWidth="1"/>
    <col min="2559" max="2574" width="8.58203125" style="180"/>
    <col min="2575" max="2575" width="1.58203125" style="180" customWidth="1"/>
    <col min="2576" max="2582" width="3.5" style="180" customWidth="1"/>
    <col min="2583" max="2583" width="3.33203125" style="180" customWidth="1"/>
    <col min="2584" max="2814" width="3.5" style="180" customWidth="1"/>
    <col min="2815" max="2830" width="8.58203125" style="180"/>
    <col min="2831" max="2831" width="1.58203125" style="180" customWidth="1"/>
    <col min="2832" max="2838" width="3.5" style="180" customWidth="1"/>
    <col min="2839" max="2839" width="3.33203125" style="180" customWidth="1"/>
    <col min="2840" max="3070" width="3.5" style="180" customWidth="1"/>
    <col min="3071" max="3086" width="8.58203125" style="180"/>
    <col min="3087" max="3087" width="1.58203125" style="180" customWidth="1"/>
    <col min="3088" max="3094" width="3.5" style="180" customWidth="1"/>
    <col min="3095" max="3095" width="3.33203125" style="180" customWidth="1"/>
    <col min="3096" max="3326" width="3.5" style="180" customWidth="1"/>
    <col min="3327" max="3342" width="8.58203125" style="180"/>
    <col min="3343" max="3343" width="1.58203125" style="180" customWidth="1"/>
    <col min="3344" max="3350" width="3.5" style="180" customWidth="1"/>
    <col min="3351" max="3351" width="3.33203125" style="180" customWidth="1"/>
    <col min="3352" max="3582" width="3.5" style="180" customWidth="1"/>
    <col min="3583" max="3598" width="8.58203125" style="180"/>
    <col min="3599" max="3599" width="1.58203125" style="180" customWidth="1"/>
    <col min="3600" max="3606" width="3.5" style="180" customWidth="1"/>
    <col min="3607" max="3607" width="3.33203125" style="180" customWidth="1"/>
    <col min="3608" max="3838" width="3.5" style="180" customWidth="1"/>
    <col min="3839" max="3854" width="8.58203125" style="180"/>
    <col min="3855" max="3855" width="1.58203125" style="180" customWidth="1"/>
    <col min="3856" max="3862" width="3.5" style="180" customWidth="1"/>
    <col min="3863" max="3863" width="3.33203125" style="180" customWidth="1"/>
    <col min="3864" max="4094" width="3.5" style="180" customWidth="1"/>
    <col min="4095" max="4110" width="8.58203125" style="180"/>
    <col min="4111" max="4111" width="1.58203125" style="180" customWidth="1"/>
    <col min="4112" max="4118" width="3.5" style="180" customWidth="1"/>
    <col min="4119" max="4119" width="3.33203125" style="180" customWidth="1"/>
    <col min="4120" max="4350" width="3.5" style="180" customWidth="1"/>
    <col min="4351" max="4366" width="8.58203125" style="180"/>
    <col min="4367" max="4367" width="1.58203125" style="180" customWidth="1"/>
    <col min="4368" max="4374" width="3.5" style="180" customWidth="1"/>
    <col min="4375" max="4375" width="3.33203125" style="180" customWidth="1"/>
    <col min="4376" max="4606" width="3.5" style="180" customWidth="1"/>
    <col min="4607" max="4622" width="8.58203125" style="180"/>
    <col min="4623" max="4623" width="1.58203125" style="180" customWidth="1"/>
    <col min="4624" max="4630" width="3.5" style="180" customWidth="1"/>
    <col min="4631" max="4631" width="3.33203125" style="180" customWidth="1"/>
    <col min="4632" max="4862" width="3.5" style="180" customWidth="1"/>
    <col min="4863" max="4878" width="8.58203125" style="180"/>
    <col min="4879" max="4879" width="1.58203125" style="180" customWidth="1"/>
    <col min="4880" max="4886" width="3.5" style="180" customWidth="1"/>
    <col min="4887" max="4887" width="3.33203125" style="180" customWidth="1"/>
    <col min="4888" max="5118" width="3.5" style="180" customWidth="1"/>
    <col min="5119" max="5134" width="8.58203125" style="180"/>
    <col min="5135" max="5135" width="1.58203125" style="180" customWidth="1"/>
    <col min="5136" max="5142" width="3.5" style="180" customWidth="1"/>
    <col min="5143" max="5143" width="3.33203125" style="180" customWidth="1"/>
    <col min="5144" max="5374" width="3.5" style="180" customWidth="1"/>
    <col min="5375" max="5390" width="8.58203125" style="180"/>
    <col min="5391" max="5391" width="1.58203125" style="180" customWidth="1"/>
    <col min="5392" max="5398" width="3.5" style="180" customWidth="1"/>
    <col min="5399" max="5399" width="3.33203125" style="180" customWidth="1"/>
    <col min="5400" max="5630" width="3.5" style="180" customWidth="1"/>
    <col min="5631" max="5646" width="8.58203125" style="180"/>
    <col min="5647" max="5647" width="1.58203125" style="180" customWidth="1"/>
    <col min="5648" max="5654" width="3.5" style="180" customWidth="1"/>
    <col min="5655" max="5655" width="3.33203125" style="180" customWidth="1"/>
    <col min="5656" max="5886" width="3.5" style="180" customWidth="1"/>
    <col min="5887" max="5902" width="8.58203125" style="180"/>
    <col min="5903" max="5903" width="1.58203125" style="180" customWidth="1"/>
    <col min="5904" max="5910" width="3.5" style="180" customWidth="1"/>
    <col min="5911" max="5911" width="3.33203125" style="180" customWidth="1"/>
    <col min="5912" max="6142" width="3.5" style="180" customWidth="1"/>
    <col min="6143" max="6158" width="8.58203125" style="180"/>
    <col min="6159" max="6159" width="1.58203125" style="180" customWidth="1"/>
    <col min="6160" max="6166" width="3.5" style="180" customWidth="1"/>
    <col min="6167" max="6167" width="3.33203125" style="180" customWidth="1"/>
    <col min="6168" max="6398" width="3.5" style="180" customWidth="1"/>
    <col min="6399" max="6414" width="8.58203125" style="180"/>
    <col min="6415" max="6415" width="1.58203125" style="180" customWidth="1"/>
    <col min="6416" max="6422" width="3.5" style="180" customWidth="1"/>
    <col min="6423" max="6423" width="3.33203125" style="180" customWidth="1"/>
    <col min="6424" max="6654" width="3.5" style="180" customWidth="1"/>
    <col min="6655" max="6670" width="8.58203125" style="180"/>
    <col min="6671" max="6671" width="1.58203125" style="180" customWidth="1"/>
    <col min="6672" max="6678" width="3.5" style="180" customWidth="1"/>
    <col min="6679" max="6679" width="3.33203125" style="180" customWidth="1"/>
    <col min="6680" max="6910" width="3.5" style="180" customWidth="1"/>
    <col min="6911" max="6926" width="8.58203125" style="180"/>
    <col min="6927" max="6927" width="1.58203125" style="180" customWidth="1"/>
    <col min="6928" max="6934" width="3.5" style="180" customWidth="1"/>
    <col min="6935" max="6935" width="3.33203125" style="180" customWidth="1"/>
    <col min="6936" max="7166" width="3.5" style="180" customWidth="1"/>
    <col min="7167" max="7182" width="8.58203125" style="180"/>
    <col min="7183" max="7183" width="1.58203125" style="180" customWidth="1"/>
    <col min="7184" max="7190" width="3.5" style="180" customWidth="1"/>
    <col min="7191" max="7191" width="3.33203125" style="180" customWidth="1"/>
    <col min="7192" max="7422" width="3.5" style="180" customWidth="1"/>
    <col min="7423" max="7438" width="8.58203125" style="180"/>
    <col min="7439" max="7439" width="1.58203125" style="180" customWidth="1"/>
    <col min="7440" max="7446" width="3.5" style="180" customWidth="1"/>
    <col min="7447" max="7447" width="3.33203125" style="180" customWidth="1"/>
    <col min="7448" max="7678" width="3.5" style="180" customWidth="1"/>
    <col min="7679" max="7694" width="8.58203125" style="180"/>
    <col min="7695" max="7695" width="1.58203125" style="180" customWidth="1"/>
    <col min="7696" max="7702" width="3.5" style="180" customWidth="1"/>
    <col min="7703" max="7703" width="3.33203125" style="180" customWidth="1"/>
    <col min="7704" max="7934" width="3.5" style="180" customWidth="1"/>
    <col min="7935" max="7950" width="8.58203125" style="180"/>
    <col min="7951" max="7951" width="1.58203125" style="180" customWidth="1"/>
    <col min="7952" max="7958" width="3.5" style="180" customWidth="1"/>
    <col min="7959" max="7959" width="3.33203125" style="180" customWidth="1"/>
    <col min="7960" max="8190" width="3.5" style="180" customWidth="1"/>
    <col min="8191" max="8206" width="8.58203125" style="180"/>
    <col min="8207" max="8207" width="1.58203125" style="180" customWidth="1"/>
    <col min="8208" max="8214" width="3.5" style="180" customWidth="1"/>
    <col min="8215" max="8215" width="3.33203125" style="180" customWidth="1"/>
    <col min="8216" max="8446" width="3.5" style="180" customWidth="1"/>
    <col min="8447" max="8462" width="8.58203125" style="180"/>
    <col min="8463" max="8463" width="1.58203125" style="180" customWidth="1"/>
    <col min="8464" max="8470" width="3.5" style="180" customWidth="1"/>
    <col min="8471" max="8471" width="3.33203125" style="180" customWidth="1"/>
    <col min="8472" max="8702" width="3.5" style="180" customWidth="1"/>
    <col min="8703" max="8718" width="8.58203125" style="180"/>
    <col min="8719" max="8719" width="1.58203125" style="180" customWidth="1"/>
    <col min="8720" max="8726" width="3.5" style="180" customWidth="1"/>
    <col min="8727" max="8727" width="3.33203125" style="180" customWidth="1"/>
    <col min="8728" max="8958" width="3.5" style="180" customWidth="1"/>
    <col min="8959" max="8974" width="8.58203125" style="180"/>
    <col min="8975" max="8975" width="1.58203125" style="180" customWidth="1"/>
    <col min="8976" max="8982" width="3.5" style="180" customWidth="1"/>
    <col min="8983" max="8983" width="3.33203125" style="180" customWidth="1"/>
    <col min="8984" max="9214" width="3.5" style="180" customWidth="1"/>
    <col min="9215" max="9230" width="8.58203125" style="180"/>
    <col min="9231" max="9231" width="1.58203125" style="180" customWidth="1"/>
    <col min="9232" max="9238" width="3.5" style="180" customWidth="1"/>
    <col min="9239" max="9239" width="3.33203125" style="180" customWidth="1"/>
    <col min="9240" max="9470" width="3.5" style="180" customWidth="1"/>
    <col min="9471" max="9486" width="8.58203125" style="180"/>
    <col min="9487" max="9487" width="1.58203125" style="180" customWidth="1"/>
    <col min="9488" max="9494" width="3.5" style="180" customWidth="1"/>
    <col min="9495" max="9495" width="3.33203125" style="180" customWidth="1"/>
    <col min="9496" max="9726" width="3.5" style="180" customWidth="1"/>
    <col min="9727" max="9742" width="8.58203125" style="180"/>
    <col min="9743" max="9743" width="1.58203125" style="180" customWidth="1"/>
    <col min="9744" max="9750" width="3.5" style="180" customWidth="1"/>
    <col min="9751" max="9751" width="3.33203125" style="180" customWidth="1"/>
    <col min="9752" max="9982" width="3.5" style="180" customWidth="1"/>
    <col min="9983" max="9998" width="8.58203125" style="180"/>
    <col min="9999" max="9999" width="1.58203125" style="180" customWidth="1"/>
    <col min="10000" max="10006" width="3.5" style="180" customWidth="1"/>
    <col min="10007" max="10007" width="3.33203125" style="180" customWidth="1"/>
    <col min="10008" max="10238" width="3.5" style="180" customWidth="1"/>
    <col min="10239" max="10254" width="8.58203125" style="180"/>
    <col min="10255" max="10255" width="1.58203125" style="180" customWidth="1"/>
    <col min="10256" max="10262" width="3.5" style="180" customWidth="1"/>
    <col min="10263" max="10263" width="3.33203125" style="180" customWidth="1"/>
    <col min="10264" max="10494" width="3.5" style="180" customWidth="1"/>
    <col min="10495" max="10510" width="8.58203125" style="180"/>
    <col min="10511" max="10511" width="1.58203125" style="180" customWidth="1"/>
    <col min="10512" max="10518" width="3.5" style="180" customWidth="1"/>
    <col min="10519" max="10519" width="3.33203125" style="180" customWidth="1"/>
    <col min="10520" max="10750" width="3.5" style="180" customWidth="1"/>
    <col min="10751" max="10766" width="8.58203125" style="180"/>
    <col min="10767" max="10767" width="1.58203125" style="180" customWidth="1"/>
    <col min="10768" max="10774" width="3.5" style="180" customWidth="1"/>
    <col min="10775" max="10775" width="3.33203125" style="180" customWidth="1"/>
    <col min="10776" max="11006" width="3.5" style="180" customWidth="1"/>
    <col min="11007" max="11022" width="8.58203125" style="180"/>
    <col min="11023" max="11023" width="1.58203125" style="180" customWidth="1"/>
    <col min="11024" max="11030" width="3.5" style="180" customWidth="1"/>
    <col min="11031" max="11031" width="3.33203125" style="180" customWidth="1"/>
    <col min="11032" max="11262" width="3.5" style="180" customWidth="1"/>
    <col min="11263" max="11278" width="8.58203125" style="180"/>
    <col min="11279" max="11279" width="1.58203125" style="180" customWidth="1"/>
    <col min="11280" max="11286" width="3.5" style="180" customWidth="1"/>
    <col min="11287" max="11287" width="3.33203125" style="180" customWidth="1"/>
    <col min="11288" max="11518" width="3.5" style="180" customWidth="1"/>
    <col min="11519" max="11534" width="8.58203125" style="180"/>
    <col min="11535" max="11535" width="1.58203125" style="180" customWidth="1"/>
    <col min="11536" max="11542" width="3.5" style="180" customWidth="1"/>
    <col min="11543" max="11543" width="3.33203125" style="180" customWidth="1"/>
    <col min="11544" max="11774" width="3.5" style="180" customWidth="1"/>
    <col min="11775" max="11790" width="8.58203125" style="180"/>
    <col min="11791" max="11791" width="1.58203125" style="180" customWidth="1"/>
    <col min="11792" max="11798" width="3.5" style="180" customWidth="1"/>
    <col min="11799" max="11799" width="3.33203125" style="180" customWidth="1"/>
    <col min="11800" max="12030" width="3.5" style="180" customWidth="1"/>
    <col min="12031" max="12046" width="8.58203125" style="180"/>
    <col min="12047" max="12047" width="1.58203125" style="180" customWidth="1"/>
    <col min="12048" max="12054" width="3.5" style="180" customWidth="1"/>
    <col min="12055" max="12055" width="3.33203125" style="180" customWidth="1"/>
    <col min="12056" max="12286" width="3.5" style="180" customWidth="1"/>
    <col min="12287" max="12302" width="8.58203125" style="180"/>
    <col min="12303" max="12303" width="1.58203125" style="180" customWidth="1"/>
    <col min="12304" max="12310" width="3.5" style="180" customWidth="1"/>
    <col min="12311" max="12311" width="3.33203125" style="180" customWidth="1"/>
    <col min="12312" max="12542" width="3.5" style="180" customWidth="1"/>
    <col min="12543" max="12558" width="8.58203125" style="180"/>
    <col min="12559" max="12559" width="1.58203125" style="180" customWidth="1"/>
    <col min="12560" max="12566" width="3.5" style="180" customWidth="1"/>
    <col min="12567" max="12567" width="3.33203125" style="180" customWidth="1"/>
    <col min="12568" max="12798" width="3.5" style="180" customWidth="1"/>
    <col min="12799" max="12814" width="8.58203125" style="180"/>
    <col min="12815" max="12815" width="1.58203125" style="180" customWidth="1"/>
    <col min="12816" max="12822" width="3.5" style="180" customWidth="1"/>
    <col min="12823" max="12823" width="3.33203125" style="180" customWidth="1"/>
    <col min="12824" max="13054" width="3.5" style="180" customWidth="1"/>
    <col min="13055" max="13070" width="8.58203125" style="180"/>
    <col min="13071" max="13071" width="1.58203125" style="180" customWidth="1"/>
    <col min="13072" max="13078" width="3.5" style="180" customWidth="1"/>
    <col min="13079" max="13079" width="3.33203125" style="180" customWidth="1"/>
    <col min="13080" max="13310" width="3.5" style="180" customWidth="1"/>
    <col min="13311" max="13326" width="8.58203125" style="180"/>
    <col min="13327" max="13327" width="1.58203125" style="180" customWidth="1"/>
    <col min="13328" max="13334" width="3.5" style="180" customWidth="1"/>
    <col min="13335" max="13335" width="3.33203125" style="180" customWidth="1"/>
    <col min="13336" max="13566" width="3.5" style="180" customWidth="1"/>
    <col min="13567" max="13582" width="8.58203125" style="180"/>
    <col min="13583" max="13583" width="1.58203125" style="180" customWidth="1"/>
    <col min="13584" max="13590" width="3.5" style="180" customWidth="1"/>
    <col min="13591" max="13591" width="3.33203125" style="180" customWidth="1"/>
    <col min="13592" max="13822" width="3.5" style="180" customWidth="1"/>
    <col min="13823" max="13838" width="8.58203125" style="180"/>
    <col min="13839" max="13839" width="1.58203125" style="180" customWidth="1"/>
    <col min="13840" max="13846" width="3.5" style="180" customWidth="1"/>
    <col min="13847" max="13847" width="3.33203125" style="180" customWidth="1"/>
    <col min="13848" max="14078" width="3.5" style="180" customWidth="1"/>
    <col min="14079" max="14094" width="8.58203125" style="180"/>
    <col min="14095" max="14095" width="1.58203125" style="180" customWidth="1"/>
    <col min="14096" max="14102" width="3.5" style="180" customWidth="1"/>
    <col min="14103" max="14103" width="3.33203125" style="180" customWidth="1"/>
    <col min="14104" max="14334" width="3.5" style="180" customWidth="1"/>
    <col min="14335" max="14350" width="8.58203125" style="180"/>
    <col min="14351" max="14351" width="1.58203125" style="180" customWidth="1"/>
    <col min="14352" max="14358" width="3.5" style="180" customWidth="1"/>
    <col min="14359" max="14359" width="3.33203125" style="180" customWidth="1"/>
    <col min="14360" max="14590" width="3.5" style="180" customWidth="1"/>
    <col min="14591" max="14606" width="8.58203125" style="180"/>
    <col min="14607" max="14607" width="1.58203125" style="180" customWidth="1"/>
    <col min="14608" max="14614" width="3.5" style="180" customWidth="1"/>
    <col min="14615" max="14615" width="3.33203125" style="180" customWidth="1"/>
    <col min="14616" max="14846" width="3.5" style="180" customWidth="1"/>
    <col min="14847" max="14862" width="8.58203125" style="180"/>
    <col min="14863" max="14863" width="1.58203125" style="180" customWidth="1"/>
    <col min="14864" max="14870" width="3.5" style="180" customWidth="1"/>
    <col min="14871" max="14871" width="3.33203125" style="180" customWidth="1"/>
    <col min="14872" max="15102" width="3.5" style="180" customWidth="1"/>
    <col min="15103" max="15118" width="8.58203125" style="180"/>
    <col min="15119" max="15119" width="1.58203125" style="180" customWidth="1"/>
    <col min="15120" max="15126" width="3.5" style="180" customWidth="1"/>
    <col min="15127" max="15127" width="3.33203125" style="180" customWidth="1"/>
    <col min="15128" max="15358" width="3.5" style="180" customWidth="1"/>
    <col min="15359" max="15374" width="8.58203125" style="180"/>
    <col min="15375" max="15375" width="1.58203125" style="180" customWidth="1"/>
    <col min="15376" max="15382" width="3.5" style="180" customWidth="1"/>
    <col min="15383" max="15383" width="3.33203125" style="180" customWidth="1"/>
    <col min="15384" max="15614" width="3.5" style="180" customWidth="1"/>
    <col min="15615" max="15630" width="8.58203125" style="180"/>
    <col min="15631" max="15631" width="1.58203125" style="180" customWidth="1"/>
    <col min="15632" max="15638" width="3.5" style="180" customWidth="1"/>
    <col min="15639" max="15639" width="3.33203125" style="180" customWidth="1"/>
    <col min="15640" max="15870" width="3.5" style="180" customWidth="1"/>
    <col min="15871" max="15886" width="8.58203125" style="180"/>
    <col min="15887" max="15887" width="1.58203125" style="180" customWidth="1"/>
    <col min="15888" max="15894" width="3.5" style="180" customWidth="1"/>
    <col min="15895" max="15895" width="3.33203125" style="180" customWidth="1"/>
    <col min="15896" max="16126" width="3.5" style="180" customWidth="1"/>
    <col min="16127" max="16142" width="8.58203125" style="180"/>
    <col min="16143" max="16143" width="1.58203125" style="180" customWidth="1"/>
    <col min="16144" max="16150" width="3.5" style="180" customWidth="1"/>
    <col min="16151" max="16151" width="3.33203125" style="180" customWidth="1"/>
    <col min="16152" max="16384" width="3.5" style="180" customWidth="1"/>
  </cols>
  <sheetData>
    <row r="1" spans="2:50" ht="7" customHeight="1"/>
    <row r="2" spans="2:50" s="588" customFormat="1">
      <c r="B2" s="221" t="s">
        <v>11783</v>
      </c>
      <c r="D2" s="221"/>
      <c r="E2" s="221"/>
      <c r="F2" s="221"/>
      <c r="G2" s="221"/>
      <c r="H2" s="221"/>
      <c r="I2" s="884"/>
      <c r="J2" s="884"/>
      <c r="K2" s="884"/>
      <c r="L2" s="884"/>
      <c r="M2" s="884"/>
      <c r="N2" s="884"/>
      <c r="O2" s="884"/>
      <c r="P2" s="884"/>
      <c r="Q2" s="884"/>
      <c r="R2" s="884"/>
      <c r="S2" s="884"/>
      <c r="T2" s="884"/>
      <c r="U2" s="884"/>
      <c r="V2" s="884"/>
      <c r="W2" s="884"/>
      <c r="X2" s="884"/>
      <c r="Y2" s="884"/>
      <c r="Z2" s="884"/>
      <c r="AA2" s="884"/>
      <c r="AB2" s="884"/>
      <c r="AC2" s="884"/>
      <c r="AD2" s="884"/>
      <c r="AE2" s="884"/>
      <c r="AF2" s="884"/>
      <c r="AG2" s="884"/>
    </row>
    <row r="3" spans="2:50" s="588" customFormat="1" ht="18" customHeight="1" thickBot="1">
      <c r="B3" s="582" t="s">
        <v>904</v>
      </c>
      <c r="D3" s="221"/>
      <c r="E3" s="221"/>
      <c r="F3" s="221"/>
      <c r="G3" s="221"/>
      <c r="H3" s="221"/>
      <c r="I3" s="884"/>
      <c r="J3" s="884"/>
      <c r="K3" s="884"/>
      <c r="L3" s="884"/>
      <c r="M3" s="884"/>
      <c r="N3" s="884"/>
      <c r="O3" s="884"/>
      <c r="P3" s="884"/>
      <c r="Q3" s="884"/>
      <c r="R3" s="884"/>
      <c r="S3" s="884"/>
      <c r="T3" s="884"/>
      <c r="U3" s="884"/>
      <c r="V3" s="884"/>
      <c r="W3" s="884"/>
      <c r="X3" s="884"/>
      <c r="Y3" s="884"/>
      <c r="Z3" s="884"/>
      <c r="AA3" s="884"/>
      <c r="AB3" s="884"/>
      <c r="AC3" s="884"/>
      <c r="AD3" s="884"/>
      <c r="AE3" s="884"/>
      <c r="AF3" s="884"/>
      <c r="AG3" s="884"/>
    </row>
    <row r="4" spans="2:50" s="588" customFormat="1" ht="10" customHeight="1">
      <c r="B4" s="831"/>
      <c r="C4" s="809"/>
      <c r="D4" s="809"/>
      <c r="E4" s="809"/>
      <c r="F4" s="809"/>
      <c r="G4" s="809"/>
      <c r="H4" s="809"/>
      <c r="I4" s="809"/>
      <c r="J4" s="809"/>
      <c r="K4" s="809"/>
      <c r="L4" s="809"/>
      <c r="M4" s="809"/>
      <c r="N4" s="809"/>
      <c r="O4" s="809"/>
      <c r="P4" s="809"/>
      <c r="Q4" s="809"/>
      <c r="R4" s="809"/>
      <c r="S4" s="809"/>
      <c r="T4" s="809"/>
      <c r="U4" s="809"/>
      <c r="V4" s="809"/>
      <c r="W4" s="809"/>
      <c r="X4" s="809"/>
      <c r="Y4" s="809"/>
      <c r="Z4" s="809"/>
      <c r="AA4" s="809"/>
      <c r="AB4" s="809"/>
      <c r="AC4" s="809"/>
      <c r="AD4" s="809"/>
      <c r="AE4" s="809"/>
      <c r="AF4" s="809"/>
      <c r="AG4" s="809"/>
      <c r="AH4" s="809"/>
      <c r="AI4" s="809"/>
      <c r="AJ4" s="809"/>
      <c r="AK4" s="809"/>
      <c r="AL4" s="809"/>
      <c r="AM4" s="943"/>
      <c r="AN4" s="943"/>
      <c r="AO4" s="943"/>
      <c r="AP4" s="943"/>
      <c r="AQ4" s="943"/>
      <c r="AR4" s="944"/>
      <c r="AS4" s="944"/>
      <c r="AT4" s="944"/>
      <c r="AU4" s="944"/>
      <c r="AV4" s="944"/>
      <c r="AW4" s="944"/>
      <c r="AX4" s="833"/>
    </row>
    <row r="5" spans="2:50" s="567" customFormat="1" ht="19.5" customHeight="1">
      <c r="B5" s="911"/>
      <c r="C5" s="567" t="s">
        <v>1134</v>
      </c>
      <c r="E5" s="566"/>
      <c r="F5" s="566"/>
      <c r="G5" s="566"/>
      <c r="H5" s="566"/>
      <c r="I5" s="566"/>
      <c r="J5" s="566"/>
      <c r="K5" s="566"/>
      <c r="L5" s="566"/>
      <c r="M5" s="566"/>
      <c r="N5" s="566"/>
      <c r="O5" s="912"/>
      <c r="S5" s="189" t="s">
        <v>1135</v>
      </c>
      <c r="U5" s="229"/>
      <c r="AB5" s="3103">
        <v>20025</v>
      </c>
      <c r="AC5" s="3103"/>
      <c r="AD5" s="3103"/>
      <c r="AE5" s="3103"/>
      <c r="AF5" s="3103"/>
      <c r="AG5" s="681"/>
      <c r="AJ5" s="567" t="s">
        <v>319</v>
      </c>
      <c r="AM5" s="191"/>
      <c r="AN5" s="191"/>
      <c r="AO5" s="191"/>
      <c r="AP5" s="191"/>
      <c r="AQ5" s="191"/>
      <c r="AR5" s="191"/>
      <c r="AT5" s="191"/>
      <c r="AU5" s="191"/>
      <c r="AV5" s="191"/>
      <c r="AW5" s="191"/>
      <c r="AX5" s="812"/>
    </row>
    <row r="6" spans="2:50" s="567" customFormat="1" ht="19.5" customHeight="1">
      <c r="B6" s="911"/>
      <c r="C6" s="920" t="s">
        <v>1136</v>
      </c>
      <c r="D6" s="920"/>
      <c r="E6" s="940"/>
      <c r="F6" s="940"/>
      <c r="G6" s="940"/>
      <c r="H6" s="940"/>
      <c r="I6" s="940"/>
      <c r="J6" s="940"/>
      <c r="K6" s="940"/>
      <c r="L6" s="940"/>
      <c r="M6" s="940"/>
      <c r="N6" s="940"/>
      <c r="O6" s="941"/>
      <c r="S6" s="588"/>
      <c r="T6" s="588"/>
      <c r="U6" s="588"/>
      <c r="V6" s="221"/>
      <c r="W6" s="221"/>
      <c r="X6" s="221"/>
      <c r="Y6" s="221"/>
      <c r="Z6" s="221"/>
      <c r="AA6" s="884"/>
      <c r="AB6" s="884"/>
      <c r="AC6" s="884"/>
      <c r="AD6" s="884"/>
      <c r="AE6" s="884"/>
      <c r="AJ6" s="920"/>
      <c r="AK6" s="567" t="s">
        <v>307</v>
      </c>
      <c r="AM6" s="191"/>
      <c r="AN6" s="191"/>
      <c r="AX6" s="812"/>
    </row>
    <row r="7" spans="2:50" s="567" customFormat="1" ht="19.5" customHeight="1" thickBot="1">
      <c r="B7" s="911"/>
      <c r="D7" s="920"/>
      <c r="E7" s="945" t="b">
        <v>1</v>
      </c>
      <c r="F7" s="567" t="s">
        <v>318</v>
      </c>
      <c r="G7" s="920"/>
      <c r="H7" s="920"/>
      <c r="I7" s="945" t="b">
        <v>0</v>
      </c>
      <c r="J7" s="567" t="s">
        <v>317</v>
      </c>
      <c r="K7" s="920"/>
      <c r="L7" s="920"/>
      <c r="M7" s="920"/>
      <c r="N7" s="942"/>
      <c r="O7" s="920"/>
      <c r="P7" s="807"/>
      <c r="S7" s="567" t="s">
        <v>1137</v>
      </c>
      <c r="T7" s="912"/>
      <c r="V7" s="324"/>
      <c r="W7" s="324"/>
      <c r="X7" s="324"/>
      <c r="Y7" s="324"/>
      <c r="Z7" s="324"/>
      <c r="AA7" s="324"/>
      <c r="AB7" s="324"/>
      <c r="AC7" s="324"/>
      <c r="AD7" s="324"/>
      <c r="AE7" s="324"/>
      <c r="AF7" s="324"/>
      <c r="AL7" s="856" t="b">
        <v>0</v>
      </c>
      <c r="AM7" s="567" t="s">
        <v>64</v>
      </c>
      <c r="AN7" s="921"/>
      <c r="AP7" s="856" t="b">
        <v>1</v>
      </c>
      <c r="AQ7" s="567" t="s">
        <v>0</v>
      </c>
      <c r="AX7" s="812"/>
    </row>
    <row r="8" spans="2:50" s="567" customFormat="1" ht="32.5" customHeight="1" thickBot="1">
      <c r="B8" s="911"/>
      <c r="D8" s="920"/>
      <c r="E8" s="856" t="b">
        <v>0</v>
      </c>
      <c r="F8" s="567" t="s">
        <v>66</v>
      </c>
      <c r="G8" s="920"/>
      <c r="H8" s="920"/>
      <c r="I8" s="856" t="b">
        <v>0</v>
      </c>
      <c r="J8" s="567" t="s">
        <v>316</v>
      </c>
      <c r="K8" s="920"/>
      <c r="L8" s="920"/>
      <c r="M8" s="920"/>
      <c r="N8" s="920"/>
      <c r="O8" s="920"/>
      <c r="S8" s="3107" t="s">
        <v>106</v>
      </c>
      <c r="T8" s="3108"/>
      <c r="U8" s="3108"/>
      <c r="V8" s="3108"/>
      <c r="W8" s="3108"/>
      <c r="X8" s="3108"/>
      <c r="Y8" s="3108"/>
      <c r="Z8" s="3108"/>
      <c r="AA8" s="3108"/>
      <c r="AB8" s="3108"/>
      <c r="AC8" s="3109"/>
      <c r="AD8" s="2128" t="s">
        <v>315</v>
      </c>
      <c r="AE8" s="3110"/>
      <c r="AF8" s="3111"/>
      <c r="AK8" s="567" t="s">
        <v>314</v>
      </c>
      <c r="AL8" s="807"/>
      <c r="AM8" s="568"/>
      <c r="AN8" s="509"/>
      <c r="AO8" s="509"/>
      <c r="AP8" s="509"/>
      <c r="AQ8" s="509"/>
      <c r="AR8" s="509"/>
      <c r="AT8" s="509"/>
      <c r="AU8" s="509"/>
      <c r="AV8" s="509"/>
      <c r="AW8" s="509"/>
      <c r="AX8" s="812"/>
    </row>
    <row r="9" spans="2:50" s="567" customFormat="1" ht="19" customHeight="1">
      <c r="B9" s="911"/>
      <c r="C9" s="567" t="s">
        <v>1138</v>
      </c>
      <c r="D9" s="921"/>
      <c r="E9" s="921"/>
      <c r="F9" s="912"/>
      <c r="G9" s="912"/>
      <c r="H9" s="807"/>
      <c r="I9" s="856" t="b">
        <v>0</v>
      </c>
      <c r="J9" s="924" t="s">
        <v>64</v>
      </c>
      <c r="K9" s="912"/>
      <c r="M9" s="946" t="b">
        <v>0</v>
      </c>
      <c r="N9" s="567" t="s">
        <v>0</v>
      </c>
      <c r="S9" s="948" t="b">
        <v>0</v>
      </c>
      <c r="T9" s="925" t="s">
        <v>313</v>
      </c>
      <c r="U9" s="926"/>
      <c r="V9" s="926"/>
      <c r="W9" s="926"/>
      <c r="X9" s="926"/>
      <c r="Y9" s="926"/>
      <c r="Z9" s="926"/>
      <c r="AA9" s="927"/>
      <c r="AB9" s="926"/>
      <c r="AC9" s="928"/>
      <c r="AD9" s="2118"/>
      <c r="AE9" s="2113"/>
      <c r="AF9" s="3112"/>
      <c r="AL9" s="75" t="b">
        <v>0</v>
      </c>
      <c r="AP9" s="75" t="b">
        <v>1</v>
      </c>
      <c r="AX9" s="812"/>
    </row>
    <row r="10" spans="2:50" s="567" customFormat="1" ht="14.15" customHeight="1">
      <c r="B10" s="911"/>
      <c r="D10" s="929" t="s">
        <v>1139</v>
      </c>
      <c r="E10" s="921"/>
      <c r="F10" s="912"/>
      <c r="G10" s="912"/>
      <c r="H10" s="912"/>
      <c r="I10" s="912"/>
      <c r="J10" s="912"/>
      <c r="K10" s="912"/>
      <c r="L10" s="912"/>
      <c r="M10" s="912"/>
      <c r="N10" s="912"/>
      <c r="S10" s="949" t="b">
        <v>0</v>
      </c>
      <c r="T10" s="930" t="s">
        <v>311</v>
      </c>
      <c r="U10" s="931"/>
      <c r="V10" s="932"/>
      <c r="W10" s="932"/>
      <c r="X10" s="932"/>
      <c r="Y10" s="932"/>
      <c r="Z10" s="932"/>
      <c r="AA10" s="932"/>
      <c r="AB10" s="932"/>
      <c r="AC10" s="933"/>
      <c r="AD10" s="3113"/>
      <c r="AE10" s="3114"/>
      <c r="AF10" s="3115"/>
      <c r="AJ10" s="567" t="s">
        <v>310</v>
      </c>
      <c r="AM10" s="191"/>
      <c r="AN10" s="191"/>
      <c r="AO10" s="191"/>
      <c r="AP10" s="191"/>
      <c r="AQ10" s="191"/>
      <c r="AR10" s="191"/>
      <c r="AT10" s="191"/>
      <c r="AU10" s="191"/>
      <c r="AV10" s="191"/>
      <c r="AW10" s="191"/>
      <c r="AX10" s="910"/>
    </row>
    <row r="11" spans="2:50" s="567" customFormat="1" ht="19.5" customHeight="1">
      <c r="B11" s="911"/>
      <c r="C11" s="912"/>
      <c r="E11" s="856" t="b">
        <v>0</v>
      </c>
      <c r="F11" s="568" t="s">
        <v>312</v>
      </c>
      <c r="G11" s="912"/>
      <c r="H11" s="912"/>
      <c r="I11" s="912"/>
      <c r="J11" s="912"/>
      <c r="K11" s="912"/>
      <c r="L11" s="912"/>
      <c r="M11" s="912"/>
      <c r="N11" s="912"/>
      <c r="S11" s="949" t="b">
        <v>0</v>
      </c>
      <c r="T11" s="930" t="s">
        <v>308</v>
      </c>
      <c r="U11" s="934"/>
      <c r="V11" s="934"/>
      <c r="W11" s="934"/>
      <c r="X11" s="934"/>
      <c r="Y11" s="934"/>
      <c r="Z11" s="934"/>
      <c r="AA11" s="934"/>
      <c r="AB11" s="934"/>
      <c r="AC11" s="935"/>
      <c r="AD11" s="3104"/>
      <c r="AE11" s="3105"/>
      <c r="AF11" s="3106"/>
      <c r="AJ11" s="920"/>
      <c r="AK11" s="567" t="s">
        <v>307</v>
      </c>
      <c r="AM11" s="191"/>
      <c r="AN11" s="191"/>
      <c r="AX11" s="910"/>
    </row>
    <row r="12" spans="2:50" s="567" customFormat="1" ht="19.5" customHeight="1">
      <c r="B12" s="911"/>
      <c r="C12" s="912"/>
      <c r="E12" s="856" t="b">
        <v>0</v>
      </c>
      <c r="F12" s="568" t="s">
        <v>309</v>
      </c>
      <c r="G12" s="912"/>
      <c r="H12" s="912"/>
      <c r="I12" s="912"/>
      <c r="J12" s="912"/>
      <c r="K12" s="912"/>
      <c r="L12" s="912"/>
      <c r="M12" s="912"/>
      <c r="N12" s="912"/>
      <c r="S12" s="949" t="b">
        <v>0</v>
      </c>
      <c r="T12" s="930" t="s">
        <v>305</v>
      </c>
      <c r="U12" s="934"/>
      <c r="V12" s="934"/>
      <c r="W12" s="934"/>
      <c r="X12" s="934"/>
      <c r="Y12" s="934"/>
      <c r="Z12" s="934"/>
      <c r="AA12" s="934"/>
      <c r="AB12" s="934"/>
      <c r="AC12" s="935"/>
      <c r="AD12" s="3113"/>
      <c r="AE12" s="3114"/>
      <c r="AF12" s="3115"/>
      <c r="AL12" s="856" t="b">
        <v>0</v>
      </c>
      <c r="AM12" s="567" t="s">
        <v>64</v>
      </c>
      <c r="AN12" s="921"/>
      <c r="AP12" s="856" t="b">
        <v>1</v>
      </c>
      <c r="AQ12" s="567" t="s">
        <v>0</v>
      </c>
      <c r="AR12" s="509"/>
      <c r="AT12" s="921"/>
      <c r="AU12" s="191"/>
      <c r="AV12" s="191"/>
      <c r="AW12" s="191"/>
      <c r="AX12" s="910"/>
    </row>
    <row r="13" spans="2:50" s="567" customFormat="1" ht="19.5" customHeight="1">
      <c r="B13" s="911"/>
      <c r="C13" s="912"/>
      <c r="E13" s="856" t="b">
        <v>0</v>
      </c>
      <c r="F13" s="568" t="s">
        <v>306</v>
      </c>
      <c r="G13" s="912"/>
      <c r="H13" s="912"/>
      <c r="I13" s="912"/>
      <c r="J13" s="912"/>
      <c r="K13" s="912"/>
      <c r="L13" s="912"/>
      <c r="M13" s="912"/>
      <c r="N13" s="912"/>
      <c r="S13" s="949" t="b">
        <v>0</v>
      </c>
      <c r="T13" s="930" t="s">
        <v>304</v>
      </c>
      <c r="U13" s="932"/>
      <c r="V13" s="932"/>
      <c r="W13" s="932"/>
      <c r="X13" s="932"/>
      <c r="Y13" s="932"/>
      <c r="Z13" s="932"/>
      <c r="AA13" s="932"/>
      <c r="AB13" s="932"/>
      <c r="AC13" s="933"/>
      <c r="AD13" s="3104"/>
      <c r="AE13" s="3105"/>
      <c r="AF13" s="3106"/>
      <c r="AK13" s="567" t="s">
        <v>303</v>
      </c>
      <c r="AL13" s="807"/>
      <c r="AM13" s="568"/>
      <c r="AN13" s="509"/>
      <c r="AO13" s="509"/>
      <c r="AP13" s="509"/>
      <c r="AQ13" s="509"/>
      <c r="AR13" s="509"/>
      <c r="AT13" s="509"/>
      <c r="AU13" s="509"/>
      <c r="AV13" s="509"/>
      <c r="AW13" s="509"/>
      <c r="AX13" s="910"/>
    </row>
    <row r="14" spans="2:50" s="567" customFormat="1" ht="19.5" customHeight="1">
      <c r="B14" s="911"/>
      <c r="C14" s="912"/>
      <c r="E14" s="856" t="b">
        <v>0</v>
      </c>
      <c r="F14" s="568" t="s">
        <v>301</v>
      </c>
      <c r="G14" s="912"/>
      <c r="H14" s="912"/>
      <c r="I14" s="912"/>
      <c r="J14" s="912"/>
      <c r="K14" s="912"/>
      <c r="L14" s="912"/>
      <c r="M14" s="912"/>
      <c r="N14" s="912"/>
      <c r="S14" s="949" t="b">
        <v>0</v>
      </c>
      <c r="T14" s="930" t="s">
        <v>302</v>
      </c>
      <c r="U14" s="932"/>
      <c r="V14" s="932"/>
      <c r="W14" s="932"/>
      <c r="X14" s="932"/>
      <c r="Y14" s="932"/>
      <c r="Z14" s="932"/>
      <c r="AA14" s="932"/>
      <c r="AB14" s="932"/>
      <c r="AC14" s="933"/>
      <c r="AD14" s="3113"/>
      <c r="AE14" s="3114"/>
      <c r="AF14" s="3115"/>
      <c r="AL14" s="856" t="b">
        <v>0</v>
      </c>
      <c r="AM14" s="567" t="s">
        <v>64</v>
      </c>
      <c r="AN14" s="921"/>
      <c r="AP14" s="856" t="b">
        <v>1</v>
      </c>
      <c r="AQ14" s="567" t="s">
        <v>0</v>
      </c>
      <c r="AR14" s="509"/>
      <c r="AT14" s="509"/>
      <c r="AU14" s="509"/>
      <c r="AV14" s="509"/>
      <c r="AW14" s="509"/>
      <c r="AX14" s="910"/>
    </row>
    <row r="15" spans="2:50" s="567" customFormat="1" ht="19.5" customHeight="1">
      <c r="B15" s="911"/>
      <c r="C15" s="912"/>
      <c r="E15" s="856" t="b">
        <v>0</v>
      </c>
      <c r="F15" s="568" t="s">
        <v>302</v>
      </c>
      <c r="G15" s="912"/>
      <c r="H15" s="912"/>
      <c r="I15" s="912"/>
      <c r="J15" s="912"/>
      <c r="K15" s="912"/>
      <c r="L15" s="912"/>
      <c r="M15" s="912"/>
      <c r="N15" s="912"/>
      <c r="S15" s="949" t="b">
        <v>0</v>
      </c>
      <c r="T15" s="930" t="s">
        <v>301</v>
      </c>
      <c r="U15" s="932"/>
      <c r="V15" s="932"/>
      <c r="W15" s="932"/>
      <c r="X15" s="932"/>
      <c r="Y15" s="932"/>
      <c r="Z15" s="932"/>
      <c r="AA15" s="936"/>
      <c r="AB15" s="932"/>
      <c r="AC15" s="933"/>
      <c r="AD15" s="3104"/>
      <c r="AE15" s="3105"/>
      <c r="AF15" s="3106"/>
      <c r="AX15" s="910"/>
    </row>
    <row r="16" spans="2:50" s="567" customFormat="1" ht="19.5" customHeight="1">
      <c r="B16" s="911"/>
      <c r="C16" s="912"/>
      <c r="E16" s="856" t="b">
        <v>1</v>
      </c>
      <c r="F16" s="568" t="s">
        <v>107</v>
      </c>
      <c r="G16" s="912"/>
      <c r="H16" s="912"/>
      <c r="I16" s="912"/>
      <c r="J16" s="912"/>
      <c r="K16" s="912"/>
      <c r="L16" s="912"/>
      <c r="M16" s="912"/>
      <c r="N16" s="912"/>
      <c r="S16" s="3131" t="b">
        <v>0</v>
      </c>
      <c r="T16" s="3116" t="s">
        <v>300</v>
      </c>
      <c r="U16" s="3116"/>
      <c r="V16" s="3116"/>
      <c r="W16" s="3116"/>
      <c r="X16" s="3116"/>
      <c r="Y16" s="3116"/>
      <c r="Z16" s="3116"/>
      <c r="AA16" s="3116"/>
      <c r="AB16" s="3116"/>
      <c r="AC16" s="3117"/>
      <c r="AD16" s="3120"/>
      <c r="AE16" s="3121"/>
      <c r="AF16" s="3122"/>
      <c r="AJ16" s="567" t="s">
        <v>933</v>
      </c>
      <c r="AK16" s="509"/>
      <c r="AL16" s="189"/>
      <c r="AO16" s="909"/>
      <c r="AP16" s="909"/>
      <c r="AQ16" s="509"/>
      <c r="AR16" s="509"/>
      <c r="AX16" s="910"/>
    </row>
    <row r="17" spans="2:76" s="567" customFormat="1" ht="19.5" customHeight="1">
      <c r="B17" s="911"/>
      <c r="C17" s="912"/>
      <c r="E17" s="856" t="b">
        <v>0</v>
      </c>
      <c r="F17" s="568" t="s">
        <v>108</v>
      </c>
      <c r="G17" s="912"/>
      <c r="H17" s="912"/>
      <c r="I17" s="912"/>
      <c r="J17" s="912"/>
      <c r="K17" s="912"/>
      <c r="L17" s="912"/>
      <c r="M17" s="912"/>
      <c r="N17" s="912"/>
      <c r="S17" s="3132"/>
      <c r="T17" s="3118"/>
      <c r="U17" s="3118"/>
      <c r="V17" s="3118"/>
      <c r="W17" s="3118"/>
      <c r="X17" s="3118"/>
      <c r="Y17" s="3118"/>
      <c r="Z17" s="3118"/>
      <c r="AA17" s="3118"/>
      <c r="AB17" s="3118"/>
      <c r="AC17" s="3119"/>
      <c r="AD17" s="3123"/>
      <c r="AE17" s="3124"/>
      <c r="AF17" s="3125"/>
      <c r="AK17" s="909"/>
      <c r="AL17" s="856" t="b">
        <v>0</v>
      </c>
      <c r="AM17" s="568" t="s">
        <v>299</v>
      </c>
      <c r="AX17" s="910"/>
    </row>
    <row r="18" spans="2:76" s="567" customFormat="1" ht="19.5" customHeight="1">
      <c r="B18" s="911"/>
      <c r="C18" s="912"/>
      <c r="E18" s="856" t="b">
        <v>0</v>
      </c>
      <c r="F18" s="568" t="s">
        <v>109</v>
      </c>
      <c r="G18" s="912"/>
      <c r="H18" s="912"/>
      <c r="I18" s="912"/>
      <c r="J18" s="912"/>
      <c r="K18" s="912"/>
      <c r="L18" s="912"/>
      <c r="M18" s="912"/>
      <c r="N18" s="912"/>
      <c r="S18" s="949" t="b">
        <v>0</v>
      </c>
      <c r="T18" s="930" t="s">
        <v>297</v>
      </c>
      <c r="U18" s="932"/>
      <c r="V18" s="932"/>
      <c r="W18" s="932"/>
      <c r="X18" s="932"/>
      <c r="Y18" s="932"/>
      <c r="Z18" s="932"/>
      <c r="AA18" s="936"/>
      <c r="AB18" s="932"/>
      <c r="AC18" s="933"/>
      <c r="AD18" s="3113"/>
      <c r="AE18" s="3114"/>
      <c r="AF18" s="3115"/>
      <c r="AK18" s="909"/>
      <c r="AL18" s="856" t="b">
        <v>0</v>
      </c>
      <c r="AM18" s="568" t="s">
        <v>112</v>
      </c>
      <c r="AN18" s="568"/>
      <c r="AX18" s="910"/>
    </row>
    <row r="19" spans="2:76" s="567" customFormat="1" ht="19.5" customHeight="1">
      <c r="B19" s="911"/>
      <c r="C19" s="912"/>
      <c r="E19" s="856" t="b">
        <v>0</v>
      </c>
      <c r="F19" s="568" t="s">
        <v>298</v>
      </c>
      <c r="G19" s="912"/>
      <c r="H19" s="912"/>
      <c r="I19" s="912"/>
      <c r="J19" s="912"/>
      <c r="K19" s="912"/>
      <c r="L19" s="912"/>
      <c r="M19" s="912"/>
      <c r="N19" s="912"/>
      <c r="S19" s="950" t="b">
        <v>0</v>
      </c>
      <c r="T19" s="937" t="s">
        <v>908</v>
      </c>
      <c r="U19" s="938"/>
      <c r="V19" s="938"/>
      <c r="W19" s="938"/>
      <c r="X19" s="938"/>
      <c r="Y19" s="938"/>
      <c r="Z19" s="938"/>
      <c r="AA19" s="938"/>
      <c r="AB19" s="938"/>
      <c r="AC19" s="939"/>
      <c r="AD19" s="3120"/>
      <c r="AE19" s="3121"/>
      <c r="AF19" s="3122"/>
      <c r="AK19" s="909"/>
      <c r="AL19" s="856" t="b">
        <v>0</v>
      </c>
      <c r="AM19" s="568" t="s">
        <v>296</v>
      </c>
      <c r="AN19" s="568"/>
      <c r="AO19" s="918"/>
      <c r="AX19" s="910"/>
    </row>
    <row r="20" spans="2:76" s="567" customFormat="1" ht="19.5" customHeight="1">
      <c r="B20" s="911"/>
      <c r="C20" s="912"/>
      <c r="E20" s="856" t="b">
        <v>0</v>
      </c>
      <c r="F20" s="568" t="s">
        <v>297</v>
      </c>
      <c r="G20" s="912"/>
      <c r="H20" s="912"/>
      <c r="I20" s="912"/>
      <c r="J20" s="912"/>
      <c r="K20" s="912"/>
      <c r="L20" s="912"/>
      <c r="M20" s="912"/>
      <c r="N20" s="912"/>
      <c r="S20" s="923"/>
      <c r="T20" s="2672"/>
      <c r="U20" s="2672"/>
      <c r="V20" s="2672"/>
      <c r="W20" s="2672"/>
      <c r="X20" s="2672"/>
      <c r="Y20" s="2672"/>
      <c r="Z20" s="2672"/>
      <c r="AA20" s="2672"/>
      <c r="AB20" s="2672"/>
      <c r="AC20" s="922"/>
      <c r="AD20" s="3126"/>
      <c r="AE20" s="3127"/>
      <c r="AF20" s="3128"/>
      <c r="AL20" s="856" t="b">
        <v>1</v>
      </c>
      <c r="AM20" s="568" t="s">
        <v>908</v>
      </c>
      <c r="AN20" s="609"/>
      <c r="AO20" s="568"/>
      <c r="AP20" s="681"/>
      <c r="AQ20" s="2672" t="s">
        <v>11890</v>
      </c>
      <c r="AR20" s="2672"/>
      <c r="AS20" s="2672"/>
      <c r="AT20" s="2672"/>
      <c r="AU20" s="2672"/>
      <c r="AV20" s="681"/>
      <c r="AW20" s="681"/>
      <c r="AX20" s="910"/>
    </row>
    <row r="21" spans="2:76" s="567" customFormat="1" ht="3" customHeight="1" thickBot="1">
      <c r="B21" s="911"/>
      <c r="C21" s="912"/>
      <c r="E21" s="856"/>
      <c r="F21" s="568"/>
      <c r="G21" s="912"/>
      <c r="H21" s="912"/>
      <c r="I21" s="912"/>
      <c r="J21" s="912"/>
      <c r="K21" s="912"/>
      <c r="L21" s="912"/>
      <c r="M21" s="912"/>
      <c r="N21" s="912"/>
      <c r="S21" s="913"/>
      <c r="T21" s="914"/>
      <c r="U21" s="914"/>
      <c r="V21" s="914"/>
      <c r="W21" s="914"/>
      <c r="X21" s="914"/>
      <c r="Y21" s="914"/>
      <c r="Z21" s="914"/>
      <c r="AA21" s="914"/>
      <c r="AB21" s="914"/>
      <c r="AC21" s="915"/>
      <c r="AD21" s="916"/>
      <c r="AE21" s="916"/>
      <c r="AF21" s="917"/>
      <c r="AL21" s="807"/>
      <c r="AM21" s="568"/>
      <c r="AN21" s="568"/>
      <c r="AP21" s="918"/>
      <c r="AQ21" s="918"/>
      <c r="AR21" s="908"/>
      <c r="AS21" s="908"/>
      <c r="AT21" s="908"/>
      <c r="AU21" s="908"/>
      <c r="AV21" s="908"/>
      <c r="AW21" s="908"/>
      <c r="AX21" s="910"/>
    </row>
    <row r="22" spans="2:76" s="567" customFormat="1" ht="19.5" customHeight="1">
      <c r="B22" s="911"/>
      <c r="C22" s="912"/>
      <c r="E22" s="856" t="b">
        <v>0</v>
      </c>
      <c r="F22" s="568" t="s">
        <v>110</v>
      </c>
      <c r="G22" s="912"/>
      <c r="H22" s="912"/>
      <c r="I22" s="912"/>
      <c r="J22" s="912"/>
      <c r="K22" s="912"/>
      <c r="L22" s="912"/>
      <c r="M22" s="912"/>
      <c r="N22" s="912"/>
      <c r="T22" s="646" t="str">
        <f>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specify.",IF(AND(sch_site_chk33_mode_others=TRUE,sch_site_33_mode_specify&gt;0,ISBLANK(sch_site_33_modeyr_others)),"Please specify Year acquired.",IF(AND(sch_site_chk33_mode_others=FALSE,sch_site_33_mode_specify&gt;0,sch_site_33_modeyr_others&gt;0),"Please check Others if you have entries.",""))))))))</f>
        <v/>
      </c>
      <c r="AQ22" s="919" t="str">
        <f>IF(AND(sch_site_chk60_leg_own_others=TRUE,ISBLANK(sch_site_60_leg_own_specify)),"Please specify.",IF(AND(sch_site_chk60_leg_own_others=FALSE,(sch_site_60_leg_own_specify&gt;0)),"Please check Others if you have entries.",""))</f>
        <v/>
      </c>
      <c r="AX22" s="910"/>
    </row>
    <row r="23" spans="2:76" s="681" customFormat="1" ht="19.5" customHeight="1">
      <c r="B23" s="911"/>
      <c r="C23" s="567"/>
      <c r="D23" s="567"/>
      <c r="E23" s="856" t="b">
        <v>0</v>
      </c>
      <c r="F23" s="568" t="s">
        <v>338</v>
      </c>
      <c r="G23" s="567"/>
      <c r="H23" s="567"/>
      <c r="I23" s="567"/>
      <c r="J23" s="567"/>
      <c r="K23" s="567"/>
      <c r="L23" s="567"/>
      <c r="M23" s="567"/>
      <c r="N23" s="567"/>
      <c r="O23" s="567"/>
      <c r="Q23" s="567"/>
      <c r="R23" s="567"/>
      <c r="S23" s="567"/>
      <c r="T23" s="567"/>
      <c r="U23" s="567"/>
      <c r="V23" s="567"/>
      <c r="W23" s="567"/>
      <c r="X23" s="567"/>
      <c r="Y23" s="567"/>
      <c r="Z23" s="567"/>
      <c r="AA23" s="567"/>
      <c r="AB23" s="567"/>
      <c r="AC23" s="567"/>
      <c r="AD23" s="567"/>
      <c r="AE23" s="567"/>
      <c r="AF23" s="567"/>
      <c r="AG23" s="567"/>
      <c r="AH23" s="567"/>
      <c r="AI23" s="567"/>
      <c r="AJ23" s="567" t="s">
        <v>1140</v>
      </c>
      <c r="AK23" s="509"/>
      <c r="AL23" s="189"/>
      <c r="AM23" s="567"/>
      <c r="AN23" s="568"/>
      <c r="AO23" s="567"/>
      <c r="AP23" s="567"/>
      <c r="AQ23" s="567"/>
      <c r="AR23" s="567"/>
      <c r="AS23" s="567"/>
      <c r="AT23" s="567"/>
      <c r="AU23" s="567"/>
      <c r="AV23" s="567"/>
      <c r="AW23" s="567"/>
      <c r="AX23" s="910"/>
    </row>
    <row r="24" spans="2:76" s="681" customFormat="1" ht="19.5" customHeight="1">
      <c r="B24" s="911"/>
      <c r="E24" s="856" t="b">
        <v>0</v>
      </c>
      <c r="F24" s="568" t="s">
        <v>295</v>
      </c>
      <c r="Q24" s="807"/>
      <c r="R24" s="568"/>
      <c r="S24" s="567"/>
      <c r="T24" s="567"/>
      <c r="U24" s="567"/>
      <c r="V24" s="567"/>
      <c r="W24" s="567"/>
      <c r="X24" s="567"/>
      <c r="Y24" s="567"/>
      <c r="Z24" s="567"/>
      <c r="AA24" s="567"/>
      <c r="AB24" s="567"/>
      <c r="AC24" s="567"/>
      <c r="AD24" s="567"/>
      <c r="AE24" s="567"/>
      <c r="AF24" s="567"/>
      <c r="AG24" s="567"/>
      <c r="AH24" s="567"/>
      <c r="AI24" s="567"/>
      <c r="AJ24" s="567"/>
      <c r="AK24" s="909"/>
      <c r="AL24" s="856" t="b">
        <v>0</v>
      </c>
      <c r="AM24" s="568" t="s">
        <v>294</v>
      </c>
      <c r="AN24" s="568"/>
      <c r="AO24" s="567"/>
      <c r="AP24" s="567"/>
      <c r="AQ24" s="567"/>
      <c r="AR24" s="567"/>
      <c r="AS24" s="567"/>
      <c r="AT24" s="567"/>
      <c r="AU24" s="567"/>
      <c r="AV24" s="567"/>
      <c r="AW24" s="567"/>
      <c r="AX24" s="910"/>
    </row>
    <row r="25" spans="2:76" s="681" customFormat="1" ht="15" customHeight="1">
      <c r="B25" s="911"/>
      <c r="E25" s="856" t="b">
        <v>0</v>
      </c>
      <c r="F25" s="568" t="s">
        <v>1393</v>
      </c>
      <c r="G25" s="609"/>
      <c r="H25" s="568"/>
      <c r="J25" s="568"/>
      <c r="K25" s="568"/>
      <c r="L25" s="568"/>
      <c r="M25" s="568"/>
      <c r="N25" s="568"/>
      <c r="V25" s="3129"/>
      <c r="W25" s="3129"/>
      <c r="X25" s="3129"/>
      <c r="Y25" s="3129"/>
      <c r="Z25" s="567"/>
      <c r="AA25" s="567"/>
      <c r="AB25" s="567"/>
      <c r="AC25" s="567"/>
      <c r="AD25" s="567"/>
      <c r="AE25" s="567"/>
      <c r="AF25" s="567"/>
      <c r="AG25" s="567"/>
      <c r="AH25" s="567"/>
      <c r="AI25" s="567"/>
      <c r="AJ25" s="567"/>
      <c r="AK25" s="909"/>
      <c r="AL25" s="856" t="b">
        <v>0</v>
      </c>
      <c r="AM25" s="568" t="s">
        <v>293</v>
      </c>
      <c r="AN25" s="568"/>
      <c r="AO25" s="567"/>
      <c r="AP25" s="567"/>
      <c r="AQ25" s="567"/>
      <c r="AR25" s="567"/>
      <c r="AS25" s="567"/>
      <c r="AT25" s="567"/>
      <c r="AU25" s="567"/>
      <c r="AV25" s="567"/>
      <c r="AW25" s="567"/>
      <c r="AX25" s="910"/>
    </row>
    <row r="26" spans="2:76" s="681" customFormat="1" ht="20.5" customHeight="1">
      <c r="B26" s="911"/>
      <c r="E26" s="947" t="b">
        <v>0</v>
      </c>
      <c r="F26" s="588" t="s">
        <v>908</v>
      </c>
      <c r="J26" s="3130"/>
      <c r="K26" s="3130"/>
      <c r="L26" s="3130"/>
      <c r="M26" s="3130"/>
      <c r="N26" s="3130"/>
      <c r="O26" s="907" t="str">
        <f>IF(AND(sch_site_chk31_yes_others=TRUE,ISBLANK(sch_site_31_specify)),"Please specify.",IF(AND(sch_site_chk31_yes_others=FALSE,(sch_site_31_specify&gt;0)),"Please check Others if you have entries.",""))</f>
        <v/>
      </c>
      <c r="Q26" s="807"/>
      <c r="R26" s="568"/>
      <c r="S26" s="567"/>
      <c r="T26" s="567"/>
      <c r="U26" s="567"/>
      <c r="V26" s="908"/>
      <c r="W26" s="908"/>
      <c r="X26" s="908"/>
      <c r="Y26" s="908"/>
      <c r="Z26" s="567"/>
      <c r="AA26" s="567"/>
      <c r="AB26" s="567"/>
      <c r="AC26" s="567"/>
      <c r="AD26" s="567"/>
      <c r="AE26" s="567"/>
      <c r="AF26" s="567"/>
      <c r="AG26" s="567"/>
      <c r="AH26" s="567"/>
      <c r="AI26" s="567"/>
      <c r="AJ26" s="567"/>
      <c r="AK26" s="909"/>
      <c r="AL26" s="807"/>
      <c r="AM26" s="568"/>
      <c r="AN26" s="568"/>
      <c r="AO26" s="567"/>
      <c r="AP26" s="567"/>
      <c r="AQ26" s="567"/>
      <c r="AR26" s="567"/>
      <c r="AS26" s="567"/>
      <c r="AT26" s="567"/>
      <c r="AU26" s="567"/>
      <c r="AV26" s="567"/>
      <c r="AW26" s="567"/>
      <c r="AX26" s="910"/>
    </row>
    <row r="27" spans="2:76" s="681" customFormat="1" ht="4" customHeight="1" thickBot="1">
      <c r="B27" s="892"/>
      <c r="C27" s="893"/>
      <c r="D27" s="893"/>
      <c r="E27" s="893"/>
      <c r="F27" s="893"/>
      <c r="G27" s="893"/>
      <c r="H27" s="893"/>
      <c r="I27" s="893"/>
      <c r="J27" s="893"/>
      <c r="K27" s="893"/>
      <c r="L27" s="893"/>
      <c r="M27" s="893"/>
      <c r="N27" s="893"/>
      <c r="O27" s="893"/>
      <c r="P27" s="893"/>
      <c r="Q27" s="893"/>
      <c r="R27" s="893"/>
      <c r="S27" s="893"/>
      <c r="T27" s="893"/>
      <c r="U27" s="893"/>
      <c r="V27" s="893"/>
      <c r="W27" s="893"/>
      <c r="X27" s="893"/>
      <c r="Y27" s="893"/>
      <c r="Z27" s="893"/>
      <c r="AA27" s="893"/>
      <c r="AB27" s="893"/>
      <c r="AC27" s="893"/>
      <c r="AD27" s="893"/>
      <c r="AE27" s="893"/>
      <c r="AF27" s="893"/>
      <c r="AG27" s="893"/>
      <c r="AH27" s="893"/>
      <c r="AI27" s="893"/>
      <c r="AJ27" s="893"/>
      <c r="AK27" s="893"/>
      <c r="AL27" s="893"/>
      <c r="AM27" s="753"/>
      <c r="AN27" s="753"/>
      <c r="AO27" s="753"/>
      <c r="AP27" s="753"/>
      <c r="AQ27" s="753"/>
      <c r="AR27" s="753"/>
      <c r="AS27" s="753"/>
      <c r="AT27" s="753"/>
      <c r="AU27" s="753"/>
      <c r="AV27" s="894"/>
      <c r="AW27" s="894"/>
      <c r="AX27" s="707"/>
    </row>
    <row r="28" spans="2:76" s="681" customFormat="1" ht="10.75" customHeight="1">
      <c r="B28" s="661"/>
      <c r="C28" s="895"/>
      <c r="D28" s="896"/>
      <c r="E28" s="896"/>
      <c r="F28" s="896"/>
      <c r="G28" s="896"/>
      <c r="H28" s="896"/>
      <c r="I28" s="896"/>
      <c r="J28" s="896"/>
      <c r="K28" s="896"/>
      <c r="L28" s="896"/>
      <c r="M28" s="661"/>
      <c r="N28" s="661"/>
      <c r="O28" s="661"/>
      <c r="P28" s="661"/>
      <c r="Q28" s="661"/>
      <c r="R28" s="661"/>
      <c r="S28" s="661"/>
      <c r="T28" s="661"/>
      <c r="U28" s="661"/>
      <c r="V28" s="661"/>
      <c r="W28" s="661"/>
      <c r="X28" s="661"/>
      <c r="Y28" s="661"/>
      <c r="Z28" s="661"/>
      <c r="AA28" s="661"/>
      <c r="AB28" s="661"/>
      <c r="AC28" s="661"/>
      <c r="AD28" s="661"/>
      <c r="AE28" s="661"/>
      <c r="AF28" s="661"/>
      <c r="AG28" s="661"/>
      <c r="AH28" s="661"/>
      <c r="AI28" s="568"/>
      <c r="AJ28" s="661"/>
      <c r="AK28" s="661"/>
      <c r="AL28" s="661"/>
      <c r="AM28" s="661"/>
      <c r="AN28" s="661"/>
      <c r="AO28" s="661"/>
      <c r="AP28" s="661"/>
      <c r="AQ28" s="661"/>
      <c r="AR28" s="661"/>
      <c r="AS28" s="661"/>
      <c r="AT28" s="661"/>
      <c r="AU28" s="661"/>
      <c r="AV28" s="661"/>
      <c r="AW28" s="661"/>
      <c r="AX28" s="661"/>
    </row>
    <row r="29" spans="2:76" s="681" customFormat="1" ht="18" customHeight="1">
      <c r="B29" s="801" t="s">
        <v>151</v>
      </c>
      <c r="C29" s="3013" t="s">
        <v>1141</v>
      </c>
      <c r="D29" s="3013"/>
      <c r="E29" s="3013"/>
      <c r="F29" s="3013"/>
      <c r="G29" s="3013"/>
      <c r="H29" s="3013"/>
      <c r="I29" s="3013"/>
      <c r="J29" s="3013"/>
      <c r="K29" s="3013"/>
      <c r="L29" s="3013"/>
      <c r="M29" s="3013"/>
      <c r="N29" s="3013"/>
      <c r="O29" s="3013"/>
      <c r="P29" s="3013"/>
      <c r="Q29" s="3013"/>
      <c r="R29" s="3013"/>
      <c r="S29" s="3013"/>
      <c r="T29" s="3013"/>
      <c r="U29" s="3013"/>
      <c r="V29" s="3013"/>
      <c r="W29" s="3013"/>
      <c r="X29" s="3013"/>
      <c r="Y29" s="3013"/>
      <c r="Z29" s="3013"/>
      <c r="AA29" s="3013"/>
      <c r="AB29" s="3013"/>
      <c r="AC29" s="3013"/>
      <c r="AD29" s="3013"/>
      <c r="AE29" s="3013"/>
      <c r="AF29" s="3013"/>
      <c r="AG29" s="3013"/>
      <c r="AH29" s="3013"/>
      <c r="AI29" s="3013"/>
      <c r="AJ29" s="3013"/>
      <c r="AK29" s="3013"/>
      <c r="AL29" s="3013"/>
      <c r="AM29" s="3013"/>
      <c r="AN29" s="3013"/>
      <c r="AO29" s="3013"/>
      <c r="AP29" s="3013"/>
      <c r="AQ29" s="3013"/>
      <c r="AR29" s="3013"/>
      <c r="AS29" s="3013"/>
      <c r="AT29" s="3013"/>
      <c r="AU29" s="3013"/>
      <c r="AV29" s="3013"/>
      <c r="AW29" s="3013"/>
      <c r="AX29" s="3013"/>
    </row>
    <row r="30" spans="2:76" s="661" customFormat="1" ht="18" customHeight="1">
      <c r="B30" s="897"/>
      <c r="C30" s="898" t="s">
        <v>292</v>
      </c>
      <c r="E30" s="802"/>
      <c r="F30" s="802"/>
      <c r="G30" s="802"/>
      <c r="H30" s="802"/>
      <c r="I30" s="802"/>
      <c r="J30" s="802"/>
      <c r="K30" s="802"/>
      <c r="L30" s="802"/>
      <c r="M30" s="802"/>
      <c r="N30" s="802"/>
      <c r="O30" s="802"/>
      <c r="P30" s="802"/>
      <c r="Q30" s="802"/>
      <c r="R30" s="802"/>
      <c r="S30" s="802"/>
      <c r="T30" s="802"/>
      <c r="U30" s="802"/>
      <c r="V30" s="802"/>
      <c r="W30" s="802"/>
      <c r="X30" s="802"/>
      <c r="Y30" s="802"/>
      <c r="Z30" s="802"/>
      <c r="AA30" s="802"/>
      <c r="AB30" s="802"/>
      <c r="AC30" s="802"/>
      <c r="AD30" s="802"/>
      <c r="AE30" s="802"/>
      <c r="AF30" s="802"/>
      <c r="AG30" s="802"/>
      <c r="AH30" s="802"/>
      <c r="AI30" s="802"/>
      <c r="AJ30" s="802"/>
      <c r="AK30" s="802"/>
      <c r="AL30" s="802"/>
      <c r="AM30" s="802"/>
      <c r="AN30" s="802"/>
      <c r="AO30" s="802"/>
      <c r="AP30" s="802"/>
      <c r="AQ30" s="802"/>
      <c r="AR30" s="802"/>
      <c r="AS30" s="802"/>
      <c r="AT30" s="802"/>
      <c r="AU30" s="802"/>
      <c r="AV30" s="802"/>
      <c r="AW30" s="802"/>
      <c r="AX30" s="802"/>
      <c r="BF30" s="588"/>
      <c r="BX30" s="557"/>
    </row>
    <row r="31" spans="2:76" s="661" customFormat="1" ht="20.149999999999999" customHeight="1">
      <c r="B31" s="898"/>
      <c r="C31" s="898"/>
      <c r="D31" s="3013" t="s">
        <v>395</v>
      </c>
      <c r="E31" s="3013"/>
      <c r="F31" s="3013"/>
      <c r="G31" s="3013"/>
      <c r="H31" s="3013"/>
      <c r="I31" s="3013"/>
      <c r="J31" s="3013"/>
      <c r="K31" s="3013"/>
      <c r="L31" s="3013"/>
      <c r="M31" s="3013"/>
      <c r="N31" s="3013"/>
      <c r="O31" s="3013"/>
      <c r="P31" s="3013"/>
      <c r="Q31" s="3013"/>
      <c r="R31" s="3013"/>
      <c r="S31" s="3013"/>
      <c r="T31" s="3013"/>
      <c r="U31" s="3013"/>
      <c r="V31" s="3013"/>
      <c r="W31" s="3013"/>
      <c r="X31" s="3013"/>
      <c r="Y31" s="3013"/>
      <c r="Z31" s="3013"/>
      <c r="AA31" s="3013"/>
      <c r="AB31" s="3013"/>
      <c r="AC31" s="3013"/>
      <c r="AD31" s="3013"/>
      <c r="AE31" s="3013"/>
      <c r="AF31" s="3013"/>
      <c r="AG31" s="3013"/>
      <c r="AH31" s="3013"/>
      <c r="AI31" s="3013"/>
      <c r="AJ31" s="3013"/>
      <c r="AK31" s="3013"/>
      <c r="AL31" s="3013"/>
      <c r="AM31" s="3013"/>
      <c r="AN31" s="3013"/>
      <c r="AO31" s="3013"/>
      <c r="AP31" s="3013"/>
      <c r="AQ31" s="3013"/>
      <c r="AR31" s="3013"/>
      <c r="AS31" s="3013"/>
      <c r="AT31" s="3013"/>
      <c r="AU31" s="3013"/>
      <c r="AV31" s="3013"/>
      <c r="AW31" s="3013"/>
      <c r="AX31" s="3013"/>
      <c r="AY31" s="802"/>
      <c r="AZ31" s="802"/>
      <c r="BA31" s="802"/>
      <c r="BB31" s="802"/>
      <c r="BC31" s="802"/>
      <c r="BD31" s="802"/>
      <c r="BE31" s="802"/>
      <c r="BF31" s="802"/>
      <c r="BG31" s="802"/>
      <c r="BH31" s="802"/>
      <c r="BI31" s="802"/>
      <c r="BJ31" s="802"/>
      <c r="BK31" s="802"/>
      <c r="BL31" s="802"/>
      <c r="BM31" s="802"/>
      <c r="BX31" s="557"/>
    </row>
    <row r="32" spans="2:76" s="661" customFormat="1" ht="31.75" customHeight="1">
      <c r="B32" s="898"/>
      <c r="C32" s="898"/>
      <c r="D32" s="899" t="s">
        <v>114</v>
      </c>
      <c r="E32" s="3012" t="s">
        <v>1142</v>
      </c>
      <c r="F32" s="3012"/>
      <c r="G32" s="3012"/>
      <c r="H32" s="3012"/>
      <c r="I32" s="3012"/>
      <c r="J32" s="3012"/>
      <c r="K32" s="3012"/>
      <c r="L32" s="3012"/>
      <c r="M32" s="3012"/>
      <c r="N32" s="3012"/>
      <c r="O32" s="3012"/>
      <c r="P32" s="3012"/>
      <c r="Q32" s="3012"/>
      <c r="R32" s="3012"/>
      <c r="S32" s="3012"/>
      <c r="T32" s="3012"/>
      <c r="U32" s="3012"/>
      <c r="V32" s="3012"/>
      <c r="W32" s="3012"/>
      <c r="X32" s="3012"/>
      <c r="Y32" s="3012"/>
      <c r="Z32" s="3012"/>
      <c r="AA32" s="3012"/>
      <c r="AB32" s="3012"/>
      <c r="AC32" s="3012"/>
      <c r="AD32" s="3012"/>
      <c r="AE32" s="3012"/>
      <c r="AF32" s="3012"/>
      <c r="AG32" s="3012"/>
      <c r="AH32" s="3012"/>
      <c r="AI32" s="3012"/>
      <c r="AJ32" s="3012"/>
      <c r="AK32" s="3012"/>
      <c r="AL32" s="3012"/>
      <c r="AM32" s="3012"/>
      <c r="AN32" s="3012"/>
      <c r="AO32" s="3012"/>
      <c r="AP32" s="3012"/>
      <c r="AQ32" s="3012"/>
      <c r="AR32" s="3012"/>
      <c r="AS32" s="3012"/>
      <c r="AT32" s="3012"/>
      <c r="AU32" s="3012"/>
      <c r="AV32" s="3012"/>
      <c r="AW32" s="3012"/>
      <c r="AX32" s="3012"/>
      <c r="AY32" s="802"/>
      <c r="AZ32" s="802"/>
      <c r="BA32" s="802"/>
      <c r="BB32" s="802"/>
      <c r="BC32" s="802"/>
      <c r="BD32" s="802"/>
      <c r="BE32" s="802"/>
      <c r="BF32" s="802"/>
      <c r="BG32" s="802"/>
      <c r="BH32" s="802"/>
      <c r="BI32" s="802"/>
      <c r="BJ32" s="802"/>
      <c r="BK32" s="802"/>
      <c r="BL32" s="802"/>
      <c r="BM32" s="802"/>
      <c r="BX32" s="557"/>
    </row>
    <row r="33" spans="2:77" s="661" customFormat="1" ht="20.149999999999999" customHeight="1">
      <c r="B33" s="898"/>
      <c r="C33" s="898"/>
      <c r="D33" s="899" t="s">
        <v>115</v>
      </c>
      <c r="E33" s="3012" t="s">
        <v>396</v>
      </c>
      <c r="F33" s="3012"/>
      <c r="G33" s="3012"/>
      <c r="H33" s="3012"/>
      <c r="I33" s="3012"/>
      <c r="J33" s="3012"/>
      <c r="K33" s="3012"/>
      <c r="L33" s="3012"/>
      <c r="M33" s="3012"/>
      <c r="N33" s="3012"/>
      <c r="O33" s="3012"/>
      <c r="P33" s="3012"/>
      <c r="Q33" s="3012"/>
      <c r="R33" s="3012"/>
      <c r="S33" s="3012"/>
      <c r="T33" s="3012"/>
      <c r="U33" s="3012"/>
      <c r="V33" s="3012"/>
      <c r="W33" s="3012"/>
      <c r="X33" s="3012"/>
      <c r="Y33" s="3012"/>
      <c r="Z33" s="3012"/>
      <c r="AA33" s="3012"/>
      <c r="AB33" s="3012"/>
      <c r="AC33" s="3012"/>
      <c r="AD33" s="3012"/>
      <c r="AE33" s="3012"/>
      <c r="AF33" s="3012"/>
      <c r="AG33" s="3012"/>
      <c r="AH33" s="3012"/>
      <c r="AI33" s="3012"/>
      <c r="AJ33" s="3012"/>
      <c r="AK33" s="3012"/>
      <c r="AL33" s="3012"/>
      <c r="AM33" s="3012"/>
      <c r="AN33" s="3012"/>
      <c r="AO33" s="3012"/>
      <c r="AP33" s="3012"/>
      <c r="AQ33" s="3012"/>
      <c r="AR33" s="3012"/>
      <c r="AS33" s="3012"/>
      <c r="AT33" s="3012"/>
      <c r="AU33" s="3012"/>
      <c r="AV33" s="3012"/>
      <c r="AW33" s="3012"/>
      <c r="AX33" s="3012"/>
      <c r="AY33" s="802"/>
      <c r="AZ33" s="802"/>
      <c r="BA33" s="802"/>
      <c r="BB33" s="802"/>
      <c r="BC33" s="802"/>
      <c r="BD33" s="802"/>
      <c r="BE33" s="802"/>
      <c r="BF33" s="802"/>
      <c r="BG33" s="802"/>
      <c r="BH33" s="802"/>
      <c r="BI33" s="802"/>
      <c r="BJ33" s="802"/>
      <c r="BK33" s="802"/>
      <c r="BL33" s="802"/>
      <c r="BM33" s="802"/>
      <c r="BX33" s="557"/>
    </row>
    <row r="34" spans="2:77" s="661" customFormat="1" ht="20.149999999999999" customHeight="1">
      <c r="B34" s="898"/>
      <c r="C34" s="898"/>
      <c r="D34" s="899" t="s">
        <v>149</v>
      </c>
      <c r="E34" s="3012" t="s">
        <v>397</v>
      </c>
      <c r="F34" s="3012"/>
      <c r="G34" s="3012"/>
      <c r="H34" s="3012"/>
      <c r="I34" s="3012"/>
      <c r="J34" s="3012"/>
      <c r="K34" s="3012"/>
      <c r="L34" s="3012"/>
      <c r="M34" s="3012"/>
      <c r="N34" s="3012"/>
      <c r="O34" s="3012"/>
      <c r="P34" s="3012"/>
      <c r="Q34" s="3012"/>
      <c r="R34" s="3012"/>
      <c r="S34" s="3012"/>
      <c r="T34" s="3012"/>
      <c r="U34" s="3012"/>
      <c r="V34" s="3012"/>
      <c r="W34" s="3012"/>
      <c r="X34" s="3012"/>
      <c r="Y34" s="3012"/>
      <c r="Z34" s="3012"/>
      <c r="AA34" s="3012"/>
      <c r="AB34" s="3012"/>
      <c r="AC34" s="3012"/>
      <c r="AD34" s="3012"/>
      <c r="AE34" s="3012"/>
      <c r="AF34" s="3012"/>
      <c r="AG34" s="3012"/>
      <c r="AH34" s="3012"/>
      <c r="AI34" s="3012"/>
      <c r="AJ34" s="3012"/>
      <c r="AK34" s="3012"/>
      <c r="AL34" s="3012"/>
      <c r="AM34" s="3012"/>
      <c r="AN34" s="3012"/>
      <c r="AO34" s="3012"/>
      <c r="AP34" s="3012"/>
      <c r="AQ34" s="3012"/>
      <c r="AR34" s="3012"/>
      <c r="AS34" s="3012"/>
      <c r="AT34" s="3012"/>
      <c r="AU34" s="3012"/>
      <c r="AV34" s="3012"/>
      <c r="AW34" s="3012"/>
      <c r="AX34" s="3012"/>
      <c r="AY34" s="802"/>
      <c r="AZ34" s="802"/>
      <c r="BA34" s="802"/>
      <c r="BB34" s="802"/>
      <c r="BC34" s="802"/>
      <c r="BD34" s="802"/>
      <c r="BE34" s="802"/>
      <c r="BF34" s="802"/>
      <c r="BG34" s="802"/>
      <c r="BX34" s="557"/>
    </row>
    <row r="35" spans="2:77" s="661" customFormat="1" ht="20.149999999999999" customHeight="1">
      <c r="B35" s="898"/>
      <c r="C35" s="898"/>
      <c r="D35" s="899" t="s">
        <v>150</v>
      </c>
      <c r="E35" s="3012" t="s">
        <v>1768</v>
      </c>
      <c r="F35" s="3012"/>
      <c r="G35" s="3012"/>
      <c r="H35" s="3012"/>
      <c r="I35" s="3012"/>
      <c r="J35" s="3012"/>
      <c r="K35" s="3012"/>
      <c r="L35" s="3012"/>
      <c r="M35" s="3012"/>
      <c r="N35" s="3012"/>
      <c r="O35" s="3012"/>
      <c r="P35" s="3012"/>
      <c r="Q35" s="3012"/>
      <c r="R35" s="3012"/>
      <c r="S35" s="3012"/>
      <c r="T35" s="3012"/>
      <c r="U35" s="3012"/>
      <c r="V35" s="3012"/>
      <c r="W35" s="3012"/>
      <c r="X35" s="3012"/>
      <c r="Y35" s="3012"/>
      <c r="Z35" s="3012"/>
      <c r="AA35" s="3012"/>
      <c r="AB35" s="3012"/>
      <c r="AC35" s="3012"/>
      <c r="AD35" s="3012"/>
      <c r="AE35" s="3012"/>
      <c r="AF35" s="3012"/>
      <c r="AG35" s="3012"/>
      <c r="AH35" s="3012"/>
      <c r="AI35" s="3012"/>
      <c r="AJ35" s="3012"/>
      <c r="AK35" s="3012"/>
      <c r="AL35" s="3012"/>
      <c r="AM35" s="3012"/>
      <c r="AN35" s="3012"/>
      <c r="AO35" s="3012"/>
      <c r="AP35" s="3012"/>
      <c r="AQ35" s="3012"/>
      <c r="AR35" s="3012"/>
      <c r="AS35" s="3012"/>
      <c r="AT35" s="3012"/>
      <c r="AU35" s="3012"/>
      <c r="AV35" s="3012"/>
      <c r="AW35" s="3012"/>
      <c r="AX35" s="3012"/>
      <c r="AY35" s="802"/>
      <c r="AZ35" s="802"/>
      <c r="BA35" s="802"/>
      <c r="BB35" s="802"/>
      <c r="BC35" s="802"/>
      <c r="BD35" s="802"/>
      <c r="BE35" s="802"/>
      <c r="BF35" s="802"/>
      <c r="BG35" s="802"/>
      <c r="BX35" s="557"/>
    </row>
    <row r="36" spans="2:77" s="522" customFormat="1" ht="20.149999999999999" customHeight="1">
      <c r="B36" s="898"/>
      <c r="C36" s="898"/>
      <c r="D36" s="899" t="s">
        <v>167</v>
      </c>
      <c r="E36" s="3012" t="s">
        <v>398</v>
      </c>
      <c r="F36" s="3012"/>
      <c r="G36" s="3012"/>
      <c r="H36" s="3012"/>
      <c r="I36" s="3012"/>
      <c r="J36" s="3012"/>
      <c r="K36" s="3012"/>
      <c r="L36" s="3012"/>
      <c r="M36" s="3012"/>
      <c r="N36" s="3012"/>
      <c r="O36" s="3012"/>
      <c r="P36" s="3012"/>
      <c r="Q36" s="3012"/>
      <c r="R36" s="3012"/>
      <c r="S36" s="3012"/>
      <c r="T36" s="3012"/>
      <c r="U36" s="3012"/>
      <c r="V36" s="3012"/>
      <c r="W36" s="3012"/>
      <c r="X36" s="3012"/>
      <c r="Y36" s="3012"/>
      <c r="Z36" s="3012"/>
      <c r="AA36" s="3012"/>
      <c r="AB36" s="3012"/>
      <c r="AC36" s="3012"/>
      <c r="AD36" s="3012"/>
      <c r="AE36" s="3012"/>
      <c r="AF36" s="3012"/>
      <c r="AG36" s="3012"/>
      <c r="AH36" s="3012"/>
      <c r="AI36" s="3012"/>
      <c r="AJ36" s="3012"/>
      <c r="AK36" s="3012"/>
      <c r="AL36" s="3012"/>
      <c r="AM36" s="3012"/>
      <c r="AN36" s="3012"/>
      <c r="AO36" s="3012"/>
      <c r="AP36" s="3012"/>
      <c r="AQ36" s="3012"/>
      <c r="AR36" s="3012"/>
      <c r="AS36" s="3012"/>
      <c r="AT36" s="3012"/>
      <c r="AU36" s="3012"/>
      <c r="AV36" s="3012"/>
      <c r="AW36" s="3012"/>
      <c r="AX36" s="3012"/>
      <c r="AY36" s="802"/>
      <c r="AZ36" s="802"/>
      <c r="BA36" s="802"/>
      <c r="BB36" s="802"/>
      <c r="BC36" s="802"/>
      <c r="BD36" s="802"/>
      <c r="BE36" s="802"/>
      <c r="BF36" s="802"/>
      <c r="BG36" s="802"/>
      <c r="BH36" s="802"/>
      <c r="BI36" s="802"/>
      <c r="BJ36" s="802"/>
      <c r="BK36" s="802"/>
      <c r="BL36" s="802"/>
      <c r="BM36" s="802"/>
      <c r="BY36" s="334"/>
    </row>
    <row r="37" spans="2:77" s="522" customFormat="1" ht="20.149999999999999" customHeight="1">
      <c r="B37" s="898"/>
      <c r="C37" s="898"/>
      <c r="D37" s="899" t="s">
        <v>172</v>
      </c>
      <c r="E37" s="3012" t="s">
        <v>1143</v>
      </c>
      <c r="F37" s="3012"/>
      <c r="G37" s="3012"/>
      <c r="H37" s="3012"/>
      <c r="I37" s="3012"/>
      <c r="J37" s="3012"/>
      <c r="K37" s="3012"/>
      <c r="L37" s="3012"/>
      <c r="M37" s="3012"/>
      <c r="N37" s="3012"/>
      <c r="O37" s="3012"/>
      <c r="P37" s="3012"/>
      <c r="Q37" s="3012"/>
      <c r="R37" s="3012"/>
      <c r="S37" s="3012"/>
      <c r="T37" s="3012"/>
      <c r="U37" s="3012"/>
      <c r="V37" s="3012"/>
      <c r="W37" s="3012"/>
      <c r="X37" s="3012"/>
      <c r="Y37" s="3012"/>
      <c r="Z37" s="3012"/>
      <c r="AA37" s="3012"/>
      <c r="AB37" s="3012"/>
      <c r="AC37" s="3012"/>
      <c r="AD37" s="3012"/>
      <c r="AE37" s="3012"/>
      <c r="AF37" s="3012"/>
      <c r="AG37" s="3012"/>
      <c r="AH37" s="3012"/>
      <c r="AI37" s="3012"/>
      <c r="AJ37" s="3012"/>
      <c r="AK37" s="3012"/>
      <c r="AL37" s="3012"/>
      <c r="AM37" s="3012"/>
      <c r="AN37" s="3012"/>
      <c r="AO37" s="3012"/>
      <c r="AP37" s="3012"/>
      <c r="AQ37" s="3012"/>
      <c r="AR37" s="3012"/>
      <c r="AS37" s="3012"/>
      <c r="AT37" s="3012"/>
      <c r="AU37" s="3012"/>
      <c r="AV37" s="3012"/>
      <c r="AW37" s="3012"/>
      <c r="AX37" s="3012"/>
      <c r="AY37" s="802"/>
      <c r="AZ37" s="802"/>
      <c r="BA37" s="802"/>
      <c r="BB37" s="802"/>
      <c r="BC37" s="802"/>
      <c r="BD37" s="802"/>
      <c r="BE37" s="802"/>
      <c r="BF37" s="802"/>
      <c r="BG37" s="802"/>
      <c r="BH37" s="802"/>
      <c r="BI37" s="802"/>
      <c r="BJ37" s="802"/>
      <c r="BK37" s="802"/>
      <c r="BL37" s="802"/>
      <c r="BM37" s="802"/>
      <c r="BY37" s="334"/>
    </row>
    <row r="38" spans="2:77" s="522" customFormat="1" ht="20.149999999999999" customHeight="1">
      <c r="B38" s="898"/>
      <c r="C38" s="898"/>
      <c r="D38" s="899" t="s">
        <v>173</v>
      </c>
      <c r="E38" s="3012" t="s">
        <v>399</v>
      </c>
      <c r="F38" s="3012"/>
      <c r="G38" s="3012"/>
      <c r="H38" s="3012"/>
      <c r="I38" s="3012"/>
      <c r="J38" s="3012"/>
      <c r="K38" s="3012"/>
      <c r="L38" s="3012"/>
      <c r="M38" s="3012"/>
      <c r="N38" s="3012"/>
      <c r="O38" s="3012"/>
      <c r="P38" s="3012"/>
      <c r="Q38" s="3012"/>
      <c r="R38" s="3012"/>
      <c r="S38" s="3012"/>
      <c r="T38" s="3012"/>
      <c r="U38" s="3012"/>
      <c r="V38" s="3012"/>
      <c r="W38" s="3012"/>
      <c r="X38" s="3012"/>
      <c r="Y38" s="3012"/>
      <c r="Z38" s="3012"/>
      <c r="AA38" s="3012"/>
      <c r="AB38" s="3012"/>
      <c r="AC38" s="3012"/>
      <c r="AD38" s="3012"/>
      <c r="AE38" s="3012"/>
      <c r="AF38" s="3012"/>
      <c r="AG38" s="3012"/>
      <c r="AH38" s="3012"/>
      <c r="AI38" s="3012"/>
      <c r="AJ38" s="3012"/>
      <c r="AK38" s="3012"/>
      <c r="AL38" s="3012"/>
      <c r="AM38" s="3012"/>
      <c r="AN38" s="3012"/>
      <c r="AO38" s="3012"/>
      <c r="AP38" s="3012"/>
      <c r="AQ38" s="3012"/>
      <c r="AR38" s="3012"/>
      <c r="AS38" s="3012"/>
      <c r="AT38" s="3012"/>
      <c r="AU38" s="3012"/>
      <c r="AV38" s="3012"/>
      <c r="AW38" s="3012"/>
      <c r="AX38" s="3012"/>
      <c r="AY38" s="802"/>
      <c r="AZ38" s="802"/>
      <c r="BA38" s="802"/>
      <c r="BB38" s="802"/>
      <c r="BC38" s="802"/>
      <c r="BD38" s="802"/>
      <c r="BE38" s="802"/>
      <c r="BF38" s="802"/>
      <c r="BG38" s="802"/>
      <c r="BH38" s="802"/>
      <c r="BI38" s="802"/>
      <c r="BJ38" s="802"/>
      <c r="BK38" s="802"/>
      <c r="BL38" s="802"/>
      <c r="BM38" s="802"/>
      <c r="BY38" s="334"/>
    </row>
    <row r="39" spans="2:77" s="522" customFormat="1" ht="20.149999999999999" customHeight="1">
      <c r="B39" s="898"/>
      <c r="C39" s="898"/>
      <c r="D39" s="899" t="s">
        <v>174</v>
      </c>
      <c r="E39" s="3012" t="s">
        <v>400</v>
      </c>
      <c r="F39" s="3012"/>
      <c r="G39" s="3012"/>
      <c r="H39" s="3012"/>
      <c r="I39" s="3012"/>
      <c r="J39" s="3012"/>
      <c r="K39" s="3012"/>
      <c r="L39" s="3012"/>
      <c r="M39" s="3012"/>
      <c r="N39" s="3012"/>
      <c r="O39" s="3012"/>
      <c r="P39" s="3012"/>
      <c r="Q39" s="3012"/>
      <c r="R39" s="3012"/>
      <c r="S39" s="3012"/>
      <c r="T39" s="3012"/>
      <c r="U39" s="3012"/>
      <c r="V39" s="3012"/>
      <c r="W39" s="3012"/>
      <c r="X39" s="3012"/>
      <c r="Y39" s="3012"/>
      <c r="Z39" s="3012"/>
      <c r="AA39" s="3012"/>
      <c r="AB39" s="3012"/>
      <c r="AC39" s="3012"/>
      <c r="AD39" s="3012"/>
      <c r="AE39" s="3012"/>
      <c r="AF39" s="3012"/>
      <c r="AG39" s="3012"/>
      <c r="AH39" s="3012"/>
      <c r="AI39" s="3012"/>
      <c r="AJ39" s="3012"/>
      <c r="AK39" s="3012"/>
      <c r="AL39" s="3012"/>
      <c r="AM39" s="3012"/>
      <c r="AN39" s="3012"/>
      <c r="AO39" s="3012"/>
      <c r="AP39" s="3012"/>
      <c r="AQ39" s="3012"/>
      <c r="AR39" s="3012"/>
      <c r="AS39" s="3012"/>
      <c r="AT39" s="3012"/>
      <c r="AU39" s="3012"/>
      <c r="AV39" s="3012"/>
      <c r="AW39" s="3012"/>
      <c r="AX39" s="3012"/>
      <c r="AY39" s="900"/>
      <c r="AZ39" s="900"/>
      <c r="BA39" s="900"/>
      <c r="BB39" s="900"/>
      <c r="BC39" s="900"/>
      <c r="BD39" s="900"/>
      <c r="BE39" s="900"/>
      <c r="BF39" s="900"/>
      <c r="BG39" s="900"/>
      <c r="BH39" s="900"/>
      <c r="BI39" s="900"/>
      <c r="BJ39" s="900"/>
      <c r="BK39" s="900"/>
      <c r="BL39" s="900"/>
      <c r="BM39" s="900"/>
      <c r="BY39" s="334"/>
    </row>
    <row r="40" spans="2:77" s="522" customFormat="1" ht="20.149999999999999" customHeight="1">
      <c r="B40" s="898"/>
      <c r="C40" s="898"/>
      <c r="D40" s="899" t="s">
        <v>291</v>
      </c>
      <c r="E40" s="3012" t="s">
        <v>401</v>
      </c>
      <c r="F40" s="3012"/>
      <c r="G40" s="3012"/>
      <c r="H40" s="3012"/>
      <c r="I40" s="3012"/>
      <c r="J40" s="3012"/>
      <c r="K40" s="3012"/>
      <c r="L40" s="3012"/>
      <c r="M40" s="3012"/>
      <c r="N40" s="3012"/>
      <c r="O40" s="3012"/>
      <c r="P40" s="3012"/>
      <c r="Q40" s="3012"/>
      <c r="R40" s="3012"/>
      <c r="S40" s="3012"/>
      <c r="T40" s="3012"/>
      <c r="U40" s="3012"/>
      <c r="V40" s="3012"/>
      <c r="W40" s="3012"/>
      <c r="X40" s="3012"/>
      <c r="Y40" s="3012"/>
      <c r="Z40" s="3012"/>
      <c r="AA40" s="3012"/>
      <c r="AB40" s="3012"/>
      <c r="AC40" s="3012"/>
      <c r="AD40" s="3012"/>
      <c r="AE40" s="3012"/>
      <c r="AF40" s="3012"/>
      <c r="AG40" s="3012"/>
      <c r="AH40" s="3012"/>
      <c r="AI40" s="3012"/>
      <c r="AJ40" s="3012"/>
      <c r="AK40" s="3012"/>
      <c r="AL40" s="3012"/>
      <c r="AM40" s="3012"/>
      <c r="AN40" s="3012"/>
      <c r="AO40" s="3012"/>
      <c r="AP40" s="3012"/>
      <c r="AQ40" s="3012"/>
      <c r="AR40" s="3012"/>
      <c r="AS40" s="3012"/>
      <c r="AT40" s="3012"/>
      <c r="AU40" s="3012"/>
      <c r="AV40" s="3012"/>
      <c r="AW40" s="3012"/>
      <c r="AX40" s="3012"/>
      <c r="AY40" s="802"/>
      <c r="AZ40" s="802"/>
      <c r="BA40" s="802"/>
      <c r="BB40" s="802"/>
      <c r="BC40" s="802"/>
      <c r="BD40" s="802"/>
      <c r="BE40" s="802"/>
      <c r="BF40" s="802"/>
      <c r="BG40" s="802"/>
      <c r="BH40" s="802"/>
      <c r="BI40" s="802"/>
      <c r="BJ40" s="802"/>
      <c r="BK40" s="802"/>
      <c r="BL40" s="802"/>
      <c r="BM40" s="802"/>
      <c r="BY40" s="334"/>
    </row>
    <row r="41" spans="2:77" s="522" customFormat="1" ht="20.149999999999999" customHeight="1">
      <c r="B41" s="898"/>
      <c r="C41" s="898"/>
      <c r="D41" s="899" t="s">
        <v>290</v>
      </c>
      <c r="E41" s="3012" t="s">
        <v>402</v>
      </c>
      <c r="F41" s="3012"/>
      <c r="G41" s="3012"/>
      <c r="H41" s="3012"/>
      <c r="I41" s="3012"/>
      <c r="J41" s="3012"/>
      <c r="K41" s="3012"/>
      <c r="L41" s="3012"/>
      <c r="M41" s="3012"/>
      <c r="N41" s="3012"/>
      <c r="O41" s="3012"/>
      <c r="P41" s="3012"/>
      <c r="Q41" s="3012"/>
      <c r="R41" s="3012"/>
      <c r="S41" s="3012"/>
      <c r="T41" s="3012"/>
      <c r="U41" s="3012"/>
      <c r="V41" s="3012"/>
      <c r="W41" s="3012"/>
      <c r="X41" s="3012"/>
      <c r="Y41" s="3012"/>
      <c r="Z41" s="3012"/>
      <c r="AA41" s="3012"/>
      <c r="AB41" s="3012"/>
      <c r="AC41" s="3012"/>
      <c r="AD41" s="3012"/>
      <c r="AE41" s="3012"/>
      <c r="AF41" s="3012"/>
      <c r="AG41" s="3012"/>
      <c r="AH41" s="3012"/>
      <c r="AI41" s="3012"/>
      <c r="AJ41" s="3012"/>
      <c r="AK41" s="3012"/>
      <c r="AL41" s="3012"/>
      <c r="AM41" s="3012"/>
      <c r="AN41" s="3012"/>
      <c r="AO41" s="3012"/>
      <c r="AP41" s="3012"/>
      <c r="AQ41" s="3012"/>
      <c r="AR41" s="3012"/>
      <c r="AS41" s="3012"/>
      <c r="AT41" s="3012"/>
      <c r="AU41" s="3012"/>
      <c r="AV41" s="3012"/>
      <c r="AW41" s="3012"/>
      <c r="AX41" s="3012"/>
      <c r="AY41" s="802"/>
      <c r="AZ41" s="802"/>
      <c r="BA41" s="802"/>
      <c r="BB41" s="802"/>
      <c r="BC41" s="802"/>
      <c r="BD41" s="802"/>
      <c r="BE41" s="802"/>
      <c r="BF41" s="802"/>
      <c r="BG41" s="802"/>
      <c r="BH41" s="802"/>
      <c r="BI41" s="802"/>
      <c r="BJ41" s="802"/>
      <c r="BK41" s="802"/>
      <c r="BL41" s="802"/>
      <c r="BY41" s="334"/>
    </row>
    <row r="42" spans="2:77" s="522" customFormat="1" ht="32.5" customHeight="1">
      <c r="B42" s="898"/>
      <c r="C42" s="898"/>
      <c r="D42" s="899" t="s">
        <v>289</v>
      </c>
      <c r="E42" s="3012" t="s">
        <v>1389</v>
      </c>
      <c r="F42" s="3012"/>
      <c r="G42" s="3012"/>
      <c r="H42" s="3012"/>
      <c r="I42" s="3012"/>
      <c r="J42" s="3012"/>
      <c r="K42" s="3012"/>
      <c r="L42" s="3012"/>
      <c r="M42" s="3012"/>
      <c r="N42" s="3012"/>
      <c r="O42" s="3012"/>
      <c r="P42" s="3012"/>
      <c r="Q42" s="3012"/>
      <c r="R42" s="3012"/>
      <c r="S42" s="3012"/>
      <c r="T42" s="3012"/>
      <c r="U42" s="3012"/>
      <c r="V42" s="3012"/>
      <c r="W42" s="3012"/>
      <c r="X42" s="3012"/>
      <c r="Y42" s="3012"/>
      <c r="Z42" s="3012"/>
      <c r="AA42" s="3012"/>
      <c r="AB42" s="3012"/>
      <c r="AC42" s="3012"/>
      <c r="AD42" s="3012"/>
      <c r="AE42" s="3012"/>
      <c r="AF42" s="3012"/>
      <c r="AG42" s="3012"/>
      <c r="AH42" s="3012"/>
      <c r="AI42" s="3012"/>
      <c r="AJ42" s="3012"/>
      <c r="AK42" s="3012"/>
      <c r="AL42" s="3012"/>
      <c r="AM42" s="3012"/>
      <c r="AN42" s="3012"/>
      <c r="AO42" s="3012"/>
      <c r="AP42" s="3012"/>
      <c r="AQ42" s="3012"/>
      <c r="AR42" s="3012"/>
      <c r="AS42" s="3012"/>
      <c r="AT42" s="3012"/>
      <c r="AU42" s="3012"/>
      <c r="AV42" s="3012"/>
      <c r="AW42" s="3012"/>
      <c r="AX42" s="3012"/>
      <c r="AY42" s="802"/>
      <c r="AZ42" s="802"/>
      <c r="BA42" s="802"/>
      <c r="BB42" s="802"/>
      <c r="BC42" s="802"/>
      <c r="BD42" s="802"/>
      <c r="BE42" s="802"/>
      <c r="BF42" s="802"/>
      <c r="BG42" s="802"/>
      <c r="BH42" s="802"/>
      <c r="BI42" s="802"/>
      <c r="BJ42" s="802"/>
      <c r="BK42" s="802"/>
      <c r="BL42" s="802"/>
      <c r="BM42" s="802"/>
      <c r="BY42" s="334"/>
    </row>
    <row r="43" spans="2:77" s="522" customFormat="1" ht="20.149999999999999" customHeight="1">
      <c r="B43" s="898"/>
      <c r="C43" s="898"/>
      <c r="D43" s="899" t="s">
        <v>288</v>
      </c>
      <c r="E43" s="3012" t="s">
        <v>403</v>
      </c>
      <c r="F43" s="3012"/>
      <c r="G43" s="3012"/>
      <c r="H43" s="3012"/>
      <c r="I43" s="3012"/>
      <c r="J43" s="3012"/>
      <c r="K43" s="3012"/>
      <c r="L43" s="3012"/>
      <c r="M43" s="3012"/>
      <c r="N43" s="3012"/>
      <c r="O43" s="3012"/>
      <c r="P43" s="3012"/>
      <c r="Q43" s="3012"/>
      <c r="R43" s="3012"/>
      <c r="S43" s="3012"/>
      <c r="T43" s="3012"/>
      <c r="U43" s="3012"/>
      <c r="V43" s="3012"/>
      <c r="W43" s="3012"/>
      <c r="X43" s="3012"/>
      <c r="Y43" s="3012"/>
      <c r="Z43" s="3012"/>
      <c r="AA43" s="3012"/>
      <c r="AB43" s="3012"/>
      <c r="AC43" s="3012"/>
      <c r="AD43" s="3012"/>
      <c r="AE43" s="3012"/>
      <c r="AF43" s="3012"/>
      <c r="AG43" s="3012"/>
      <c r="AH43" s="3012"/>
      <c r="AI43" s="3012"/>
      <c r="AJ43" s="3012"/>
      <c r="AK43" s="3012"/>
      <c r="AL43" s="3012"/>
      <c r="AM43" s="3012"/>
      <c r="AN43" s="3012"/>
      <c r="AO43" s="3012"/>
      <c r="AP43" s="3012"/>
      <c r="AQ43" s="3012"/>
      <c r="AR43" s="3012"/>
      <c r="AS43" s="3012"/>
      <c r="AT43" s="3012"/>
      <c r="AU43" s="3012"/>
      <c r="AV43" s="3012"/>
      <c r="AW43" s="3012"/>
      <c r="AX43" s="3012"/>
      <c r="AY43" s="802"/>
      <c r="AZ43" s="802"/>
      <c r="BA43" s="802"/>
      <c r="BB43" s="802"/>
      <c r="BC43" s="802"/>
      <c r="BD43" s="802"/>
      <c r="BE43" s="802"/>
      <c r="BF43" s="802"/>
      <c r="BG43" s="802"/>
      <c r="BH43" s="802"/>
      <c r="BI43" s="802"/>
      <c r="BJ43" s="802"/>
      <c r="BK43" s="802"/>
      <c r="BL43" s="802"/>
      <c r="BY43" s="334"/>
    </row>
    <row r="44" spans="2:77" s="522" customFormat="1" ht="20.149999999999999" customHeight="1">
      <c r="B44" s="898"/>
      <c r="C44" s="898"/>
      <c r="D44" s="899" t="s">
        <v>287</v>
      </c>
      <c r="E44" s="802" t="s">
        <v>1769</v>
      </c>
      <c r="F44" s="802"/>
      <c r="G44" s="802"/>
      <c r="H44" s="802"/>
      <c r="I44" s="802"/>
      <c r="J44" s="802"/>
      <c r="K44" s="802"/>
      <c r="L44" s="802"/>
      <c r="M44" s="802"/>
      <c r="N44" s="802"/>
      <c r="O44" s="802"/>
      <c r="P44" s="802"/>
      <c r="Q44" s="802"/>
      <c r="R44" s="802"/>
      <c r="S44" s="802"/>
      <c r="T44" s="802"/>
      <c r="U44" s="802"/>
      <c r="V44" s="802"/>
      <c r="W44" s="802"/>
      <c r="X44" s="802"/>
      <c r="Y44" s="802"/>
      <c r="Z44" s="802"/>
      <c r="AA44" s="802"/>
      <c r="AB44" s="802"/>
      <c r="AC44" s="802"/>
      <c r="AD44" s="802"/>
      <c r="AE44" s="802"/>
      <c r="AF44" s="802"/>
      <c r="AG44" s="802"/>
      <c r="AH44" s="802"/>
      <c r="AI44" s="802"/>
      <c r="AJ44" s="802"/>
      <c r="AK44" s="802"/>
      <c r="AL44" s="802"/>
      <c r="AM44" s="802"/>
      <c r="AN44" s="802"/>
      <c r="AO44" s="802"/>
      <c r="AP44" s="802"/>
      <c r="AQ44" s="802"/>
      <c r="AR44" s="802"/>
      <c r="AS44" s="802"/>
      <c r="AT44" s="802"/>
      <c r="AU44" s="802"/>
      <c r="AV44" s="802"/>
      <c r="AW44" s="802"/>
      <c r="AX44" s="901"/>
      <c r="AY44" s="802"/>
      <c r="AZ44" s="802"/>
      <c r="BA44" s="802"/>
      <c r="BB44" s="802"/>
      <c r="BC44" s="802"/>
      <c r="BD44" s="802"/>
      <c r="BE44" s="802"/>
      <c r="BF44" s="802"/>
      <c r="BG44" s="802"/>
      <c r="BH44" s="802"/>
      <c r="BI44" s="802"/>
      <c r="BJ44" s="802"/>
      <c r="BK44" s="802"/>
      <c r="BL44" s="802"/>
      <c r="BY44" s="334"/>
    </row>
    <row r="45" spans="2:77" s="522" customFormat="1" ht="20.149999999999999" customHeight="1">
      <c r="B45" s="898"/>
      <c r="C45" s="898"/>
      <c r="D45" s="899"/>
      <c r="E45" s="827" t="s">
        <v>1390</v>
      </c>
      <c r="F45" s="902"/>
      <c r="G45" s="902"/>
      <c r="H45" s="902"/>
      <c r="I45" s="902"/>
      <c r="J45" s="902"/>
      <c r="K45" s="902"/>
      <c r="L45" s="902"/>
      <c r="M45" s="902"/>
      <c r="N45" s="902"/>
      <c r="O45" s="902"/>
      <c r="P45" s="902"/>
      <c r="Q45" s="902"/>
      <c r="R45" s="902"/>
      <c r="S45" s="902"/>
      <c r="T45" s="902"/>
      <c r="U45" s="902"/>
      <c r="V45" s="902"/>
      <c r="W45" s="902"/>
      <c r="X45" s="902"/>
      <c r="Y45" s="902"/>
      <c r="Z45" s="902"/>
      <c r="AA45" s="902"/>
      <c r="AB45" s="902"/>
      <c r="AC45" s="902"/>
      <c r="AD45" s="902"/>
      <c r="AE45" s="902"/>
      <c r="AF45" s="902"/>
      <c r="AG45" s="902"/>
      <c r="AH45" s="902"/>
      <c r="AI45" s="902"/>
      <c r="AJ45" s="902"/>
      <c r="AK45" s="902"/>
      <c r="AL45" s="902"/>
      <c r="AM45" s="902"/>
      <c r="AN45" s="902"/>
      <c r="AO45" s="902"/>
      <c r="AP45" s="902"/>
      <c r="AQ45" s="902"/>
      <c r="AR45" s="902"/>
      <c r="AS45" s="902"/>
      <c r="AT45" s="902"/>
      <c r="AU45" s="902"/>
      <c r="AV45" s="902"/>
      <c r="AW45" s="902"/>
      <c r="AX45" s="901"/>
      <c r="AY45" s="802"/>
      <c r="AZ45" s="802"/>
      <c r="BA45" s="802"/>
      <c r="BB45" s="802"/>
      <c r="BC45" s="802"/>
      <c r="BD45" s="802"/>
      <c r="BE45" s="802"/>
      <c r="BF45" s="802"/>
      <c r="BG45" s="802"/>
      <c r="BH45" s="802"/>
      <c r="BI45" s="802"/>
      <c r="BJ45" s="802"/>
      <c r="BK45" s="802"/>
      <c r="BL45" s="802"/>
      <c r="BY45" s="334"/>
    </row>
    <row r="46" spans="2:77" s="522" customFormat="1" ht="20.149999999999999" customHeight="1">
      <c r="B46" s="898"/>
      <c r="C46" s="898"/>
      <c r="D46" s="899" t="s">
        <v>1391</v>
      </c>
      <c r="E46" s="3012" t="s">
        <v>404</v>
      </c>
      <c r="F46" s="3012"/>
      <c r="G46" s="3012"/>
      <c r="H46" s="3012"/>
      <c r="I46" s="3012"/>
      <c r="J46" s="3012"/>
      <c r="K46" s="3012"/>
      <c r="L46" s="3012"/>
      <c r="M46" s="3012"/>
      <c r="N46" s="3012"/>
      <c r="O46" s="3012"/>
      <c r="P46" s="3012"/>
      <c r="Q46" s="3012"/>
      <c r="R46" s="3012"/>
      <c r="S46" s="3012"/>
      <c r="T46" s="3012"/>
      <c r="U46" s="3012"/>
      <c r="V46" s="3012"/>
      <c r="W46" s="3012"/>
      <c r="X46" s="3012"/>
      <c r="Y46" s="3012"/>
      <c r="Z46" s="3012"/>
      <c r="AA46" s="3012"/>
      <c r="AB46" s="3012"/>
      <c r="AC46" s="3012"/>
      <c r="AD46" s="3012"/>
      <c r="AE46" s="3012"/>
      <c r="AF46" s="3012"/>
      <c r="AG46" s="3012"/>
      <c r="AH46" s="3012"/>
      <c r="AI46" s="3012"/>
      <c r="AJ46" s="3012"/>
      <c r="AK46" s="3012"/>
      <c r="AL46" s="3012"/>
      <c r="AM46" s="3012"/>
      <c r="AN46" s="3012"/>
      <c r="AO46" s="3012"/>
      <c r="AP46" s="3012"/>
      <c r="AQ46" s="3012"/>
      <c r="AR46" s="3012"/>
      <c r="AS46" s="3012"/>
      <c r="AT46" s="3012"/>
      <c r="AU46" s="3012"/>
      <c r="AV46" s="3012"/>
      <c r="AW46" s="3012"/>
      <c r="AX46" s="3012"/>
      <c r="AY46" s="802"/>
      <c r="AZ46" s="802"/>
      <c r="BA46" s="802"/>
      <c r="BB46" s="802"/>
      <c r="BC46" s="802"/>
      <c r="BD46" s="802"/>
      <c r="BE46" s="802"/>
      <c r="BF46" s="802"/>
      <c r="BG46" s="802"/>
      <c r="BH46" s="802"/>
      <c r="BI46" s="802"/>
      <c r="BJ46" s="802"/>
      <c r="BK46" s="802"/>
      <c r="BL46" s="802"/>
      <c r="BY46" s="334"/>
    </row>
    <row r="47" spans="2:77" s="522" customFormat="1" ht="10.4" customHeight="1">
      <c r="B47" s="898"/>
      <c r="C47" s="898"/>
      <c r="D47" s="899"/>
      <c r="E47" s="901"/>
      <c r="F47" s="901"/>
      <c r="G47" s="901"/>
      <c r="H47" s="901"/>
      <c r="I47" s="901"/>
      <c r="J47" s="901"/>
      <c r="K47" s="901"/>
      <c r="L47" s="901"/>
      <c r="M47" s="901"/>
      <c r="N47" s="901"/>
      <c r="O47" s="901"/>
      <c r="P47" s="901"/>
      <c r="Q47" s="901"/>
      <c r="R47" s="901"/>
      <c r="S47" s="901"/>
      <c r="T47" s="901"/>
      <c r="U47" s="901"/>
      <c r="V47" s="901"/>
      <c r="W47" s="901"/>
      <c r="X47" s="901"/>
      <c r="Y47" s="901"/>
      <c r="Z47" s="901"/>
      <c r="AA47" s="901"/>
      <c r="AB47" s="901"/>
      <c r="AC47" s="901"/>
      <c r="AD47" s="901"/>
      <c r="AE47" s="901"/>
      <c r="AF47" s="901"/>
      <c r="AG47" s="901"/>
      <c r="AH47" s="901"/>
      <c r="AI47" s="901"/>
      <c r="AJ47" s="901"/>
      <c r="AK47" s="901"/>
      <c r="AL47" s="901"/>
      <c r="AM47" s="901"/>
      <c r="AN47" s="901"/>
      <c r="AO47" s="901"/>
      <c r="AP47" s="901"/>
      <c r="AQ47" s="901"/>
      <c r="AR47" s="901"/>
      <c r="AS47" s="901"/>
      <c r="AT47" s="901"/>
      <c r="AU47" s="901"/>
      <c r="AV47" s="901"/>
      <c r="AW47" s="901"/>
      <c r="AX47" s="901"/>
      <c r="AY47" s="802"/>
      <c r="AZ47" s="802"/>
      <c r="BA47" s="802"/>
      <c r="BB47" s="802"/>
      <c r="BC47" s="802"/>
      <c r="BD47" s="802"/>
      <c r="BE47" s="802"/>
      <c r="BF47" s="802"/>
      <c r="BG47" s="802"/>
      <c r="BH47" s="802"/>
      <c r="BI47" s="802"/>
      <c r="BJ47" s="802"/>
      <c r="BK47" s="802"/>
      <c r="BL47" s="802"/>
      <c r="BY47" s="334"/>
    </row>
    <row r="48" spans="2:77" s="522" customFormat="1" ht="15.75" customHeight="1">
      <c r="B48" s="903" t="s">
        <v>1246</v>
      </c>
      <c r="C48" s="802"/>
      <c r="D48" s="802"/>
      <c r="E48" s="802"/>
      <c r="F48" s="802"/>
      <c r="G48" s="802"/>
      <c r="H48" s="802"/>
      <c r="I48" s="802"/>
      <c r="J48" s="802"/>
      <c r="K48" s="802"/>
      <c r="L48" s="802"/>
      <c r="M48" s="802"/>
      <c r="N48" s="802"/>
      <c r="O48" s="802"/>
      <c r="P48" s="802"/>
      <c r="Q48" s="802"/>
      <c r="R48" s="802"/>
      <c r="S48" s="802"/>
      <c r="T48" s="802"/>
      <c r="U48" s="802"/>
      <c r="V48" s="802"/>
      <c r="W48" s="802"/>
      <c r="X48" s="802"/>
      <c r="Y48" s="802"/>
      <c r="Z48" s="802"/>
      <c r="AA48" s="802"/>
      <c r="AB48" s="802"/>
      <c r="AC48" s="802"/>
      <c r="AD48" s="802"/>
      <c r="AE48" s="802"/>
      <c r="AF48" s="802"/>
      <c r="AG48" s="802"/>
      <c r="AH48" s="802"/>
      <c r="AI48" s="802"/>
      <c r="AJ48" s="802"/>
      <c r="AK48" s="802"/>
      <c r="AL48" s="802"/>
      <c r="AM48" s="802"/>
      <c r="AN48" s="802"/>
      <c r="AO48" s="802"/>
      <c r="AP48" s="802"/>
      <c r="AQ48" s="802"/>
      <c r="AR48" s="802"/>
      <c r="AS48" s="802"/>
      <c r="AT48" s="802"/>
      <c r="AU48" s="802"/>
      <c r="AV48" s="802"/>
      <c r="AW48" s="802"/>
      <c r="AX48" s="802"/>
      <c r="AY48" s="904"/>
      <c r="AZ48" s="904"/>
      <c r="BA48" s="904"/>
      <c r="BB48" s="904"/>
      <c r="BC48" s="904"/>
      <c r="BD48" s="904"/>
      <c r="BE48" s="904"/>
      <c r="BF48" s="904"/>
      <c r="BG48" s="904"/>
      <c r="BH48" s="904"/>
      <c r="BX48" s="334"/>
    </row>
    <row r="49" spans="2:75" s="522" customFormat="1" ht="9" customHeight="1">
      <c r="B49" s="905"/>
      <c r="C49" s="905"/>
      <c r="D49" s="905"/>
      <c r="E49" s="905"/>
      <c r="F49" s="905"/>
      <c r="G49" s="905"/>
      <c r="H49" s="905"/>
      <c r="I49" s="905"/>
      <c r="J49" s="905"/>
      <c r="K49" s="905"/>
      <c r="L49" s="905"/>
      <c r="M49" s="905"/>
      <c r="N49" s="905"/>
      <c r="O49" s="905"/>
      <c r="P49" s="905"/>
      <c r="Q49" s="905"/>
      <c r="R49" s="905"/>
      <c r="S49" s="905"/>
      <c r="T49" s="905"/>
      <c r="U49" s="905"/>
      <c r="V49" s="905"/>
      <c r="W49" s="905"/>
      <c r="X49" s="905"/>
      <c r="Y49" s="905"/>
      <c r="Z49" s="905"/>
      <c r="AA49" s="905"/>
      <c r="AB49" s="905"/>
      <c r="AC49" s="905"/>
      <c r="AD49" s="905"/>
      <c r="AE49" s="905"/>
      <c r="AF49" s="905"/>
      <c r="AG49" s="905"/>
      <c r="AH49" s="905"/>
      <c r="AI49" s="905"/>
      <c r="AJ49" s="905"/>
      <c r="AK49" s="905"/>
      <c r="AL49" s="905"/>
      <c r="AM49" s="905"/>
      <c r="AN49" s="905"/>
      <c r="AO49" s="905"/>
      <c r="AP49" s="905"/>
      <c r="AQ49" s="905"/>
      <c r="AR49" s="905"/>
      <c r="AS49" s="905"/>
      <c r="AT49" s="905"/>
      <c r="AU49" s="905"/>
      <c r="AV49" s="905"/>
      <c r="AW49" s="904"/>
      <c r="AX49" s="904"/>
      <c r="AY49" s="904"/>
      <c r="AZ49" s="904"/>
      <c r="BA49" s="904"/>
      <c r="BB49" s="904"/>
      <c r="BC49" s="904"/>
      <c r="BD49" s="904"/>
      <c r="BE49" s="904"/>
      <c r="BF49" s="904"/>
      <c r="BG49" s="904"/>
      <c r="BW49" s="334"/>
    </row>
    <row r="50" spans="2:75" s="661" customFormat="1" ht="23.5" customHeight="1">
      <c r="B50" s="3013" t="s">
        <v>1392</v>
      </c>
      <c r="C50" s="3013"/>
      <c r="D50" s="3013"/>
      <c r="E50" s="3013"/>
      <c r="F50" s="3013"/>
      <c r="G50" s="3013"/>
      <c r="H50" s="3013"/>
      <c r="I50" s="3013"/>
      <c r="J50" s="3013"/>
      <c r="K50" s="3013"/>
      <c r="L50" s="3013"/>
      <c r="M50" s="3013"/>
      <c r="N50" s="3013"/>
      <c r="O50" s="3013"/>
      <c r="P50" s="3013"/>
      <c r="Q50" s="3013"/>
      <c r="R50" s="3013"/>
      <c r="S50" s="3013"/>
      <c r="T50" s="3013"/>
      <c r="U50" s="3013"/>
      <c r="V50" s="3013"/>
      <c r="W50" s="3013"/>
      <c r="X50" s="3013"/>
      <c r="Y50" s="3013"/>
      <c r="Z50" s="3013"/>
      <c r="AA50" s="3013"/>
      <c r="AB50" s="3013"/>
      <c r="AC50" s="3013"/>
      <c r="AD50" s="3013"/>
      <c r="AE50" s="3013"/>
      <c r="AF50" s="3013"/>
      <c r="AG50" s="3013"/>
      <c r="AH50" s="3013"/>
      <c r="AI50" s="3013"/>
      <c r="AJ50" s="3013"/>
      <c r="AK50" s="3013"/>
      <c r="AL50" s="3013"/>
      <c r="AM50" s="3013"/>
      <c r="AN50" s="3013"/>
      <c r="AO50" s="3013"/>
      <c r="AP50" s="3013"/>
      <c r="AQ50" s="3013"/>
      <c r="AR50" s="3013"/>
      <c r="AS50" s="3013"/>
      <c r="AT50" s="3013"/>
      <c r="AU50" s="3013"/>
      <c r="AV50" s="3013"/>
      <c r="AW50" s="3013"/>
      <c r="AX50" s="906"/>
      <c r="AY50" s="906"/>
      <c r="AZ50" s="906"/>
      <c r="BA50" s="906"/>
      <c r="BB50" s="906"/>
      <c r="BC50" s="906"/>
      <c r="BD50" s="906"/>
      <c r="BE50" s="906"/>
      <c r="BF50" s="906"/>
      <c r="BG50" s="906"/>
      <c r="BW50" s="557"/>
    </row>
    <row r="51" spans="2:75" ht="30.75" customHeight="1">
      <c r="B51" s="550"/>
      <c r="C51" s="501"/>
      <c r="D51" s="550"/>
      <c r="E51" s="501"/>
      <c r="F51" s="550"/>
      <c r="G51" s="501"/>
      <c r="H51" s="550"/>
      <c r="I51" s="501"/>
      <c r="J51" s="550"/>
      <c r="K51" s="501"/>
      <c r="L51" s="550"/>
      <c r="M51" s="501"/>
      <c r="N51" s="550"/>
      <c r="O51" s="501"/>
      <c r="S51" s="550"/>
      <c r="T51" s="501"/>
      <c r="U51" s="550"/>
      <c r="V51" s="501"/>
      <c r="W51" s="550"/>
      <c r="X51" s="501"/>
      <c r="Y51" s="550"/>
      <c r="Z51" s="501"/>
      <c r="AA51" s="550"/>
      <c r="AB51" s="501"/>
      <c r="AC51" s="550"/>
      <c r="AD51" s="501"/>
      <c r="AE51" s="550"/>
      <c r="AF51" s="501"/>
      <c r="AK51" s="550"/>
      <c r="AL51" s="501"/>
      <c r="AM51" s="550"/>
      <c r="AN51" s="501"/>
      <c r="AO51" s="550"/>
      <c r="AP51" s="501"/>
      <c r="AQ51" s="550"/>
      <c r="AR51" s="501"/>
      <c r="AS51" s="550"/>
      <c r="AT51" s="501"/>
      <c r="AU51" s="550"/>
      <c r="AV51" s="501"/>
      <c r="AW51" s="550"/>
      <c r="AX51" s="501"/>
    </row>
    <row r="52" spans="2:75">
      <c r="B52" s="147" t="s">
        <v>847</v>
      </c>
      <c r="S52" s="147" t="s">
        <v>755</v>
      </c>
      <c r="T52" s="225"/>
      <c r="U52" s="225"/>
      <c r="V52" s="225"/>
      <c r="W52" s="225"/>
      <c r="X52" s="225"/>
      <c r="Y52" s="225"/>
      <c r="Z52" s="225"/>
      <c r="AA52" s="225"/>
      <c r="AB52" s="225"/>
      <c r="AC52" s="225"/>
      <c r="AD52" s="225"/>
      <c r="AE52" s="225"/>
      <c r="AF52" s="225"/>
      <c r="AK52" s="147" t="s">
        <v>783</v>
      </c>
    </row>
    <row r="53" spans="2:75" ht="21.75" customHeight="1">
      <c r="B53" s="147" t="s">
        <v>756</v>
      </c>
      <c r="F53" s="2721" t="str">
        <f>activesheet!E29</f>
        <v>RICO S. MISPEROS</v>
      </c>
      <c r="G53" s="2721"/>
      <c r="H53" s="2721"/>
      <c r="I53" s="2721"/>
      <c r="J53" s="2721"/>
      <c r="K53" s="2721"/>
      <c r="L53" s="2721"/>
      <c r="M53" s="2721"/>
      <c r="N53" s="2721"/>
      <c r="O53" s="2721"/>
      <c r="S53" s="2721" t="str">
        <f>activesheet!E1849</f>
        <v>BRYAN REY P. JAMIS</v>
      </c>
      <c r="T53" s="2721"/>
      <c r="U53" s="2721"/>
      <c r="V53" s="2721"/>
      <c r="W53" s="2721"/>
      <c r="X53" s="2721"/>
      <c r="Y53" s="2721"/>
      <c r="Z53" s="2721"/>
      <c r="AA53" s="2721"/>
      <c r="AB53" s="2721"/>
      <c r="AC53" s="2721"/>
      <c r="AD53" s="2721"/>
      <c r="AE53" s="2721"/>
      <c r="AF53" s="2721"/>
      <c r="AK53" s="1786" t="str">
        <f>activesheet!E31</f>
        <v>MICHAEL T. JAMIS</v>
      </c>
      <c r="AL53" s="1786"/>
      <c r="AM53" s="1786"/>
      <c r="AN53" s="1786"/>
      <c r="AO53" s="1786"/>
      <c r="AP53" s="1786"/>
      <c r="AQ53" s="1786"/>
      <c r="AR53" s="1786"/>
      <c r="AS53" s="1786"/>
      <c r="AT53" s="1786"/>
      <c r="AU53" s="1786"/>
      <c r="AV53" s="1786"/>
      <c r="AW53" s="1786"/>
      <c r="AX53" s="1786"/>
    </row>
    <row r="54" spans="2:75" s="654" customFormat="1" ht="15.75" customHeight="1">
      <c r="B54" s="655"/>
      <c r="F54" s="1764" t="s">
        <v>741</v>
      </c>
      <c r="G54" s="1764"/>
      <c r="H54" s="1764"/>
      <c r="I54" s="1764"/>
      <c r="J54" s="1764"/>
      <c r="K54" s="1764"/>
      <c r="L54" s="1764"/>
      <c r="M54" s="1764"/>
      <c r="N54" s="1764"/>
      <c r="O54" s="1764"/>
      <c r="P54" s="152"/>
      <c r="Q54" s="152"/>
      <c r="R54" s="152"/>
      <c r="S54" s="1764" t="s">
        <v>741</v>
      </c>
      <c r="T54" s="1764"/>
      <c r="U54" s="1764"/>
      <c r="V54" s="1764"/>
      <c r="W54" s="1764"/>
      <c r="X54" s="1764"/>
      <c r="Y54" s="1764"/>
      <c r="Z54" s="1764"/>
      <c r="AA54" s="1764"/>
      <c r="AB54" s="1764"/>
      <c r="AC54" s="1764"/>
      <c r="AD54" s="1764"/>
      <c r="AE54" s="1764"/>
      <c r="AF54" s="1764"/>
      <c r="AG54" s="152"/>
      <c r="AH54" s="152"/>
      <c r="AI54" s="152"/>
      <c r="AJ54" s="152"/>
      <c r="AK54" s="1787"/>
      <c r="AL54" s="1787"/>
      <c r="AM54" s="1787"/>
      <c r="AN54" s="1787"/>
      <c r="AO54" s="1787"/>
      <c r="AP54" s="1787"/>
      <c r="AQ54" s="1787"/>
      <c r="AR54" s="1787"/>
      <c r="AS54" s="1787"/>
      <c r="AT54" s="1787"/>
      <c r="AU54" s="1787"/>
      <c r="AV54" s="1787"/>
      <c r="AW54" s="1787"/>
      <c r="AX54" s="1787"/>
      <c r="BB54" s="653"/>
      <c r="BC54" s="653"/>
      <c r="BD54" s="653"/>
      <c r="BE54" s="653"/>
      <c r="BF54" s="653"/>
      <c r="BG54" s="653"/>
      <c r="BH54" s="653"/>
      <c r="BI54" s="653"/>
      <c r="BJ54" s="653"/>
      <c r="BK54" s="653"/>
      <c r="BL54" s="653"/>
      <c r="BM54" s="653"/>
      <c r="BN54" s="653"/>
      <c r="BO54" s="653"/>
      <c r="BP54" s="653"/>
      <c r="BQ54" s="653"/>
    </row>
    <row r="55" spans="2:75" ht="21.75" customHeight="1">
      <c r="B55" s="147" t="s">
        <v>1027</v>
      </c>
      <c r="F55" s="2721" t="str">
        <f>activesheet!E30</f>
        <v>SCHOOL PRINCIPAL II</v>
      </c>
      <c r="G55" s="2721"/>
      <c r="H55" s="2721"/>
      <c r="I55" s="2721"/>
      <c r="J55" s="2721"/>
      <c r="K55" s="2721"/>
      <c r="L55" s="2721"/>
      <c r="M55" s="2721"/>
      <c r="N55" s="2721"/>
      <c r="O55" s="2721"/>
      <c r="S55" s="147" t="s">
        <v>71</v>
      </c>
      <c r="T55" s="225"/>
      <c r="U55" s="225"/>
      <c r="V55" s="225"/>
      <c r="W55" s="2721" t="str">
        <f>activesheet!E1850</f>
        <v>Enginner III</v>
      </c>
      <c r="X55" s="2721"/>
      <c r="Y55" s="2721"/>
      <c r="Z55" s="2721"/>
      <c r="AA55" s="2721"/>
      <c r="AB55" s="2721"/>
      <c r="AC55" s="2721"/>
      <c r="AD55" s="2721"/>
      <c r="AE55" s="2721"/>
      <c r="AF55" s="2721"/>
      <c r="AK55" s="1764" t="s">
        <v>741</v>
      </c>
      <c r="AL55" s="1764"/>
      <c r="AM55" s="1764"/>
      <c r="AN55" s="1764"/>
      <c r="AO55" s="1764"/>
      <c r="AP55" s="1764"/>
      <c r="AQ55" s="1764"/>
      <c r="AR55" s="1764"/>
      <c r="AS55" s="1764"/>
      <c r="AT55" s="1764"/>
      <c r="AU55" s="1764"/>
      <c r="AV55" s="1764"/>
      <c r="AW55" s="1764"/>
      <c r="AX55" s="1764"/>
    </row>
    <row r="56" spans="2:75" ht="15.75" customHeight="1"/>
    <row r="57" spans="2:75" ht="15.75" customHeight="1"/>
    <row r="58" spans="2:75" ht="15.75" customHeight="1"/>
    <row r="59" spans="2:75" ht="15.75" customHeight="1"/>
    <row r="60" spans="2:75" ht="15.75" customHeight="1"/>
    <row r="61" spans="2:75" ht="15.75" customHeight="1"/>
    <row r="62" spans="2:75" ht="15.75" customHeight="1"/>
    <row r="63" spans="2:75" ht="15.75" customHeight="1"/>
    <row r="64" spans="2:75" ht="15.75" customHeight="1"/>
    <row r="65" ht="15.75" customHeight="1"/>
    <row r="66" ht="15.75" customHeight="1"/>
    <row r="67" ht="15.75" customHeight="1"/>
    <row r="68" ht="15.75" customHeight="1"/>
    <row r="69" ht="15.75" customHeight="1"/>
    <row r="70" ht="15.75" customHeight="1"/>
    <row r="71" ht="15.75" customHeight="1"/>
    <row r="72" ht="15.75" customHeight="1"/>
  </sheetData>
  <sheetProtection algorithmName="SHA-512" hashValue="kj4f9RiouVet5VdJqpo3AJuGEA3Dc6nkG9IeSJQgYIXXArtEqSmZ//cRhPi4/IyeJCDUwx0uOS8DqPLf4FN27Q==" saltValue="DT/H15btN6jHsIAdsWqH7g==" spinCount="100000" sheet="1" objects="1" scenarios="1" selectLockedCells="1"/>
  <mergeCells count="43">
    <mergeCell ref="F55:O55"/>
    <mergeCell ref="W55:AF55"/>
    <mergeCell ref="AK55:AX55"/>
    <mergeCell ref="E43:AX43"/>
    <mergeCell ref="E46:AX46"/>
    <mergeCell ref="B50:AW50"/>
    <mergeCell ref="F53:O53"/>
    <mergeCell ref="S53:AF53"/>
    <mergeCell ref="AK53:AX54"/>
    <mergeCell ref="F54:O54"/>
    <mergeCell ref="S54:AF54"/>
    <mergeCell ref="E42:AX42"/>
    <mergeCell ref="D31:AX31"/>
    <mergeCell ref="E32:AX32"/>
    <mergeCell ref="E33:AX33"/>
    <mergeCell ref="E34:AX34"/>
    <mergeCell ref="E35:AX35"/>
    <mergeCell ref="E36:AX36"/>
    <mergeCell ref="E37:AX37"/>
    <mergeCell ref="E38:AX38"/>
    <mergeCell ref="E39:AX39"/>
    <mergeCell ref="E40:AX40"/>
    <mergeCell ref="E41:AX41"/>
    <mergeCell ref="C29:AX29"/>
    <mergeCell ref="AD12:AF12"/>
    <mergeCell ref="AD13:AF13"/>
    <mergeCell ref="AD14:AF14"/>
    <mergeCell ref="AD15:AF15"/>
    <mergeCell ref="T16:AC17"/>
    <mergeCell ref="AD16:AF17"/>
    <mergeCell ref="AD18:AF18"/>
    <mergeCell ref="AD19:AF20"/>
    <mergeCell ref="T20:AB20"/>
    <mergeCell ref="AQ20:AU20"/>
    <mergeCell ref="V25:Y25"/>
    <mergeCell ref="J26:N26"/>
    <mergeCell ref="S16:S17"/>
    <mergeCell ref="AD11:AF11"/>
    <mergeCell ref="AB5:AF5"/>
    <mergeCell ref="S8:AC8"/>
    <mergeCell ref="AD8:AF8"/>
    <mergeCell ref="AD9:AF9"/>
    <mergeCell ref="AD10:AF10"/>
  </mergeCells>
  <conditionalFormatting sqref="D10">
    <cfRule type="expression" dxfId="17" priority="1">
      <formula>AND(I9=TRUE, AND(E11=FALSE, E12=FALSE, E13=FALSE, E14=FALSE, E15=FALSE, E16=FALSE, E17=FALSE, E18=FALSE, E19=FALSE, E20=FALSE, E22=FALSE, E23=FALSE, E24=FALSE, E25=FALSE, E26=FALSE))</formula>
    </cfRule>
  </conditionalFormatting>
  <dataValidations count="2">
    <dataValidation type="decimal" allowBlank="1" showInputMessage="1" showErrorMessage="1" errorTitle="GESP SY 2022-2023" error="Please enter valid number between 0 - 200,000" sqref="AB5:AF5" xr:uid="{00000000-0002-0000-1C00-000000000000}">
      <formula1>0</formula1>
      <formula2>200000</formula2>
    </dataValidation>
    <dataValidation type="whole" allowBlank="1" showInputMessage="1" showErrorMessage="1" errorTitle="GESP SY 2022-2023" error="Please enter valid year." sqref="AD9:AF20" xr:uid="{00000000-0002-0000-1C00-000001000000}">
      <formula1>1600</formula1>
      <formula2>2022</formula2>
    </dataValidation>
  </dataValidations>
  <printOptions horizontalCentered="1" verticalCentered="1"/>
  <pageMargins left="0.25" right="0.25" top="0.2" bottom="0.2" header="0" footer="0.1"/>
  <pageSetup paperSize="9" scale="49" orientation="landscape" r:id="rId1"/>
  <headerFooter alignWithMargins="0">
    <oddFooter>&amp;L&amp;10&amp;F &amp;A&amp;R&amp;10Page 25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7345" r:id="rId4" name="Check Box 1">
              <controlPr locked="0" defaultSize="0" autoFill="0" autoLine="0" autoPict="0">
                <anchor moveWithCells="1">
                  <from>
                    <xdr:col>4</xdr:col>
                    <xdr:colOff>38100</xdr:colOff>
                    <xdr:row>6</xdr:row>
                    <xdr:rowOff>50800</xdr:rowOff>
                  </from>
                  <to>
                    <xdr:col>5</xdr:col>
                    <xdr:colOff>165100</xdr:colOff>
                    <xdr:row>7</xdr:row>
                    <xdr:rowOff>31750</xdr:rowOff>
                  </to>
                </anchor>
              </controlPr>
            </control>
          </mc:Choice>
        </mc:AlternateContent>
        <mc:AlternateContent xmlns:mc="http://schemas.openxmlformats.org/markup-compatibility/2006">
          <mc:Choice Requires="x14">
            <control shapeId="57346" r:id="rId5" name="Check Box 2">
              <controlPr locked="0" defaultSize="0" autoFill="0" autoLine="0" autoPict="0">
                <anchor moveWithCells="1">
                  <from>
                    <xdr:col>4</xdr:col>
                    <xdr:colOff>38100</xdr:colOff>
                    <xdr:row>7</xdr:row>
                    <xdr:rowOff>88900</xdr:rowOff>
                  </from>
                  <to>
                    <xdr:col>5</xdr:col>
                    <xdr:colOff>165100</xdr:colOff>
                    <xdr:row>7</xdr:row>
                    <xdr:rowOff>304800</xdr:rowOff>
                  </to>
                </anchor>
              </controlPr>
            </control>
          </mc:Choice>
        </mc:AlternateContent>
        <mc:AlternateContent xmlns:mc="http://schemas.openxmlformats.org/markup-compatibility/2006">
          <mc:Choice Requires="x14">
            <control shapeId="57347" r:id="rId6" name="Check Box 3">
              <controlPr locked="0" defaultSize="0" autoFill="0" autoLine="0" autoPict="0">
                <anchor moveWithCells="1">
                  <from>
                    <xdr:col>4</xdr:col>
                    <xdr:colOff>38100</xdr:colOff>
                    <xdr:row>10</xdr:row>
                    <xdr:rowOff>0</xdr:rowOff>
                  </from>
                  <to>
                    <xdr:col>5</xdr:col>
                    <xdr:colOff>165100</xdr:colOff>
                    <xdr:row>10</xdr:row>
                    <xdr:rowOff>222250</xdr:rowOff>
                  </to>
                </anchor>
              </controlPr>
            </control>
          </mc:Choice>
        </mc:AlternateContent>
        <mc:AlternateContent xmlns:mc="http://schemas.openxmlformats.org/markup-compatibility/2006">
          <mc:Choice Requires="x14">
            <control shapeId="57348" r:id="rId7" name="Check Box 4">
              <controlPr locked="0" defaultSize="0" autoFill="0" autoLine="0" autoPict="0">
                <anchor moveWithCells="1">
                  <from>
                    <xdr:col>4</xdr:col>
                    <xdr:colOff>38100</xdr:colOff>
                    <xdr:row>11</xdr:row>
                    <xdr:rowOff>0</xdr:rowOff>
                  </from>
                  <to>
                    <xdr:col>5</xdr:col>
                    <xdr:colOff>165100</xdr:colOff>
                    <xdr:row>11</xdr:row>
                    <xdr:rowOff>222250</xdr:rowOff>
                  </to>
                </anchor>
              </controlPr>
            </control>
          </mc:Choice>
        </mc:AlternateContent>
        <mc:AlternateContent xmlns:mc="http://schemas.openxmlformats.org/markup-compatibility/2006">
          <mc:Choice Requires="x14">
            <control shapeId="57349" r:id="rId8" name="Check Box 5">
              <controlPr locked="0" defaultSize="0" autoFill="0" autoLine="0" autoPict="0">
                <anchor moveWithCells="1">
                  <from>
                    <xdr:col>4</xdr:col>
                    <xdr:colOff>38100</xdr:colOff>
                    <xdr:row>12</xdr:row>
                    <xdr:rowOff>0</xdr:rowOff>
                  </from>
                  <to>
                    <xdr:col>5</xdr:col>
                    <xdr:colOff>165100</xdr:colOff>
                    <xdr:row>12</xdr:row>
                    <xdr:rowOff>222250</xdr:rowOff>
                  </to>
                </anchor>
              </controlPr>
            </control>
          </mc:Choice>
        </mc:AlternateContent>
        <mc:AlternateContent xmlns:mc="http://schemas.openxmlformats.org/markup-compatibility/2006">
          <mc:Choice Requires="x14">
            <control shapeId="57350" r:id="rId9" name="Check Box 6">
              <controlPr locked="0" defaultSize="0" autoFill="0" autoLine="0" autoPict="0">
                <anchor moveWithCells="1">
                  <from>
                    <xdr:col>4</xdr:col>
                    <xdr:colOff>38100</xdr:colOff>
                    <xdr:row>13</xdr:row>
                    <xdr:rowOff>0</xdr:rowOff>
                  </from>
                  <to>
                    <xdr:col>5</xdr:col>
                    <xdr:colOff>165100</xdr:colOff>
                    <xdr:row>13</xdr:row>
                    <xdr:rowOff>222250</xdr:rowOff>
                  </to>
                </anchor>
              </controlPr>
            </control>
          </mc:Choice>
        </mc:AlternateContent>
        <mc:AlternateContent xmlns:mc="http://schemas.openxmlformats.org/markup-compatibility/2006">
          <mc:Choice Requires="x14">
            <control shapeId="57351" r:id="rId10" name="Check Box 7">
              <controlPr locked="0" defaultSize="0" autoFill="0" autoLine="0" autoPict="0">
                <anchor moveWithCells="1">
                  <from>
                    <xdr:col>4</xdr:col>
                    <xdr:colOff>38100</xdr:colOff>
                    <xdr:row>14</xdr:row>
                    <xdr:rowOff>0</xdr:rowOff>
                  </from>
                  <to>
                    <xdr:col>5</xdr:col>
                    <xdr:colOff>165100</xdr:colOff>
                    <xdr:row>14</xdr:row>
                    <xdr:rowOff>222250</xdr:rowOff>
                  </to>
                </anchor>
              </controlPr>
            </control>
          </mc:Choice>
        </mc:AlternateContent>
        <mc:AlternateContent xmlns:mc="http://schemas.openxmlformats.org/markup-compatibility/2006">
          <mc:Choice Requires="x14">
            <control shapeId="57352" r:id="rId11" name="Check Box 8">
              <controlPr locked="0" defaultSize="0" autoFill="0" autoLine="0" autoPict="0">
                <anchor moveWithCells="1">
                  <from>
                    <xdr:col>4</xdr:col>
                    <xdr:colOff>38100</xdr:colOff>
                    <xdr:row>15</xdr:row>
                    <xdr:rowOff>0</xdr:rowOff>
                  </from>
                  <to>
                    <xdr:col>5</xdr:col>
                    <xdr:colOff>165100</xdr:colOff>
                    <xdr:row>15</xdr:row>
                    <xdr:rowOff>222250</xdr:rowOff>
                  </to>
                </anchor>
              </controlPr>
            </control>
          </mc:Choice>
        </mc:AlternateContent>
        <mc:AlternateContent xmlns:mc="http://schemas.openxmlformats.org/markup-compatibility/2006">
          <mc:Choice Requires="x14">
            <control shapeId="57353" r:id="rId12" name="Check Box 9">
              <controlPr locked="0" defaultSize="0" autoFill="0" autoLine="0" autoPict="0">
                <anchor moveWithCells="1">
                  <from>
                    <xdr:col>4</xdr:col>
                    <xdr:colOff>38100</xdr:colOff>
                    <xdr:row>16</xdr:row>
                    <xdr:rowOff>0</xdr:rowOff>
                  </from>
                  <to>
                    <xdr:col>5</xdr:col>
                    <xdr:colOff>165100</xdr:colOff>
                    <xdr:row>16</xdr:row>
                    <xdr:rowOff>222250</xdr:rowOff>
                  </to>
                </anchor>
              </controlPr>
            </control>
          </mc:Choice>
        </mc:AlternateContent>
        <mc:AlternateContent xmlns:mc="http://schemas.openxmlformats.org/markup-compatibility/2006">
          <mc:Choice Requires="x14">
            <control shapeId="57354" r:id="rId13" name="Check Box 10">
              <controlPr locked="0" defaultSize="0" autoFill="0" autoLine="0" autoPict="0">
                <anchor moveWithCells="1">
                  <from>
                    <xdr:col>4</xdr:col>
                    <xdr:colOff>38100</xdr:colOff>
                    <xdr:row>17</xdr:row>
                    <xdr:rowOff>0</xdr:rowOff>
                  </from>
                  <to>
                    <xdr:col>5</xdr:col>
                    <xdr:colOff>165100</xdr:colOff>
                    <xdr:row>17</xdr:row>
                    <xdr:rowOff>222250</xdr:rowOff>
                  </to>
                </anchor>
              </controlPr>
            </control>
          </mc:Choice>
        </mc:AlternateContent>
        <mc:AlternateContent xmlns:mc="http://schemas.openxmlformats.org/markup-compatibility/2006">
          <mc:Choice Requires="x14">
            <control shapeId="57355" r:id="rId14" name="Check Box 11">
              <controlPr locked="0" defaultSize="0" autoFill="0" autoLine="0" autoPict="0">
                <anchor moveWithCells="1">
                  <from>
                    <xdr:col>4</xdr:col>
                    <xdr:colOff>38100</xdr:colOff>
                    <xdr:row>18</xdr:row>
                    <xdr:rowOff>0</xdr:rowOff>
                  </from>
                  <to>
                    <xdr:col>5</xdr:col>
                    <xdr:colOff>165100</xdr:colOff>
                    <xdr:row>18</xdr:row>
                    <xdr:rowOff>222250</xdr:rowOff>
                  </to>
                </anchor>
              </controlPr>
            </control>
          </mc:Choice>
        </mc:AlternateContent>
        <mc:AlternateContent xmlns:mc="http://schemas.openxmlformats.org/markup-compatibility/2006">
          <mc:Choice Requires="x14">
            <control shapeId="57356" r:id="rId15" name="Check Box 12">
              <controlPr locked="0" defaultSize="0" autoFill="0" autoLine="0" autoPict="0">
                <anchor moveWithCells="1">
                  <from>
                    <xdr:col>4</xdr:col>
                    <xdr:colOff>38100</xdr:colOff>
                    <xdr:row>19</xdr:row>
                    <xdr:rowOff>0</xdr:rowOff>
                  </from>
                  <to>
                    <xdr:col>5</xdr:col>
                    <xdr:colOff>165100</xdr:colOff>
                    <xdr:row>19</xdr:row>
                    <xdr:rowOff>222250</xdr:rowOff>
                  </to>
                </anchor>
              </controlPr>
            </control>
          </mc:Choice>
        </mc:AlternateContent>
        <mc:AlternateContent xmlns:mc="http://schemas.openxmlformats.org/markup-compatibility/2006">
          <mc:Choice Requires="x14">
            <control shapeId="57357" r:id="rId16" name="Check Box 13">
              <controlPr locked="0" defaultSize="0" autoFill="0" autoLine="0" autoPict="0">
                <anchor moveWithCells="1">
                  <from>
                    <xdr:col>4</xdr:col>
                    <xdr:colOff>38100</xdr:colOff>
                    <xdr:row>21</xdr:row>
                    <xdr:rowOff>0</xdr:rowOff>
                  </from>
                  <to>
                    <xdr:col>5</xdr:col>
                    <xdr:colOff>165100</xdr:colOff>
                    <xdr:row>21</xdr:row>
                    <xdr:rowOff>222250</xdr:rowOff>
                  </to>
                </anchor>
              </controlPr>
            </control>
          </mc:Choice>
        </mc:AlternateContent>
        <mc:AlternateContent xmlns:mc="http://schemas.openxmlformats.org/markup-compatibility/2006">
          <mc:Choice Requires="x14">
            <control shapeId="57358" r:id="rId17" name="Check Box 14">
              <controlPr locked="0" defaultSize="0" autoFill="0" autoLine="0" autoPict="0">
                <anchor moveWithCells="1">
                  <from>
                    <xdr:col>4</xdr:col>
                    <xdr:colOff>38100</xdr:colOff>
                    <xdr:row>22</xdr:row>
                    <xdr:rowOff>0</xdr:rowOff>
                  </from>
                  <to>
                    <xdr:col>5</xdr:col>
                    <xdr:colOff>165100</xdr:colOff>
                    <xdr:row>22</xdr:row>
                    <xdr:rowOff>222250</xdr:rowOff>
                  </to>
                </anchor>
              </controlPr>
            </control>
          </mc:Choice>
        </mc:AlternateContent>
        <mc:AlternateContent xmlns:mc="http://schemas.openxmlformats.org/markup-compatibility/2006">
          <mc:Choice Requires="x14">
            <control shapeId="57359" r:id="rId18" name="Check Box 15">
              <controlPr locked="0" defaultSize="0" autoFill="0" autoLine="0" autoPict="0">
                <anchor moveWithCells="1">
                  <from>
                    <xdr:col>4</xdr:col>
                    <xdr:colOff>38100</xdr:colOff>
                    <xdr:row>23</xdr:row>
                    <xdr:rowOff>0</xdr:rowOff>
                  </from>
                  <to>
                    <xdr:col>5</xdr:col>
                    <xdr:colOff>165100</xdr:colOff>
                    <xdr:row>23</xdr:row>
                    <xdr:rowOff>222250</xdr:rowOff>
                  </to>
                </anchor>
              </controlPr>
            </control>
          </mc:Choice>
        </mc:AlternateContent>
        <mc:AlternateContent xmlns:mc="http://schemas.openxmlformats.org/markup-compatibility/2006">
          <mc:Choice Requires="x14">
            <control shapeId="57360" r:id="rId19" name="Check Box 16">
              <controlPr locked="0" defaultSize="0" autoFill="0" autoLine="0" autoPict="0">
                <anchor moveWithCells="1">
                  <from>
                    <xdr:col>4</xdr:col>
                    <xdr:colOff>38100</xdr:colOff>
                    <xdr:row>23</xdr:row>
                    <xdr:rowOff>222250</xdr:rowOff>
                  </from>
                  <to>
                    <xdr:col>5</xdr:col>
                    <xdr:colOff>165100</xdr:colOff>
                    <xdr:row>24</xdr:row>
                    <xdr:rowOff>190500</xdr:rowOff>
                  </to>
                </anchor>
              </controlPr>
            </control>
          </mc:Choice>
        </mc:AlternateContent>
        <mc:AlternateContent xmlns:mc="http://schemas.openxmlformats.org/markup-compatibility/2006">
          <mc:Choice Requires="x14">
            <control shapeId="57361" r:id="rId20" name="Check Box 17">
              <controlPr locked="0" defaultSize="0" autoFill="0" autoLine="0" autoPict="0">
                <anchor moveWithCells="1">
                  <from>
                    <xdr:col>4</xdr:col>
                    <xdr:colOff>38100</xdr:colOff>
                    <xdr:row>25</xdr:row>
                    <xdr:rowOff>31750</xdr:rowOff>
                  </from>
                  <to>
                    <xdr:col>5</xdr:col>
                    <xdr:colOff>165100</xdr:colOff>
                    <xdr:row>25</xdr:row>
                    <xdr:rowOff>241300</xdr:rowOff>
                  </to>
                </anchor>
              </controlPr>
            </control>
          </mc:Choice>
        </mc:AlternateContent>
        <mc:AlternateContent xmlns:mc="http://schemas.openxmlformats.org/markup-compatibility/2006">
          <mc:Choice Requires="x14">
            <control shapeId="57362" r:id="rId21" name="Check Box 18">
              <controlPr locked="0" defaultSize="0" autoFill="0" autoLine="0" autoPict="0">
                <anchor moveWithCells="1">
                  <from>
                    <xdr:col>8</xdr:col>
                    <xdr:colOff>38100</xdr:colOff>
                    <xdr:row>6</xdr:row>
                    <xdr:rowOff>50800</xdr:rowOff>
                  </from>
                  <to>
                    <xdr:col>9</xdr:col>
                    <xdr:colOff>165100</xdr:colOff>
                    <xdr:row>7</xdr:row>
                    <xdr:rowOff>31750</xdr:rowOff>
                  </to>
                </anchor>
              </controlPr>
            </control>
          </mc:Choice>
        </mc:AlternateContent>
        <mc:AlternateContent xmlns:mc="http://schemas.openxmlformats.org/markup-compatibility/2006">
          <mc:Choice Requires="x14">
            <control shapeId="57363" r:id="rId22" name="Check Box 19">
              <controlPr locked="0" defaultSize="0" autoFill="0" autoLine="0" autoPict="0">
                <anchor moveWithCells="1">
                  <from>
                    <xdr:col>8</xdr:col>
                    <xdr:colOff>38100</xdr:colOff>
                    <xdr:row>7</xdr:row>
                    <xdr:rowOff>88900</xdr:rowOff>
                  </from>
                  <to>
                    <xdr:col>9</xdr:col>
                    <xdr:colOff>165100</xdr:colOff>
                    <xdr:row>7</xdr:row>
                    <xdr:rowOff>304800</xdr:rowOff>
                  </to>
                </anchor>
              </controlPr>
            </control>
          </mc:Choice>
        </mc:AlternateContent>
        <mc:AlternateContent xmlns:mc="http://schemas.openxmlformats.org/markup-compatibility/2006">
          <mc:Choice Requires="x14">
            <control shapeId="57364" r:id="rId23" name="Check Box 20">
              <controlPr locked="0" defaultSize="0" autoFill="0" autoLine="0" autoPict="0">
                <anchor moveWithCells="1">
                  <from>
                    <xdr:col>8</xdr:col>
                    <xdr:colOff>38100</xdr:colOff>
                    <xdr:row>8</xdr:row>
                    <xdr:rowOff>12700</xdr:rowOff>
                  </from>
                  <to>
                    <xdr:col>9</xdr:col>
                    <xdr:colOff>165100</xdr:colOff>
                    <xdr:row>8</xdr:row>
                    <xdr:rowOff>222250</xdr:rowOff>
                  </to>
                </anchor>
              </controlPr>
            </control>
          </mc:Choice>
        </mc:AlternateContent>
        <mc:AlternateContent xmlns:mc="http://schemas.openxmlformats.org/markup-compatibility/2006">
          <mc:Choice Requires="x14">
            <control shapeId="57365" r:id="rId24" name="Check Box 21">
              <controlPr locked="0" defaultSize="0" autoFill="0" autoLine="0" autoPict="0">
                <anchor moveWithCells="1">
                  <from>
                    <xdr:col>12</xdr:col>
                    <xdr:colOff>38100</xdr:colOff>
                    <xdr:row>8</xdr:row>
                    <xdr:rowOff>12700</xdr:rowOff>
                  </from>
                  <to>
                    <xdr:col>13</xdr:col>
                    <xdr:colOff>165100</xdr:colOff>
                    <xdr:row>8</xdr:row>
                    <xdr:rowOff>222250</xdr:rowOff>
                  </to>
                </anchor>
              </controlPr>
            </control>
          </mc:Choice>
        </mc:AlternateContent>
        <mc:AlternateContent xmlns:mc="http://schemas.openxmlformats.org/markup-compatibility/2006">
          <mc:Choice Requires="x14">
            <control shapeId="57366" r:id="rId25" name="Check Box 22">
              <controlPr locked="0" defaultSize="0" autoFill="0" autoLine="0" autoPict="0">
                <anchor moveWithCells="1">
                  <from>
                    <xdr:col>18</xdr:col>
                    <xdr:colOff>38100</xdr:colOff>
                    <xdr:row>8</xdr:row>
                    <xdr:rowOff>12700</xdr:rowOff>
                  </from>
                  <to>
                    <xdr:col>19</xdr:col>
                    <xdr:colOff>165100</xdr:colOff>
                    <xdr:row>8</xdr:row>
                    <xdr:rowOff>222250</xdr:rowOff>
                  </to>
                </anchor>
              </controlPr>
            </control>
          </mc:Choice>
        </mc:AlternateContent>
        <mc:AlternateContent xmlns:mc="http://schemas.openxmlformats.org/markup-compatibility/2006">
          <mc:Choice Requires="x14">
            <control shapeId="57367" r:id="rId26" name="Check Box 23">
              <controlPr locked="0" defaultSize="0" autoFill="0" autoLine="0" autoPict="0">
                <anchor moveWithCells="1">
                  <from>
                    <xdr:col>18</xdr:col>
                    <xdr:colOff>38100</xdr:colOff>
                    <xdr:row>8</xdr:row>
                    <xdr:rowOff>203200</xdr:rowOff>
                  </from>
                  <to>
                    <xdr:col>19</xdr:col>
                    <xdr:colOff>165100</xdr:colOff>
                    <xdr:row>10</xdr:row>
                    <xdr:rowOff>12700</xdr:rowOff>
                  </to>
                </anchor>
              </controlPr>
            </control>
          </mc:Choice>
        </mc:AlternateContent>
        <mc:AlternateContent xmlns:mc="http://schemas.openxmlformats.org/markup-compatibility/2006">
          <mc:Choice Requires="x14">
            <control shapeId="57368" r:id="rId27" name="Check Box 24">
              <controlPr locked="0" defaultSize="0" autoFill="0" autoLine="0" autoPict="0">
                <anchor moveWithCells="1">
                  <from>
                    <xdr:col>18</xdr:col>
                    <xdr:colOff>38100</xdr:colOff>
                    <xdr:row>10</xdr:row>
                    <xdr:rowOff>12700</xdr:rowOff>
                  </from>
                  <to>
                    <xdr:col>19</xdr:col>
                    <xdr:colOff>165100</xdr:colOff>
                    <xdr:row>10</xdr:row>
                    <xdr:rowOff>222250</xdr:rowOff>
                  </to>
                </anchor>
              </controlPr>
            </control>
          </mc:Choice>
        </mc:AlternateContent>
        <mc:AlternateContent xmlns:mc="http://schemas.openxmlformats.org/markup-compatibility/2006">
          <mc:Choice Requires="x14">
            <control shapeId="57369" r:id="rId28" name="Check Box 25">
              <controlPr locked="0" defaultSize="0" autoFill="0" autoLine="0" autoPict="0">
                <anchor moveWithCells="1">
                  <from>
                    <xdr:col>18</xdr:col>
                    <xdr:colOff>38100</xdr:colOff>
                    <xdr:row>11</xdr:row>
                    <xdr:rowOff>12700</xdr:rowOff>
                  </from>
                  <to>
                    <xdr:col>19</xdr:col>
                    <xdr:colOff>165100</xdr:colOff>
                    <xdr:row>11</xdr:row>
                    <xdr:rowOff>222250</xdr:rowOff>
                  </to>
                </anchor>
              </controlPr>
            </control>
          </mc:Choice>
        </mc:AlternateContent>
        <mc:AlternateContent xmlns:mc="http://schemas.openxmlformats.org/markup-compatibility/2006">
          <mc:Choice Requires="x14">
            <control shapeId="57370" r:id="rId29" name="Check Box 26">
              <controlPr locked="0" defaultSize="0" autoFill="0" autoLine="0" autoPict="0">
                <anchor moveWithCells="1">
                  <from>
                    <xdr:col>18</xdr:col>
                    <xdr:colOff>38100</xdr:colOff>
                    <xdr:row>12</xdr:row>
                    <xdr:rowOff>12700</xdr:rowOff>
                  </from>
                  <to>
                    <xdr:col>19</xdr:col>
                    <xdr:colOff>165100</xdr:colOff>
                    <xdr:row>12</xdr:row>
                    <xdr:rowOff>222250</xdr:rowOff>
                  </to>
                </anchor>
              </controlPr>
            </control>
          </mc:Choice>
        </mc:AlternateContent>
        <mc:AlternateContent xmlns:mc="http://schemas.openxmlformats.org/markup-compatibility/2006">
          <mc:Choice Requires="x14">
            <control shapeId="57371" r:id="rId30" name="Check Box 27">
              <controlPr locked="0" defaultSize="0" autoFill="0" autoLine="0" autoPict="0">
                <anchor moveWithCells="1">
                  <from>
                    <xdr:col>18</xdr:col>
                    <xdr:colOff>38100</xdr:colOff>
                    <xdr:row>13</xdr:row>
                    <xdr:rowOff>12700</xdr:rowOff>
                  </from>
                  <to>
                    <xdr:col>19</xdr:col>
                    <xdr:colOff>165100</xdr:colOff>
                    <xdr:row>13</xdr:row>
                    <xdr:rowOff>222250</xdr:rowOff>
                  </to>
                </anchor>
              </controlPr>
            </control>
          </mc:Choice>
        </mc:AlternateContent>
        <mc:AlternateContent xmlns:mc="http://schemas.openxmlformats.org/markup-compatibility/2006">
          <mc:Choice Requires="x14">
            <control shapeId="57372" r:id="rId31" name="Check Box 28">
              <controlPr locked="0" defaultSize="0" autoFill="0" autoLine="0" autoPict="0">
                <anchor moveWithCells="1">
                  <from>
                    <xdr:col>18</xdr:col>
                    <xdr:colOff>38100</xdr:colOff>
                    <xdr:row>14</xdr:row>
                    <xdr:rowOff>31750</xdr:rowOff>
                  </from>
                  <to>
                    <xdr:col>19</xdr:col>
                    <xdr:colOff>165100</xdr:colOff>
                    <xdr:row>14</xdr:row>
                    <xdr:rowOff>241300</xdr:rowOff>
                  </to>
                </anchor>
              </controlPr>
            </control>
          </mc:Choice>
        </mc:AlternateContent>
        <mc:AlternateContent xmlns:mc="http://schemas.openxmlformats.org/markup-compatibility/2006">
          <mc:Choice Requires="x14">
            <control shapeId="57373" r:id="rId32" name="Check Box 29">
              <controlPr locked="0" defaultSize="0" autoFill="0" autoLine="0" autoPict="0">
                <anchor moveWithCells="1">
                  <from>
                    <xdr:col>18</xdr:col>
                    <xdr:colOff>38100</xdr:colOff>
                    <xdr:row>15</xdr:row>
                    <xdr:rowOff>127000</xdr:rowOff>
                  </from>
                  <to>
                    <xdr:col>19</xdr:col>
                    <xdr:colOff>165100</xdr:colOff>
                    <xdr:row>16</xdr:row>
                    <xdr:rowOff>88900</xdr:rowOff>
                  </to>
                </anchor>
              </controlPr>
            </control>
          </mc:Choice>
        </mc:AlternateContent>
        <mc:AlternateContent xmlns:mc="http://schemas.openxmlformats.org/markup-compatibility/2006">
          <mc:Choice Requires="x14">
            <control shapeId="57374" r:id="rId33" name="Check Box 30">
              <controlPr locked="0" defaultSize="0" autoFill="0" autoLine="0" autoPict="0">
                <anchor moveWithCells="1">
                  <from>
                    <xdr:col>18</xdr:col>
                    <xdr:colOff>38100</xdr:colOff>
                    <xdr:row>17</xdr:row>
                    <xdr:rowOff>31750</xdr:rowOff>
                  </from>
                  <to>
                    <xdr:col>19</xdr:col>
                    <xdr:colOff>165100</xdr:colOff>
                    <xdr:row>17</xdr:row>
                    <xdr:rowOff>241300</xdr:rowOff>
                  </to>
                </anchor>
              </controlPr>
            </control>
          </mc:Choice>
        </mc:AlternateContent>
        <mc:AlternateContent xmlns:mc="http://schemas.openxmlformats.org/markup-compatibility/2006">
          <mc:Choice Requires="x14">
            <control shapeId="57375" r:id="rId34" name="Check Box 31">
              <controlPr locked="0" defaultSize="0" autoFill="0" autoLine="0" autoPict="0">
                <anchor moveWithCells="1">
                  <from>
                    <xdr:col>18</xdr:col>
                    <xdr:colOff>38100</xdr:colOff>
                    <xdr:row>18</xdr:row>
                    <xdr:rowOff>31750</xdr:rowOff>
                  </from>
                  <to>
                    <xdr:col>19</xdr:col>
                    <xdr:colOff>165100</xdr:colOff>
                    <xdr:row>18</xdr:row>
                    <xdr:rowOff>241300</xdr:rowOff>
                  </to>
                </anchor>
              </controlPr>
            </control>
          </mc:Choice>
        </mc:AlternateContent>
        <mc:AlternateContent xmlns:mc="http://schemas.openxmlformats.org/markup-compatibility/2006">
          <mc:Choice Requires="x14">
            <control shapeId="57376" r:id="rId35" name="Check Box 32">
              <controlPr locked="0" defaultSize="0" autoFill="0" autoLine="0" autoPict="0">
                <anchor moveWithCells="1">
                  <from>
                    <xdr:col>37</xdr:col>
                    <xdr:colOff>38100</xdr:colOff>
                    <xdr:row>6</xdr:row>
                    <xdr:rowOff>12700</xdr:rowOff>
                  </from>
                  <to>
                    <xdr:col>38</xdr:col>
                    <xdr:colOff>165100</xdr:colOff>
                    <xdr:row>6</xdr:row>
                    <xdr:rowOff>222250</xdr:rowOff>
                  </to>
                </anchor>
              </controlPr>
            </control>
          </mc:Choice>
        </mc:AlternateContent>
        <mc:AlternateContent xmlns:mc="http://schemas.openxmlformats.org/markup-compatibility/2006">
          <mc:Choice Requires="x14">
            <control shapeId="57377" r:id="rId36" name="Check Box 33">
              <controlPr locked="0" defaultSize="0" autoFill="0" autoLine="0" autoPict="0">
                <anchor moveWithCells="1">
                  <from>
                    <xdr:col>41</xdr:col>
                    <xdr:colOff>38100</xdr:colOff>
                    <xdr:row>6</xdr:row>
                    <xdr:rowOff>12700</xdr:rowOff>
                  </from>
                  <to>
                    <xdr:col>42</xdr:col>
                    <xdr:colOff>165100</xdr:colOff>
                    <xdr:row>6</xdr:row>
                    <xdr:rowOff>222250</xdr:rowOff>
                  </to>
                </anchor>
              </controlPr>
            </control>
          </mc:Choice>
        </mc:AlternateContent>
        <mc:AlternateContent xmlns:mc="http://schemas.openxmlformats.org/markup-compatibility/2006">
          <mc:Choice Requires="x14">
            <control shapeId="57378" r:id="rId37" name="Check Box 34">
              <controlPr locked="0" defaultSize="0" autoFill="0" autoLine="0" autoPict="0">
                <anchor moveWithCells="1">
                  <from>
                    <xdr:col>37</xdr:col>
                    <xdr:colOff>38100</xdr:colOff>
                    <xdr:row>8</xdr:row>
                    <xdr:rowOff>12700</xdr:rowOff>
                  </from>
                  <to>
                    <xdr:col>38</xdr:col>
                    <xdr:colOff>165100</xdr:colOff>
                    <xdr:row>8</xdr:row>
                    <xdr:rowOff>222250</xdr:rowOff>
                  </to>
                </anchor>
              </controlPr>
            </control>
          </mc:Choice>
        </mc:AlternateContent>
        <mc:AlternateContent xmlns:mc="http://schemas.openxmlformats.org/markup-compatibility/2006">
          <mc:Choice Requires="x14">
            <control shapeId="57379" r:id="rId38" name="Check Box 35">
              <controlPr locked="0" defaultSize="0" autoFill="0" autoLine="0" autoPict="0">
                <anchor moveWithCells="1">
                  <from>
                    <xdr:col>41</xdr:col>
                    <xdr:colOff>38100</xdr:colOff>
                    <xdr:row>8</xdr:row>
                    <xdr:rowOff>12700</xdr:rowOff>
                  </from>
                  <to>
                    <xdr:col>42</xdr:col>
                    <xdr:colOff>165100</xdr:colOff>
                    <xdr:row>8</xdr:row>
                    <xdr:rowOff>222250</xdr:rowOff>
                  </to>
                </anchor>
              </controlPr>
            </control>
          </mc:Choice>
        </mc:AlternateContent>
        <mc:AlternateContent xmlns:mc="http://schemas.openxmlformats.org/markup-compatibility/2006">
          <mc:Choice Requires="x14">
            <control shapeId="57380" r:id="rId39" name="Check Box 36">
              <controlPr locked="0" defaultSize="0" autoFill="0" autoLine="0" autoPict="0">
                <anchor moveWithCells="1">
                  <from>
                    <xdr:col>37</xdr:col>
                    <xdr:colOff>38100</xdr:colOff>
                    <xdr:row>11</xdr:row>
                    <xdr:rowOff>12700</xdr:rowOff>
                  </from>
                  <to>
                    <xdr:col>38</xdr:col>
                    <xdr:colOff>165100</xdr:colOff>
                    <xdr:row>11</xdr:row>
                    <xdr:rowOff>222250</xdr:rowOff>
                  </to>
                </anchor>
              </controlPr>
            </control>
          </mc:Choice>
        </mc:AlternateContent>
        <mc:AlternateContent xmlns:mc="http://schemas.openxmlformats.org/markup-compatibility/2006">
          <mc:Choice Requires="x14">
            <control shapeId="57381" r:id="rId40" name="Check Box 37">
              <controlPr locked="0" defaultSize="0" autoFill="0" autoLine="0" autoPict="0">
                <anchor moveWithCells="1">
                  <from>
                    <xdr:col>41</xdr:col>
                    <xdr:colOff>38100</xdr:colOff>
                    <xdr:row>11</xdr:row>
                    <xdr:rowOff>12700</xdr:rowOff>
                  </from>
                  <to>
                    <xdr:col>42</xdr:col>
                    <xdr:colOff>165100</xdr:colOff>
                    <xdr:row>11</xdr:row>
                    <xdr:rowOff>222250</xdr:rowOff>
                  </to>
                </anchor>
              </controlPr>
            </control>
          </mc:Choice>
        </mc:AlternateContent>
        <mc:AlternateContent xmlns:mc="http://schemas.openxmlformats.org/markup-compatibility/2006">
          <mc:Choice Requires="x14">
            <control shapeId="57382" r:id="rId41" name="Check Box 38">
              <controlPr locked="0" defaultSize="0" autoFill="0" autoLine="0" autoPict="0">
                <anchor moveWithCells="1">
                  <from>
                    <xdr:col>37</xdr:col>
                    <xdr:colOff>38100</xdr:colOff>
                    <xdr:row>13</xdr:row>
                    <xdr:rowOff>12700</xdr:rowOff>
                  </from>
                  <to>
                    <xdr:col>38</xdr:col>
                    <xdr:colOff>165100</xdr:colOff>
                    <xdr:row>13</xdr:row>
                    <xdr:rowOff>222250</xdr:rowOff>
                  </to>
                </anchor>
              </controlPr>
            </control>
          </mc:Choice>
        </mc:AlternateContent>
        <mc:AlternateContent xmlns:mc="http://schemas.openxmlformats.org/markup-compatibility/2006">
          <mc:Choice Requires="x14">
            <control shapeId="57383" r:id="rId42" name="Check Box 39">
              <controlPr locked="0" defaultSize="0" autoFill="0" autoLine="0" autoPict="0">
                <anchor moveWithCells="1">
                  <from>
                    <xdr:col>41</xdr:col>
                    <xdr:colOff>38100</xdr:colOff>
                    <xdr:row>13</xdr:row>
                    <xdr:rowOff>12700</xdr:rowOff>
                  </from>
                  <to>
                    <xdr:col>42</xdr:col>
                    <xdr:colOff>165100</xdr:colOff>
                    <xdr:row>13</xdr:row>
                    <xdr:rowOff>222250</xdr:rowOff>
                  </to>
                </anchor>
              </controlPr>
            </control>
          </mc:Choice>
        </mc:AlternateContent>
        <mc:AlternateContent xmlns:mc="http://schemas.openxmlformats.org/markup-compatibility/2006">
          <mc:Choice Requires="x14">
            <control shapeId="57384" r:id="rId43" name="Check Box 40">
              <controlPr locked="0" defaultSize="0" autoFill="0" autoLine="0" autoPict="0">
                <anchor moveWithCells="1">
                  <from>
                    <xdr:col>37</xdr:col>
                    <xdr:colOff>38100</xdr:colOff>
                    <xdr:row>16</xdr:row>
                    <xdr:rowOff>12700</xdr:rowOff>
                  </from>
                  <to>
                    <xdr:col>38</xdr:col>
                    <xdr:colOff>165100</xdr:colOff>
                    <xdr:row>16</xdr:row>
                    <xdr:rowOff>222250</xdr:rowOff>
                  </to>
                </anchor>
              </controlPr>
            </control>
          </mc:Choice>
        </mc:AlternateContent>
        <mc:AlternateContent xmlns:mc="http://schemas.openxmlformats.org/markup-compatibility/2006">
          <mc:Choice Requires="x14">
            <control shapeId="57385" r:id="rId44" name="Check Box 41">
              <controlPr locked="0" defaultSize="0" autoFill="0" autoLine="0" autoPict="0">
                <anchor moveWithCells="1">
                  <from>
                    <xdr:col>37</xdr:col>
                    <xdr:colOff>38100</xdr:colOff>
                    <xdr:row>17</xdr:row>
                    <xdr:rowOff>12700</xdr:rowOff>
                  </from>
                  <to>
                    <xdr:col>38</xdr:col>
                    <xdr:colOff>165100</xdr:colOff>
                    <xdr:row>17</xdr:row>
                    <xdr:rowOff>222250</xdr:rowOff>
                  </to>
                </anchor>
              </controlPr>
            </control>
          </mc:Choice>
        </mc:AlternateContent>
        <mc:AlternateContent xmlns:mc="http://schemas.openxmlformats.org/markup-compatibility/2006">
          <mc:Choice Requires="x14">
            <control shapeId="57386" r:id="rId45" name="Check Box 42">
              <controlPr locked="0" defaultSize="0" autoFill="0" autoLine="0" autoPict="0">
                <anchor moveWithCells="1">
                  <from>
                    <xdr:col>37</xdr:col>
                    <xdr:colOff>38100</xdr:colOff>
                    <xdr:row>18</xdr:row>
                    <xdr:rowOff>12700</xdr:rowOff>
                  </from>
                  <to>
                    <xdr:col>38</xdr:col>
                    <xdr:colOff>165100</xdr:colOff>
                    <xdr:row>18</xdr:row>
                    <xdr:rowOff>222250</xdr:rowOff>
                  </to>
                </anchor>
              </controlPr>
            </control>
          </mc:Choice>
        </mc:AlternateContent>
        <mc:AlternateContent xmlns:mc="http://schemas.openxmlformats.org/markup-compatibility/2006">
          <mc:Choice Requires="x14">
            <control shapeId="57387" r:id="rId46" name="Check Box 43">
              <controlPr locked="0" defaultSize="0" autoFill="0" autoLine="0" autoPict="0">
                <anchor moveWithCells="1">
                  <from>
                    <xdr:col>37</xdr:col>
                    <xdr:colOff>38100</xdr:colOff>
                    <xdr:row>19</xdr:row>
                    <xdr:rowOff>12700</xdr:rowOff>
                  </from>
                  <to>
                    <xdr:col>38</xdr:col>
                    <xdr:colOff>165100</xdr:colOff>
                    <xdr:row>19</xdr:row>
                    <xdr:rowOff>222250</xdr:rowOff>
                  </to>
                </anchor>
              </controlPr>
            </control>
          </mc:Choice>
        </mc:AlternateContent>
        <mc:AlternateContent xmlns:mc="http://schemas.openxmlformats.org/markup-compatibility/2006">
          <mc:Choice Requires="x14">
            <control shapeId="57388" r:id="rId47" name="Check Box 44">
              <controlPr locked="0" defaultSize="0" autoFill="0" autoLine="0" autoPict="0">
                <anchor moveWithCells="1">
                  <from>
                    <xdr:col>37</xdr:col>
                    <xdr:colOff>38100</xdr:colOff>
                    <xdr:row>23</xdr:row>
                    <xdr:rowOff>12700</xdr:rowOff>
                  </from>
                  <to>
                    <xdr:col>38</xdr:col>
                    <xdr:colOff>165100</xdr:colOff>
                    <xdr:row>23</xdr:row>
                    <xdr:rowOff>222250</xdr:rowOff>
                  </to>
                </anchor>
              </controlPr>
            </control>
          </mc:Choice>
        </mc:AlternateContent>
        <mc:AlternateContent xmlns:mc="http://schemas.openxmlformats.org/markup-compatibility/2006">
          <mc:Choice Requires="x14">
            <control shapeId="57389" r:id="rId48" name="Check Box 45">
              <controlPr locked="0" defaultSize="0" autoFill="0" autoLine="0" autoPict="0">
                <anchor moveWithCells="1">
                  <from>
                    <xdr:col>37</xdr:col>
                    <xdr:colOff>38100</xdr:colOff>
                    <xdr:row>24</xdr:row>
                    <xdr:rowOff>12700</xdr:rowOff>
                  </from>
                  <to>
                    <xdr:col>38</xdr:col>
                    <xdr:colOff>165100</xdr:colOff>
                    <xdr:row>25</xdr:row>
                    <xdr:rowOff>31750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B1:BY40"/>
  <sheetViews>
    <sheetView showGridLines="0" zoomScaleNormal="100" workbookViewId="0">
      <selection activeCell="D31" sqref="D31"/>
    </sheetView>
  </sheetViews>
  <sheetFormatPr defaultRowHeight="15.5"/>
  <cols>
    <col min="1" max="1" width="2.08203125" style="180" customWidth="1"/>
    <col min="2" max="51" width="3.58203125" style="180" customWidth="1"/>
    <col min="52" max="52" width="2.08203125" style="180" customWidth="1"/>
    <col min="53" max="256" width="3.58203125" style="180" customWidth="1"/>
    <col min="257" max="272" width="9" style="180"/>
    <col min="273" max="273" width="1.58203125" style="180" customWidth="1"/>
    <col min="274" max="280" width="3.58203125" style="180" customWidth="1"/>
    <col min="281" max="281" width="3.33203125" style="180" customWidth="1"/>
    <col min="282" max="512" width="3.58203125" style="180" customWidth="1"/>
    <col min="513" max="528" width="9" style="180"/>
    <col min="529" max="529" width="1.58203125" style="180" customWidth="1"/>
    <col min="530" max="536" width="3.58203125" style="180" customWidth="1"/>
    <col min="537" max="537" width="3.33203125" style="180" customWidth="1"/>
    <col min="538" max="768" width="3.58203125" style="180" customWidth="1"/>
    <col min="769" max="784" width="9" style="180"/>
    <col min="785" max="785" width="1.58203125" style="180" customWidth="1"/>
    <col min="786" max="792" width="3.58203125" style="180" customWidth="1"/>
    <col min="793" max="793" width="3.33203125" style="180" customWidth="1"/>
    <col min="794" max="1024" width="3.58203125" style="180" customWidth="1"/>
    <col min="1025" max="1040" width="9" style="180"/>
    <col min="1041" max="1041" width="1.58203125" style="180" customWidth="1"/>
    <col min="1042" max="1048" width="3.58203125" style="180" customWidth="1"/>
    <col min="1049" max="1049" width="3.33203125" style="180" customWidth="1"/>
    <col min="1050" max="1280" width="3.58203125" style="180" customWidth="1"/>
    <col min="1281" max="1296" width="9" style="180"/>
    <col min="1297" max="1297" width="1.58203125" style="180" customWidth="1"/>
    <col min="1298" max="1304" width="3.58203125" style="180" customWidth="1"/>
    <col min="1305" max="1305" width="3.33203125" style="180" customWidth="1"/>
    <col min="1306" max="1536" width="3.58203125" style="180" customWidth="1"/>
    <col min="1537" max="1552" width="9" style="180"/>
    <col min="1553" max="1553" width="1.58203125" style="180" customWidth="1"/>
    <col min="1554" max="1560" width="3.58203125" style="180" customWidth="1"/>
    <col min="1561" max="1561" width="3.33203125" style="180" customWidth="1"/>
    <col min="1562" max="1792" width="3.58203125" style="180" customWidth="1"/>
    <col min="1793" max="1808" width="9" style="180"/>
    <col min="1809" max="1809" width="1.58203125" style="180" customWidth="1"/>
    <col min="1810" max="1816" width="3.58203125" style="180" customWidth="1"/>
    <col min="1817" max="1817" width="3.33203125" style="180" customWidth="1"/>
    <col min="1818" max="2048" width="3.58203125" style="180" customWidth="1"/>
    <col min="2049" max="2064" width="9" style="180"/>
    <col min="2065" max="2065" width="1.58203125" style="180" customWidth="1"/>
    <col min="2066" max="2072" width="3.58203125" style="180" customWidth="1"/>
    <col min="2073" max="2073" width="3.33203125" style="180" customWidth="1"/>
    <col min="2074" max="2304" width="3.58203125" style="180" customWidth="1"/>
    <col min="2305" max="2320" width="9" style="180"/>
    <col min="2321" max="2321" width="1.58203125" style="180" customWidth="1"/>
    <col min="2322" max="2328" width="3.58203125" style="180" customWidth="1"/>
    <col min="2329" max="2329" width="3.33203125" style="180" customWidth="1"/>
    <col min="2330" max="2560" width="3.58203125" style="180" customWidth="1"/>
    <col min="2561" max="2576" width="9" style="180"/>
    <col min="2577" max="2577" width="1.58203125" style="180" customWidth="1"/>
    <col min="2578" max="2584" width="3.58203125" style="180" customWidth="1"/>
    <col min="2585" max="2585" width="3.33203125" style="180" customWidth="1"/>
    <col min="2586" max="2816" width="3.58203125" style="180" customWidth="1"/>
    <col min="2817" max="2832" width="9" style="180"/>
    <col min="2833" max="2833" width="1.58203125" style="180" customWidth="1"/>
    <col min="2834" max="2840" width="3.58203125" style="180" customWidth="1"/>
    <col min="2841" max="2841" width="3.33203125" style="180" customWidth="1"/>
    <col min="2842" max="3072" width="3.58203125" style="180" customWidth="1"/>
    <col min="3073" max="3088" width="9" style="180"/>
    <col min="3089" max="3089" width="1.58203125" style="180" customWidth="1"/>
    <col min="3090" max="3096" width="3.58203125" style="180" customWidth="1"/>
    <col min="3097" max="3097" width="3.33203125" style="180" customWidth="1"/>
    <col min="3098" max="3328" width="3.58203125" style="180" customWidth="1"/>
    <col min="3329" max="3344" width="9" style="180"/>
    <col min="3345" max="3345" width="1.58203125" style="180" customWidth="1"/>
    <col min="3346" max="3352" width="3.58203125" style="180" customWidth="1"/>
    <col min="3353" max="3353" width="3.33203125" style="180" customWidth="1"/>
    <col min="3354" max="3584" width="3.58203125" style="180" customWidth="1"/>
    <col min="3585" max="3600" width="9" style="180"/>
    <col min="3601" max="3601" width="1.58203125" style="180" customWidth="1"/>
    <col min="3602" max="3608" width="3.58203125" style="180" customWidth="1"/>
    <col min="3609" max="3609" width="3.33203125" style="180" customWidth="1"/>
    <col min="3610" max="3840" width="3.58203125" style="180" customWidth="1"/>
    <col min="3841" max="3856" width="9" style="180"/>
    <col min="3857" max="3857" width="1.58203125" style="180" customWidth="1"/>
    <col min="3858" max="3864" width="3.58203125" style="180" customWidth="1"/>
    <col min="3865" max="3865" width="3.33203125" style="180" customWidth="1"/>
    <col min="3866" max="4096" width="3.58203125" style="180" customWidth="1"/>
    <col min="4097" max="4112" width="9" style="180"/>
    <col min="4113" max="4113" width="1.58203125" style="180" customWidth="1"/>
    <col min="4114" max="4120" width="3.58203125" style="180" customWidth="1"/>
    <col min="4121" max="4121" width="3.33203125" style="180" customWidth="1"/>
    <col min="4122" max="4352" width="3.58203125" style="180" customWidth="1"/>
    <col min="4353" max="4368" width="9" style="180"/>
    <col min="4369" max="4369" width="1.58203125" style="180" customWidth="1"/>
    <col min="4370" max="4376" width="3.58203125" style="180" customWidth="1"/>
    <col min="4377" max="4377" width="3.33203125" style="180" customWidth="1"/>
    <col min="4378" max="4608" width="3.58203125" style="180" customWidth="1"/>
    <col min="4609" max="4624" width="9" style="180"/>
    <col min="4625" max="4625" width="1.58203125" style="180" customWidth="1"/>
    <col min="4626" max="4632" width="3.58203125" style="180" customWidth="1"/>
    <col min="4633" max="4633" width="3.33203125" style="180" customWidth="1"/>
    <col min="4634" max="4864" width="3.58203125" style="180" customWidth="1"/>
    <col min="4865" max="4880" width="9" style="180"/>
    <col min="4881" max="4881" width="1.58203125" style="180" customWidth="1"/>
    <col min="4882" max="4888" width="3.58203125" style="180" customWidth="1"/>
    <col min="4889" max="4889" width="3.33203125" style="180" customWidth="1"/>
    <col min="4890" max="5120" width="3.58203125" style="180" customWidth="1"/>
    <col min="5121" max="5136" width="9" style="180"/>
    <col min="5137" max="5137" width="1.58203125" style="180" customWidth="1"/>
    <col min="5138" max="5144" width="3.58203125" style="180" customWidth="1"/>
    <col min="5145" max="5145" width="3.33203125" style="180" customWidth="1"/>
    <col min="5146" max="5376" width="3.58203125" style="180" customWidth="1"/>
    <col min="5377" max="5392" width="9" style="180"/>
    <col min="5393" max="5393" width="1.58203125" style="180" customWidth="1"/>
    <col min="5394" max="5400" width="3.58203125" style="180" customWidth="1"/>
    <col min="5401" max="5401" width="3.33203125" style="180" customWidth="1"/>
    <col min="5402" max="5632" width="3.58203125" style="180" customWidth="1"/>
    <col min="5633" max="5648" width="9" style="180"/>
    <col min="5649" max="5649" width="1.58203125" style="180" customWidth="1"/>
    <col min="5650" max="5656" width="3.58203125" style="180" customWidth="1"/>
    <col min="5657" max="5657" width="3.33203125" style="180" customWidth="1"/>
    <col min="5658" max="5888" width="3.58203125" style="180" customWidth="1"/>
    <col min="5889" max="5904" width="9" style="180"/>
    <col min="5905" max="5905" width="1.58203125" style="180" customWidth="1"/>
    <col min="5906" max="5912" width="3.58203125" style="180" customWidth="1"/>
    <col min="5913" max="5913" width="3.33203125" style="180" customWidth="1"/>
    <col min="5914" max="6144" width="3.58203125" style="180" customWidth="1"/>
    <col min="6145" max="6160" width="9" style="180"/>
    <col min="6161" max="6161" width="1.58203125" style="180" customWidth="1"/>
    <col min="6162" max="6168" width="3.58203125" style="180" customWidth="1"/>
    <col min="6169" max="6169" width="3.33203125" style="180" customWidth="1"/>
    <col min="6170" max="6400" width="3.58203125" style="180" customWidth="1"/>
    <col min="6401" max="6416" width="9" style="180"/>
    <col min="6417" max="6417" width="1.58203125" style="180" customWidth="1"/>
    <col min="6418" max="6424" width="3.58203125" style="180" customWidth="1"/>
    <col min="6425" max="6425" width="3.33203125" style="180" customWidth="1"/>
    <col min="6426" max="6656" width="3.58203125" style="180" customWidth="1"/>
    <col min="6657" max="6672" width="9" style="180"/>
    <col min="6673" max="6673" width="1.58203125" style="180" customWidth="1"/>
    <col min="6674" max="6680" width="3.58203125" style="180" customWidth="1"/>
    <col min="6681" max="6681" width="3.33203125" style="180" customWidth="1"/>
    <col min="6682" max="6912" width="3.58203125" style="180" customWidth="1"/>
    <col min="6913" max="6928" width="9" style="180"/>
    <col min="6929" max="6929" width="1.58203125" style="180" customWidth="1"/>
    <col min="6930" max="6936" width="3.58203125" style="180" customWidth="1"/>
    <col min="6937" max="6937" width="3.33203125" style="180" customWidth="1"/>
    <col min="6938" max="7168" width="3.58203125" style="180" customWidth="1"/>
    <col min="7169" max="7184" width="9" style="180"/>
    <col min="7185" max="7185" width="1.58203125" style="180" customWidth="1"/>
    <col min="7186" max="7192" width="3.58203125" style="180" customWidth="1"/>
    <col min="7193" max="7193" width="3.33203125" style="180" customWidth="1"/>
    <col min="7194" max="7424" width="3.58203125" style="180" customWidth="1"/>
    <col min="7425" max="7440" width="9" style="180"/>
    <col min="7441" max="7441" width="1.58203125" style="180" customWidth="1"/>
    <col min="7442" max="7448" width="3.58203125" style="180" customWidth="1"/>
    <col min="7449" max="7449" width="3.33203125" style="180" customWidth="1"/>
    <col min="7450" max="7680" width="3.58203125" style="180" customWidth="1"/>
    <col min="7681" max="7696" width="9" style="180"/>
    <col min="7697" max="7697" width="1.58203125" style="180" customWidth="1"/>
    <col min="7698" max="7704" width="3.58203125" style="180" customWidth="1"/>
    <col min="7705" max="7705" width="3.33203125" style="180" customWidth="1"/>
    <col min="7706" max="7936" width="3.58203125" style="180" customWidth="1"/>
    <col min="7937" max="7952" width="9" style="180"/>
    <col min="7953" max="7953" width="1.58203125" style="180" customWidth="1"/>
    <col min="7954" max="7960" width="3.58203125" style="180" customWidth="1"/>
    <col min="7961" max="7961" width="3.33203125" style="180" customWidth="1"/>
    <col min="7962" max="8192" width="3.58203125" style="180" customWidth="1"/>
    <col min="8193" max="8208" width="9" style="180"/>
    <col min="8209" max="8209" width="1.58203125" style="180" customWidth="1"/>
    <col min="8210" max="8216" width="3.58203125" style="180" customWidth="1"/>
    <col min="8217" max="8217" width="3.33203125" style="180" customWidth="1"/>
    <col min="8218" max="8448" width="3.58203125" style="180" customWidth="1"/>
    <col min="8449" max="8464" width="9" style="180"/>
    <col min="8465" max="8465" width="1.58203125" style="180" customWidth="1"/>
    <col min="8466" max="8472" width="3.58203125" style="180" customWidth="1"/>
    <col min="8473" max="8473" width="3.33203125" style="180" customWidth="1"/>
    <col min="8474" max="8704" width="3.58203125" style="180" customWidth="1"/>
    <col min="8705" max="8720" width="9" style="180"/>
    <col min="8721" max="8721" width="1.58203125" style="180" customWidth="1"/>
    <col min="8722" max="8728" width="3.58203125" style="180" customWidth="1"/>
    <col min="8729" max="8729" width="3.33203125" style="180" customWidth="1"/>
    <col min="8730" max="8960" width="3.58203125" style="180" customWidth="1"/>
    <col min="8961" max="8976" width="9" style="180"/>
    <col min="8977" max="8977" width="1.58203125" style="180" customWidth="1"/>
    <col min="8978" max="8984" width="3.58203125" style="180" customWidth="1"/>
    <col min="8985" max="8985" width="3.33203125" style="180" customWidth="1"/>
    <col min="8986" max="9216" width="3.58203125" style="180" customWidth="1"/>
    <col min="9217" max="9232" width="9" style="180"/>
    <col min="9233" max="9233" width="1.58203125" style="180" customWidth="1"/>
    <col min="9234" max="9240" width="3.58203125" style="180" customWidth="1"/>
    <col min="9241" max="9241" width="3.33203125" style="180" customWidth="1"/>
    <col min="9242" max="9472" width="3.58203125" style="180" customWidth="1"/>
    <col min="9473" max="9488" width="9" style="180"/>
    <col min="9489" max="9489" width="1.58203125" style="180" customWidth="1"/>
    <col min="9490" max="9496" width="3.58203125" style="180" customWidth="1"/>
    <col min="9497" max="9497" width="3.33203125" style="180" customWidth="1"/>
    <col min="9498" max="9728" width="3.58203125" style="180" customWidth="1"/>
    <col min="9729" max="9744" width="9" style="180"/>
    <col min="9745" max="9745" width="1.58203125" style="180" customWidth="1"/>
    <col min="9746" max="9752" width="3.58203125" style="180" customWidth="1"/>
    <col min="9753" max="9753" width="3.33203125" style="180" customWidth="1"/>
    <col min="9754" max="9984" width="3.58203125" style="180" customWidth="1"/>
    <col min="9985" max="10000" width="9" style="180"/>
    <col min="10001" max="10001" width="1.58203125" style="180" customWidth="1"/>
    <col min="10002" max="10008" width="3.58203125" style="180" customWidth="1"/>
    <col min="10009" max="10009" width="3.33203125" style="180" customWidth="1"/>
    <col min="10010" max="10240" width="3.58203125" style="180" customWidth="1"/>
    <col min="10241" max="10256" width="9" style="180"/>
    <col min="10257" max="10257" width="1.58203125" style="180" customWidth="1"/>
    <col min="10258" max="10264" width="3.58203125" style="180" customWidth="1"/>
    <col min="10265" max="10265" width="3.33203125" style="180" customWidth="1"/>
    <col min="10266" max="10496" width="3.58203125" style="180" customWidth="1"/>
    <col min="10497" max="10512" width="9" style="180"/>
    <col min="10513" max="10513" width="1.58203125" style="180" customWidth="1"/>
    <col min="10514" max="10520" width="3.58203125" style="180" customWidth="1"/>
    <col min="10521" max="10521" width="3.33203125" style="180" customWidth="1"/>
    <col min="10522" max="10752" width="3.58203125" style="180" customWidth="1"/>
    <col min="10753" max="10768" width="9" style="180"/>
    <col min="10769" max="10769" width="1.58203125" style="180" customWidth="1"/>
    <col min="10770" max="10776" width="3.58203125" style="180" customWidth="1"/>
    <col min="10777" max="10777" width="3.33203125" style="180" customWidth="1"/>
    <col min="10778" max="11008" width="3.58203125" style="180" customWidth="1"/>
    <col min="11009" max="11024" width="9" style="180"/>
    <col min="11025" max="11025" width="1.58203125" style="180" customWidth="1"/>
    <col min="11026" max="11032" width="3.58203125" style="180" customWidth="1"/>
    <col min="11033" max="11033" width="3.33203125" style="180" customWidth="1"/>
    <col min="11034" max="11264" width="3.58203125" style="180" customWidth="1"/>
    <col min="11265" max="11280" width="9" style="180"/>
    <col min="11281" max="11281" width="1.58203125" style="180" customWidth="1"/>
    <col min="11282" max="11288" width="3.58203125" style="180" customWidth="1"/>
    <col min="11289" max="11289" width="3.33203125" style="180" customWidth="1"/>
    <col min="11290" max="11520" width="3.58203125" style="180" customWidth="1"/>
    <col min="11521" max="11536" width="9" style="180"/>
    <col min="11537" max="11537" width="1.58203125" style="180" customWidth="1"/>
    <col min="11538" max="11544" width="3.58203125" style="180" customWidth="1"/>
    <col min="11545" max="11545" width="3.33203125" style="180" customWidth="1"/>
    <col min="11546" max="11776" width="3.58203125" style="180" customWidth="1"/>
    <col min="11777" max="11792" width="9" style="180"/>
    <col min="11793" max="11793" width="1.58203125" style="180" customWidth="1"/>
    <col min="11794" max="11800" width="3.58203125" style="180" customWidth="1"/>
    <col min="11801" max="11801" width="3.33203125" style="180" customWidth="1"/>
    <col min="11802" max="12032" width="3.58203125" style="180" customWidth="1"/>
    <col min="12033" max="12048" width="9" style="180"/>
    <col min="12049" max="12049" width="1.58203125" style="180" customWidth="1"/>
    <col min="12050" max="12056" width="3.58203125" style="180" customWidth="1"/>
    <col min="12057" max="12057" width="3.33203125" style="180" customWidth="1"/>
    <col min="12058" max="12288" width="3.58203125" style="180" customWidth="1"/>
    <col min="12289" max="12304" width="9" style="180"/>
    <col min="12305" max="12305" width="1.58203125" style="180" customWidth="1"/>
    <col min="12306" max="12312" width="3.58203125" style="180" customWidth="1"/>
    <col min="12313" max="12313" width="3.33203125" style="180" customWidth="1"/>
    <col min="12314" max="12544" width="3.58203125" style="180" customWidth="1"/>
    <col min="12545" max="12560" width="9" style="180"/>
    <col min="12561" max="12561" width="1.58203125" style="180" customWidth="1"/>
    <col min="12562" max="12568" width="3.58203125" style="180" customWidth="1"/>
    <col min="12569" max="12569" width="3.33203125" style="180" customWidth="1"/>
    <col min="12570" max="12800" width="3.58203125" style="180" customWidth="1"/>
    <col min="12801" max="12816" width="9" style="180"/>
    <col min="12817" max="12817" width="1.58203125" style="180" customWidth="1"/>
    <col min="12818" max="12824" width="3.58203125" style="180" customWidth="1"/>
    <col min="12825" max="12825" width="3.33203125" style="180" customWidth="1"/>
    <col min="12826" max="13056" width="3.58203125" style="180" customWidth="1"/>
    <col min="13057" max="13072" width="9" style="180"/>
    <col min="13073" max="13073" width="1.58203125" style="180" customWidth="1"/>
    <col min="13074" max="13080" width="3.58203125" style="180" customWidth="1"/>
    <col min="13081" max="13081" width="3.33203125" style="180" customWidth="1"/>
    <col min="13082" max="13312" width="3.58203125" style="180" customWidth="1"/>
    <col min="13313" max="13328" width="9" style="180"/>
    <col min="13329" max="13329" width="1.58203125" style="180" customWidth="1"/>
    <col min="13330" max="13336" width="3.58203125" style="180" customWidth="1"/>
    <col min="13337" max="13337" width="3.33203125" style="180" customWidth="1"/>
    <col min="13338" max="13568" width="3.58203125" style="180" customWidth="1"/>
    <col min="13569" max="13584" width="9" style="180"/>
    <col min="13585" max="13585" width="1.58203125" style="180" customWidth="1"/>
    <col min="13586" max="13592" width="3.58203125" style="180" customWidth="1"/>
    <col min="13593" max="13593" width="3.33203125" style="180" customWidth="1"/>
    <col min="13594" max="13824" width="3.58203125" style="180" customWidth="1"/>
    <col min="13825" max="13840" width="9" style="180"/>
    <col min="13841" max="13841" width="1.58203125" style="180" customWidth="1"/>
    <col min="13842" max="13848" width="3.58203125" style="180" customWidth="1"/>
    <col min="13849" max="13849" width="3.33203125" style="180" customWidth="1"/>
    <col min="13850" max="14080" width="3.58203125" style="180" customWidth="1"/>
    <col min="14081" max="14096" width="9" style="180"/>
    <col min="14097" max="14097" width="1.58203125" style="180" customWidth="1"/>
    <col min="14098" max="14104" width="3.58203125" style="180" customWidth="1"/>
    <col min="14105" max="14105" width="3.33203125" style="180" customWidth="1"/>
    <col min="14106" max="14336" width="3.58203125" style="180" customWidth="1"/>
    <col min="14337" max="14352" width="9" style="180"/>
    <col min="14353" max="14353" width="1.58203125" style="180" customWidth="1"/>
    <col min="14354" max="14360" width="3.58203125" style="180" customWidth="1"/>
    <col min="14361" max="14361" width="3.33203125" style="180" customWidth="1"/>
    <col min="14362" max="14592" width="3.58203125" style="180" customWidth="1"/>
    <col min="14593" max="14608" width="9" style="180"/>
    <col min="14609" max="14609" width="1.58203125" style="180" customWidth="1"/>
    <col min="14610" max="14616" width="3.58203125" style="180" customWidth="1"/>
    <col min="14617" max="14617" width="3.33203125" style="180" customWidth="1"/>
    <col min="14618" max="14848" width="3.58203125" style="180" customWidth="1"/>
    <col min="14849" max="14864" width="9" style="180"/>
    <col min="14865" max="14865" width="1.58203125" style="180" customWidth="1"/>
    <col min="14866" max="14872" width="3.58203125" style="180" customWidth="1"/>
    <col min="14873" max="14873" width="3.33203125" style="180" customWidth="1"/>
    <col min="14874" max="15104" width="3.58203125" style="180" customWidth="1"/>
    <col min="15105" max="15120" width="9" style="180"/>
    <col min="15121" max="15121" width="1.58203125" style="180" customWidth="1"/>
    <col min="15122" max="15128" width="3.58203125" style="180" customWidth="1"/>
    <col min="15129" max="15129" width="3.33203125" style="180" customWidth="1"/>
    <col min="15130" max="15360" width="3.58203125" style="180" customWidth="1"/>
    <col min="15361" max="15376" width="9" style="180"/>
    <col min="15377" max="15377" width="1.58203125" style="180" customWidth="1"/>
    <col min="15378" max="15384" width="3.58203125" style="180" customWidth="1"/>
    <col min="15385" max="15385" width="3.33203125" style="180" customWidth="1"/>
    <col min="15386" max="15616" width="3.58203125" style="180" customWidth="1"/>
    <col min="15617" max="15632" width="9" style="180"/>
    <col min="15633" max="15633" width="1.58203125" style="180" customWidth="1"/>
    <col min="15634" max="15640" width="3.58203125" style="180" customWidth="1"/>
    <col min="15641" max="15641" width="3.33203125" style="180" customWidth="1"/>
    <col min="15642" max="15872" width="3.58203125" style="180" customWidth="1"/>
    <col min="15873" max="15888" width="9" style="180"/>
    <col min="15889" max="15889" width="1.58203125" style="180" customWidth="1"/>
    <col min="15890" max="15896" width="3.58203125" style="180" customWidth="1"/>
    <col min="15897" max="15897" width="3.33203125" style="180" customWidth="1"/>
    <col min="15898" max="16128" width="3.58203125" style="180" customWidth="1"/>
    <col min="16129" max="16144" width="9" style="180"/>
    <col min="16145" max="16145" width="1.58203125" style="180" customWidth="1"/>
    <col min="16146" max="16152" width="3.58203125" style="180" customWidth="1"/>
    <col min="16153" max="16153" width="3.33203125" style="180" customWidth="1"/>
    <col min="16154" max="16384" width="3.58203125" style="180" customWidth="1"/>
  </cols>
  <sheetData>
    <row r="1" spans="2:77" ht="12" customHeight="1"/>
    <row r="2" spans="2:77" s="211" customFormat="1" ht="15.75" customHeight="1">
      <c r="B2" s="868" t="s">
        <v>1402</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7"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7" s="211" customFormat="1" ht="15.75" customHeight="1">
      <c r="B4" s="316" t="s">
        <v>152</v>
      </c>
      <c r="C4" s="3133" t="s">
        <v>1144</v>
      </c>
      <c r="D4" s="3133"/>
      <c r="E4" s="3133"/>
      <c r="F4" s="3133"/>
      <c r="G4" s="3133"/>
      <c r="H4" s="3133"/>
      <c r="I4" s="3133"/>
      <c r="J4" s="3133"/>
      <c r="K4" s="3133"/>
      <c r="L4" s="3133"/>
      <c r="M4" s="3133"/>
      <c r="N4" s="3133"/>
      <c r="O4" s="3133"/>
      <c r="P4" s="3133"/>
      <c r="Q4" s="3133"/>
      <c r="R4" s="3133"/>
      <c r="S4" s="3133"/>
      <c r="T4" s="3133"/>
      <c r="U4" s="3133"/>
      <c r="V4" s="3133"/>
      <c r="W4" s="3133"/>
      <c r="X4" s="3133"/>
      <c r="Y4" s="3133"/>
      <c r="Z4" s="3133"/>
      <c r="AA4" s="3133"/>
      <c r="AB4" s="3133"/>
      <c r="AC4" s="3133"/>
      <c r="AD4" s="3133"/>
      <c r="AE4" s="3133"/>
      <c r="AF4" s="3133"/>
      <c r="AG4" s="3133"/>
      <c r="AH4" s="3133"/>
      <c r="AI4" s="3133"/>
      <c r="AJ4" s="3133"/>
      <c r="AK4" s="3133"/>
      <c r="AL4" s="3133"/>
      <c r="AM4" s="3133"/>
      <c r="AN4" s="3133"/>
      <c r="AO4" s="3133"/>
      <c r="AP4" s="3133"/>
      <c r="AQ4" s="3133"/>
      <c r="AR4" s="3133"/>
      <c r="AS4" s="3133"/>
      <c r="AT4" s="3133"/>
      <c r="AU4" s="3133"/>
      <c r="AV4" s="3133"/>
      <c r="AW4" s="3133"/>
      <c r="AX4" s="3133"/>
      <c r="AY4" s="3133"/>
      <c r="AZ4" s="961"/>
      <c r="BA4" s="961"/>
      <c r="BB4" s="961"/>
      <c r="BC4" s="961"/>
      <c r="BD4" s="961"/>
      <c r="BE4" s="961"/>
      <c r="BF4" s="961"/>
      <c r="BG4" s="961"/>
      <c r="BH4" s="961"/>
      <c r="BX4" s="334"/>
    </row>
    <row r="5" spans="2:77" s="211" customFormat="1" ht="15.75" customHeight="1">
      <c r="B5" s="316" t="s">
        <v>153</v>
      </c>
      <c r="C5" s="3133" t="s">
        <v>1145</v>
      </c>
      <c r="D5" s="3133"/>
      <c r="E5" s="3133"/>
      <c r="F5" s="3133"/>
      <c r="G5" s="3133"/>
      <c r="H5" s="3133"/>
      <c r="I5" s="3133"/>
      <c r="J5" s="3133"/>
      <c r="K5" s="3133"/>
      <c r="L5" s="3133"/>
      <c r="M5" s="3133"/>
      <c r="N5" s="3133"/>
      <c r="O5" s="3133"/>
      <c r="P5" s="3133"/>
      <c r="Q5" s="3133"/>
      <c r="R5" s="3133"/>
      <c r="S5" s="3133"/>
      <c r="T5" s="3133"/>
      <c r="U5" s="3133"/>
      <c r="V5" s="3133"/>
      <c r="W5" s="3133"/>
      <c r="X5" s="3133"/>
      <c r="Y5" s="3133"/>
      <c r="Z5" s="3133"/>
      <c r="AA5" s="3133"/>
      <c r="AB5" s="3133"/>
      <c r="AC5" s="3133"/>
      <c r="AD5" s="3133"/>
      <c r="AE5" s="3133"/>
      <c r="AF5" s="3133"/>
      <c r="AG5" s="3133"/>
      <c r="AH5" s="3133"/>
      <c r="AI5" s="3133"/>
      <c r="AJ5" s="3133"/>
      <c r="AK5" s="3133"/>
      <c r="AL5" s="3133"/>
      <c r="AM5" s="3133"/>
      <c r="AN5" s="3133"/>
      <c r="AO5" s="3133"/>
      <c r="AP5" s="3133"/>
      <c r="AQ5" s="3133"/>
      <c r="AR5" s="3133"/>
      <c r="AS5" s="3133"/>
      <c r="AT5" s="3133"/>
      <c r="AU5" s="3133"/>
      <c r="AV5" s="3133"/>
      <c r="AW5" s="3133"/>
      <c r="AX5" s="3133"/>
      <c r="AY5" s="3133"/>
      <c r="AZ5" s="962"/>
      <c r="BA5" s="962"/>
      <c r="BB5" s="962"/>
      <c r="BC5" s="962"/>
      <c r="BD5" s="962"/>
      <c r="BE5" s="962"/>
      <c r="BF5" s="962"/>
      <c r="BG5" s="962"/>
      <c r="BH5" s="962"/>
      <c r="BI5" s="962"/>
      <c r="BY5" s="334"/>
    </row>
    <row r="6" spans="2:77" s="211" customFormat="1" ht="15.75" customHeight="1">
      <c r="B6" s="963"/>
      <c r="C6" s="964" t="s">
        <v>114</v>
      </c>
      <c r="D6" s="3133" t="s">
        <v>1146</v>
      </c>
      <c r="E6" s="3133"/>
      <c r="F6" s="3133"/>
      <c r="G6" s="3133"/>
      <c r="H6" s="3133"/>
      <c r="I6" s="3133"/>
      <c r="J6" s="3133"/>
      <c r="K6" s="3133"/>
      <c r="L6" s="3133"/>
      <c r="M6" s="3133"/>
      <c r="N6" s="3133"/>
      <c r="O6" s="3133"/>
      <c r="P6" s="3133"/>
      <c r="Q6" s="3133"/>
      <c r="R6" s="3133"/>
      <c r="S6" s="3133"/>
      <c r="T6" s="3133"/>
      <c r="U6" s="3133"/>
      <c r="V6" s="3133"/>
      <c r="W6" s="3133"/>
      <c r="X6" s="3133"/>
      <c r="Y6" s="3133"/>
      <c r="Z6" s="3133"/>
      <c r="AA6" s="3133"/>
      <c r="AB6" s="3133"/>
      <c r="AC6" s="3133"/>
      <c r="AD6" s="3133"/>
      <c r="AE6" s="3133"/>
      <c r="AF6" s="3133"/>
      <c r="AG6" s="3133"/>
      <c r="AH6" s="3133"/>
      <c r="AI6" s="3133"/>
      <c r="AJ6" s="3133"/>
      <c r="AK6" s="3133"/>
      <c r="AL6" s="3133"/>
      <c r="AM6" s="3133"/>
      <c r="AN6" s="3133"/>
      <c r="AO6" s="3133"/>
      <c r="AP6" s="3133"/>
      <c r="AQ6" s="3133"/>
      <c r="AR6" s="3133"/>
      <c r="AS6" s="3133"/>
      <c r="AT6" s="3133"/>
      <c r="AU6" s="3133"/>
      <c r="AV6" s="3133"/>
      <c r="AW6" s="3133"/>
      <c r="AX6" s="3133"/>
      <c r="AY6" s="3133"/>
      <c r="AZ6" s="962"/>
      <c r="BA6" s="962"/>
      <c r="BB6" s="962"/>
      <c r="BC6" s="962"/>
      <c r="BD6" s="962"/>
      <c r="BE6" s="962"/>
      <c r="BF6" s="962"/>
      <c r="BG6" s="962"/>
      <c r="BH6" s="962"/>
      <c r="BI6" s="962"/>
      <c r="BY6" s="334"/>
    </row>
    <row r="7" spans="2:77" s="312" customFormat="1" ht="15.75" customHeight="1">
      <c r="B7" s="963"/>
      <c r="C7" s="327"/>
      <c r="D7" s="327" t="s">
        <v>168</v>
      </c>
      <c r="E7" s="3086" t="s">
        <v>1147</v>
      </c>
      <c r="F7" s="3086"/>
      <c r="G7" s="3086"/>
      <c r="H7" s="3086"/>
      <c r="I7" s="3086"/>
      <c r="J7" s="3086"/>
      <c r="K7" s="3086"/>
      <c r="L7" s="3086"/>
      <c r="M7" s="3086"/>
      <c r="N7" s="3086"/>
      <c r="O7" s="3086"/>
      <c r="P7" s="3086"/>
      <c r="Q7" s="3086"/>
      <c r="R7" s="3086"/>
      <c r="S7" s="3086"/>
      <c r="T7" s="3086"/>
      <c r="U7" s="3086"/>
      <c r="V7" s="3086"/>
      <c r="W7" s="3086"/>
      <c r="X7" s="3086"/>
      <c r="Y7" s="3086"/>
      <c r="Z7" s="3086"/>
      <c r="AA7" s="3086"/>
      <c r="AB7" s="3086"/>
      <c r="AC7" s="3086"/>
      <c r="AD7" s="3086"/>
      <c r="AE7" s="3086"/>
      <c r="AF7" s="3086"/>
      <c r="AG7" s="3086"/>
      <c r="AH7" s="3086"/>
      <c r="AI7" s="3086"/>
      <c r="AJ7" s="3086"/>
      <c r="AK7" s="3086"/>
      <c r="AL7" s="3086"/>
      <c r="AM7" s="3086"/>
      <c r="AN7" s="3086"/>
      <c r="AO7" s="3086"/>
      <c r="AP7" s="3086"/>
      <c r="AQ7" s="3086"/>
      <c r="AR7" s="3086"/>
      <c r="AS7" s="3086"/>
      <c r="AT7" s="3086"/>
      <c r="AU7" s="3086"/>
      <c r="AV7" s="3086"/>
      <c r="AW7" s="3086"/>
      <c r="AX7" s="3086"/>
      <c r="AY7" s="3086"/>
      <c r="AZ7" s="965"/>
      <c r="BA7" s="965"/>
      <c r="BB7" s="965"/>
      <c r="BC7" s="965"/>
      <c r="BD7" s="965"/>
      <c r="BE7" s="965"/>
      <c r="BF7" s="965"/>
      <c r="BG7" s="965"/>
      <c r="BH7" s="965"/>
      <c r="BX7" s="557"/>
    </row>
    <row r="8" spans="2:77" s="211" customFormat="1" ht="32.25" customHeight="1">
      <c r="B8" s="963"/>
      <c r="C8" s="327"/>
      <c r="D8" s="327" t="s">
        <v>169</v>
      </c>
      <c r="E8" s="3086" t="s">
        <v>1148</v>
      </c>
      <c r="F8" s="3086"/>
      <c r="G8" s="3086"/>
      <c r="H8" s="3086"/>
      <c r="I8" s="3086"/>
      <c r="J8" s="3086"/>
      <c r="K8" s="3086"/>
      <c r="L8" s="3086"/>
      <c r="M8" s="3086"/>
      <c r="N8" s="3086"/>
      <c r="O8" s="3086"/>
      <c r="P8" s="3086"/>
      <c r="Q8" s="3086"/>
      <c r="R8" s="3086"/>
      <c r="S8" s="3086"/>
      <c r="T8" s="3086"/>
      <c r="U8" s="3086"/>
      <c r="V8" s="3086"/>
      <c r="W8" s="3086"/>
      <c r="X8" s="3086"/>
      <c r="Y8" s="3086"/>
      <c r="Z8" s="3086"/>
      <c r="AA8" s="3086"/>
      <c r="AB8" s="3086"/>
      <c r="AC8" s="3086"/>
      <c r="AD8" s="3086"/>
      <c r="AE8" s="3086"/>
      <c r="AF8" s="3086"/>
      <c r="AG8" s="3086"/>
      <c r="AH8" s="3086"/>
      <c r="AI8" s="3086"/>
      <c r="AJ8" s="3086"/>
      <c r="AK8" s="3086"/>
      <c r="AL8" s="3086"/>
      <c r="AM8" s="3086"/>
      <c r="AN8" s="3086"/>
      <c r="AO8" s="3086"/>
      <c r="AP8" s="3086"/>
      <c r="AQ8" s="3086"/>
      <c r="AR8" s="3086"/>
      <c r="AS8" s="3086"/>
      <c r="AT8" s="3086"/>
      <c r="AU8" s="3086"/>
      <c r="AV8" s="3086"/>
      <c r="AW8" s="3086"/>
      <c r="AX8" s="3086"/>
      <c r="AY8" s="3086"/>
      <c r="AZ8" s="962"/>
      <c r="BA8" s="962"/>
      <c r="BB8" s="962"/>
      <c r="BC8" s="962"/>
      <c r="BD8" s="962"/>
      <c r="BE8" s="962"/>
      <c r="BF8" s="962"/>
      <c r="BG8" s="962"/>
      <c r="BH8" s="962"/>
      <c r="BX8" s="334"/>
    </row>
    <row r="9" spans="2:77" s="211" customFormat="1" ht="15.75" customHeight="1">
      <c r="B9" s="963"/>
      <c r="C9" s="327"/>
      <c r="D9" s="327" t="s">
        <v>170</v>
      </c>
      <c r="E9" s="3086" t="s">
        <v>1149</v>
      </c>
      <c r="F9" s="3086"/>
      <c r="G9" s="3086"/>
      <c r="H9" s="3086"/>
      <c r="I9" s="3086"/>
      <c r="J9" s="3086"/>
      <c r="K9" s="3086"/>
      <c r="L9" s="3086"/>
      <c r="M9" s="3086"/>
      <c r="N9" s="3086"/>
      <c r="O9" s="3086"/>
      <c r="P9" s="3086"/>
      <c r="Q9" s="3086"/>
      <c r="R9" s="3086"/>
      <c r="S9" s="3086"/>
      <c r="T9" s="3086"/>
      <c r="U9" s="3086"/>
      <c r="V9" s="3086"/>
      <c r="W9" s="3086"/>
      <c r="X9" s="3086"/>
      <c r="Y9" s="3086"/>
      <c r="Z9" s="3086"/>
      <c r="AA9" s="3086"/>
      <c r="AB9" s="3086"/>
      <c r="AC9" s="3086"/>
      <c r="AD9" s="3086"/>
      <c r="AE9" s="3086"/>
      <c r="AF9" s="3086"/>
      <c r="AG9" s="3086"/>
      <c r="AH9" s="3086"/>
      <c r="AI9" s="3086"/>
      <c r="AJ9" s="3086"/>
      <c r="AK9" s="3086"/>
      <c r="AL9" s="3086"/>
      <c r="AM9" s="3086"/>
      <c r="AN9" s="3086"/>
      <c r="AO9" s="3086"/>
      <c r="AP9" s="3086"/>
      <c r="AQ9" s="3086"/>
      <c r="AR9" s="3086"/>
      <c r="AS9" s="3086"/>
      <c r="AT9" s="3086"/>
      <c r="AU9" s="3086"/>
      <c r="AV9" s="3086"/>
      <c r="AW9" s="3086"/>
      <c r="AX9" s="3086"/>
      <c r="AY9" s="3086"/>
      <c r="AZ9" s="966"/>
      <c r="BA9" s="966"/>
      <c r="BB9" s="966"/>
      <c r="BC9" s="966"/>
      <c r="BD9" s="966"/>
      <c r="BE9" s="966"/>
      <c r="BF9" s="966"/>
      <c r="BG9" s="966"/>
      <c r="BH9" s="966"/>
      <c r="BX9" s="334"/>
    </row>
    <row r="10" spans="2:77" s="211" customFormat="1" ht="14.15" customHeight="1">
      <c r="B10" s="963"/>
      <c r="C10" s="327"/>
      <c r="D10" s="327" t="s">
        <v>171</v>
      </c>
      <c r="E10" s="3086" t="s">
        <v>1150</v>
      </c>
      <c r="F10" s="3086"/>
      <c r="G10" s="3086"/>
      <c r="H10" s="3086"/>
      <c r="I10" s="3086"/>
      <c r="J10" s="3086"/>
      <c r="K10" s="3086"/>
      <c r="L10" s="3086"/>
      <c r="M10" s="3086"/>
      <c r="N10" s="3086"/>
      <c r="O10" s="3086"/>
      <c r="P10" s="3086"/>
      <c r="Q10" s="3086"/>
      <c r="R10" s="3086"/>
      <c r="S10" s="3086"/>
      <c r="T10" s="3086"/>
      <c r="U10" s="3086"/>
      <c r="V10" s="3086"/>
      <c r="W10" s="3086"/>
      <c r="X10" s="3086"/>
      <c r="Y10" s="3086"/>
      <c r="Z10" s="3086"/>
      <c r="AA10" s="3086"/>
      <c r="AB10" s="3086"/>
      <c r="AC10" s="3086"/>
      <c r="AD10" s="3086"/>
      <c r="AE10" s="3086"/>
      <c r="AF10" s="3086"/>
      <c r="AG10" s="3086"/>
      <c r="AH10" s="3086"/>
      <c r="AI10" s="3086"/>
      <c r="AJ10" s="3086"/>
      <c r="AK10" s="3086"/>
      <c r="AL10" s="3086"/>
      <c r="AM10" s="3086"/>
      <c r="AN10" s="3086"/>
      <c r="AO10" s="3086"/>
      <c r="AP10" s="3086"/>
      <c r="AQ10" s="3086"/>
      <c r="AR10" s="3086"/>
      <c r="AS10" s="3086"/>
      <c r="AT10" s="3086"/>
      <c r="AU10" s="3086"/>
      <c r="AV10" s="3086"/>
      <c r="AW10" s="3086"/>
      <c r="AX10" s="3086"/>
      <c r="AY10" s="3086"/>
      <c r="AZ10" s="966"/>
      <c r="BA10" s="966"/>
      <c r="BB10" s="966"/>
      <c r="BC10" s="966"/>
      <c r="BD10" s="966"/>
      <c r="BE10" s="966"/>
      <c r="BF10" s="966"/>
      <c r="BG10" s="966"/>
      <c r="BH10" s="966"/>
      <c r="BX10" s="334"/>
    </row>
    <row r="11" spans="2:77" s="211" customFormat="1" ht="14.15" customHeight="1">
      <c r="B11" s="963"/>
      <c r="C11" s="964" t="s">
        <v>115</v>
      </c>
      <c r="D11" s="3133" t="s">
        <v>1151</v>
      </c>
      <c r="E11" s="3133"/>
      <c r="F11" s="3133"/>
      <c r="G11" s="3133"/>
      <c r="H11" s="3133"/>
      <c r="I11" s="3133"/>
      <c r="J11" s="3133"/>
      <c r="K11" s="3133"/>
      <c r="L11" s="3133"/>
      <c r="M11" s="3133"/>
      <c r="N11" s="3133"/>
      <c r="O11" s="3133"/>
      <c r="P11" s="3133"/>
      <c r="Q11" s="3133"/>
      <c r="R11" s="3133"/>
      <c r="S11" s="3133"/>
      <c r="T11" s="3133"/>
      <c r="U11" s="3133"/>
      <c r="V11" s="3133"/>
      <c r="W11" s="3133"/>
      <c r="X11" s="3133"/>
      <c r="Y11" s="3133"/>
      <c r="Z11" s="3133"/>
      <c r="AA11" s="3133"/>
      <c r="AB11" s="3133"/>
      <c r="AC11" s="3133"/>
      <c r="AD11" s="3133"/>
      <c r="AE11" s="3133"/>
      <c r="AF11" s="3133"/>
      <c r="AG11" s="3133"/>
      <c r="AH11" s="3133"/>
      <c r="AI11" s="3133"/>
      <c r="AJ11" s="3133"/>
      <c r="AK11" s="3133"/>
      <c r="AL11" s="3133"/>
      <c r="AM11" s="3133"/>
      <c r="AN11" s="3133"/>
      <c r="AO11" s="3133"/>
      <c r="AP11" s="3133"/>
      <c r="AQ11" s="3133"/>
      <c r="AR11" s="3133"/>
      <c r="AS11" s="3133"/>
      <c r="AT11" s="3133"/>
      <c r="AU11" s="3133"/>
      <c r="AV11" s="3133"/>
      <c r="AW11" s="3133"/>
      <c r="AX11" s="3133"/>
      <c r="AY11" s="3133"/>
      <c r="AZ11" s="966"/>
      <c r="BA11" s="966"/>
      <c r="BB11" s="966"/>
      <c r="BC11" s="966"/>
      <c r="BD11" s="966"/>
      <c r="BE11" s="966"/>
      <c r="BF11" s="966"/>
      <c r="BG11" s="966"/>
      <c r="BH11" s="967"/>
      <c r="BX11" s="334"/>
    </row>
    <row r="12" spans="2:77" s="211" customFormat="1" ht="14.15" customHeight="1">
      <c r="B12" s="963"/>
      <c r="C12" s="964" t="s">
        <v>149</v>
      </c>
      <c r="D12" s="3133" t="s">
        <v>1152</v>
      </c>
      <c r="E12" s="3133"/>
      <c r="F12" s="3133"/>
      <c r="G12" s="3133"/>
      <c r="H12" s="3133"/>
      <c r="I12" s="3133"/>
      <c r="J12" s="3133"/>
      <c r="K12" s="3133"/>
      <c r="L12" s="3133"/>
      <c r="M12" s="3133"/>
      <c r="N12" s="3133"/>
      <c r="O12" s="3133"/>
      <c r="P12" s="3133"/>
      <c r="Q12" s="3133"/>
      <c r="R12" s="3133"/>
      <c r="S12" s="3133"/>
      <c r="T12" s="3133"/>
      <c r="U12" s="3133"/>
      <c r="V12" s="3133"/>
      <c r="W12" s="3133"/>
      <c r="X12" s="3133"/>
      <c r="Y12" s="3133"/>
      <c r="Z12" s="3133"/>
      <c r="AA12" s="3133"/>
      <c r="AB12" s="3133"/>
      <c r="AC12" s="3133"/>
      <c r="AD12" s="3133"/>
      <c r="AE12" s="3133"/>
      <c r="AF12" s="3133"/>
      <c r="AG12" s="3133"/>
      <c r="AH12" s="3133"/>
      <c r="AI12" s="3133"/>
      <c r="AJ12" s="3133"/>
      <c r="AK12" s="3133"/>
      <c r="AL12" s="3133"/>
      <c r="AM12" s="3133"/>
      <c r="AN12" s="3133"/>
      <c r="AO12" s="3133"/>
      <c r="AP12" s="3133"/>
      <c r="AQ12" s="3133"/>
      <c r="AR12" s="3133"/>
      <c r="AS12" s="3133"/>
      <c r="AT12" s="3133"/>
      <c r="AU12" s="3133"/>
      <c r="AV12" s="3133"/>
      <c r="AW12" s="3133"/>
      <c r="AX12" s="3133"/>
      <c r="AY12" s="3133"/>
      <c r="AZ12" s="966"/>
      <c r="BA12" s="966"/>
      <c r="BB12" s="966"/>
      <c r="BC12" s="966"/>
      <c r="BD12" s="966"/>
      <c r="BE12" s="966"/>
      <c r="BF12" s="966"/>
      <c r="BG12" s="966"/>
      <c r="BH12" s="967"/>
      <c r="BX12" s="334"/>
    </row>
    <row r="13" spans="2:77" s="211" customFormat="1" ht="14.15" customHeight="1">
      <c r="B13" s="963"/>
      <c r="C13" s="964" t="s">
        <v>150</v>
      </c>
      <c r="D13" s="3133" t="s">
        <v>1153</v>
      </c>
      <c r="E13" s="3133"/>
      <c r="F13" s="3133"/>
      <c r="G13" s="3133"/>
      <c r="H13" s="3133"/>
      <c r="I13" s="3133"/>
      <c r="J13" s="3133"/>
      <c r="K13" s="3133"/>
      <c r="L13" s="3133"/>
      <c r="M13" s="3133"/>
      <c r="N13" s="3133"/>
      <c r="O13" s="3133"/>
      <c r="P13" s="3133"/>
      <c r="Q13" s="3133"/>
      <c r="R13" s="3133"/>
      <c r="S13" s="3133"/>
      <c r="T13" s="3133"/>
      <c r="U13" s="3133"/>
      <c r="V13" s="3133"/>
      <c r="W13" s="3133"/>
      <c r="X13" s="3133"/>
      <c r="Y13" s="3133"/>
      <c r="Z13" s="3133"/>
      <c r="AA13" s="3133"/>
      <c r="AB13" s="3133"/>
      <c r="AC13" s="3133"/>
      <c r="AD13" s="3133"/>
      <c r="AE13" s="3133"/>
      <c r="AF13" s="3133"/>
      <c r="AG13" s="3133"/>
      <c r="AH13" s="3133"/>
      <c r="AI13" s="3133"/>
      <c r="AJ13" s="3133"/>
      <c r="AK13" s="3133"/>
      <c r="AL13" s="3133"/>
      <c r="AM13" s="3133"/>
      <c r="AN13" s="3133"/>
      <c r="AO13" s="3133"/>
      <c r="AP13" s="3133"/>
      <c r="AQ13" s="3133"/>
      <c r="AR13" s="3133"/>
      <c r="AS13" s="3133"/>
      <c r="AT13" s="3133"/>
      <c r="AU13" s="3133"/>
      <c r="AV13" s="3133"/>
      <c r="AW13" s="3133"/>
      <c r="AX13" s="3133"/>
      <c r="AY13" s="3133"/>
      <c r="AZ13" s="966"/>
      <c r="BA13" s="966"/>
      <c r="BB13" s="966"/>
      <c r="BC13" s="966"/>
      <c r="BD13" s="966"/>
      <c r="BE13" s="966"/>
      <c r="BF13" s="966"/>
      <c r="BG13" s="966"/>
      <c r="BH13" s="967"/>
      <c r="BX13" s="334"/>
    </row>
    <row r="14" spans="2:77" s="211" customFormat="1" ht="14.15" customHeight="1">
      <c r="B14" s="963"/>
      <c r="C14" s="964" t="s">
        <v>167</v>
      </c>
      <c r="D14" s="3133" t="s">
        <v>1154</v>
      </c>
      <c r="E14" s="3133"/>
      <c r="F14" s="3133"/>
      <c r="G14" s="3133"/>
      <c r="H14" s="3133"/>
      <c r="I14" s="3133"/>
      <c r="J14" s="3133"/>
      <c r="K14" s="3133"/>
      <c r="L14" s="3133"/>
      <c r="M14" s="3133"/>
      <c r="N14" s="3133"/>
      <c r="O14" s="3133"/>
      <c r="P14" s="3133"/>
      <c r="Q14" s="3133"/>
      <c r="R14" s="3133"/>
      <c r="S14" s="3133"/>
      <c r="T14" s="3133"/>
      <c r="U14" s="3133"/>
      <c r="V14" s="3133"/>
      <c r="W14" s="3133"/>
      <c r="X14" s="3133"/>
      <c r="Y14" s="3133"/>
      <c r="Z14" s="3133"/>
      <c r="AA14" s="3133"/>
      <c r="AB14" s="3133"/>
      <c r="AC14" s="3133"/>
      <c r="AD14" s="3133"/>
      <c r="AE14" s="3133"/>
      <c r="AF14" s="3133"/>
      <c r="AG14" s="3133"/>
      <c r="AH14" s="3133"/>
      <c r="AI14" s="3133"/>
      <c r="AJ14" s="3133"/>
      <c r="AK14" s="3133"/>
      <c r="AL14" s="3133"/>
      <c r="AM14" s="3133"/>
      <c r="AN14" s="3133"/>
      <c r="AO14" s="3133"/>
      <c r="AP14" s="3133"/>
      <c r="AQ14" s="3133"/>
      <c r="AR14" s="3133"/>
      <c r="AS14" s="3133"/>
      <c r="AT14" s="3133"/>
      <c r="AU14" s="3133"/>
      <c r="AV14" s="3133"/>
      <c r="AW14" s="3133"/>
      <c r="AX14" s="3133"/>
      <c r="AY14" s="3133"/>
      <c r="AZ14" s="966"/>
      <c r="BA14" s="966"/>
      <c r="BB14" s="966"/>
      <c r="BC14" s="966"/>
      <c r="BD14" s="966"/>
      <c r="BE14" s="966"/>
      <c r="BF14" s="966"/>
      <c r="BG14" s="966"/>
      <c r="BH14" s="967"/>
      <c r="BX14" s="334"/>
    </row>
    <row r="15" spans="2:77" s="211" customFormat="1" ht="45.65" customHeight="1">
      <c r="B15" s="316" t="s">
        <v>154</v>
      </c>
      <c r="C15" s="3133" t="s">
        <v>1155</v>
      </c>
      <c r="D15" s="3133"/>
      <c r="E15" s="3133"/>
      <c r="F15" s="3133"/>
      <c r="G15" s="3133"/>
      <c r="H15" s="3133"/>
      <c r="I15" s="3133"/>
      <c r="J15" s="3133"/>
      <c r="K15" s="3133"/>
      <c r="L15" s="3133"/>
      <c r="M15" s="3133"/>
      <c r="N15" s="3133"/>
      <c r="O15" s="3133"/>
      <c r="P15" s="3133"/>
      <c r="Q15" s="3133"/>
      <c r="R15" s="3133"/>
      <c r="S15" s="3133"/>
      <c r="T15" s="3133"/>
      <c r="U15" s="3133"/>
      <c r="V15" s="3133"/>
      <c r="W15" s="3133"/>
      <c r="X15" s="3133"/>
      <c r="Y15" s="3133"/>
      <c r="Z15" s="3133"/>
      <c r="AA15" s="3133"/>
      <c r="AB15" s="3133"/>
      <c r="AC15" s="3133"/>
      <c r="AD15" s="3133"/>
      <c r="AE15" s="3133"/>
      <c r="AF15" s="3133"/>
      <c r="AG15" s="3133"/>
      <c r="AH15" s="3133"/>
      <c r="AI15" s="3133"/>
      <c r="AJ15" s="3133"/>
      <c r="AK15" s="3133"/>
      <c r="AL15" s="3133"/>
      <c r="AM15" s="3133"/>
      <c r="AN15" s="3133"/>
      <c r="AO15" s="3133"/>
      <c r="AP15" s="3133"/>
      <c r="AQ15" s="3133"/>
      <c r="AR15" s="3133"/>
      <c r="AS15" s="3133"/>
      <c r="AT15" s="3133"/>
      <c r="AU15" s="3133"/>
      <c r="AV15" s="3133"/>
      <c r="AW15" s="3133"/>
      <c r="AX15" s="3133"/>
      <c r="AY15" s="3133"/>
      <c r="AZ15" s="962"/>
      <c r="BA15" s="962"/>
      <c r="BB15" s="962"/>
      <c r="BC15" s="962"/>
      <c r="BD15" s="962"/>
      <c r="BE15" s="962"/>
      <c r="BF15" s="962"/>
      <c r="BG15" s="962"/>
      <c r="BH15" s="962"/>
      <c r="BX15" s="334"/>
    </row>
    <row r="16" spans="2:77" s="211" customFormat="1" ht="30.75" customHeight="1">
      <c r="B16" s="963"/>
      <c r="C16" s="964" t="s">
        <v>114</v>
      </c>
      <c r="D16" s="3133" t="s">
        <v>1156</v>
      </c>
      <c r="E16" s="3133"/>
      <c r="F16" s="3133"/>
      <c r="G16" s="3133"/>
      <c r="H16" s="3133"/>
      <c r="I16" s="3133"/>
      <c r="J16" s="3133"/>
      <c r="K16" s="3133"/>
      <c r="L16" s="3133"/>
      <c r="M16" s="3133"/>
      <c r="N16" s="3133"/>
      <c r="O16" s="3133"/>
      <c r="P16" s="3133"/>
      <c r="Q16" s="3133"/>
      <c r="R16" s="3133"/>
      <c r="S16" s="3133"/>
      <c r="T16" s="3133"/>
      <c r="U16" s="3133"/>
      <c r="V16" s="3133"/>
      <c r="W16" s="3133"/>
      <c r="X16" s="3133"/>
      <c r="Y16" s="3133"/>
      <c r="Z16" s="3133"/>
      <c r="AA16" s="3133"/>
      <c r="AB16" s="3133"/>
      <c r="AC16" s="3133"/>
      <c r="AD16" s="3133"/>
      <c r="AE16" s="3133"/>
      <c r="AF16" s="3133"/>
      <c r="AG16" s="3133"/>
      <c r="AH16" s="3133"/>
      <c r="AI16" s="3133"/>
      <c r="AJ16" s="3133"/>
      <c r="AK16" s="3133"/>
      <c r="AL16" s="3133"/>
      <c r="AM16" s="3133"/>
      <c r="AN16" s="3133"/>
      <c r="AO16" s="3133"/>
      <c r="AP16" s="3133"/>
      <c r="AQ16" s="3133"/>
      <c r="AR16" s="3133"/>
      <c r="AS16" s="3133"/>
      <c r="AT16" s="3133"/>
      <c r="AU16" s="3133"/>
      <c r="AV16" s="3133"/>
      <c r="AW16" s="3133"/>
      <c r="AX16" s="3133"/>
      <c r="AY16" s="3133"/>
      <c r="AZ16" s="962"/>
      <c r="BA16" s="962"/>
      <c r="BB16" s="962"/>
      <c r="BC16" s="962"/>
      <c r="BD16" s="962"/>
      <c r="BE16" s="962"/>
      <c r="BF16" s="962"/>
      <c r="BG16" s="962"/>
      <c r="BH16" s="962"/>
      <c r="BX16" s="334"/>
    </row>
    <row r="17" spans="2:76" s="211" customFormat="1" ht="32.25" customHeight="1">
      <c r="B17" s="316" t="s">
        <v>155</v>
      </c>
      <c r="C17" s="3133" t="s">
        <v>1157</v>
      </c>
      <c r="D17" s="3133"/>
      <c r="E17" s="3133"/>
      <c r="F17" s="3133"/>
      <c r="G17" s="3133"/>
      <c r="H17" s="3133"/>
      <c r="I17" s="3133"/>
      <c r="J17" s="3133"/>
      <c r="K17" s="3133"/>
      <c r="L17" s="3133"/>
      <c r="M17" s="3133"/>
      <c r="N17" s="3133"/>
      <c r="O17" s="3133"/>
      <c r="P17" s="3133"/>
      <c r="Q17" s="3133"/>
      <c r="R17" s="3133"/>
      <c r="S17" s="3133"/>
      <c r="T17" s="3133"/>
      <c r="U17" s="3133"/>
      <c r="V17" s="3133"/>
      <c r="W17" s="3133"/>
      <c r="X17" s="3133"/>
      <c r="Y17" s="3133"/>
      <c r="Z17" s="3133"/>
      <c r="AA17" s="3133"/>
      <c r="AB17" s="3133"/>
      <c r="AC17" s="3133"/>
      <c r="AD17" s="3133"/>
      <c r="AE17" s="3133"/>
      <c r="AF17" s="3133"/>
      <c r="AG17" s="3133"/>
      <c r="AH17" s="3133"/>
      <c r="AI17" s="3133"/>
      <c r="AJ17" s="3133"/>
      <c r="AK17" s="3133"/>
      <c r="AL17" s="3133"/>
      <c r="AM17" s="3133"/>
      <c r="AN17" s="3133"/>
      <c r="AO17" s="3133"/>
      <c r="AP17" s="3133"/>
      <c r="AQ17" s="3133"/>
      <c r="AR17" s="3133"/>
      <c r="AS17" s="3133"/>
      <c r="AT17" s="3133"/>
      <c r="AU17" s="3133"/>
      <c r="AV17" s="3133"/>
      <c r="AW17" s="3133"/>
      <c r="AX17" s="3133"/>
      <c r="AY17" s="3133"/>
      <c r="AZ17" s="962"/>
      <c r="BA17" s="962"/>
      <c r="BB17" s="962"/>
      <c r="BC17" s="962"/>
      <c r="BD17" s="962"/>
      <c r="BE17" s="962"/>
      <c r="BF17" s="962"/>
      <c r="BG17" s="962"/>
      <c r="BH17" s="962"/>
      <c r="BX17" s="334"/>
    </row>
    <row r="18" spans="2:76" s="211" customFormat="1" ht="14.15" customHeight="1">
      <c r="B18" s="963"/>
      <c r="C18" s="964" t="s">
        <v>114</v>
      </c>
      <c r="D18" s="3133" t="s">
        <v>1158</v>
      </c>
      <c r="E18" s="3133"/>
      <c r="F18" s="3133"/>
      <c r="G18" s="3133"/>
      <c r="H18" s="3133"/>
      <c r="I18" s="3133"/>
      <c r="J18" s="3133"/>
      <c r="K18" s="3133"/>
      <c r="L18" s="3133"/>
      <c r="M18" s="3133"/>
      <c r="N18" s="3133"/>
      <c r="O18" s="3133"/>
      <c r="P18" s="3133"/>
      <c r="Q18" s="3133"/>
      <c r="R18" s="3133"/>
      <c r="S18" s="3133"/>
      <c r="T18" s="3133"/>
      <c r="U18" s="3133"/>
      <c r="V18" s="3133"/>
      <c r="W18" s="3133"/>
      <c r="X18" s="3133"/>
      <c r="Y18" s="3133"/>
      <c r="Z18" s="3133"/>
      <c r="AA18" s="3133"/>
      <c r="AB18" s="3133"/>
      <c r="AC18" s="3133"/>
      <c r="AD18" s="3133"/>
      <c r="AE18" s="3133"/>
      <c r="AF18" s="3133"/>
      <c r="AG18" s="3133"/>
      <c r="AH18" s="3133"/>
      <c r="AI18" s="3133"/>
      <c r="AJ18" s="3133"/>
      <c r="AK18" s="3133"/>
      <c r="AL18" s="3133"/>
      <c r="AM18" s="3133"/>
      <c r="AN18" s="3133"/>
      <c r="AO18" s="3133"/>
      <c r="AP18" s="3133"/>
      <c r="AQ18" s="3133"/>
      <c r="AR18" s="3133"/>
      <c r="AS18" s="3133"/>
      <c r="AT18" s="3133"/>
      <c r="AU18" s="3133"/>
      <c r="AV18" s="3133"/>
      <c r="AW18" s="3133"/>
      <c r="AX18" s="3133"/>
      <c r="AY18" s="3133"/>
      <c r="AZ18" s="962"/>
      <c r="BA18" s="962"/>
      <c r="BB18" s="962"/>
      <c r="BC18" s="962"/>
      <c r="BD18" s="962"/>
      <c r="BE18" s="962"/>
      <c r="BF18" s="962"/>
      <c r="BG18" s="962"/>
      <c r="BH18" s="962"/>
      <c r="BX18" s="334"/>
    </row>
    <row r="19" spans="2:76" s="211" customFormat="1" ht="15.75" customHeight="1">
      <c r="B19" s="316" t="s">
        <v>156</v>
      </c>
      <c r="C19" s="210" t="s">
        <v>132</v>
      </c>
      <c r="D19" s="328"/>
      <c r="E19" s="328"/>
      <c r="F19" s="328"/>
      <c r="G19" s="968"/>
      <c r="H19" s="968"/>
      <c r="I19" s="968"/>
      <c r="J19" s="968"/>
      <c r="K19" s="968"/>
      <c r="L19" s="968"/>
      <c r="M19" s="968"/>
      <c r="N19" s="968"/>
      <c r="O19" s="968"/>
      <c r="P19" s="968"/>
      <c r="Q19" s="968"/>
      <c r="R19" s="968"/>
      <c r="S19" s="968"/>
      <c r="T19" s="968"/>
      <c r="U19" s="968"/>
      <c r="V19" s="968"/>
      <c r="W19" s="968"/>
      <c r="X19" s="968"/>
      <c r="Y19" s="968"/>
      <c r="Z19" s="968"/>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2"/>
      <c r="AY19" s="962"/>
      <c r="AZ19" s="962"/>
      <c r="BA19" s="962"/>
      <c r="BB19" s="962"/>
      <c r="BC19" s="962"/>
      <c r="BD19" s="962"/>
      <c r="BE19" s="962"/>
      <c r="BF19" s="962"/>
      <c r="BG19" s="962"/>
      <c r="BH19" s="962"/>
      <c r="BX19" s="334"/>
    </row>
    <row r="20" spans="2:76" s="211" customFormat="1" ht="14.15" customHeight="1">
      <c r="B20" s="963"/>
      <c r="C20" s="964" t="s">
        <v>114</v>
      </c>
      <c r="D20" s="3133" t="s">
        <v>1159</v>
      </c>
      <c r="E20" s="3133"/>
      <c r="F20" s="3133"/>
      <c r="G20" s="3133"/>
      <c r="H20" s="3133"/>
      <c r="I20" s="3133"/>
      <c r="J20" s="3133"/>
      <c r="K20" s="3133"/>
      <c r="L20" s="3133"/>
      <c r="M20" s="3133"/>
      <c r="N20" s="3133"/>
      <c r="O20" s="3133"/>
      <c r="P20" s="3133"/>
      <c r="Q20" s="3133"/>
      <c r="R20" s="3133"/>
      <c r="S20" s="3133"/>
      <c r="T20" s="3133"/>
      <c r="U20" s="3133"/>
      <c r="V20" s="3133"/>
      <c r="W20" s="3133"/>
      <c r="X20" s="3133"/>
      <c r="Y20" s="3133"/>
      <c r="Z20" s="3133"/>
      <c r="AA20" s="3133"/>
      <c r="AB20" s="3133" t="s">
        <v>285</v>
      </c>
      <c r="AC20" s="3133"/>
      <c r="AD20" s="3133"/>
      <c r="AE20" s="3133"/>
      <c r="AF20" s="3133"/>
      <c r="AG20" s="3133"/>
      <c r="AH20" s="3133"/>
      <c r="AI20" s="3133"/>
      <c r="AJ20" s="3133"/>
      <c r="AK20" s="3133"/>
      <c r="AL20" s="3133"/>
      <c r="AM20" s="3133"/>
      <c r="AN20" s="3133"/>
      <c r="AO20" s="3133"/>
      <c r="AP20" s="3133"/>
      <c r="AQ20" s="3133"/>
      <c r="AR20" s="3133"/>
      <c r="AS20" s="3133"/>
      <c r="AT20" s="3133"/>
      <c r="AU20" s="3133"/>
      <c r="AV20" s="3133"/>
      <c r="AW20" s="3133"/>
      <c r="AX20" s="3133"/>
      <c r="AY20" s="3133"/>
      <c r="AZ20" s="966"/>
      <c r="BA20" s="966"/>
      <c r="BB20" s="966"/>
      <c r="BC20" s="966"/>
      <c r="BD20" s="966"/>
      <c r="BE20" s="966"/>
      <c r="BF20" s="966"/>
      <c r="BG20" s="966"/>
      <c r="BH20" s="967"/>
      <c r="BX20" s="334"/>
    </row>
    <row r="21" spans="2:76" s="211" customFormat="1" ht="14.15" customHeight="1">
      <c r="B21" s="963"/>
      <c r="C21" s="964" t="s">
        <v>115</v>
      </c>
      <c r="D21" s="3133" t="s">
        <v>1160</v>
      </c>
      <c r="E21" s="3133"/>
      <c r="F21" s="3133"/>
      <c r="G21" s="3133"/>
      <c r="H21" s="3133"/>
      <c r="I21" s="3133"/>
      <c r="J21" s="3133"/>
      <c r="K21" s="3133"/>
      <c r="L21" s="3133"/>
      <c r="M21" s="3133"/>
      <c r="N21" s="3133"/>
      <c r="O21" s="3133"/>
      <c r="P21" s="3133"/>
      <c r="Q21" s="3133"/>
      <c r="R21" s="3133"/>
      <c r="S21" s="3133"/>
      <c r="T21" s="3133"/>
      <c r="U21" s="3133"/>
      <c r="V21" s="3133"/>
      <c r="W21" s="3133"/>
      <c r="X21" s="3133"/>
      <c r="Y21" s="3133"/>
      <c r="Z21" s="3133"/>
      <c r="AA21" s="3133"/>
      <c r="AB21" s="3133"/>
      <c r="AC21" s="3133"/>
      <c r="AD21" s="3133"/>
      <c r="AE21" s="3133"/>
      <c r="AF21" s="3133"/>
      <c r="AG21" s="3133"/>
      <c r="AH21" s="3133"/>
      <c r="AI21" s="3133"/>
      <c r="AJ21" s="3133"/>
      <c r="AK21" s="3133"/>
      <c r="AL21" s="3133"/>
      <c r="AM21" s="3133"/>
      <c r="AN21" s="3133"/>
      <c r="AO21" s="3133"/>
      <c r="AP21" s="3133"/>
      <c r="AQ21" s="3133"/>
      <c r="AR21" s="3133"/>
      <c r="AS21" s="3133"/>
      <c r="AT21" s="3133"/>
      <c r="AU21" s="3133"/>
      <c r="AV21" s="3133"/>
      <c r="AW21" s="3133"/>
      <c r="AX21" s="3133"/>
      <c r="AY21" s="3133"/>
      <c r="AZ21" s="966"/>
      <c r="BA21" s="966"/>
      <c r="BB21" s="966"/>
      <c r="BC21" s="966"/>
      <c r="BD21" s="966"/>
      <c r="BE21" s="966"/>
      <c r="BF21" s="966"/>
      <c r="BG21" s="966"/>
      <c r="BH21" s="967"/>
      <c r="BX21" s="334"/>
    </row>
    <row r="22" spans="2:76" s="211" customFormat="1" ht="14.15" customHeight="1">
      <c r="B22" s="963"/>
      <c r="C22" s="964" t="s">
        <v>149</v>
      </c>
      <c r="D22" s="3133" t="s">
        <v>1161</v>
      </c>
      <c r="E22" s="3133"/>
      <c r="F22" s="3133"/>
      <c r="G22" s="3133"/>
      <c r="H22" s="3133"/>
      <c r="I22" s="3133"/>
      <c r="J22" s="3133"/>
      <c r="K22" s="3133"/>
      <c r="L22" s="3133"/>
      <c r="M22" s="3133"/>
      <c r="N22" s="3133"/>
      <c r="O22" s="3133"/>
      <c r="P22" s="3133"/>
      <c r="Q22" s="3133"/>
      <c r="R22" s="3133"/>
      <c r="S22" s="3133"/>
      <c r="T22" s="3133"/>
      <c r="U22" s="3133"/>
      <c r="V22" s="3133"/>
      <c r="W22" s="3133"/>
      <c r="X22" s="3133"/>
      <c r="Y22" s="3133"/>
      <c r="Z22" s="3133"/>
      <c r="AA22" s="3133"/>
      <c r="AB22" s="3133"/>
      <c r="AC22" s="3133"/>
      <c r="AD22" s="3133"/>
      <c r="AE22" s="3133"/>
      <c r="AF22" s="3133"/>
      <c r="AG22" s="3133"/>
      <c r="AH22" s="3133"/>
      <c r="AI22" s="3133"/>
      <c r="AJ22" s="3133"/>
      <c r="AK22" s="3133"/>
      <c r="AL22" s="3133"/>
      <c r="AM22" s="3133"/>
      <c r="AN22" s="3133"/>
      <c r="AO22" s="3133"/>
      <c r="AP22" s="3133"/>
      <c r="AQ22" s="3133"/>
      <c r="AR22" s="3133"/>
      <c r="AS22" s="3133"/>
      <c r="AT22" s="3133"/>
      <c r="AU22" s="3133"/>
      <c r="AV22" s="3133"/>
      <c r="AW22" s="3133"/>
      <c r="AX22" s="3133"/>
      <c r="AY22" s="3133"/>
      <c r="AZ22" s="966"/>
      <c r="BA22" s="966"/>
      <c r="BB22" s="966"/>
      <c r="BC22" s="966"/>
      <c r="BD22" s="966"/>
      <c r="BE22" s="966"/>
      <c r="BF22" s="966"/>
      <c r="BG22" s="966"/>
      <c r="BH22" s="967"/>
      <c r="BX22" s="334"/>
    </row>
    <row r="23" spans="2:76" s="211" customFormat="1" ht="15.75" customHeight="1">
      <c r="B23" s="316" t="s">
        <v>157</v>
      </c>
      <c r="C23" s="210" t="s">
        <v>286</v>
      </c>
      <c r="D23" s="328"/>
      <c r="E23" s="328"/>
      <c r="F23" s="328"/>
      <c r="G23" s="968"/>
      <c r="H23" s="968"/>
      <c r="I23" s="968"/>
      <c r="J23" s="968"/>
      <c r="K23" s="968"/>
      <c r="L23" s="968"/>
      <c r="M23" s="968"/>
      <c r="N23" s="968"/>
      <c r="O23" s="968"/>
      <c r="P23" s="968"/>
      <c r="Q23" s="968"/>
      <c r="R23" s="968"/>
      <c r="S23" s="968"/>
      <c r="T23" s="968"/>
      <c r="U23" s="968"/>
      <c r="V23" s="968"/>
      <c r="W23" s="968"/>
      <c r="X23" s="968"/>
      <c r="Y23" s="968"/>
      <c r="Z23" s="968"/>
      <c r="AA23" s="968"/>
      <c r="AB23" s="968"/>
      <c r="AC23" s="968"/>
      <c r="AD23" s="968"/>
      <c r="AE23" s="968"/>
      <c r="AF23" s="968"/>
      <c r="AG23" s="968"/>
      <c r="AH23" s="968"/>
      <c r="AI23" s="968"/>
      <c r="AJ23" s="968"/>
      <c r="AK23" s="968"/>
      <c r="AL23" s="968"/>
      <c r="AM23" s="968"/>
      <c r="AN23" s="968"/>
      <c r="AO23" s="968"/>
      <c r="AP23" s="968"/>
      <c r="AQ23" s="968"/>
      <c r="AR23" s="968"/>
      <c r="AS23" s="968"/>
      <c r="AT23" s="968"/>
      <c r="AU23" s="968"/>
      <c r="AV23" s="968"/>
      <c r="AW23" s="968"/>
      <c r="AX23" s="962"/>
      <c r="AY23" s="962"/>
      <c r="AZ23" s="962"/>
      <c r="BA23" s="962"/>
      <c r="BB23" s="962"/>
      <c r="BC23" s="962"/>
      <c r="BD23" s="962"/>
      <c r="BE23" s="962"/>
      <c r="BF23" s="962"/>
      <c r="BG23" s="962"/>
      <c r="BH23" s="962"/>
      <c r="BX23" s="334"/>
    </row>
    <row r="24" spans="2:76" s="211" customFormat="1" ht="45.75" customHeight="1">
      <c r="B24" s="963"/>
      <c r="C24" s="964" t="s">
        <v>114</v>
      </c>
      <c r="D24" s="3133" t="s">
        <v>1162</v>
      </c>
      <c r="E24" s="3133"/>
      <c r="F24" s="3133"/>
      <c r="G24" s="3133"/>
      <c r="H24" s="3133"/>
      <c r="I24" s="3133"/>
      <c r="J24" s="3133"/>
      <c r="K24" s="3133"/>
      <c r="L24" s="3133"/>
      <c r="M24" s="3133"/>
      <c r="N24" s="3133"/>
      <c r="O24" s="3133"/>
      <c r="P24" s="3133"/>
      <c r="Q24" s="3133"/>
      <c r="R24" s="3133"/>
      <c r="S24" s="3133"/>
      <c r="T24" s="3133"/>
      <c r="U24" s="3133"/>
      <c r="V24" s="3133"/>
      <c r="W24" s="3133"/>
      <c r="X24" s="3133"/>
      <c r="Y24" s="3133"/>
      <c r="Z24" s="3133"/>
      <c r="AA24" s="3133"/>
      <c r="AB24" s="3133" t="s">
        <v>285</v>
      </c>
      <c r="AC24" s="3133"/>
      <c r="AD24" s="3133"/>
      <c r="AE24" s="3133"/>
      <c r="AF24" s="3133"/>
      <c r="AG24" s="3133"/>
      <c r="AH24" s="3133"/>
      <c r="AI24" s="3133"/>
      <c r="AJ24" s="3133"/>
      <c r="AK24" s="3133"/>
      <c r="AL24" s="3133"/>
      <c r="AM24" s="3133"/>
      <c r="AN24" s="3133"/>
      <c r="AO24" s="3133"/>
      <c r="AP24" s="3133"/>
      <c r="AQ24" s="3133"/>
      <c r="AR24" s="3133"/>
      <c r="AS24" s="3133"/>
      <c r="AT24" s="3133"/>
      <c r="AU24" s="3133"/>
      <c r="AV24" s="3133"/>
      <c r="AW24" s="3133"/>
      <c r="AX24" s="3133"/>
      <c r="AY24" s="3133"/>
      <c r="AZ24" s="966"/>
      <c r="BA24" s="966"/>
      <c r="BB24" s="966"/>
      <c r="BC24" s="966"/>
      <c r="BD24" s="966"/>
      <c r="BE24" s="966"/>
      <c r="BF24" s="966"/>
      <c r="BG24" s="966"/>
      <c r="BH24" s="967"/>
      <c r="BX24" s="334"/>
    </row>
    <row r="25" spans="2:76" s="211" customFormat="1" ht="33" customHeight="1">
      <c r="B25" s="963"/>
      <c r="C25" s="964" t="s">
        <v>115</v>
      </c>
      <c r="D25" s="3133" t="s">
        <v>1163</v>
      </c>
      <c r="E25" s="3133"/>
      <c r="F25" s="3133"/>
      <c r="G25" s="3133"/>
      <c r="H25" s="3133"/>
      <c r="I25" s="3133"/>
      <c r="J25" s="3133"/>
      <c r="K25" s="3133"/>
      <c r="L25" s="3133"/>
      <c r="M25" s="3133"/>
      <c r="N25" s="3133"/>
      <c r="O25" s="3133"/>
      <c r="P25" s="3133"/>
      <c r="Q25" s="3133"/>
      <c r="R25" s="3133"/>
      <c r="S25" s="3133"/>
      <c r="T25" s="3133"/>
      <c r="U25" s="3133"/>
      <c r="V25" s="3133"/>
      <c r="W25" s="3133"/>
      <c r="X25" s="3133"/>
      <c r="Y25" s="3133"/>
      <c r="Z25" s="3133"/>
      <c r="AA25" s="3133"/>
      <c r="AB25" s="3133"/>
      <c r="AC25" s="3133"/>
      <c r="AD25" s="3133"/>
      <c r="AE25" s="3133"/>
      <c r="AF25" s="3133"/>
      <c r="AG25" s="3133"/>
      <c r="AH25" s="3133"/>
      <c r="AI25" s="3133"/>
      <c r="AJ25" s="3133"/>
      <c r="AK25" s="3133"/>
      <c r="AL25" s="3133"/>
      <c r="AM25" s="3133"/>
      <c r="AN25" s="3133"/>
      <c r="AO25" s="3133"/>
      <c r="AP25" s="3133"/>
      <c r="AQ25" s="3133"/>
      <c r="AR25" s="3133"/>
      <c r="AS25" s="3133"/>
      <c r="AT25" s="3133"/>
      <c r="AU25" s="3133"/>
      <c r="AV25" s="3133"/>
      <c r="AW25" s="3133"/>
      <c r="AX25" s="3133"/>
      <c r="AY25" s="3133"/>
      <c r="AZ25" s="966"/>
      <c r="BA25" s="966"/>
      <c r="BB25" s="966"/>
      <c r="BC25" s="966"/>
      <c r="BD25" s="966"/>
      <c r="BE25" s="966"/>
      <c r="BF25" s="966"/>
      <c r="BG25" s="966"/>
      <c r="BH25" s="967"/>
      <c r="BX25" s="334"/>
    </row>
    <row r="26" spans="2:76" s="969" customFormat="1" ht="30" customHeight="1"/>
    <row r="27" spans="2:76" s="953" customFormat="1" ht="16.5">
      <c r="B27" s="219" t="s">
        <v>11784</v>
      </c>
      <c r="C27" s="221"/>
      <c r="D27" s="221"/>
      <c r="E27" s="884"/>
      <c r="F27" s="884"/>
      <c r="G27" s="884"/>
      <c r="H27" s="884"/>
      <c r="I27" s="884"/>
      <c r="J27" s="884"/>
      <c r="K27" s="884"/>
      <c r="L27" s="884"/>
      <c r="M27" s="884"/>
      <c r="N27" s="884"/>
      <c r="O27" s="588"/>
      <c r="P27" s="588"/>
      <c r="Q27" s="588"/>
      <c r="R27" s="588"/>
      <c r="S27" s="588"/>
      <c r="T27" s="588"/>
      <c r="U27" s="588"/>
      <c r="V27" s="588"/>
      <c r="W27" s="588"/>
      <c r="X27" s="588"/>
      <c r="Y27" s="588"/>
      <c r="Z27" s="588"/>
      <c r="AA27" s="588"/>
      <c r="AB27" s="588"/>
      <c r="AC27" s="588"/>
      <c r="AF27" s="588"/>
      <c r="AG27" s="588"/>
    </row>
    <row r="28" spans="2:76" ht="16" thickBot="1">
      <c r="B28" s="582" t="s">
        <v>904</v>
      </c>
      <c r="C28" s="221"/>
      <c r="D28" s="221"/>
      <c r="E28" s="884"/>
      <c r="F28" s="884"/>
      <c r="G28" s="884"/>
      <c r="H28" s="884"/>
      <c r="I28" s="884"/>
      <c r="J28" s="884"/>
      <c r="K28" s="884"/>
      <c r="L28" s="884"/>
      <c r="M28" s="884"/>
      <c r="N28" s="884"/>
      <c r="O28" s="588"/>
      <c r="P28" s="588"/>
      <c r="Q28" s="588"/>
      <c r="R28" s="588"/>
      <c r="S28" s="588"/>
      <c r="T28" s="588"/>
      <c r="U28" s="588"/>
      <c r="V28" s="588"/>
      <c r="W28" s="588"/>
      <c r="X28" s="588"/>
      <c r="Y28" s="588"/>
      <c r="Z28" s="588"/>
      <c r="AA28" s="588"/>
      <c r="AB28" s="588"/>
      <c r="AC28" s="588"/>
      <c r="AD28" s="970"/>
      <c r="AE28" s="970"/>
      <c r="AF28" s="588"/>
      <c r="AG28" s="588"/>
      <c r="AH28" s="970"/>
      <c r="AI28" s="970"/>
      <c r="AJ28" s="970"/>
      <c r="AK28" s="970"/>
      <c r="AL28" s="970"/>
      <c r="AM28" s="970"/>
      <c r="AN28" s="970"/>
      <c r="AO28" s="970"/>
      <c r="AP28" s="970"/>
      <c r="AQ28" s="970"/>
      <c r="AR28" s="970"/>
      <c r="AS28" s="970"/>
      <c r="AT28" s="970"/>
      <c r="AU28" s="970"/>
      <c r="AV28" s="970"/>
      <c r="AW28" s="970"/>
      <c r="AX28" s="970"/>
      <c r="AY28" s="970"/>
      <c r="AZ28" s="970"/>
      <c r="BA28" s="970"/>
      <c r="BB28" s="970"/>
    </row>
    <row r="29" spans="2:76" s="953" customFormat="1" ht="8.15" customHeight="1">
      <c r="B29" s="971"/>
      <c r="C29" s="943"/>
      <c r="D29" s="943"/>
      <c r="E29" s="944"/>
      <c r="F29" s="944"/>
      <c r="G29" s="944"/>
      <c r="H29" s="944"/>
      <c r="I29" s="944"/>
      <c r="J29" s="944"/>
      <c r="K29" s="944"/>
      <c r="L29" s="944"/>
      <c r="M29" s="944"/>
      <c r="N29" s="944"/>
      <c r="O29" s="809"/>
      <c r="P29" s="809"/>
      <c r="Q29" s="809"/>
      <c r="R29" s="809"/>
      <c r="S29" s="809"/>
      <c r="T29" s="809"/>
      <c r="U29" s="809"/>
      <c r="V29" s="809"/>
      <c r="W29" s="809"/>
      <c r="X29" s="809"/>
      <c r="Y29" s="809"/>
      <c r="Z29" s="809"/>
      <c r="AA29" s="809"/>
      <c r="AB29" s="809"/>
      <c r="AC29" s="809"/>
      <c r="AD29" s="809"/>
      <c r="AE29" s="809"/>
      <c r="AF29" s="809"/>
      <c r="AG29" s="809"/>
      <c r="AH29" s="813"/>
      <c r="AI29" s="588"/>
      <c r="AJ29" s="588"/>
      <c r="AK29" s="588"/>
      <c r="AL29" s="588"/>
      <c r="AO29" s="588"/>
      <c r="AP29" s="588"/>
    </row>
    <row r="30" spans="2:76" s="953" customFormat="1" ht="20.149999999999999" customHeight="1">
      <c r="B30" s="951"/>
      <c r="C30" s="972" t="s">
        <v>262</v>
      </c>
      <c r="D30" s="568"/>
      <c r="E30" s="568"/>
      <c r="F30" s="229"/>
      <c r="G30" s="884"/>
      <c r="H30" s="884"/>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588"/>
      <c r="AH30" s="813"/>
      <c r="AI30" s="588"/>
      <c r="AK30" s="973" t="s">
        <v>361</v>
      </c>
      <c r="AL30" s="974" t="s">
        <v>326</v>
      </c>
      <c r="AM30" s="955" t="s">
        <v>328</v>
      </c>
      <c r="AN30" s="955"/>
      <c r="AO30" s="588"/>
      <c r="AP30" s="588"/>
      <c r="AQ30" s="588"/>
      <c r="AR30" s="588"/>
      <c r="AS30" s="588"/>
      <c r="AT30" s="588"/>
      <c r="AU30" s="588"/>
      <c r="AV30" s="588"/>
      <c r="AW30" s="588"/>
    </row>
    <row r="31" spans="2:76" s="953" customFormat="1" ht="20.149999999999999" customHeight="1">
      <c r="B31" s="951"/>
      <c r="C31" s="952"/>
      <c r="D31" s="76" t="b">
        <v>0</v>
      </c>
      <c r="E31" s="568" t="s">
        <v>320</v>
      </c>
      <c r="F31" s="602"/>
      <c r="G31" s="588"/>
      <c r="H31" s="588"/>
      <c r="I31" s="588"/>
      <c r="J31" s="588"/>
      <c r="K31" s="588"/>
      <c r="M31" s="76" t="b">
        <v>0</v>
      </c>
      <c r="N31" s="568" t="s">
        <v>323</v>
      </c>
      <c r="O31" s="588"/>
      <c r="P31" s="588"/>
      <c r="T31" s="602"/>
      <c r="U31" s="609"/>
      <c r="W31" s="76" t="b">
        <v>0</v>
      </c>
      <c r="X31" s="568" t="s">
        <v>408</v>
      </c>
      <c r="Y31" s="588"/>
      <c r="Z31" s="588"/>
      <c r="AA31" s="588"/>
      <c r="AB31" s="588"/>
      <c r="AF31" s="588"/>
      <c r="AG31" s="588"/>
      <c r="AH31" s="813"/>
      <c r="AI31" s="588"/>
      <c r="AL31" s="954" t="s">
        <v>327</v>
      </c>
      <c r="AM31" s="955" t="s">
        <v>330</v>
      </c>
      <c r="AN31" s="955"/>
      <c r="AO31" s="588"/>
      <c r="AP31" s="588"/>
      <c r="AQ31" s="588"/>
      <c r="AR31" s="588"/>
      <c r="AS31" s="588"/>
      <c r="AT31" s="588"/>
      <c r="AU31" s="588"/>
      <c r="AV31" s="588"/>
      <c r="AW31" s="588"/>
    </row>
    <row r="32" spans="2:76" s="953" customFormat="1" ht="20.149999999999999" customHeight="1">
      <c r="B32" s="951"/>
      <c r="C32" s="952"/>
      <c r="D32" s="76" t="b">
        <v>0</v>
      </c>
      <c r="E32" s="568" t="s">
        <v>321</v>
      </c>
      <c r="F32" s="602"/>
      <c r="G32" s="588"/>
      <c r="H32" s="588"/>
      <c r="I32" s="588"/>
      <c r="J32" s="588"/>
      <c r="K32" s="588"/>
      <c r="M32" s="76" t="b">
        <v>1</v>
      </c>
      <c r="N32" s="568" t="s">
        <v>324</v>
      </c>
      <c r="O32" s="588"/>
      <c r="P32" s="588"/>
      <c r="T32" s="602"/>
      <c r="U32" s="609"/>
      <c r="W32" s="76" t="b">
        <v>0</v>
      </c>
      <c r="X32" s="568" t="s">
        <v>908</v>
      </c>
      <c r="Y32" s="602"/>
      <c r="Z32" s="602"/>
      <c r="AA32" s="602"/>
      <c r="AB32" s="3134"/>
      <c r="AC32" s="3134"/>
      <c r="AD32" s="3134"/>
      <c r="AE32" s="3134"/>
      <c r="AF32" s="3134"/>
      <c r="AG32" s="588"/>
      <c r="AH32" s="813"/>
      <c r="AI32" s="588"/>
      <c r="AL32" s="954" t="s">
        <v>329</v>
      </c>
      <c r="AM32" s="955" t="s">
        <v>331</v>
      </c>
      <c r="AN32" s="955"/>
    </row>
    <row r="33" spans="2:70" s="953" customFormat="1" ht="20.149999999999999" customHeight="1">
      <c r="B33" s="951"/>
      <c r="C33" s="952"/>
      <c r="D33" s="76" t="b">
        <v>0</v>
      </c>
      <c r="E33" s="568" t="s">
        <v>322</v>
      </c>
      <c r="F33" s="602"/>
      <c r="G33" s="588"/>
      <c r="H33" s="588"/>
      <c r="I33" s="588"/>
      <c r="J33" s="588"/>
      <c r="K33" s="588"/>
      <c r="M33" s="76" t="b">
        <v>0</v>
      </c>
      <c r="N33" s="568" t="s">
        <v>325</v>
      </c>
      <c r="O33" s="588"/>
      <c r="P33" s="588"/>
      <c r="T33" s="602"/>
      <c r="U33" s="609"/>
      <c r="V33" s="609"/>
      <c r="W33" s="568"/>
      <c r="X33" s="602"/>
      <c r="Y33" s="588"/>
      <c r="Z33" s="588"/>
      <c r="AA33" s="588"/>
      <c r="AB33" s="919" t="str">
        <f>IF(AND(sch_loc_otherspec=TRUE,ISBLANK(sch_loc_specify)),"Please specify.",IF(AND(sch_loc_otherspec=FALSE,(sch_loc_specify&gt;0)),"Please check Others if you have entries.",""))</f>
        <v/>
      </c>
      <c r="AF33" s="588"/>
      <c r="AG33" s="588"/>
      <c r="AH33" s="813"/>
      <c r="AI33" s="588"/>
      <c r="AL33" s="954" t="s">
        <v>334</v>
      </c>
      <c r="AM33" s="955" t="s">
        <v>332</v>
      </c>
      <c r="AN33" s="955"/>
    </row>
    <row r="34" spans="2:70" s="953" customFormat="1" ht="8.15" customHeight="1" thickBot="1">
      <c r="B34" s="951"/>
      <c r="C34" s="952"/>
      <c r="D34" s="609"/>
      <c r="E34" s="568"/>
      <c r="F34" s="602"/>
      <c r="G34" s="588"/>
      <c r="H34" s="588"/>
      <c r="I34" s="588"/>
      <c r="J34" s="588"/>
      <c r="K34" s="588"/>
      <c r="M34" s="609"/>
      <c r="N34" s="568"/>
      <c r="O34" s="588"/>
      <c r="P34" s="588"/>
      <c r="T34" s="602"/>
      <c r="U34" s="609"/>
      <c r="V34" s="609"/>
      <c r="W34" s="568"/>
      <c r="X34" s="602"/>
      <c r="Y34" s="588"/>
      <c r="Z34" s="588"/>
      <c r="AA34" s="588"/>
      <c r="AB34" s="588"/>
      <c r="AF34" s="588"/>
      <c r="AG34" s="588"/>
      <c r="AH34" s="813"/>
      <c r="AI34" s="588"/>
      <c r="AK34" s="3135" t="s">
        <v>335</v>
      </c>
      <c r="AL34" s="3135"/>
      <c r="AM34" s="3136" t="s">
        <v>333</v>
      </c>
      <c r="AN34" s="3136"/>
      <c r="AO34" s="3136"/>
      <c r="AP34" s="3136"/>
      <c r="AQ34" s="3136"/>
      <c r="AR34" s="3136"/>
      <c r="AS34" s="3136"/>
      <c r="AT34" s="3136"/>
      <c r="AU34" s="3136"/>
      <c r="AV34" s="3136"/>
    </row>
    <row r="35" spans="2:70" s="953" customFormat="1" ht="12" customHeight="1">
      <c r="B35" s="956"/>
      <c r="C35" s="957"/>
      <c r="D35" s="956"/>
      <c r="E35" s="956"/>
      <c r="F35" s="809"/>
      <c r="G35" s="809"/>
      <c r="H35" s="809"/>
      <c r="I35" s="809"/>
      <c r="J35" s="809"/>
      <c r="K35" s="809"/>
      <c r="L35" s="809"/>
      <c r="M35" s="809"/>
      <c r="N35" s="809"/>
      <c r="O35" s="809"/>
      <c r="P35" s="956"/>
      <c r="Q35" s="956"/>
      <c r="R35" s="956"/>
      <c r="S35" s="809"/>
      <c r="T35" s="830"/>
      <c r="U35" s="830"/>
      <c r="V35" s="958"/>
      <c r="W35" s="809"/>
      <c r="X35" s="809"/>
      <c r="Y35" s="809"/>
      <c r="Z35" s="809"/>
      <c r="AA35" s="809"/>
      <c r="AB35" s="809"/>
      <c r="AC35" s="956"/>
      <c r="AD35" s="956"/>
      <c r="AE35" s="956"/>
      <c r="AF35" s="809"/>
      <c r="AG35" s="809"/>
      <c r="AH35" s="588"/>
      <c r="AI35" s="588"/>
      <c r="AK35" s="3135"/>
      <c r="AL35" s="3135"/>
      <c r="AM35" s="3136"/>
      <c r="AN35" s="3136"/>
      <c r="AO35" s="3136"/>
      <c r="AP35" s="3136"/>
      <c r="AQ35" s="3136"/>
      <c r="AR35" s="3136"/>
      <c r="AS35" s="3136"/>
      <c r="AT35" s="3136"/>
      <c r="AU35" s="3136"/>
      <c r="AV35" s="3136"/>
    </row>
    <row r="36" spans="2:70" s="128" customFormat="1" ht="30" customHeight="1">
      <c r="B36" s="959"/>
      <c r="C36" s="501"/>
      <c r="D36" s="959"/>
      <c r="E36" s="501"/>
      <c r="F36" s="959"/>
      <c r="G36" s="501"/>
      <c r="H36" s="959"/>
      <c r="I36" s="501"/>
      <c r="J36" s="959"/>
      <c r="K36" s="501"/>
      <c r="L36" s="959"/>
      <c r="M36" s="501"/>
      <c r="N36" s="959"/>
      <c r="O36" s="501"/>
      <c r="T36" s="959"/>
      <c r="U36" s="501"/>
      <c r="V36" s="959"/>
      <c r="W36" s="501"/>
      <c r="X36" s="959"/>
      <c r="Y36" s="501"/>
      <c r="Z36" s="959"/>
      <c r="AA36" s="501"/>
      <c r="AB36" s="959"/>
      <c r="AC36" s="501"/>
      <c r="AD36" s="959"/>
      <c r="AE36" s="501"/>
      <c r="AF36" s="959"/>
      <c r="AG36" s="501"/>
      <c r="AL36" s="959"/>
      <c r="AM36" s="501"/>
      <c r="AN36" s="959"/>
      <c r="AO36" s="501"/>
      <c r="AP36" s="959"/>
      <c r="AQ36" s="501"/>
      <c r="AR36" s="959"/>
      <c r="AS36" s="501"/>
      <c r="AT36" s="959"/>
      <c r="AU36" s="501"/>
      <c r="AV36" s="959"/>
      <c r="AW36" s="501"/>
      <c r="AX36" s="959"/>
      <c r="AY36" s="501"/>
    </row>
    <row r="37" spans="2:70" s="128" customFormat="1">
      <c r="B37" s="147" t="s">
        <v>17</v>
      </c>
      <c r="T37" s="147" t="s">
        <v>755</v>
      </c>
      <c r="U37" s="168"/>
      <c r="V37" s="168"/>
      <c r="W37" s="168"/>
      <c r="X37" s="168"/>
      <c r="Y37" s="168"/>
      <c r="Z37" s="168"/>
      <c r="AA37" s="168"/>
      <c r="AB37" s="168"/>
      <c r="AC37" s="168"/>
      <c r="AD37" s="168"/>
      <c r="AE37" s="168"/>
      <c r="AF37" s="168"/>
      <c r="AG37" s="168"/>
      <c r="AH37" s="168"/>
      <c r="AL37" s="147" t="s">
        <v>783</v>
      </c>
    </row>
    <row r="38" spans="2:70" s="128" customFormat="1" ht="21.75" customHeight="1">
      <c r="B38" s="147" t="s">
        <v>756</v>
      </c>
      <c r="F38" s="2399" t="str">
        <f>activesheet!E29</f>
        <v>RICO S. MISPEROS</v>
      </c>
      <c r="G38" s="2399"/>
      <c r="H38" s="2399"/>
      <c r="I38" s="2399"/>
      <c r="J38" s="2399"/>
      <c r="K38" s="2399"/>
      <c r="L38" s="2399"/>
      <c r="M38" s="2399"/>
      <c r="N38" s="2399"/>
      <c r="O38" s="2399"/>
      <c r="T38" s="2399" t="str">
        <f>activesheet!E1849</f>
        <v>BRYAN REY P. JAMIS</v>
      </c>
      <c r="U38" s="2399"/>
      <c r="V38" s="2399"/>
      <c r="W38" s="2399"/>
      <c r="X38" s="2399"/>
      <c r="Y38" s="2399"/>
      <c r="Z38" s="2399"/>
      <c r="AA38" s="2399"/>
      <c r="AB38" s="2399"/>
      <c r="AC38" s="2399"/>
      <c r="AD38" s="2399"/>
      <c r="AE38" s="2399"/>
      <c r="AF38" s="2399"/>
      <c r="AG38" s="2399"/>
      <c r="AH38" s="168"/>
      <c r="AL38" s="1786" t="str">
        <f>activesheet!E31</f>
        <v>MICHAEL T. JAMIS</v>
      </c>
      <c r="AM38" s="1786"/>
      <c r="AN38" s="1786"/>
      <c r="AO38" s="1786"/>
      <c r="AP38" s="1786"/>
      <c r="AQ38" s="1786"/>
      <c r="AR38" s="1786"/>
      <c r="AS38" s="1786"/>
      <c r="AT38" s="1786"/>
      <c r="AU38" s="1786"/>
      <c r="AV38" s="1786"/>
      <c r="AW38" s="1786"/>
      <c r="AX38" s="1786"/>
      <c r="AY38" s="1786"/>
    </row>
    <row r="39" spans="2:70" s="156" customFormat="1" ht="15.75" customHeight="1">
      <c r="B39" s="655"/>
      <c r="F39" s="1764" t="s">
        <v>741</v>
      </c>
      <c r="G39" s="1764"/>
      <c r="H39" s="1764"/>
      <c r="I39" s="1764"/>
      <c r="J39" s="1764"/>
      <c r="K39" s="1764"/>
      <c r="L39" s="1764"/>
      <c r="M39" s="1764"/>
      <c r="N39" s="1764"/>
      <c r="O39" s="1764"/>
      <c r="P39" s="152"/>
      <c r="Q39" s="152"/>
      <c r="R39" s="152"/>
      <c r="S39" s="152"/>
      <c r="T39" s="1764" t="s">
        <v>741</v>
      </c>
      <c r="U39" s="1764"/>
      <c r="V39" s="1764"/>
      <c r="W39" s="1764"/>
      <c r="X39" s="1764"/>
      <c r="Y39" s="1764"/>
      <c r="Z39" s="1764"/>
      <c r="AA39" s="1764"/>
      <c r="AB39" s="1764"/>
      <c r="AC39" s="1764"/>
      <c r="AD39" s="1764"/>
      <c r="AE39" s="1764"/>
      <c r="AF39" s="1764"/>
      <c r="AG39" s="1764"/>
      <c r="AH39" s="152"/>
      <c r="AI39" s="152"/>
      <c r="AJ39" s="152"/>
      <c r="AK39" s="152"/>
      <c r="AL39" s="1787"/>
      <c r="AM39" s="1787"/>
      <c r="AN39" s="1787"/>
      <c r="AO39" s="1787"/>
      <c r="AP39" s="1787"/>
      <c r="AQ39" s="1787"/>
      <c r="AR39" s="1787"/>
      <c r="AS39" s="1787"/>
      <c r="AT39" s="1787"/>
      <c r="AU39" s="1787"/>
      <c r="AV39" s="1787"/>
      <c r="AW39" s="1787"/>
      <c r="AX39" s="1787"/>
      <c r="AY39" s="1787"/>
      <c r="AZ39" s="655"/>
      <c r="BA39" s="152"/>
      <c r="BB39" s="960"/>
      <c r="BC39" s="960"/>
      <c r="BD39" s="960"/>
      <c r="BE39" s="960"/>
      <c r="BF39" s="960"/>
      <c r="BG39" s="960"/>
      <c r="BH39" s="960"/>
      <c r="BI39" s="960"/>
      <c r="BJ39" s="960"/>
      <c r="BK39" s="960"/>
      <c r="BL39" s="960"/>
      <c r="BM39" s="960"/>
      <c r="BN39" s="960"/>
      <c r="BO39" s="960"/>
      <c r="BP39" s="960"/>
      <c r="BQ39" s="960"/>
      <c r="BR39" s="960"/>
    </row>
    <row r="40" spans="2:70" s="128" customFormat="1" ht="21.75" customHeight="1">
      <c r="B40" s="147" t="s">
        <v>1027</v>
      </c>
      <c r="F40" s="2399" t="str">
        <f>activesheet!E30</f>
        <v>SCHOOL PRINCIPAL II</v>
      </c>
      <c r="G40" s="2399"/>
      <c r="H40" s="2399"/>
      <c r="I40" s="2399"/>
      <c r="J40" s="2399"/>
      <c r="K40" s="2399"/>
      <c r="L40" s="2399"/>
      <c r="M40" s="2399"/>
      <c r="N40" s="2399"/>
      <c r="O40" s="2399"/>
      <c r="T40" s="147" t="s">
        <v>71</v>
      </c>
      <c r="U40" s="168"/>
      <c r="V40" s="168"/>
      <c r="W40" s="168"/>
      <c r="X40" s="2399" t="str">
        <f>activesheet!E1850</f>
        <v>Enginner III</v>
      </c>
      <c r="Y40" s="2399"/>
      <c r="Z40" s="2399"/>
      <c r="AA40" s="2399"/>
      <c r="AB40" s="2399"/>
      <c r="AC40" s="2399"/>
      <c r="AD40" s="2399"/>
      <c r="AE40" s="2399"/>
      <c r="AF40" s="2399"/>
      <c r="AG40" s="2399"/>
      <c r="AL40" s="1764" t="s">
        <v>741</v>
      </c>
      <c r="AM40" s="1764"/>
      <c r="AN40" s="1764"/>
      <c r="AO40" s="1764"/>
      <c r="AP40" s="1764"/>
      <c r="AQ40" s="1764"/>
      <c r="AR40" s="1764"/>
      <c r="AS40" s="1764"/>
      <c r="AT40" s="1764"/>
      <c r="AU40" s="1764"/>
      <c r="AV40" s="1764"/>
      <c r="AW40" s="1764"/>
      <c r="AX40" s="1764"/>
      <c r="AY40" s="1764"/>
    </row>
  </sheetData>
  <sheetProtection algorithmName="SHA-512" hashValue="WeFu8Sku72UJgxXO+JJ79COqx67yDnvYTG4UJntQdbPgKjsu0+JwnXVt3scawgRAl0Hkezg6yPDQ6H672Wd4Dg==" saltValue="KikRYiaT8rqj4U7F8nqBcw==" spinCount="100000" sheet="1" objects="1" scenarios="1" selectLockedCells="1"/>
  <mergeCells count="31">
    <mergeCell ref="F40:O40"/>
    <mergeCell ref="X40:AG40"/>
    <mergeCell ref="AL40:AY40"/>
    <mergeCell ref="AB32:AF32"/>
    <mergeCell ref="AK34:AL35"/>
    <mergeCell ref="AM34:AV35"/>
    <mergeCell ref="F38:O38"/>
    <mergeCell ref="T38:AG38"/>
    <mergeCell ref="AL38:AY39"/>
    <mergeCell ref="F39:O39"/>
    <mergeCell ref="T39:AG39"/>
    <mergeCell ref="D20:AY20"/>
    <mergeCell ref="D21:AY21"/>
    <mergeCell ref="D22:AY22"/>
    <mergeCell ref="D24:AY24"/>
    <mergeCell ref="D25:AY25"/>
    <mergeCell ref="D14:AY14"/>
    <mergeCell ref="C15:AY15"/>
    <mergeCell ref="D16:AY16"/>
    <mergeCell ref="C17:AY17"/>
    <mergeCell ref="D18:AY18"/>
    <mergeCell ref="E9:AY9"/>
    <mergeCell ref="E10:AY10"/>
    <mergeCell ref="D11:AY11"/>
    <mergeCell ref="D12:AY12"/>
    <mergeCell ref="D13:AY13"/>
    <mergeCell ref="C4:AY4"/>
    <mergeCell ref="C5:AY5"/>
    <mergeCell ref="D6:AY6"/>
    <mergeCell ref="E7:AY7"/>
    <mergeCell ref="E8:AY8"/>
  </mergeCells>
  <printOptions horizontalCentered="1" verticalCentered="1"/>
  <pageMargins left="0.25" right="0.25" top="0.2" bottom="0.2" header="0" footer="0.1"/>
  <pageSetup paperSize="9" scale="49" orientation="landscape" r:id="rId1"/>
  <headerFooter alignWithMargins="0">
    <oddFooter>&amp;L&amp;10&amp;F &amp;A&amp;R&amp;11Page 26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8369" r:id="rId4" name="Check Box 1">
              <controlPr locked="0" defaultSize="0" autoFill="0" autoLine="0" autoPict="0">
                <anchor moveWithCells="1">
                  <from>
                    <xdr:col>3</xdr:col>
                    <xdr:colOff>31750</xdr:colOff>
                    <xdr:row>29</xdr:row>
                    <xdr:rowOff>241300</xdr:rowOff>
                  </from>
                  <to>
                    <xdr:col>4</xdr:col>
                    <xdr:colOff>88900</xdr:colOff>
                    <xdr:row>30</xdr:row>
                    <xdr:rowOff>222250</xdr:rowOff>
                  </to>
                </anchor>
              </controlPr>
            </control>
          </mc:Choice>
        </mc:AlternateContent>
        <mc:AlternateContent xmlns:mc="http://schemas.openxmlformats.org/markup-compatibility/2006">
          <mc:Choice Requires="x14">
            <control shapeId="58372" r:id="rId5" name="Check Box 4">
              <controlPr locked="0" defaultSize="0" autoFill="0" autoLine="0" autoPict="0">
                <anchor moveWithCells="1">
                  <from>
                    <xdr:col>3</xdr:col>
                    <xdr:colOff>31750</xdr:colOff>
                    <xdr:row>31</xdr:row>
                    <xdr:rowOff>0</xdr:rowOff>
                  </from>
                  <to>
                    <xdr:col>4</xdr:col>
                    <xdr:colOff>88900</xdr:colOff>
                    <xdr:row>31</xdr:row>
                    <xdr:rowOff>222250</xdr:rowOff>
                  </to>
                </anchor>
              </controlPr>
            </control>
          </mc:Choice>
        </mc:AlternateContent>
        <mc:AlternateContent xmlns:mc="http://schemas.openxmlformats.org/markup-compatibility/2006">
          <mc:Choice Requires="x14">
            <control shapeId="58373" r:id="rId6" name="Check Box 5">
              <controlPr locked="0" defaultSize="0" autoFill="0" autoLine="0" autoPict="0">
                <anchor moveWithCells="1">
                  <from>
                    <xdr:col>3</xdr:col>
                    <xdr:colOff>31750</xdr:colOff>
                    <xdr:row>32</xdr:row>
                    <xdr:rowOff>12700</xdr:rowOff>
                  </from>
                  <to>
                    <xdr:col>4</xdr:col>
                    <xdr:colOff>88900</xdr:colOff>
                    <xdr:row>32</xdr:row>
                    <xdr:rowOff>228600</xdr:rowOff>
                  </to>
                </anchor>
              </controlPr>
            </control>
          </mc:Choice>
        </mc:AlternateContent>
        <mc:AlternateContent xmlns:mc="http://schemas.openxmlformats.org/markup-compatibility/2006">
          <mc:Choice Requires="x14">
            <control shapeId="58374" r:id="rId7" name="Check Box 6">
              <controlPr locked="0" defaultSize="0" autoFill="0" autoLine="0" autoPict="0">
                <anchor moveWithCells="1">
                  <from>
                    <xdr:col>12</xdr:col>
                    <xdr:colOff>31750</xdr:colOff>
                    <xdr:row>29</xdr:row>
                    <xdr:rowOff>241300</xdr:rowOff>
                  </from>
                  <to>
                    <xdr:col>13</xdr:col>
                    <xdr:colOff>88900</xdr:colOff>
                    <xdr:row>30</xdr:row>
                    <xdr:rowOff>222250</xdr:rowOff>
                  </to>
                </anchor>
              </controlPr>
            </control>
          </mc:Choice>
        </mc:AlternateContent>
        <mc:AlternateContent xmlns:mc="http://schemas.openxmlformats.org/markup-compatibility/2006">
          <mc:Choice Requires="x14">
            <control shapeId="58375" r:id="rId8" name="Check Box 7">
              <controlPr locked="0" defaultSize="0" autoFill="0" autoLine="0" autoPict="0">
                <anchor moveWithCells="1">
                  <from>
                    <xdr:col>12</xdr:col>
                    <xdr:colOff>31750</xdr:colOff>
                    <xdr:row>31</xdr:row>
                    <xdr:rowOff>0</xdr:rowOff>
                  </from>
                  <to>
                    <xdr:col>13</xdr:col>
                    <xdr:colOff>88900</xdr:colOff>
                    <xdr:row>31</xdr:row>
                    <xdr:rowOff>222250</xdr:rowOff>
                  </to>
                </anchor>
              </controlPr>
            </control>
          </mc:Choice>
        </mc:AlternateContent>
        <mc:AlternateContent xmlns:mc="http://schemas.openxmlformats.org/markup-compatibility/2006">
          <mc:Choice Requires="x14">
            <control shapeId="58376" r:id="rId9" name="Check Box 8">
              <controlPr locked="0" defaultSize="0" autoFill="0" autoLine="0" autoPict="0">
                <anchor moveWithCells="1">
                  <from>
                    <xdr:col>12</xdr:col>
                    <xdr:colOff>31750</xdr:colOff>
                    <xdr:row>32</xdr:row>
                    <xdr:rowOff>0</xdr:rowOff>
                  </from>
                  <to>
                    <xdr:col>13</xdr:col>
                    <xdr:colOff>88900</xdr:colOff>
                    <xdr:row>32</xdr:row>
                    <xdr:rowOff>222250</xdr:rowOff>
                  </to>
                </anchor>
              </controlPr>
            </control>
          </mc:Choice>
        </mc:AlternateContent>
        <mc:AlternateContent xmlns:mc="http://schemas.openxmlformats.org/markup-compatibility/2006">
          <mc:Choice Requires="x14">
            <control shapeId="58377" r:id="rId10" name="Check Box 9">
              <controlPr locked="0" defaultSize="0" autoFill="0" autoLine="0" autoPict="0">
                <anchor moveWithCells="1">
                  <from>
                    <xdr:col>22</xdr:col>
                    <xdr:colOff>31750</xdr:colOff>
                    <xdr:row>29</xdr:row>
                    <xdr:rowOff>241300</xdr:rowOff>
                  </from>
                  <to>
                    <xdr:col>23</xdr:col>
                    <xdr:colOff>88900</xdr:colOff>
                    <xdr:row>30</xdr:row>
                    <xdr:rowOff>222250</xdr:rowOff>
                  </to>
                </anchor>
              </controlPr>
            </control>
          </mc:Choice>
        </mc:AlternateContent>
        <mc:AlternateContent xmlns:mc="http://schemas.openxmlformats.org/markup-compatibility/2006">
          <mc:Choice Requires="x14">
            <control shapeId="58378" r:id="rId11" name="Check Box 10">
              <controlPr locked="0" defaultSize="0" autoFill="0" autoLine="0" autoPict="0">
                <anchor moveWithCells="1">
                  <from>
                    <xdr:col>22</xdr:col>
                    <xdr:colOff>31750</xdr:colOff>
                    <xdr:row>31</xdr:row>
                    <xdr:rowOff>0</xdr:rowOff>
                  </from>
                  <to>
                    <xdr:col>23</xdr:col>
                    <xdr:colOff>88900</xdr:colOff>
                    <xdr:row>31</xdr:row>
                    <xdr:rowOff>222250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B1:BK55"/>
  <sheetViews>
    <sheetView showGridLines="0" topLeftCell="C1" zoomScale="78" zoomScaleNormal="78" zoomScaleSheetLayoutView="100" workbookViewId="0">
      <selection activeCell="S8" sqref="S8:U8"/>
    </sheetView>
  </sheetViews>
  <sheetFormatPr defaultColWidth="9" defaultRowHeight="15.5"/>
  <cols>
    <col min="1" max="1" width="2.08203125" style="969" customWidth="1"/>
    <col min="2" max="63" width="3.58203125" style="969" customWidth="1"/>
    <col min="64" max="64" width="2.08203125" style="969" customWidth="1"/>
    <col min="65" max="232" width="3.58203125" style="969" customWidth="1"/>
    <col min="233" max="16384" width="9" style="969"/>
  </cols>
  <sheetData>
    <row r="1" spans="2:39" ht="8.5" customHeight="1"/>
    <row r="2" spans="2:39" s="681" customFormat="1" ht="21" customHeight="1">
      <c r="B2" s="579" t="s">
        <v>11785</v>
      </c>
      <c r="C2" s="628"/>
      <c r="D2" s="628"/>
      <c r="E2" s="628"/>
      <c r="F2" s="628"/>
      <c r="G2" s="628"/>
      <c r="H2" s="629"/>
      <c r="I2" s="629"/>
      <c r="J2" s="629"/>
      <c r="K2" s="629"/>
      <c r="L2" s="629"/>
      <c r="M2" s="629"/>
      <c r="N2" s="629"/>
      <c r="O2" s="629"/>
      <c r="P2" s="629"/>
      <c r="X2" s="1009"/>
    </row>
    <row r="3" spans="2:39" s="568" customFormat="1" ht="27" customHeight="1" thickBot="1">
      <c r="B3" s="565" t="s">
        <v>1783</v>
      </c>
      <c r="K3" s="609"/>
      <c r="M3" s="609"/>
    </row>
    <row r="4" spans="2:39" s="568" customFormat="1">
      <c r="B4" s="2858" t="s">
        <v>1164</v>
      </c>
      <c r="C4" s="2859"/>
      <c r="D4" s="2859"/>
      <c r="E4" s="2859"/>
      <c r="F4" s="2859"/>
      <c r="G4" s="2859"/>
      <c r="H4" s="2859"/>
      <c r="I4" s="3175"/>
      <c r="J4" s="3020" t="s">
        <v>19</v>
      </c>
      <c r="K4" s="3021"/>
      <c r="L4" s="3021"/>
      <c r="M4" s="3021"/>
      <c r="N4" s="3021"/>
      <c r="O4" s="3021"/>
      <c r="P4" s="3021"/>
      <c r="Q4" s="3021"/>
      <c r="R4" s="3022"/>
      <c r="S4" s="2858" t="s">
        <v>22</v>
      </c>
      <c r="T4" s="2859"/>
      <c r="U4" s="3175"/>
    </row>
    <row r="5" spans="2:39" s="568" customFormat="1" ht="16" thickBot="1">
      <c r="B5" s="3179"/>
      <c r="C5" s="3180"/>
      <c r="D5" s="3180"/>
      <c r="E5" s="3180"/>
      <c r="F5" s="3180"/>
      <c r="G5" s="3180"/>
      <c r="H5" s="3180"/>
      <c r="I5" s="3181"/>
      <c r="J5" s="3023" t="s">
        <v>15</v>
      </c>
      <c r="K5" s="3024"/>
      <c r="L5" s="3025"/>
      <c r="M5" s="3172" t="s">
        <v>16</v>
      </c>
      <c r="N5" s="3024"/>
      <c r="O5" s="3026"/>
      <c r="P5" s="3174" t="s">
        <v>29</v>
      </c>
      <c r="Q5" s="3024"/>
      <c r="R5" s="3173"/>
      <c r="S5" s="3179" t="s">
        <v>16</v>
      </c>
      <c r="T5" s="3180"/>
      <c r="U5" s="3181"/>
    </row>
    <row r="6" spans="2:39" s="588" customFormat="1" ht="25" customHeight="1">
      <c r="B6" s="1004" t="s">
        <v>209</v>
      </c>
      <c r="C6" s="995"/>
      <c r="D6" s="996"/>
      <c r="E6" s="996"/>
      <c r="F6" s="996"/>
      <c r="G6" s="996"/>
      <c r="H6" s="997"/>
      <c r="I6" s="998"/>
      <c r="J6" s="3198">
        <v>0</v>
      </c>
      <c r="K6" s="3199"/>
      <c r="L6" s="3200"/>
      <c r="M6" s="3205">
        <v>0</v>
      </c>
      <c r="N6" s="3199"/>
      <c r="O6" s="3207"/>
      <c r="P6" s="3210">
        <f>SUM(J6:O6)</f>
        <v>0</v>
      </c>
      <c r="Q6" s="3201"/>
      <c r="R6" s="3209"/>
      <c r="S6" s="3211"/>
      <c r="T6" s="3212"/>
      <c r="U6" s="3213"/>
    </row>
    <row r="7" spans="2:39" s="588" customFormat="1" ht="25" customHeight="1">
      <c r="B7" s="1005" t="s">
        <v>379</v>
      </c>
      <c r="C7" s="1006"/>
      <c r="D7" s="1007"/>
      <c r="E7" s="1007"/>
      <c r="F7" s="1007"/>
      <c r="G7" s="1007"/>
      <c r="H7" s="930"/>
      <c r="I7" s="1008"/>
      <c r="J7" s="3146">
        <v>0</v>
      </c>
      <c r="K7" s="2612"/>
      <c r="L7" s="3147"/>
      <c r="M7" s="3148">
        <v>0</v>
      </c>
      <c r="N7" s="2612"/>
      <c r="O7" s="3214"/>
      <c r="P7" s="3155">
        <f>SUM(J7:O7)</f>
        <v>0</v>
      </c>
      <c r="Q7" s="3156"/>
      <c r="R7" s="3159"/>
      <c r="S7" s="3160"/>
      <c r="T7" s="3161"/>
      <c r="U7" s="3164"/>
    </row>
    <row r="8" spans="2:39" s="588" customFormat="1" ht="25" customHeight="1" thickBot="1">
      <c r="B8" s="1002" t="s">
        <v>210</v>
      </c>
      <c r="C8" s="1003"/>
      <c r="D8" s="993"/>
      <c r="E8" s="993"/>
      <c r="F8" s="993"/>
      <c r="G8" s="993"/>
      <c r="H8" s="562"/>
      <c r="I8" s="806"/>
      <c r="J8" s="3215"/>
      <c r="K8" s="3216"/>
      <c r="L8" s="3217"/>
      <c r="M8" s="3218"/>
      <c r="N8" s="3216"/>
      <c r="O8" s="3219"/>
      <c r="P8" s="3220"/>
      <c r="Q8" s="3216"/>
      <c r="R8" s="3221"/>
      <c r="S8" s="3222">
        <v>0</v>
      </c>
      <c r="T8" s="3223"/>
      <c r="U8" s="3224"/>
    </row>
    <row r="9" spans="2:39" ht="14.5" customHeight="1">
      <c r="B9" s="568"/>
    </row>
    <row r="10" spans="2:39" s="568" customFormat="1" ht="21" customHeight="1" thickBot="1">
      <c r="B10" s="565" t="s">
        <v>909</v>
      </c>
      <c r="L10" s="609"/>
      <c r="N10" s="609"/>
    </row>
    <row r="11" spans="2:39" s="568" customFormat="1" ht="15.65" customHeight="1">
      <c r="B11" s="2858" t="s">
        <v>254</v>
      </c>
      <c r="C11" s="2859"/>
      <c r="D11" s="2859"/>
      <c r="E11" s="2859"/>
      <c r="F11" s="2859"/>
      <c r="G11" s="2859"/>
      <c r="H11" s="2859"/>
      <c r="I11" s="3175"/>
      <c r="J11" s="2858" t="s">
        <v>57</v>
      </c>
      <c r="K11" s="2859"/>
      <c r="L11" s="2859"/>
      <c r="M11" s="2859"/>
      <c r="N11" s="2859"/>
      <c r="O11" s="3175"/>
      <c r="P11" s="2858" t="s">
        <v>19</v>
      </c>
      <c r="Q11" s="2859"/>
      <c r="R11" s="2859"/>
      <c r="S11" s="2859"/>
      <c r="T11" s="2859"/>
      <c r="U11" s="3175"/>
      <c r="V11" s="2858" t="s">
        <v>20</v>
      </c>
      <c r="W11" s="2859"/>
      <c r="X11" s="2859"/>
      <c r="Y11" s="2859"/>
      <c r="Z11" s="2859"/>
      <c r="AA11" s="3175"/>
      <c r="AB11" s="2858" t="s">
        <v>21</v>
      </c>
      <c r="AC11" s="2859"/>
      <c r="AD11" s="2859"/>
      <c r="AE11" s="2859"/>
      <c r="AF11" s="2859"/>
      <c r="AG11" s="3203"/>
      <c r="AH11" s="2676" t="s">
        <v>1165</v>
      </c>
      <c r="AI11" s="2859"/>
      <c r="AJ11" s="2859"/>
      <c r="AK11" s="2859"/>
      <c r="AL11" s="2859"/>
      <c r="AM11" s="3175"/>
    </row>
    <row r="12" spans="2:39" s="568" customFormat="1" ht="15.65" customHeight="1">
      <c r="B12" s="3176"/>
      <c r="C12" s="3177"/>
      <c r="D12" s="3177"/>
      <c r="E12" s="3177"/>
      <c r="F12" s="3177"/>
      <c r="G12" s="3177"/>
      <c r="H12" s="3177"/>
      <c r="I12" s="3178"/>
      <c r="J12" s="3182"/>
      <c r="K12" s="3183"/>
      <c r="L12" s="3183"/>
      <c r="M12" s="3183"/>
      <c r="N12" s="3183"/>
      <c r="O12" s="3184"/>
      <c r="P12" s="3182"/>
      <c r="Q12" s="3183"/>
      <c r="R12" s="3183"/>
      <c r="S12" s="3183"/>
      <c r="T12" s="3183"/>
      <c r="U12" s="3184"/>
      <c r="V12" s="3182"/>
      <c r="W12" s="3183"/>
      <c r="X12" s="3183"/>
      <c r="Y12" s="3183"/>
      <c r="Z12" s="3183"/>
      <c r="AA12" s="3184"/>
      <c r="AB12" s="3182"/>
      <c r="AC12" s="3183"/>
      <c r="AD12" s="3183"/>
      <c r="AE12" s="3183"/>
      <c r="AF12" s="3183"/>
      <c r="AG12" s="3204"/>
      <c r="AH12" s="3183"/>
      <c r="AI12" s="3183"/>
      <c r="AJ12" s="3183"/>
      <c r="AK12" s="3183"/>
      <c r="AL12" s="3183"/>
      <c r="AM12" s="3184"/>
    </row>
    <row r="13" spans="2:39" s="568" customFormat="1" ht="15.65" customHeight="1" thickBot="1">
      <c r="B13" s="3179"/>
      <c r="C13" s="3180"/>
      <c r="D13" s="3180"/>
      <c r="E13" s="3180"/>
      <c r="F13" s="3180"/>
      <c r="G13" s="3180"/>
      <c r="H13" s="3180"/>
      <c r="I13" s="3181"/>
      <c r="J13" s="3023" t="s">
        <v>15</v>
      </c>
      <c r="K13" s="3024"/>
      <c r="L13" s="3025"/>
      <c r="M13" s="3172" t="s">
        <v>16</v>
      </c>
      <c r="N13" s="3024"/>
      <c r="O13" s="3173"/>
      <c r="P13" s="3023" t="s">
        <v>15</v>
      </c>
      <c r="Q13" s="3024"/>
      <c r="R13" s="3025"/>
      <c r="S13" s="3172" t="s">
        <v>16</v>
      </c>
      <c r="T13" s="3024"/>
      <c r="U13" s="3173"/>
      <c r="V13" s="3023" t="s">
        <v>15</v>
      </c>
      <c r="W13" s="3024"/>
      <c r="X13" s="3025"/>
      <c r="Y13" s="3172" t="s">
        <v>16</v>
      </c>
      <c r="Z13" s="3024"/>
      <c r="AA13" s="3173"/>
      <c r="AB13" s="3023" t="s">
        <v>15</v>
      </c>
      <c r="AC13" s="3024"/>
      <c r="AD13" s="3025"/>
      <c r="AE13" s="3172" t="s">
        <v>16</v>
      </c>
      <c r="AF13" s="3024"/>
      <c r="AG13" s="3026"/>
      <c r="AH13" s="3024" t="s">
        <v>15</v>
      </c>
      <c r="AI13" s="3024"/>
      <c r="AJ13" s="3025"/>
      <c r="AK13" s="3172" t="s">
        <v>16</v>
      </c>
      <c r="AL13" s="3024"/>
      <c r="AM13" s="3173"/>
    </row>
    <row r="14" spans="2:39" s="588" customFormat="1" ht="25" customHeight="1">
      <c r="B14" s="994"/>
      <c r="C14" s="995" t="s">
        <v>211</v>
      </c>
      <c r="D14" s="996"/>
      <c r="E14" s="996"/>
      <c r="F14" s="996"/>
      <c r="G14" s="996"/>
      <c r="H14" s="997"/>
      <c r="I14" s="998"/>
      <c r="J14" s="3198">
        <v>0</v>
      </c>
      <c r="K14" s="3199"/>
      <c r="L14" s="3200"/>
      <c r="M14" s="3205">
        <v>0</v>
      </c>
      <c r="N14" s="3199"/>
      <c r="O14" s="3206"/>
      <c r="P14" s="3198">
        <v>0</v>
      </c>
      <c r="Q14" s="3199"/>
      <c r="R14" s="3200"/>
      <c r="S14" s="3205">
        <v>0</v>
      </c>
      <c r="T14" s="3199"/>
      <c r="U14" s="3206"/>
      <c r="V14" s="3198">
        <v>0</v>
      </c>
      <c r="W14" s="3199"/>
      <c r="X14" s="3200"/>
      <c r="Y14" s="3205">
        <v>0</v>
      </c>
      <c r="Z14" s="3199"/>
      <c r="AA14" s="3206"/>
      <c r="AB14" s="3198">
        <v>0</v>
      </c>
      <c r="AC14" s="3199"/>
      <c r="AD14" s="3200"/>
      <c r="AE14" s="3205">
        <v>0</v>
      </c>
      <c r="AF14" s="3199"/>
      <c r="AG14" s="3207"/>
      <c r="AH14" s="3201">
        <f>SUM(J14,P14,V14,AB14)</f>
        <v>0</v>
      </c>
      <c r="AI14" s="3201"/>
      <c r="AJ14" s="3202"/>
      <c r="AK14" s="3208">
        <f>SUM(M14,S14,Y14,AE14)</f>
        <v>0</v>
      </c>
      <c r="AL14" s="3201"/>
      <c r="AM14" s="3209"/>
    </row>
    <row r="15" spans="2:39" s="588" customFormat="1" ht="25" customHeight="1" thickBot="1">
      <c r="B15" s="981"/>
      <c r="C15" s="999" t="s">
        <v>212</v>
      </c>
      <c r="D15" s="982"/>
      <c r="E15" s="982"/>
      <c r="F15" s="982"/>
      <c r="G15" s="982"/>
      <c r="H15" s="1000"/>
      <c r="I15" s="1001"/>
      <c r="J15" s="3188">
        <v>0</v>
      </c>
      <c r="K15" s="3189"/>
      <c r="L15" s="3190"/>
      <c r="M15" s="3191">
        <v>0</v>
      </c>
      <c r="N15" s="3189"/>
      <c r="O15" s="3196"/>
      <c r="P15" s="3188">
        <v>0</v>
      </c>
      <c r="Q15" s="3189"/>
      <c r="R15" s="3190"/>
      <c r="S15" s="3191">
        <v>0</v>
      </c>
      <c r="T15" s="3189"/>
      <c r="U15" s="3196"/>
      <c r="V15" s="3188">
        <v>0</v>
      </c>
      <c r="W15" s="3189"/>
      <c r="X15" s="3190"/>
      <c r="Y15" s="3191">
        <v>0</v>
      </c>
      <c r="Z15" s="3189"/>
      <c r="AA15" s="3196"/>
      <c r="AB15" s="3188">
        <v>0</v>
      </c>
      <c r="AC15" s="3189"/>
      <c r="AD15" s="3190"/>
      <c r="AE15" s="3191">
        <v>0</v>
      </c>
      <c r="AF15" s="3189"/>
      <c r="AG15" s="3192"/>
      <c r="AH15" s="3151">
        <f>SUM(J15,P15,V15,AB15)</f>
        <v>0</v>
      </c>
      <c r="AI15" s="3151"/>
      <c r="AJ15" s="3152"/>
      <c r="AK15" s="3153">
        <f>SUM(M15,S15,Y15,AE15)</f>
        <v>0</v>
      </c>
      <c r="AL15" s="3151"/>
      <c r="AM15" s="3154"/>
    </row>
    <row r="16" spans="2:39" s="975" customFormat="1" ht="25" customHeight="1" thickTop="1" thickBot="1">
      <c r="B16" s="3193" t="s">
        <v>29</v>
      </c>
      <c r="C16" s="3194"/>
      <c r="D16" s="3194"/>
      <c r="E16" s="3194"/>
      <c r="F16" s="3194"/>
      <c r="G16" s="3194"/>
      <c r="H16" s="3194"/>
      <c r="I16" s="3195"/>
      <c r="J16" s="3140">
        <f>SUM(J14:L15)</f>
        <v>0</v>
      </c>
      <c r="K16" s="3138"/>
      <c r="L16" s="3141"/>
      <c r="M16" s="3137">
        <f t="shared" ref="M16" si="0">SUM(M14:O15)</f>
        <v>0</v>
      </c>
      <c r="N16" s="3138"/>
      <c r="O16" s="3139"/>
      <c r="P16" s="3140">
        <f t="shared" ref="P16" si="1">SUM(P14:R15)</f>
        <v>0</v>
      </c>
      <c r="Q16" s="3138"/>
      <c r="R16" s="3141"/>
      <c r="S16" s="3137">
        <f t="shared" ref="S16" si="2">SUM(S14:U15)</f>
        <v>0</v>
      </c>
      <c r="T16" s="3138"/>
      <c r="U16" s="3139"/>
      <c r="V16" s="3140">
        <f t="shared" ref="V16" si="3">SUM(V14:X15)</f>
        <v>0</v>
      </c>
      <c r="W16" s="3138"/>
      <c r="X16" s="3141"/>
      <c r="Y16" s="3137">
        <f t="shared" ref="Y16" si="4">SUM(Y14:AA15)</f>
        <v>0</v>
      </c>
      <c r="Z16" s="3138"/>
      <c r="AA16" s="3139"/>
      <c r="AB16" s="3140">
        <f t="shared" ref="AB16" si="5">SUM(AB14:AD15)</f>
        <v>0</v>
      </c>
      <c r="AC16" s="3138"/>
      <c r="AD16" s="3141"/>
      <c r="AE16" s="3137">
        <f t="shared" ref="AE16" si="6">SUM(AE14:AG15)</f>
        <v>0</v>
      </c>
      <c r="AF16" s="3138"/>
      <c r="AG16" s="3197"/>
      <c r="AH16" s="3138">
        <f t="shared" ref="AH16" si="7">SUM(AH14:AJ15)</f>
        <v>0</v>
      </c>
      <c r="AI16" s="3138"/>
      <c r="AJ16" s="3141"/>
      <c r="AK16" s="3137">
        <f t="shared" ref="AK16" si="8">SUM(AK14:AM15)</f>
        <v>0</v>
      </c>
      <c r="AL16" s="3138"/>
      <c r="AM16" s="3139"/>
    </row>
    <row r="17" spans="2:63" s="975" customFormat="1" ht="14.5" customHeight="1">
      <c r="B17" s="992"/>
      <c r="C17" s="976"/>
      <c r="D17" s="976"/>
      <c r="E17" s="976"/>
      <c r="F17" s="976"/>
      <c r="G17" s="976"/>
      <c r="H17" s="977"/>
      <c r="I17" s="977"/>
      <c r="J17" s="977"/>
      <c r="K17" s="977"/>
      <c r="L17" s="977"/>
      <c r="M17" s="977"/>
      <c r="N17" s="977"/>
      <c r="O17" s="977"/>
      <c r="P17" s="977"/>
      <c r="Q17" s="977"/>
      <c r="R17" s="977"/>
      <c r="S17" s="977"/>
      <c r="T17" s="977"/>
      <c r="U17" s="977"/>
      <c r="V17" s="977"/>
      <c r="W17" s="977"/>
      <c r="X17" s="977"/>
      <c r="Y17" s="977"/>
      <c r="Z17" s="977"/>
    </row>
    <row r="18" spans="2:63" s="568" customFormat="1" ht="21" customHeight="1" thickBot="1">
      <c r="B18" s="565" t="s">
        <v>910</v>
      </c>
      <c r="L18" s="609"/>
      <c r="N18" s="609"/>
      <c r="AB18" s="993"/>
      <c r="AC18" s="993"/>
      <c r="AD18" s="993"/>
      <c r="AE18" s="993"/>
      <c r="AF18" s="993"/>
      <c r="AG18" s="993"/>
      <c r="AH18" s="993"/>
      <c r="AI18" s="993"/>
      <c r="AJ18" s="993"/>
      <c r="AK18" s="993"/>
      <c r="AL18" s="993"/>
      <c r="AM18" s="993"/>
      <c r="AN18" s="993"/>
      <c r="AO18" s="993"/>
      <c r="AP18" s="993"/>
    </row>
    <row r="19" spans="2:63" s="568" customFormat="1" ht="15.75" customHeight="1">
      <c r="B19" s="2858" t="s">
        <v>213</v>
      </c>
      <c r="C19" s="2859"/>
      <c r="D19" s="2859"/>
      <c r="E19" s="2859"/>
      <c r="F19" s="2859"/>
      <c r="G19" s="2859"/>
      <c r="H19" s="2859"/>
      <c r="I19" s="3175"/>
      <c r="J19" s="2858" t="s">
        <v>57</v>
      </c>
      <c r="K19" s="2859"/>
      <c r="L19" s="2859"/>
      <c r="M19" s="2859"/>
      <c r="N19" s="2859"/>
      <c r="O19" s="3175"/>
      <c r="P19" s="2858" t="s">
        <v>19</v>
      </c>
      <c r="Q19" s="2859"/>
      <c r="R19" s="2859"/>
      <c r="S19" s="2859"/>
      <c r="T19" s="2859"/>
      <c r="U19" s="3175"/>
      <c r="V19" s="2858" t="s">
        <v>20</v>
      </c>
      <c r="W19" s="2859"/>
      <c r="X19" s="2859"/>
      <c r="Y19" s="2859"/>
      <c r="Z19" s="2859"/>
      <c r="AA19" s="3175"/>
      <c r="AB19" s="2858" t="s">
        <v>21</v>
      </c>
      <c r="AC19" s="2859"/>
      <c r="AD19" s="2859"/>
      <c r="AE19" s="2859"/>
      <c r="AF19" s="2859"/>
      <c r="AG19" s="3175"/>
      <c r="AH19" s="2859" t="s">
        <v>22</v>
      </c>
      <c r="AI19" s="2859"/>
      <c r="AJ19" s="2859"/>
      <c r="AK19" s="2859"/>
      <c r="AL19" s="2859"/>
      <c r="AM19" s="3175"/>
      <c r="AN19" s="2858" t="s">
        <v>23</v>
      </c>
      <c r="AO19" s="2859"/>
      <c r="AP19" s="2859"/>
      <c r="AQ19" s="2859"/>
      <c r="AR19" s="2859"/>
      <c r="AS19" s="3175"/>
      <c r="AT19" s="2858" t="s">
        <v>24</v>
      </c>
      <c r="AU19" s="2859"/>
      <c r="AV19" s="2859"/>
      <c r="AW19" s="2859"/>
      <c r="AX19" s="2859"/>
      <c r="AY19" s="3175"/>
      <c r="AZ19" s="2675" t="s">
        <v>1166</v>
      </c>
      <c r="BA19" s="2676"/>
      <c r="BB19" s="2676"/>
      <c r="BC19" s="2676"/>
      <c r="BD19" s="2676"/>
      <c r="BE19" s="2677"/>
      <c r="BF19" s="3166" t="s">
        <v>1272</v>
      </c>
      <c r="BG19" s="3167"/>
      <c r="BH19" s="3167"/>
      <c r="BI19" s="3167"/>
      <c r="BJ19" s="3167"/>
      <c r="BK19" s="3168"/>
    </row>
    <row r="20" spans="2:63" s="568" customFormat="1" ht="31" customHeight="1">
      <c r="B20" s="3176"/>
      <c r="C20" s="3177"/>
      <c r="D20" s="3177"/>
      <c r="E20" s="3177"/>
      <c r="F20" s="3177"/>
      <c r="G20" s="3177"/>
      <c r="H20" s="3177"/>
      <c r="I20" s="3178"/>
      <c r="J20" s="3182"/>
      <c r="K20" s="3183"/>
      <c r="L20" s="3183"/>
      <c r="M20" s="3183"/>
      <c r="N20" s="3183"/>
      <c r="O20" s="3184"/>
      <c r="P20" s="3182"/>
      <c r="Q20" s="3183"/>
      <c r="R20" s="3183"/>
      <c r="S20" s="3183"/>
      <c r="T20" s="3183"/>
      <c r="U20" s="3184"/>
      <c r="V20" s="3182"/>
      <c r="W20" s="3183"/>
      <c r="X20" s="3183"/>
      <c r="Y20" s="3183"/>
      <c r="Z20" s="3183"/>
      <c r="AA20" s="3184"/>
      <c r="AB20" s="3182"/>
      <c r="AC20" s="3183"/>
      <c r="AD20" s="3183"/>
      <c r="AE20" s="3183"/>
      <c r="AF20" s="3183"/>
      <c r="AG20" s="3184"/>
      <c r="AH20" s="3183"/>
      <c r="AI20" s="3183"/>
      <c r="AJ20" s="3183"/>
      <c r="AK20" s="3183"/>
      <c r="AL20" s="3183"/>
      <c r="AM20" s="3184"/>
      <c r="AN20" s="3182"/>
      <c r="AO20" s="3183"/>
      <c r="AP20" s="3183"/>
      <c r="AQ20" s="3183"/>
      <c r="AR20" s="3183"/>
      <c r="AS20" s="3184"/>
      <c r="AT20" s="3182"/>
      <c r="AU20" s="3183"/>
      <c r="AV20" s="3183"/>
      <c r="AW20" s="3183"/>
      <c r="AX20" s="3183"/>
      <c r="AY20" s="3184"/>
      <c r="AZ20" s="3185"/>
      <c r="BA20" s="3186"/>
      <c r="BB20" s="3186"/>
      <c r="BC20" s="3186"/>
      <c r="BD20" s="3186"/>
      <c r="BE20" s="3187"/>
      <c r="BF20" s="3169"/>
      <c r="BG20" s="3170"/>
      <c r="BH20" s="3170"/>
      <c r="BI20" s="3170"/>
      <c r="BJ20" s="3170"/>
      <c r="BK20" s="3171"/>
    </row>
    <row r="21" spans="2:63" s="568" customFormat="1" ht="16.5" customHeight="1" thickBot="1">
      <c r="B21" s="3179"/>
      <c r="C21" s="3180"/>
      <c r="D21" s="3180"/>
      <c r="E21" s="3180"/>
      <c r="F21" s="3180"/>
      <c r="G21" s="3180"/>
      <c r="H21" s="3180"/>
      <c r="I21" s="3181"/>
      <c r="J21" s="3023" t="s">
        <v>15</v>
      </c>
      <c r="K21" s="3024"/>
      <c r="L21" s="3025"/>
      <c r="M21" s="3172" t="s">
        <v>16</v>
      </c>
      <c r="N21" s="3024"/>
      <c r="O21" s="3173"/>
      <c r="P21" s="3023" t="s">
        <v>15</v>
      </c>
      <c r="Q21" s="3024"/>
      <c r="R21" s="3025"/>
      <c r="S21" s="3172" t="s">
        <v>16</v>
      </c>
      <c r="T21" s="3024"/>
      <c r="U21" s="3173"/>
      <c r="V21" s="3023" t="s">
        <v>15</v>
      </c>
      <c r="W21" s="3024"/>
      <c r="X21" s="3025"/>
      <c r="Y21" s="3172" t="s">
        <v>16</v>
      </c>
      <c r="Z21" s="3024"/>
      <c r="AA21" s="3173"/>
      <c r="AB21" s="3023" t="s">
        <v>15</v>
      </c>
      <c r="AC21" s="3024"/>
      <c r="AD21" s="3025"/>
      <c r="AE21" s="3172" t="s">
        <v>16</v>
      </c>
      <c r="AF21" s="3024"/>
      <c r="AG21" s="3173"/>
      <c r="AH21" s="3024" t="s">
        <v>15</v>
      </c>
      <c r="AI21" s="3024"/>
      <c r="AJ21" s="3025"/>
      <c r="AK21" s="3172" t="s">
        <v>16</v>
      </c>
      <c r="AL21" s="3024"/>
      <c r="AM21" s="3173"/>
      <c r="AN21" s="3023" t="s">
        <v>15</v>
      </c>
      <c r="AO21" s="3024"/>
      <c r="AP21" s="3025"/>
      <c r="AQ21" s="3172" t="s">
        <v>16</v>
      </c>
      <c r="AR21" s="3024"/>
      <c r="AS21" s="3173"/>
      <c r="AT21" s="3023" t="s">
        <v>15</v>
      </c>
      <c r="AU21" s="3024"/>
      <c r="AV21" s="3025"/>
      <c r="AW21" s="3172" t="s">
        <v>16</v>
      </c>
      <c r="AX21" s="3024"/>
      <c r="AY21" s="3173"/>
      <c r="AZ21" s="3023" t="s">
        <v>15</v>
      </c>
      <c r="BA21" s="3024"/>
      <c r="BB21" s="3025"/>
      <c r="BC21" s="3172" t="s">
        <v>16</v>
      </c>
      <c r="BD21" s="3024"/>
      <c r="BE21" s="3173"/>
      <c r="BF21" s="3174" t="s">
        <v>15</v>
      </c>
      <c r="BG21" s="3024"/>
      <c r="BH21" s="3025"/>
      <c r="BI21" s="3172" t="s">
        <v>16</v>
      </c>
      <c r="BJ21" s="3024"/>
      <c r="BK21" s="3173"/>
    </row>
    <row r="22" spans="2:63" s="568" customFormat="1" ht="25" customHeight="1">
      <c r="B22" s="989" t="s">
        <v>342</v>
      </c>
      <c r="C22" s="990"/>
      <c r="D22" s="990"/>
      <c r="E22" s="990"/>
      <c r="F22" s="990"/>
      <c r="G22" s="990"/>
      <c r="H22" s="990"/>
      <c r="I22" s="991"/>
      <c r="J22" s="3160"/>
      <c r="K22" s="3161"/>
      <c r="L22" s="3162"/>
      <c r="M22" s="3163"/>
      <c r="N22" s="3161"/>
      <c r="O22" s="3164"/>
      <c r="P22" s="3160"/>
      <c r="Q22" s="3161"/>
      <c r="R22" s="3162"/>
      <c r="S22" s="3163"/>
      <c r="T22" s="3161"/>
      <c r="U22" s="3164"/>
      <c r="V22" s="3160"/>
      <c r="W22" s="3161"/>
      <c r="X22" s="3162"/>
      <c r="Y22" s="3163"/>
      <c r="Z22" s="3161"/>
      <c r="AA22" s="3164"/>
      <c r="AB22" s="3160"/>
      <c r="AC22" s="3161"/>
      <c r="AD22" s="3162"/>
      <c r="AE22" s="3163"/>
      <c r="AF22" s="3161"/>
      <c r="AG22" s="3164"/>
      <c r="AH22" s="3161"/>
      <c r="AI22" s="3161"/>
      <c r="AJ22" s="3162"/>
      <c r="AK22" s="3163"/>
      <c r="AL22" s="3161"/>
      <c r="AM22" s="3164"/>
      <c r="AN22" s="3160"/>
      <c r="AO22" s="3161"/>
      <c r="AP22" s="3162"/>
      <c r="AQ22" s="3163"/>
      <c r="AR22" s="3161"/>
      <c r="AS22" s="3164"/>
      <c r="AT22" s="3160"/>
      <c r="AU22" s="3161"/>
      <c r="AV22" s="3162"/>
      <c r="AW22" s="3163"/>
      <c r="AX22" s="3161"/>
      <c r="AY22" s="3164"/>
      <c r="AZ22" s="3160"/>
      <c r="BA22" s="3161"/>
      <c r="BB22" s="3162"/>
      <c r="BC22" s="3163"/>
      <c r="BD22" s="3161"/>
      <c r="BE22" s="3164"/>
      <c r="BF22" s="3165"/>
      <c r="BG22" s="3161"/>
      <c r="BH22" s="3162"/>
      <c r="BI22" s="3163"/>
      <c r="BJ22" s="3161"/>
      <c r="BK22" s="3164"/>
    </row>
    <row r="23" spans="2:63" s="588" customFormat="1" ht="25" customHeight="1">
      <c r="B23" s="981"/>
      <c r="C23" s="925"/>
      <c r="D23" s="925" t="s">
        <v>216</v>
      </c>
      <c r="E23" s="982"/>
      <c r="F23" s="982"/>
      <c r="G23" s="982"/>
      <c r="H23" s="982"/>
      <c r="I23" s="983"/>
      <c r="J23" s="3146">
        <v>47</v>
      </c>
      <c r="K23" s="2612"/>
      <c r="L23" s="3147"/>
      <c r="M23" s="3148">
        <v>36</v>
      </c>
      <c r="N23" s="2612"/>
      <c r="O23" s="3149"/>
      <c r="P23" s="3146">
        <v>44</v>
      </c>
      <c r="Q23" s="2612"/>
      <c r="R23" s="3147"/>
      <c r="S23" s="3148">
        <v>45</v>
      </c>
      <c r="T23" s="2612"/>
      <c r="U23" s="3149"/>
      <c r="V23" s="3146">
        <v>56</v>
      </c>
      <c r="W23" s="2612"/>
      <c r="X23" s="3147"/>
      <c r="Y23" s="3148">
        <v>37</v>
      </c>
      <c r="Z23" s="2612"/>
      <c r="AA23" s="3149"/>
      <c r="AB23" s="3146">
        <v>39</v>
      </c>
      <c r="AC23" s="2612"/>
      <c r="AD23" s="3147"/>
      <c r="AE23" s="3148">
        <v>51</v>
      </c>
      <c r="AF23" s="2612"/>
      <c r="AG23" s="3149"/>
      <c r="AH23" s="2612">
        <v>64</v>
      </c>
      <c r="AI23" s="2612"/>
      <c r="AJ23" s="3147"/>
      <c r="AK23" s="3148">
        <v>54</v>
      </c>
      <c r="AL23" s="2612"/>
      <c r="AM23" s="3149"/>
      <c r="AN23" s="3146">
        <v>56</v>
      </c>
      <c r="AO23" s="2612"/>
      <c r="AP23" s="3147"/>
      <c r="AQ23" s="3148">
        <v>49</v>
      </c>
      <c r="AR23" s="2612"/>
      <c r="AS23" s="3149"/>
      <c r="AT23" s="3146">
        <v>39</v>
      </c>
      <c r="AU23" s="2612"/>
      <c r="AV23" s="3147"/>
      <c r="AW23" s="3148">
        <v>28</v>
      </c>
      <c r="AX23" s="2612"/>
      <c r="AY23" s="3149"/>
      <c r="AZ23" s="3146">
        <v>0</v>
      </c>
      <c r="BA23" s="2612"/>
      <c r="BB23" s="3147"/>
      <c r="BC23" s="3148">
        <v>0</v>
      </c>
      <c r="BD23" s="2612"/>
      <c r="BE23" s="3149"/>
      <c r="BF23" s="3155">
        <f>SUM(J23,P23,V23,AB23,AH23,AN23,AT23,AZ23)</f>
        <v>345</v>
      </c>
      <c r="BG23" s="3156"/>
      <c r="BH23" s="3157"/>
      <c r="BI23" s="3158">
        <f>SUM(M23,S23,Y23,AE23,AK23,AQ23,AW23,BC23)</f>
        <v>300</v>
      </c>
      <c r="BJ23" s="3156"/>
      <c r="BK23" s="3159"/>
    </row>
    <row r="24" spans="2:63" s="588" customFormat="1" ht="25" customHeight="1">
      <c r="B24" s="984"/>
      <c r="C24" s="925"/>
      <c r="D24" s="925" t="s">
        <v>214</v>
      </c>
      <c r="E24" s="982"/>
      <c r="F24" s="982"/>
      <c r="G24" s="982"/>
      <c r="H24" s="982"/>
      <c r="I24" s="985"/>
      <c r="J24" s="3146">
        <v>0</v>
      </c>
      <c r="K24" s="2612"/>
      <c r="L24" s="3147"/>
      <c r="M24" s="3148">
        <v>0</v>
      </c>
      <c r="N24" s="2612"/>
      <c r="O24" s="3149"/>
      <c r="P24" s="3146">
        <v>0</v>
      </c>
      <c r="Q24" s="2612"/>
      <c r="R24" s="3147"/>
      <c r="S24" s="3148">
        <v>0</v>
      </c>
      <c r="T24" s="2612"/>
      <c r="U24" s="3149"/>
      <c r="V24" s="3146">
        <v>0</v>
      </c>
      <c r="W24" s="2612"/>
      <c r="X24" s="3147"/>
      <c r="Y24" s="3148">
        <v>2</v>
      </c>
      <c r="Z24" s="2612"/>
      <c r="AA24" s="3149"/>
      <c r="AB24" s="3146">
        <v>3</v>
      </c>
      <c r="AC24" s="2612"/>
      <c r="AD24" s="3147"/>
      <c r="AE24" s="3148">
        <v>2</v>
      </c>
      <c r="AF24" s="2612"/>
      <c r="AG24" s="3149"/>
      <c r="AH24" s="2612">
        <v>1</v>
      </c>
      <c r="AI24" s="2612"/>
      <c r="AJ24" s="3147"/>
      <c r="AK24" s="3148">
        <v>0</v>
      </c>
      <c r="AL24" s="2612"/>
      <c r="AM24" s="3149"/>
      <c r="AN24" s="3146">
        <v>0</v>
      </c>
      <c r="AO24" s="2612"/>
      <c r="AP24" s="3147"/>
      <c r="AQ24" s="3148">
        <v>1</v>
      </c>
      <c r="AR24" s="2612"/>
      <c r="AS24" s="3149"/>
      <c r="AT24" s="3146">
        <v>0</v>
      </c>
      <c r="AU24" s="2612"/>
      <c r="AV24" s="3147"/>
      <c r="AW24" s="3148">
        <v>0</v>
      </c>
      <c r="AX24" s="2612"/>
      <c r="AY24" s="3149"/>
      <c r="AZ24" s="3146">
        <v>0</v>
      </c>
      <c r="BA24" s="2612"/>
      <c r="BB24" s="3147"/>
      <c r="BC24" s="3148">
        <v>0</v>
      </c>
      <c r="BD24" s="2612"/>
      <c r="BE24" s="3149"/>
      <c r="BF24" s="3155">
        <f t="shared" ref="BF24:BF27" si="9">SUM(J24,P24,V24,AB24,AH24,AN24,AT24,AZ24)</f>
        <v>4</v>
      </c>
      <c r="BG24" s="3156"/>
      <c r="BH24" s="3157"/>
      <c r="BI24" s="3158">
        <f t="shared" ref="BI24:BI27" si="10">SUM(M24,S24,Y24,AE24,AK24,AQ24,AW24,BC24)</f>
        <v>5</v>
      </c>
      <c r="BJ24" s="3156"/>
      <c r="BK24" s="3159"/>
    </row>
    <row r="25" spans="2:63" s="588" customFormat="1" ht="25" customHeight="1">
      <c r="B25" s="984"/>
      <c r="C25" s="925"/>
      <c r="D25" s="925" t="s">
        <v>215</v>
      </c>
      <c r="E25" s="982"/>
      <c r="F25" s="982"/>
      <c r="G25" s="982"/>
      <c r="H25" s="982"/>
      <c r="I25" s="985"/>
      <c r="J25" s="3146">
        <v>1</v>
      </c>
      <c r="K25" s="2612"/>
      <c r="L25" s="3147"/>
      <c r="M25" s="3148">
        <v>1</v>
      </c>
      <c r="N25" s="2612"/>
      <c r="O25" s="3149"/>
      <c r="P25" s="3146">
        <v>3</v>
      </c>
      <c r="Q25" s="2612"/>
      <c r="R25" s="3147"/>
      <c r="S25" s="3148">
        <v>1</v>
      </c>
      <c r="T25" s="2612"/>
      <c r="U25" s="3149"/>
      <c r="V25" s="3146">
        <v>3</v>
      </c>
      <c r="W25" s="2612"/>
      <c r="X25" s="3147"/>
      <c r="Y25" s="3148">
        <v>2</v>
      </c>
      <c r="Z25" s="2612"/>
      <c r="AA25" s="3149"/>
      <c r="AB25" s="3146">
        <v>3</v>
      </c>
      <c r="AC25" s="2612"/>
      <c r="AD25" s="3147"/>
      <c r="AE25" s="3148">
        <v>3</v>
      </c>
      <c r="AF25" s="2612"/>
      <c r="AG25" s="3149"/>
      <c r="AH25" s="2612">
        <v>8</v>
      </c>
      <c r="AI25" s="2612"/>
      <c r="AJ25" s="3147"/>
      <c r="AK25" s="3148">
        <v>4</v>
      </c>
      <c r="AL25" s="2612"/>
      <c r="AM25" s="3149"/>
      <c r="AN25" s="3146">
        <v>3</v>
      </c>
      <c r="AO25" s="2612"/>
      <c r="AP25" s="3147"/>
      <c r="AQ25" s="3148">
        <v>2</v>
      </c>
      <c r="AR25" s="2612"/>
      <c r="AS25" s="3149"/>
      <c r="AT25" s="3146">
        <v>4</v>
      </c>
      <c r="AU25" s="2612"/>
      <c r="AV25" s="3147"/>
      <c r="AW25" s="3148">
        <v>2</v>
      </c>
      <c r="AX25" s="2612"/>
      <c r="AY25" s="3149"/>
      <c r="AZ25" s="3146">
        <v>0</v>
      </c>
      <c r="BA25" s="2612"/>
      <c r="BB25" s="3147"/>
      <c r="BC25" s="3148">
        <v>0</v>
      </c>
      <c r="BD25" s="2612"/>
      <c r="BE25" s="3149"/>
      <c r="BF25" s="3155">
        <f t="shared" si="9"/>
        <v>25</v>
      </c>
      <c r="BG25" s="3156"/>
      <c r="BH25" s="3157"/>
      <c r="BI25" s="3158">
        <f t="shared" si="10"/>
        <v>15</v>
      </c>
      <c r="BJ25" s="3156"/>
      <c r="BK25" s="3159"/>
    </row>
    <row r="26" spans="2:63" s="588" customFormat="1" ht="25" customHeight="1">
      <c r="B26" s="984"/>
      <c r="C26" s="925"/>
      <c r="D26" s="925" t="s">
        <v>218</v>
      </c>
      <c r="E26" s="982"/>
      <c r="F26" s="982"/>
      <c r="G26" s="982"/>
      <c r="H26" s="982"/>
      <c r="I26" s="985"/>
      <c r="J26" s="3146">
        <v>1</v>
      </c>
      <c r="K26" s="2612"/>
      <c r="L26" s="3147"/>
      <c r="M26" s="3148">
        <v>0</v>
      </c>
      <c r="N26" s="2612"/>
      <c r="O26" s="3149"/>
      <c r="P26" s="3146">
        <v>2</v>
      </c>
      <c r="Q26" s="2612"/>
      <c r="R26" s="3147"/>
      <c r="S26" s="3148">
        <v>1</v>
      </c>
      <c r="T26" s="2612"/>
      <c r="U26" s="3149"/>
      <c r="V26" s="3146">
        <v>2</v>
      </c>
      <c r="W26" s="2612"/>
      <c r="X26" s="3147"/>
      <c r="Y26" s="3148">
        <v>0</v>
      </c>
      <c r="Z26" s="2612"/>
      <c r="AA26" s="3149"/>
      <c r="AB26" s="3146">
        <v>0</v>
      </c>
      <c r="AC26" s="2612"/>
      <c r="AD26" s="3147"/>
      <c r="AE26" s="3148">
        <v>0</v>
      </c>
      <c r="AF26" s="2612"/>
      <c r="AG26" s="3149"/>
      <c r="AH26" s="2612">
        <v>3</v>
      </c>
      <c r="AI26" s="2612"/>
      <c r="AJ26" s="3147"/>
      <c r="AK26" s="3148">
        <v>1</v>
      </c>
      <c r="AL26" s="2612"/>
      <c r="AM26" s="3149"/>
      <c r="AN26" s="3146">
        <v>1</v>
      </c>
      <c r="AO26" s="2612"/>
      <c r="AP26" s="3147"/>
      <c r="AQ26" s="3148">
        <v>1</v>
      </c>
      <c r="AR26" s="2612"/>
      <c r="AS26" s="3149"/>
      <c r="AT26" s="3146">
        <v>1</v>
      </c>
      <c r="AU26" s="2612"/>
      <c r="AV26" s="3147"/>
      <c r="AW26" s="3148">
        <v>0</v>
      </c>
      <c r="AX26" s="2612"/>
      <c r="AY26" s="3149"/>
      <c r="AZ26" s="3146">
        <v>0</v>
      </c>
      <c r="BA26" s="2612"/>
      <c r="BB26" s="3147"/>
      <c r="BC26" s="3148">
        <v>0</v>
      </c>
      <c r="BD26" s="2612"/>
      <c r="BE26" s="3149"/>
      <c r="BF26" s="3155">
        <f t="shared" si="9"/>
        <v>10</v>
      </c>
      <c r="BG26" s="3156"/>
      <c r="BH26" s="3157"/>
      <c r="BI26" s="3158">
        <f t="shared" si="10"/>
        <v>3</v>
      </c>
      <c r="BJ26" s="3156"/>
      <c r="BK26" s="3159"/>
    </row>
    <row r="27" spans="2:63" s="588" customFormat="1" ht="25" customHeight="1" thickBot="1">
      <c r="B27" s="674"/>
      <c r="C27" s="986"/>
      <c r="D27" s="986" t="s">
        <v>217</v>
      </c>
      <c r="E27" s="987"/>
      <c r="F27" s="987"/>
      <c r="G27" s="987"/>
      <c r="H27" s="987"/>
      <c r="I27" s="988"/>
      <c r="J27" s="3146">
        <v>8</v>
      </c>
      <c r="K27" s="2612"/>
      <c r="L27" s="3147"/>
      <c r="M27" s="3148">
        <v>9</v>
      </c>
      <c r="N27" s="2612"/>
      <c r="O27" s="3149"/>
      <c r="P27" s="3146">
        <v>5</v>
      </c>
      <c r="Q27" s="2612"/>
      <c r="R27" s="3147"/>
      <c r="S27" s="3148">
        <v>7</v>
      </c>
      <c r="T27" s="2612"/>
      <c r="U27" s="3149"/>
      <c r="V27" s="3146">
        <v>0</v>
      </c>
      <c r="W27" s="2612"/>
      <c r="X27" s="3147"/>
      <c r="Y27" s="3148">
        <v>3</v>
      </c>
      <c r="Z27" s="2612"/>
      <c r="AA27" s="3149"/>
      <c r="AB27" s="3146">
        <v>7</v>
      </c>
      <c r="AC27" s="2612"/>
      <c r="AD27" s="3147"/>
      <c r="AE27" s="3148">
        <v>1</v>
      </c>
      <c r="AF27" s="2612"/>
      <c r="AG27" s="3149"/>
      <c r="AH27" s="2612">
        <v>3</v>
      </c>
      <c r="AI27" s="2612"/>
      <c r="AJ27" s="3147"/>
      <c r="AK27" s="3148">
        <v>3</v>
      </c>
      <c r="AL27" s="2612"/>
      <c r="AM27" s="3149"/>
      <c r="AN27" s="3146">
        <v>6</v>
      </c>
      <c r="AO27" s="2612"/>
      <c r="AP27" s="3147"/>
      <c r="AQ27" s="3148">
        <v>5</v>
      </c>
      <c r="AR27" s="2612"/>
      <c r="AS27" s="3149"/>
      <c r="AT27" s="3146">
        <v>0</v>
      </c>
      <c r="AU27" s="2612"/>
      <c r="AV27" s="3147"/>
      <c r="AW27" s="3148">
        <v>1</v>
      </c>
      <c r="AX27" s="2612"/>
      <c r="AY27" s="3149"/>
      <c r="AZ27" s="3146">
        <v>0</v>
      </c>
      <c r="BA27" s="2612"/>
      <c r="BB27" s="3147"/>
      <c r="BC27" s="3148">
        <v>0</v>
      </c>
      <c r="BD27" s="2612"/>
      <c r="BE27" s="3149"/>
      <c r="BF27" s="3150">
        <f t="shared" si="9"/>
        <v>29</v>
      </c>
      <c r="BG27" s="3151"/>
      <c r="BH27" s="3152"/>
      <c r="BI27" s="3153">
        <f t="shared" si="10"/>
        <v>29</v>
      </c>
      <c r="BJ27" s="3151"/>
      <c r="BK27" s="3154"/>
    </row>
    <row r="28" spans="2:63" s="975" customFormat="1" ht="25" customHeight="1" thickTop="1" thickBot="1">
      <c r="B28" s="3143" t="s">
        <v>29</v>
      </c>
      <c r="C28" s="3144"/>
      <c r="D28" s="3144"/>
      <c r="E28" s="3144"/>
      <c r="F28" s="3144"/>
      <c r="G28" s="3144"/>
      <c r="H28" s="3144"/>
      <c r="I28" s="3145"/>
      <c r="J28" s="3140">
        <f>SUM(J23:L27)</f>
        <v>57</v>
      </c>
      <c r="K28" s="3138"/>
      <c r="L28" s="3141"/>
      <c r="M28" s="3138">
        <f t="shared" ref="M28" si="11">SUM(M23:O27)</f>
        <v>46</v>
      </c>
      <c r="N28" s="3138"/>
      <c r="O28" s="3141"/>
      <c r="P28" s="3140">
        <f t="shared" ref="P28" si="12">SUM(P23:R27)</f>
        <v>54</v>
      </c>
      <c r="Q28" s="3138"/>
      <c r="R28" s="3141"/>
      <c r="S28" s="3138">
        <f t="shared" ref="S28" si="13">SUM(S23:U27)</f>
        <v>54</v>
      </c>
      <c r="T28" s="3138"/>
      <c r="U28" s="3141"/>
      <c r="V28" s="3140">
        <f t="shared" ref="V28" si="14">SUM(V23:X27)</f>
        <v>61</v>
      </c>
      <c r="W28" s="3138"/>
      <c r="X28" s="3141"/>
      <c r="Y28" s="3138">
        <f t="shared" ref="Y28" si="15">SUM(Y23:AA27)</f>
        <v>44</v>
      </c>
      <c r="Z28" s="3138"/>
      <c r="AA28" s="3141"/>
      <c r="AB28" s="3140">
        <f t="shared" ref="AB28" si="16">SUM(AB23:AD27)</f>
        <v>52</v>
      </c>
      <c r="AC28" s="3138"/>
      <c r="AD28" s="3141"/>
      <c r="AE28" s="3138">
        <f t="shared" ref="AE28" si="17">SUM(AE23:AG27)</f>
        <v>57</v>
      </c>
      <c r="AF28" s="3138"/>
      <c r="AG28" s="3141"/>
      <c r="AH28" s="3140">
        <f t="shared" ref="AH28" si="18">SUM(AH23:AJ27)</f>
        <v>79</v>
      </c>
      <c r="AI28" s="3138"/>
      <c r="AJ28" s="3141"/>
      <c r="AK28" s="3138">
        <f t="shared" ref="AK28" si="19">SUM(AK23:AM27)</f>
        <v>62</v>
      </c>
      <c r="AL28" s="3138"/>
      <c r="AM28" s="3141"/>
      <c r="AN28" s="3140">
        <f t="shared" ref="AN28" si="20">SUM(AN23:AP27)</f>
        <v>66</v>
      </c>
      <c r="AO28" s="3138"/>
      <c r="AP28" s="3141"/>
      <c r="AQ28" s="3138">
        <f t="shared" ref="AQ28" si="21">SUM(AQ23:AS27)</f>
        <v>58</v>
      </c>
      <c r="AR28" s="3138"/>
      <c r="AS28" s="3141"/>
      <c r="AT28" s="3140">
        <f t="shared" ref="AT28" si="22">SUM(AT23:AV27)</f>
        <v>44</v>
      </c>
      <c r="AU28" s="3138"/>
      <c r="AV28" s="3141"/>
      <c r="AW28" s="3138">
        <f t="shared" ref="AW28" si="23">SUM(AW23:AY27)</f>
        <v>31</v>
      </c>
      <c r="AX28" s="3138"/>
      <c r="AY28" s="3141"/>
      <c r="AZ28" s="3140">
        <f t="shared" ref="AZ28" si="24">SUM(AZ23:BB27)</f>
        <v>0</v>
      </c>
      <c r="BA28" s="3138"/>
      <c r="BB28" s="3141"/>
      <c r="BC28" s="3138">
        <f t="shared" ref="BC28" si="25">SUM(BC23:BE27)</f>
        <v>0</v>
      </c>
      <c r="BD28" s="3138"/>
      <c r="BE28" s="3141"/>
      <c r="BF28" s="3140">
        <f t="shared" ref="BF28" si="26">SUM(BF23:BH27)</f>
        <v>413</v>
      </c>
      <c r="BG28" s="3138"/>
      <c r="BH28" s="3141"/>
      <c r="BI28" s="3140">
        <f t="shared" ref="BI28" si="27">SUM(BI23:BK27)</f>
        <v>352</v>
      </c>
      <c r="BJ28" s="3138"/>
      <c r="BK28" s="3141"/>
    </row>
    <row r="29" spans="2:63" s="568" customFormat="1" ht="25" customHeight="1">
      <c r="B29" s="989" t="s">
        <v>343</v>
      </c>
      <c r="C29" s="990"/>
      <c r="D29" s="990"/>
      <c r="E29" s="990"/>
      <c r="F29" s="990"/>
      <c r="G29" s="990"/>
      <c r="H29" s="990"/>
      <c r="I29" s="991"/>
      <c r="J29" s="3160"/>
      <c r="K29" s="3161"/>
      <c r="L29" s="3162"/>
      <c r="M29" s="3163"/>
      <c r="N29" s="3161"/>
      <c r="O29" s="3164"/>
      <c r="P29" s="3160"/>
      <c r="Q29" s="3161"/>
      <c r="R29" s="3162"/>
      <c r="S29" s="3163"/>
      <c r="T29" s="3161"/>
      <c r="U29" s="3164"/>
      <c r="V29" s="3160"/>
      <c r="W29" s="3161"/>
      <c r="X29" s="3162"/>
      <c r="Y29" s="3163"/>
      <c r="Z29" s="3161"/>
      <c r="AA29" s="3164"/>
      <c r="AB29" s="3160"/>
      <c r="AC29" s="3161"/>
      <c r="AD29" s="3162"/>
      <c r="AE29" s="3163"/>
      <c r="AF29" s="3161"/>
      <c r="AG29" s="3164"/>
      <c r="AH29" s="3161"/>
      <c r="AI29" s="3161"/>
      <c r="AJ29" s="3162"/>
      <c r="AK29" s="3163"/>
      <c r="AL29" s="3161"/>
      <c r="AM29" s="3164"/>
      <c r="AN29" s="3160"/>
      <c r="AO29" s="3161"/>
      <c r="AP29" s="3162"/>
      <c r="AQ29" s="3163"/>
      <c r="AR29" s="3161"/>
      <c r="AS29" s="3164"/>
      <c r="AT29" s="3160"/>
      <c r="AU29" s="3161"/>
      <c r="AV29" s="3162"/>
      <c r="AW29" s="3163"/>
      <c r="AX29" s="3161"/>
      <c r="AY29" s="3164"/>
      <c r="AZ29" s="3160"/>
      <c r="BA29" s="3161"/>
      <c r="BB29" s="3162"/>
      <c r="BC29" s="3163"/>
      <c r="BD29" s="3161"/>
      <c r="BE29" s="3164"/>
      <c r="BF29" s="3165"/>
      <c r="BG29" s="3161"/>
      <c r="BH29" s="3162"/>
      <c r="BI29" s="3163"/>
      <c r="BJ29" s="3161"/>
      <c r="BK29" s="3164"/>
    </row>
    <row r="30" spans="2:63" s="588" customFormat="1" ht="25" customHeight="1">
      <c r="B30" s="981"/>
      <c r="C30" s="925"/>
      <c r="D30" s="925" t="s">
        <v>344</v>
      </c>
      <c r="E30" s="982"/>
      <c r="F30" s="982"/>
      <c r="G30" s="982"/>
      <c r="H30" s="982"/>
      <c r="I30" s="983"/>
      <c r="J30" s="3146">
        <v>2</v>
      </c>
      <c r="K30" s="2612"/>
      <c r="L30" s="3147"/>
      <c r="M30" s="3148">
        <v>1</v>
      </c>
      <c r="N30" s="2612"/>
      <c r="O30" s="3149"/>
      <c r="P30" s="3146">
        <v>4</v>
      </c>
      <c r="Q30" s="2612"/>
      <c r="R30" s="3147"/>
      <c r="S30" s="3148">
        <v>0</v>
      </c>
      <c r="T30" s="2612"/>
      <c r="U30" s="3149"/>
      <c r="V30" s="3146">
        <v>3</v>
      </c>
      <c r="W30" s="2612"/>
      <c r="X30" s="3147"/>
      <c r="Y30" s="3148">
        <v>1</v>
      </c>
      <c r="Z30" s="2612"/>
      <c r="AA30" s="3149"/>
      <c r="AB30" s="3146">
        <v>0</v>
      </c>
      <c r="AC30" s="2612"/>
      <c r="AD30" s="3147"/>
      <c r="AE30" s="3148">
        <v>0</v>
      </c>
      <c r="AF30" s="2612"/>
      <c r="AG30" s="3149"/>
      <c r="AH30" s="2612">
        <v>1</v>
      </c>
      <c r="AI30" s="2612"/>
      <c r="AJ30" s="3147"/>
      <c r="AK30" s="3148">
        <v>4</v>
      </c>
      <c r="AL30" s="2612"/>
      <c r="AM30" s="3149"/>
      <c r="AN30" s="3146">
        <v>3</v>
      </c>
      <c r="AO30" s="2612"/>
      <c r="AP30" s="3147"/>
      <c r="AQ30" s="3148">
        <v>0</v>
      </c>
      <c r="AR30" s="2612"/>
      <c r="AS30" s="3149"/>
      <c r="AT30" s="3146">
        <v>4</v>
      </c>
      <c r="AU30" s="2612"/>
      <c r="AV30" s="3147"/>
      <c r="AW30" s="3148">
        <v>1</v>
      </c>
      <c r="AX30" s="2612"/>
      <c r="AY30" s="3149"/>
      <c r="AZ30" s="3146">
        <v>0</v>
      </c>
      <c r="BA30" s="2612"/>
      <c r="BB30" s="3147"/>
      <c r="BC30" s="3148">
        <v>0</v>
      </c>
      <c r="BD30" s="2612"/>
      <c r="BE30" s="3149"/>
      <c r="BF30" s="3155">
        <f t="shared" ref="BF30:BF33" si="28">SUM(J30,P30,V30,AB30,AH30,AN30,AT30,AZ30)</f>
        <v>17</v>
      </c>
      <c r="BG30" s="3156"/>
      <c r="BH30" s="3157"/>
      <c r="BI30" s="3158">
        <f t="shared" ref="BI30:BI33" si="29">SUM(M30,S30,Y30,AE30,AK30,AQ30,AW30,BC30)</f>
        <v>7</v>
      </c>
      <c r="BJ30" s="3156"/>
      <c r="BK30" s="3159"/>
    </row>
    <row r="31" spans="2:63" s="588" customFormat="1" ht="25" customHeight="1">
      <c r="B31" s="984"/>
      <c r="C31" s="925"/>
      <c r="D31" s="925" t="s">
        <v>345</v>
      </c>
      <c r="E31" s="982"/>
      <c r="F31" s="982"/>
      <c r="G31" s="982"/>
      <c r="H31" s="982"/>
      <c r="I31" s="985"/>
      <c r="J31" s="3146">
        <v>7</v>
      </c>
      <c r="K31" s="2612"/>
      <c r="L31" s="3147"/>
      <c r="M31" s="3148">
        <v>5</v>
      </c>
      <c r="N31" s="2612"/>
      <c r="O31" s="3149"/>
      <c r="P31" s="3146">
        <v>7</v>
      </c>
      <c r="Q31" s="2612"/>
      <c r="R31" s="3147"/>
      <c r="S31" s="3148">
        <v>9</v>
      </c>
      <c r="T31" s="2612"/>
      <c r="U31" s="3149"/>
      <c r="V31" s="3146">
        <v>12</v>
      </c>
      <c r="W31" s="2612"/>
      <c r="X31" s="3147"/>
      <c r="Y31" s="3148">
        <v>3</v>
      </c>
      <c r="Z31" s="2612"/>
      <c r="AA31" s="3149"/>
      <c r="AB31" s="3146">
        <v>8</v>
      </c>
      <c r="AC31" s="2612"/>
      <c r="AD31" s="3147"/>
      <c r="AE31" s="3148">
        <v>4</v>
      </c>
      <c r="AF31" s="2612"/>
      <c r="AG31" s="3149"/>
      <c r="AH31" s="2612">
        <v>11</v>
      </c>
      <c r="AI31" s="2612"/>
      <c r="AJ31" s="3147"/>
      <c r="AK31" s="3148">
        <v>8</v>
      </c>
      <c r="AL31" s="2612"/>
      <c r="AM31" s="3149"/>
      <c r="AN31" s="3146">
        <v>15</v>
      </c>
      <c r="AO31" s="2612"/>
      <c r="AP31" s="3147"/>
      <c r="AQ31" s="3148">
        <v>6</v>
      </c>
      <c r="AR31" s="2612"/>
      <c r="AS31" s="3149"/>
      <c r="AT31" s="3146">
        <v>15</v>
      </c>
      <c r="AU31" s="2612"/>
      <c r="AV31" s="3147"/>
      <c r="AW31" s="3148">
        <v>12</v>
      </c>
      <c r="AX31" s="2612"/>
      <c r="AY31" s="3149"/>
      <c r="AZ31" s="3146">
        <v>0</v>
      </c>
      <c r="BA31" s="2612"/>
      <c r="BB31" s="3147"/>
      <c r="BC31" s="3148">
        <v>0</v>
      </c>
      <c r="BD31" s="2612"/>
      <c r="BE31" s="3149"/>
      <c r="BF31" s="3155">
        <f t="shared" si="28"/>
        <v>75</v>
      </c>
      <c r="BG31" s="3156"/>
      <c r="BH31" s="3157"/>
      <c r="BI31" s="3158">
        <f t="shared" si="29"/>
        <v>47</v>
      </c>
      <c r="BJ31" s="3156"/>
      <c r="BK31" s="3159"/>
    </row>
    <row r="32" spans="2:63" s="588" customFormat="1" ht="25" customHeight="1">
      <c r="B32" s="984"/>
      <c r="C32" s="925"/>
      <c r="D32" s="925" t="s">
        <v>216</v>
      </c>
      <c r="E32" s="982"/>
      <c r="F32" s="982"/>
      <c r="G32" s="982"/>
      <c r="H32" s="982"/>
      <c r="I32" s="985"/>
      <c r="J32" s="3146">
        <v>48</v>
      </c>
      <c r="K32" s="2612"/>
      <c r="L32" s="3147"/>
      <c r="M32" s="3148">
        <v>40</v>
      </c>
      <c r="N32" s="2612"/>
      <c r="O32" s="3149"/>
      <c r="P32" s="3146">
        <v>43</v>
      </c>
      <c r="Q32" s="2612"/>
      <c r="R32" s="3147"/>
      <c r="S32" s="3148">
        <v>45</v>
      </c>
      <c r="T32" s="2612"/>
      <c r="U32" s="3149"/>
      <c r="V32" s="3146">
        <v>46</v>
      </c>
      <c r="W32" s="2612"/>
      <c r="X32" s="3147"/>
      <c r="Y32" s="3148">
        <v>40</v>
      </c>
      <c r="Z32" s="2612"/>
      <c r="AA32" s="3149"/>
      <c r="AB32" s="3146">
        <v>44</v>
      </c>
      <c r="AC32" s="2612"/>
      <c r="AD32" s="3147"/>
      <c r="AE32" s="3148">
        <v>53</v>
      </c>
      <c r="AF32" s="2612"/>
      <c r="AG32" s="3149"/>
      <c r="AH32" s="2612">
        <v>66</v>
      </c>
      <c r="AI32" s="2612"/>
      <c r="AJ32" s="3147"/>
      <c r="AK32" s="3148">
        <v>50</v>
      </c>
      <c r="AL32" s="2612"/>
      <c r="AM32" s="3149"/>
      <c r="AN32" s="3146">
        <v>48</v>
      </c>
      <c r="AO32" s="2612"/>
      <c r="AP32" s="3147"/>
      <c r="AQ32" s="3148">
        <v>52</v>
      </c>
      <c r="AR32" s="2612"/>
      <c r="AS32" s="3149"/>
      <c r="AT32" s="3146">
        <v>25</v>
      </c>
      <c r="AU32" s="2612"/>
      <c r="AV32" s="3147"/>
      <c r="AW32" s="3148">
        <v>18</v>
      </c>
      <c r="AX32" s="2612"/>
      <c r="AY32" s="3149"/>
      <c r="AZ32" s="3146">
        <v>0</v>
      </c>
      <c r="BA32" s="2612"/>
      <c r="BB32" s="3147"/>
      <c r="BC32" s="3148">
        <v>0</v>
      </c>
      <c r="BD32" s="2612"/>
      <c r="BE32" s="3149"/>
      <c r="BF32" s="3155">
        <f t="shared" si="28"/>
        <v>320</v>
      </c>
      <c r="BG32" s="3156"/>
      <c r="BH32" s="3157"/>
      <c r="BI32" s="3158">
        <f t="shared" si="29"/>
        <v>298</v>
      </c>
      <c r="BJ32" s="3156"/>
      <c r="BK32" s="3159"/>
    </row>
    <row r="33" spans="2:63" s="588" customFormat="1" ht="25" customHeight="1" thickBot="1">
      <c r="B33" s="674"/>
      <c r="C33" s="986"/>
      <c r="D33" s="986" t="s">
        <v>346</v>
      </c>
      <c r="E33" s="987"/>
      <c r="F33" s="987"/>
      <c r="G33" s="987"/>
      <c r="H33" s="987"/>
      <c r="I33" s="988"/>
      <c r="J33" s="3146">
        <v>0</v>
      </c>
      <c r="K33" s="2612"/>
      <c r="L33" s="3147"/>
      <c r="M33" s="3148">
        <v>0</v>
      </c>
      <c r="N33" s="2612"/>
      <c r="O33" s="3149"/>
      <c r="P33" s="3146">
        <v>0</v>
      </c>
      <c r="Q33" s="2612"/>
      <c r="R33" s="3147"/>
      <c r="S33" s="3148">
        <v>0</v>
      </c>
      <c r="T33" s="2612"/>
      <c r="U33" s="3149"/>
      <c r="V33" s="3146">
        <v>0</v>
      </c>
      <c r="W33" s="2612"/>
      <c r="X33" s="3147"/>
      <c r="Y33" s="3148">
        <v>0</v>
      </c>
      <c r="Z33" s="2612"/>
      <c r="AA33" s="3149"/>
      <c r="AB33" s="3146">
        <v>0</v>
      </c>
      <c r="AC33" s="2612"/>
      <c r="AD33" s="3147"/>
      <c r="AE33" s="3148">
        <v>0</v>
      </c>
      <c r="AF33" s="2612"/>
      <c r="AG33" s="3149"/>
      <c r="AH33" s="2612">
        <v>1</v>
      </c>
      <c r="AI33" s="2612"/>
      <c r="AJ33" s="3147"/>
      <c r="AK33" s="3148">
        <v>0</v>
      </c>
      <c r="AL33" s="2612"/>
      <c r="AM33" s="3149"/>
      <c r="AN33" s="3146">
        <v>0</v>
      </c>
      <c r="AO33" s="2612"/>
      <c r="AP33" s="3147"/>
      <c r="AQ33" s="3148">
        <v>0</v>
      </c>
      <c r="AR33" s="2612"/>
      <c r="AS33" s="3149"/>
      <c r="AT33" s="3146">
        <v>0</v>
      </c>
      <c r="AU33" s="2612"/>
      <c r="AV33" s="3147"/>
      <c r="AW33" s="3148">
        <v>0</v>
      </c>
      <c r="AX33" s="2612"/>
      <c r="AY33" s="3149"/>
      <c r="AZ33" s="3146">
        <v>0</v>
      </c>
      <c r="BA33" s="2612"/>
      <c r="BB33" s="3147"/>
      <c r="BC33" s="3148">
        <v>0</v>
      </c>
      <c r="BD33" s="2612"/>
      <c r="BE33" s="3149"/>
      <c r="BF33" s="3150">
        <f t="shared" si="28"/>
        <v>1</v>
      </c>
      <c r="BG33" s="3151"/>
      <c r="BH33" s="3152"/>
      <c r="BI33" s="3153">
        <f t="shared" si="29"/>
        <v>0</v>
      </c>
      <c r="BJ33" s="3151"/>
      <c r="BK33" s="3154"/>
    </row>
    <row r="34" spans="2:63" s="975" customFormat="1" ht="25" customHeight="1" thickTop="1" thickBot="1">
      <c r="B34" s="3143" t="s">
        <v>29</v>
      </c>
      <c r="C34" s="3144"/>
      <c r="D34" s="3144"/>
      <c r="E34" s="3144"/>
      <c r="F34" s="3144"/>
      <c r="G34" s="3144"/>
      <c r="H34" s="3144"/>
      <c r="I34" s="3145"/>
      <c r="J34" s="3140">
        <f>SUM(J30:L33)</f>
        <v>57</v>
      </c>
      <c r="K34" s="3138"/>
      <c r="L34" s="3141"/>
      <c r="M34" s="3137">
        <f t="shared" ref="M34" si="30">SUM(M30:O33)</f>
        <v>46</v>
      </c>
      <c r="N34" s="3138"/>
      <c r="O34" s="3139"/>
      <c r="P34" s="3140">
        <f t="shared" ref="P34" si="31">SUM(P30:R33)</f>
        <v>54</v>
      </c>
      <c r="Q34" s="3138"/>
      <c r="R34" s="3141"/>
      <c r="S34" s="3137">
        <f t="shared" ref="S34" si="32">SUM(S30:U33)</f>
        <v>54</v>
      </c>
      <c r="T34" s="3138"/>
      <c r="U34" s="3139"/>
      <c r="V34" s="3140">
        <f t="shared" ref="V34" si="33">SUM(V30:X33)</f>
        <v>61</v>
      </c>
      <c r="W34" s="3138"/>
      <c r="X34" s="3141"/>
      <c r="Y34" s="3137">
        <f t="shared" ref="Y34" si="34">SUM(Y30:AA33)</f>
        <v>44</v>
      </c>
      <c r="Z34" s="3138"/>
      <c r="AA34" s="3139"/>
      <c r="AB34" s="3140">
        <f t="shared" ref="AB34" si="35">SUM(AB30:AD33)</f>
        <v>52</v>
      </c>
      <c r="AC34" s="3138"/>
      <c r="AD34" s="3141"/>
      <c r="AE34" s="3137">
        <f t="shared" ref="AE34" si="36">SUM(AE30:AG33)</f>
        <v>57</v>
      </c>
      <c r="AF34" s="3138"/>
      <c r="AG34" s="3139"/>
      <c r="AH34" s="3138">
        <f t="shared" ref="AH34" si="37">SUM(AH30:AJ33)</f>
        <v>79</v>
      </c>
      <c r="AI34" s="3138"/>
      <c r="AJ34" s="3141"/>
      <c r="AK34" s="3137">
        <f t="shared" ref="AK34" si="38">SUM(AK30:AM33)</f>
        <v>62</v>
      </c>
      <c r="AL34" s="3138"/>
      <c r="AM34" s="3139"/>
      <c r="AN34" s="3140">
        <f t="shared" ref="AN34" si="39">SUM(AN30:AP33)</f>
        <v>66</v>
      </c>
      <c r="AO34" s="3138"/>
      <c r="AP34" s="3141"/>
      <c r="AQ34" s="3137">
        <f t="shared" ref="AQ34" si="40">SUM(AQ30:AS33)</f>
        <v>58</v>
      </c>
      <c r="AR34" s="3138"/>
      <c r="AS34" s="3139"/>
      <c r="AT34" s="3140">
        <f t="shared" ref="AT34" si="41">SUM(AT30:AV33)</f>
        <v>44</v>
      </c>
      <c r="AU34" s="3138"/>
      <c r="AV34" s="3141"/>
      <c r="AW34" s="3137">
        <f t="shared" ref="AW34" si="42">SUM(AW30:AY33)</f>
        <v>31</v>
      </c>
      <c r="AX34" s="3138"/>
      <c r="AY34" s="3139"/>
      <c r="AZ34" s="3140">
        <f t="shared" ref="AZ34" si="43">SUM(AZ30:BB33)</f>
        <v>0</v>
      </c>
      <c r="BA34" s="3138"/>
      <c r="BB34" s="3141"/>
      <c r="BC34" s="3137">
        <f t="shared" ref="BC34" si="44">SUM(BC30:BE33)</f>
        <v>0</v>
      </c>
      <c r="BD34" s="3138"/>
      <c r="BE34" s="3139"/>
      <c r="BF34" s="3142">
        <f t="shared" ref="BF34" si="45">SUM(BF30:BH33)</f>
        <v>413</v>
      </c>
      <c r="BG34" s="3138"/>
      <c r="BH34" s="3141"/>
      <c r="BI34" s="3137">
        <f t="shared" ref="BI34" si="46">SUM(BI30:BK33)</f>
        <v>352</v>
      </c>
      <c r="BJ34" s="3138"/>
      <c r="BK34" s="3139"/>
    </row>
    <row r="35" spans="2:63" s="975" customFormat="1" ht="7" customHeight="1">
      <c r="B35" s="204"/>
      <c r="C35" s="976"/>
      <c r="D35" s="976"/>
      <c r="E35" s="976"/>
      <c r="F35" s="976"/>
      <c r="G35" s="976"/>
      <c r="H35" s="977"/>
      <c r="I35" s="977"/>
      <c r="J35" s="977"/>
      <c r="K35" s="977"/>
      <c r="L35" s="977"/>
      <c r="M35" s="977"/>
      <c r="N35" s="977"/>
      <c r="O35" s="977"/>
      <c r="P35" s="977"/>
      <c r="Q35" s="977"/>
      <c r="R35" s="977"/>
      <c r="S35" s="977"/>
      <c r="T35" s="977"/>
      <c r="U35" s="977"/>
      <c r="V35" s="977"/>
      <c r="W35" s="977"/>
      <c r="X35" s="977"/>
      <c r="Y35" s="977"/>
      <c r="Z35" s="977"/>
      <c r="AA35" s="977"/>
      <c r="AB35" s="977"/>
      <c r="AC35" s="977"/>
      <c r="AD35" s="977"/>
      <c r="AE35" s="977"/>
      <c r="AF35" s="977"/>
      <c r="AG35" s="977"/>
      <c r="AH35" s="977"/>
      <c r="AI35" s="977"/>
      <c r="AJ35" s="977"/>
      <c r="AK35" s="977"/>
      <c r="AL35" s="977"/>
      <c r="AM35" s="977"/>
      <c r="AN35" s="977"/>
      <c r="AO35" s="977"/>
      <c r="AP35" s="977"/>
    </row>
    <row r="36" spans="2:63" s="975" customFormat="1" ht="19.399999999999999" customHeight="1">
      <c r="B36" s="978" t="s">
        <v>347</v>
      </c>
      <c r="C36" s="979"/>
      <c r="D36" s="979"/>
      <c r="E36" s="979"/>
      <c r="F36" s="979"/>
      <c r="G36" s="979"/>
      <c r="H36" s="979"/>
      <c r="I36" s="979"/>
      <c r="J36" s="979"/>
      <c r="K36" s="979"/>
      <c r="L36" s="979"/>
      <c r="M36" s="979"/>
      <c r="N36" s="979"/>
      <c r="O36" s="979"/>
      <c r="P36" s="979"/>
      <c r="Q36" s="979"/>
      <c r="R36" s="979"/>
      <c r="S36" s="979"/>
      <c r="T36" s="979"/>
      <c r="U36" s="979"/>
      <c r="V36" s="979"/>
      <c r="W36" s="979"/>
      <c r="X36" s="979"/>
      <c r="Y36" s="979"/>
      <c r="Z36" s="979"/>
      <c r="AA36" s="979"/>
      <c r="AB36" s="979"/>
      <c r="AC36" s="979"/>
      <c r="AD36" s="979"/>
      <c r="AE36" s="979"/>
      <c r="AF36" s="979"/>
      <c r="AG36" s="979"/>
      <c r="AH36" s="979"/>
      <c r="AI36" s="977"/>
      <c r="AJ36" s="977"/>
      <c r="AK36" s="977"/>
      <c r="AL36" s="977"/>
      <c r="AM36" s="977"/>
      <c r="AN36" s="977"/>
      <c r="AO36" s="977"/>
      <c r="AP36" s="977"/>
    </row>
    <row r="37" spans="2:63" s="975" customFormat="1" ht="15.75" customHeight="1">
      <c r="B37" s="211"/>
      <c r="C37" s="980" t="s">
        <v>151</v>
      </c>
      <c r="D37" s="524" t="s">
        <v>348</v>
      </c>
      <c r="E37" s="524"/>
      <c r="F37" s="524"/>
      <c r="G37" s="524"/>
      <c r="H37" s="524"/>
      <c r="I37" s="524"/>
      <c r="J37" s="524"/>
      <c r="K37" s="524"/>
      <c r="L37" s="524"/>
      <c r="M37" s="524"/>
      <c r="N37" s="524"/>
      <c r="O37" s="524"/>
      <c r="P37" s="524"/>
      <c r="Q37" s="524"/>
      <c r="R37" s="524"/>
      <c r="S37" s="524"/>
      <c r="T37" s="524"/>
      <c r="U37" s="524"/>
      <c r="V37" s="524"/>
      <c r="W37" s="524"/>
      <c r="X37" s="524"/>
      <c r="Y37" s="524"/>
      <c r="Z37" s="524"/>
      <c r="AA37" s="524"/>
      <c r="AB37" s="524"/>
      <c r="AC37" s="524"/>
      <c r="AD37" s="524"/>
      <c r="AE37" s="524"/>
      <c r="AF37" s="524"/>
      <c r="AG37" s="524"/>
      <c r="AH37" s="524"/>
      <c r="AI37" s="977"/>
      <c r="AJ37" s="977"/>
      <c r="AK37" s="977"/>
      <c r="AL37" s="977"/>
      <c r="AM37" s="977"/>
      <c r="AN37" s="977"/>
      <c r="AO37" s="977"/>
      <c r="AP37" s="977"/>
    </row>
    <row r="38" spans="2:63" s="975" customFormat="1" ht="15.75" customHeight="1">
      <c r="B38" s="211"/>
      <c r="C38" s="980" t="s">
        <v>152</v>
      </c>
      <c r="D38" s="524" t="s">
        <v>378</v>
      </c>
      <c r="E38" s="524"/>
      <c r="F38" s="524"/>
      <c r="G38" s="524"/>
      <c r="H38" s="524"/>
      <c r="I38" s="524"/>
      <c r="J38" s="524"/>
      <c r="K38" s="524"/>
      <c r="L38" s="524"/>
      <c r="M38" s="524"/>
      <c r="N38" s="524"/>
      <c r="O38" s="524"/>
      <c r="P38" s="524"/>
      <c r="Q38" s="524"/>
      <c r="R38" s="524"/>
      <c r="S38" s="524"/>
      <c r="T38" s="524"/>
      <c r="U38" s="524"/>
      <c r="V38" s="524"/>
      <c r="W38" s="524"/>
      <c r="X38" s="524"/>
      <c r="Y38" s="524"/>
      <c r="Z38" s="524"/>
      <c r="AA38" s="524"/>
      <c r="AB38" s="524"/>
      <c r="AC38" s="524"/>
      <c r="AD38" s="524"/>
      <c r="AE38" s="524"/>
      <c r="AF38" s="524"/>
      <c r="AG38" s="524"/>
      <c r="AH38" s="524"/>
      <c r="AI38" s="977"/>
      <c r="AJ38" s="977"/>
      <c r="AK38" s="977"/>
      <c r="AL38" s="977"/>
      <c r="AM38" s="977"/>
      <c r="AN38" s="977"/>
      <c r="AO38" s="977"/>
      <c r="AP38" s="977"/>
    </row>
    <row r="39" spans="2:63" s="975" customFormat="1" ht="15.75" customHeight="1">
      <c r="B39" s="211"/>
      <c r="C39" s="980" t="s">
        <v>153</v>
      </c>
      <c r="D39" s="524" t="s">
        <v>349</v>
      </c>
      <c r="E39" s="524"/>
      <c r="F39" s="524"/>
      <c r="G39" s="524"/>
      <c r="H39" s="524"/>
      <c r="I39" s="524"/>
      <c r="J39" s="524"/>
      <c r="K39" s="524"/>
      <c r="L39" s="524"/>
      <c r="M39" s="524"/>
      <c r="N39" s="524"/>
      <c r="O39" s="524"/>
      <c r="P39" s="524"/>
      <c r="Q39" s="524"/>
      <c r="R39" s="524"/>
      <c r="S39" s="524"/>
      <c r="T39" s="524"/>
      <c r="U39" s="524"/>
      <c r="V39" s="524"/>
      <c r="W39" s="524"/>
      <c r="X39" s="524"/>
      <c r="Y39" s="524"/>
      <c r="Z39" s="524"/>
      <c r="AA39" s="524"/>
      <c r="AB39" s="524"/>
      <c r="AC39" s="524"/>
      <c r="AD39" s="524"/>
      <c r="AE39" s="524"/>
      <c r="AF39" s="524"/>
      <c r="AG39" s="524"/>
      <c r="AH39" s="524"/>
      <c r="AI39" s="977"/>
      <c r="AJ39" s="977"/>
      <c r="AK39" s="977"/>
      <c r="AL39" s="977"/>
      <c r="AM39" s="977"/>
      <c r="AN39" s="977"/>
      <c r="AO39" s="977"/>
      <c r="AP39" s="977"/>
    </row>
    <row r="40" spans="2:63" s="975" customFormat="1" ht="15.75" customHeight="1">
      <c r="B40" s="211"/>
      <c r="C40" s="980" t="s">
        <v>154</v>
      </c>
      <c r="D40" s="524" t="s">
        <v>350</v>
      </c>
      <c r="E40" s="524"/>
      <c r="F40" s="524"/>
      <c r="G40" s="524"/>
      <c r="H40" s="524"/>
      <c r="I40" s="524"/>
      <c r="J40" s="524"/>
      <c r="K40" s="524"/>
      <c r="L40" s="524"/>
      <c r="M40" s="524"/>
      <c r="N40" s="524"/>
      <c r="O40" s="524"/>
      <c r="P40" s="524"/>
      <c r="Q40" s="524"/>
      <c r="R40" s="524"/>
      <c r="S40" s="524"/>
      <c r="T40" s="524"/>
      <c r="U40" s="524"/>
      <c r="V40" s="524"/>
      <c r="W40" s="524"/>
      <c r="X40" s="524"/>
      <c r="Y40" s="524"/>
      <c r="Z40" s="524"/>
      <c r="AA40" s="524"/>
      <c r="AB40" s="524"/>
      <c r="AC40" s="524"/>
      <c r="AD40" s="524"/>
      <c r="AE40" s="524"/>
      <c r="AF40" s="524"/>
      <c r="AG40" s="524"/>
      <c r="AH40" s="524"/>
      <c r="AI40" s="977"/>
      <c r="AJ40" s="977"/>
      <c r="AK40" s="977"/>
      <c r="AL40" s="977"/>
      <c r="AM40" s="977"/>
      <c r="AN40" s="977"/>
      <c r="AO40" s="977"/>
      <c r="AP40" s="977"/>
    </row>
    <row r="41" spans="2:63" s="975" customFormat="1" ht="15.75" customHeight="1">
      <c r="B41" s="211"/>
      <c r="C41" s="980" t="s">
        <v>155</v>
      </c>
      <c r="D41" s="524" t="s">
        <v>351</v>
      </c>
      <c r="E41" s="524"/>
      <c r="F41" s="524"/>
      <c r="G41" s="524"/>
      <c r="H41" s="524"/>
      <c r="I41" s="524"/>
      <c r="J41" s="524"/>
      <c r="K41" s="524"/>
      <c r="L41" s="524"/>
      <c r="M41" s="524"/>
      <c r="N41" s="524"/>
      <c r="O41" s="524"/>
      <c r="P41" s="524"/>
      <c r="Q41" s="524"/>
      <c r="R41" s="524"/>
      <c r="S41" s="524"/>
      <c r="T41" s="524"/>
      <c r="U41" s="524"/>
      <c r="V41" s="524"/>
      <c r="W41" s="524"/>
      <c r="X41" s="524"/>
      <c r="Y41" s="524"/>
      <c r="Z41" s="524"/>
      <c r="AA41" s="524"/>
      <c r="AB41" s="524"/>
      <c r="AC41" s="524"/>
      <c r="AD41" s="524"/>
      <c r="AE41" s="524"/>
      <c r="AF41" s="524"/>
      <c r="AG41" s="524"/>
      <c r="AH41" s="524"/>
      <c r="AI41" s="977"/>
      <c r="AJ41" s="977"/>
      <c r="AK41" s="977"/>
      <c r="AL41" s="977"/>
      <c r="AM41" s="977"/>
      <c r="AN41" s="977"/>
      <c r="AO41" s="977"/>
      <c r="AP41" s="977"/>
    </row>
    <row r="42" spans="2:63" s="975" customFormat="1" ht="19.75" customHeight="1">
      <c r="B42" s="978" t="s">
        <v>352</v>
      </c>
      <c r="C42" s="979"/>
      <c r="D42" s="979"/>
      <c r="E42" s="979"/>
      <c r="F42" s="979"/>
      <c r="G42" s="979"/>
      <c r="H42" s="979"/>
      <c r="I42" s="979"/>
      <c r="J42" s="979"/>
      <c r="K42" s="979"/>
      <c r="L42" s="979"/>
      <c r="M42" s="979"/>
      <c r="N42" s="979"/>
      <c r="O42" s="979"/>
      <c r="P42" s="979"/>
      <c r="Q42" s="979"/>
      <c r="R42" s="979"/>
      <c r="S42" s="979"/>
      <c r="T42" s="979"/>
      <c r="U42" s="979"/>
      <c r="V42" s="979"/>
      <c r="W42" s="979"/>
      <c r="X42" s="979"/>
      <c r="Y42" s="979"/>
      <c r="Z42" s="979"/>
      <c r="AA42" s="979"/>
      <c r="AB42" s="979"/>
      <c r="AC42" s="979"/>
      <c r="AD42" s="979"/>
      <c r="AE42" s="979"/>
      <c r="AF42" s="979"/>
      <c r="AG42" s="979"/>
      <c r="AH42" s="979"/>
      <c r="AI42" s="977"/>
      <c r="AJ42" s="977"/>
      <c r="AK42" s="977"/>
      <c r="AL42" s="977"/>
      <c r="AM42" s="977"/>
      <c r="AN42" s="977"/>
      <c r="AO42" s="977"/>
      <c r="AP42" s="977"/>
    </row>
    <row r="43" spans="2:63" s="975" customFormat="1" ht="15.75" customHeight="1">
      <c r="B43" s="211"/>
      <c r="C43" s="980" t="s">
        <v>151</v>
      </c>
      <c r="D43" s="524" t="s">
        <v>353</v>
      </c>
      <c r="E43" s="524"/>
      <c r="F43" s="524"/>
      <c r="G43" s="524"/>
      <c r="H43" s="524"/>
      <c r="I43" s="524"/>
      <c r="J43" s="524"/>
      <c r="K43" s="524"/>
      <c r="L43" s="524"/>
      <c r="M43" s="524"/>
      <c r="N43" s="524"/>
      <c r="O43" s="524"/>
      <c r="P43" s="524"/>
      <c r="Q43" s="524"/>
      <c r="R43" s="524"/>
      <c r="S43" s="524"/>
      <c r="T43" s="524"/>
      <c r="U43" s="524"/>
      <c r="V43" s="524"/>
      <c r="W43" s="524"/>
      <c r="X43" s="524"/>
      <c r="Y43" s="524"/>
      <c r="Z43" s="524"/>
      <c r="AA43" s="524"/>
      <c r="AB43" s="524"/>
      <c r="AC43" s="524"/>
      <c r="AD43" s="524"/>
      <c r="AE43" s="524"/>
      <c r="AF43" s="524"/>
      <c r="AG43" s="524"/>
      <c r="AH43" s="524"/>
      <c r="AI43" s="977"/>
      <c r="AJ43" s="977"/>
      <c r="AK43" s="977"/>
      <c r="AL43" s="977"/>
      <c r="AM43" s="977"/>
      <c r="AN43" s="977"/>
      <c r="AO43" s="977"/>
      <c r="AP43" s="977"/>
    </row>
    <row r="44" spans="2:63" s="975" customFormat="1" ht="15.75" customHeight="1">
      <c r="B44" s="211"/>
      <c r="C44" s="980" t="s">
        <v>152</v>
      </c>
      <c r="D44" s="524" t="s">
        <v>354</v>
      </c>
      <c r="E44" s="524"/>
      <c r="F44" s="524"/>
      <c r="G44" s="524"/>
      <c r="H44" s="524"/>
      <c r="I44" s="524"/>
      <c r="J44" s="524"/>
      <c r="K44" s="524"/>
      <c r="L44" s="524"/>
      <c r="M44" s="524"/>
      <c r="N44" s="524"/>
      <c r="O44" s="524"/>
      <c r="P44" s="524"/>
      <c r="Q44" s="524"/>
      <c r="R44" s="524"/>
      <c r="S44" s="524"/>
      <c r="T44" s="524"/>
      <c r="U44" s="524"/>
      <c r="V44" s="524"/>
      <c r="W44" s="524"/>
      <c r="X44" s="524"/>
      <c r="Y44" s="524"/>
      <c r="Z44" s="524"/>
      <c r="AA44" s="524"/>
      <c r="AB44" s="524"/>
      <c r="AC44" s="524"/>
      <c r="AD44" s="524"/>
      <c r="AE44" s="524"/>
      <c r="AF44" s="524"/>
      <c r="AG44" s="524"/>
      <c r="AH44" s="524"/>
      <c r="AI44" s="977"/>
      <c r="AJ44" s="977"/>
      <c r="AK44" s="977"/>
      <c r="AL44" s="977"/>
      <c r="AM44" s="977"/>
      <c r="AN44" s="977"/>
      <c r="AO44" s="977"/>
      <c r="AP44" s="977"/>
    </row>
    <row r="45" spans="2:63" s="975" customFormat="1" ht="15.75" customHeight="1">
      <c r="B45" s="211"/>
      <c r="C45" s="980" t="s">
        <v>153</v>
      </c>
      <c r="D45" s="524" t="s">
        <v>355</v>
      </c>
      <c r="E45" s="524"/>
      <c r="F45" s="524"/>
      <c r="G45" s="524"/>
      <c r="H45" s="524"/>
      <c r="I45" s="524"/>
      <c r="J45" s="524"/>
      <c r="K45" s="524"/>
      <c r="L45" s="524"/>
      <c r="M45" s="524"/>
      <c r="N45" s="524"/>
      <c r="O45" s="524"/>
      <c r="P45" s="524"/>
      <c r="Q45" s="524"/>
      <c r="R45" s="524"/>
      <c r="S45" s="524"/>
      <c r="T45" s="524"/>
      <c r="U45" s="524"/>
      <c r="V45" s="524"/>
      <c r="W45" s="524"/>
      <c r="X45" s="524"/>
      <c r="Y45" s="524"/>
      <c r="Z45" s="524"/>
      <c r="AA45" s="524"/>
      <c r="AB45" s="524"/>
      <c r="AC45" s="524"/>
      <c r="AD45" s="524"/>
      <c r="AE45" s="524"/>
      <c r="AF45" s="524"/>
      <c r="AG45" s="524"/>
      <c r="AH45" s="524"/>
      <c r="AI45" s="977"/>
      <c r="AJ45" s="977"/>
      <c r="AK45" s="977"/>
      <c r="AL45" s="977"/>
      <c r="AM45" s="977"/>
      <c r="AN45" s="977"/>
      <c r="AO45" s="977"/>
      <c r="AP45" s="977"/>
    </row>
    <row r="46" spans="2:63" s="975" customFormat="1" ht="15.75" customHeight="1">
      <c r="B46" s="211"/>
      <c r="C46" s="980" t="s">
        <v>154</v>
      </c>
      <c r="D46" s="524" t="s">
        <v>356</v>
      </c>
      <c r="E46" s="524"/>
      <c r="F46" s="524"/>
      <c r="G46" s="524"/>
      <c r="H46" s="524"/>
      <c r="I46" s="524"/>
      <c r="J46" s="524"/>
      <c r="K46" s="524"/>
      <c r="L46" s="524"/>
      <c r="M46" s="524"/>
      <c r="N46" s="524"/>
      <c r="O46" s="524"/>
      <c r="P46" s="524"/>
      <c r="Q46" s="524"/>
      <c r="R46" s="524"/>
      <c r="S46" s="524"/>
      <c r="T46" s="524"/>
      <c r="U46" s="524"/>
      <c r="V46" s="524"/>
      <c r="W46" s="524"/>
      <c r="X46" s="524"/>
      <c r="Y46" s="524"/>
      <c r="Z46" s="524"/>
      <c r="AA46" s="524"/>
      <c r="AB46" s="524"/>
      <c r="AC46" s="524"/>
      <c r="AD46" s="524"/>
      <c r="AE46" s="524"/>
      <c r="AF46" s="524"/>
      <c r="AG46" s="524"/>
      <c r="AH46" s="524"/>
      <c r="AI46" s="977"/>
      <c r="AJ46" s="977"/>
      <c r="AK46" s="977"/>
      <c r="AL46" s="977"/>
      <c r="AM46" s="977"/>
      <c r="AN46" s="977"/>
      <c r="AO46" s="977"/>
      <c r="AP46" s="977"/>
    </row>
    <row r="47" spans="2:63" s="128" customFormat="1" ht="30" customHeight="1">
      <c r="S47" s="187"/>
      <c r="T47" s="187"/>
      <c r="U47" s="187"/>
      <c r="V47" s="187"/>
      <c r="X47" s="187"/>
      <c r="AQ47" s="187"/>
    </row>
    <row r="48" spans="2:63" s="168" customFormat="1" ht="14">
      <c r="B48" s="169" t="s">
        <v>847</v>
      </c>
      <c r="Y48" s="169" t="s">
        <v>765</v>
      </c>
      <c r="AU48" s="169" t="s">
        <v>783</v>
      </c>
    </row>
    <row r="49" spans="2:63" s="168" customFormat="1" ht="21.75" customHeight="1">
      <c r="B49" s="169" t="s">
        <v>748</v>
      </c>
      <c r="F49" s="1959" t="str">
        <f>activesheet!E29</f>
        <v>RICO S. MISPEROS</v>
      </c>
      <c r="G49" s="1959"/>
      <c r="H49" s="1959"/>
      <c r="I49" s="1959"/>
      <c r="J49" s="1959"/>
      <c r="K49" s="1959"/>
      <c r="L49" s="1959"/>
      <c r="M49" s="1959"/>
      <c r="N49" s="1959"/>
      <c r="O49" s="1959"/>
      <c r="P49" s="1959"/>
      <c r="Q49" s="1959"/>
      <c r="R49" s="1959"/>
      <c r="S49" s="1959"/>
      <c r="T49" s="172"/>
      <c r="U49" s="172"/>
      <c r="V49" s="172"/>
      <c r="Y49" s="2036" t="s">
        <v>11887</v>
      </c>
      <c r="Z49" s="2036"/>
      <c r="AA49" s="2036"/>
      <c r="AB49" s="2036"/>
      <c r="AC49" s="2036"/>
      <c r="AD49" s="2036"/>
      <c r="AE49" s="2036"/>
      <c r="AF49" s="2036"/>
      <c r="AG49" s="2036"/>
      <c r="AH49" s="2036"/>
      <c r="AI49" s="2036"/>
      <c r="AJ49" s="2036"/>
      <c r="AK49" s="2036"/>
      <c r="AL49" s="2036"/>
      <c r="AM49" s="2036"/>
      <c r="AN49" s="2036"/>
      <c r="AO49" s="2036"/>
      <c r="AP49" s="172"/>
      <c r="AQ49" s="172"/>
      <c r="AR49" s="172"/>
      <c r="AS49" s="172"/>
      <c r="AT49" s="172"/>
      <c r="AU49" s="1956" t="str">
        <f>activesheet!E31</f>
        <v>MICHAEL T. JAMIS</v>
      </c>
      <c r="AV49" s="1956"/>
      <c r="AW49" s="1956"/>
      <c r="AX49" s="1956"/>
      <c r="AY49" s="1956"/>
      <c r="AZ49" s="1956"/>
      <c r="BA49" s="1956"/>
      <c r="BB49" s="1956"/>
      <c r="BC49" s="1956"/>
      <c r="BD49" s="1956"/>
      <c r="BE49" s="1956"/>
      <c r="BF49" s="1956"/>
      <c r="BG49" s="1956"/>
      <c r="BH49" s="1956"/>
      <c r="BI49" s="1956"/>
      <c r="BJ49" s="1956"/>
      <c r="BK49" s="1956"/>
    </row>
    <row r="50" spans="2:63" s="174" customFormat="1" ht="15" customHeight="1">
      <c r="B50" s="173"/>
      <c r="F50" s="1764" t="s">
        <v>741</v>
      </c>
      <c r="G50" s="1764"/>
      <c r="H50" s="1764"/>
      <c r="I50" s="1764"/>
      <c r="J50" s="1764"/>
      <c r="K50" s="1764"/>
      <c r="L50" s="1764"/>
      <c r="M50" s="1764"/>
      <c r="N50" s="1764"/>
      <c r="O50" s="1764"/>
      <c r="P50" s="1764"/>
      <c r="Q50" s="1764"/>
      <c r="R50" s="1764"/>
      <c r="S50" s="1764"/>
      <c r="T50" s="184"/>
      <c r="U50" s="184"/>
      <c r="V50" s="184"/>
      <c r="W50" s="175"/>
      <c r="X50" s="175"/>
      <c r="Y50" s="1764" t="s">
        <v>741</v>
      </c>
      <c r="Z50" s="1764"/>
      <c r="AA50" s="1764"/>
      <c r="AB50" s="1764"/>
      <c r="AC50" s="1764"/>
      <c r="AD50" s="1764"/>
      <c r="AE50" s="1764"/>
      <c r="AF50" s="1764"/>
      <c r="AG50" s="1764"/>
      <c r="AH50" s="1764"/>
      <c r="AI50" s="1764"/>
      <c r="AJ50" s="1764"/>
      <c r="AK50" s="1764"/>
      <c r="AL50" s="1764"/>
      <c r="AM50" s="1764"/>
      <c r="AN50" s="1764"/>
      <c r="AO50" s="1764"/>
      <c r="AP50" s="184"/>
      <c r="AQ50" s="184"/>
      <c r="AR50" s="184"/>
      <c r="AS50" s="184"/>
      <c r="AT50" s="184"/>
      <c r="AU50" s="1957"/>
      <c r="AV50" s="1957"/>
      <c r="AW50" s="1957"/>
      <c r="AX50" s="1957"/>
      <c r="AY50" s="1957"/>
      <c r="AZ50" s="1957"/>
      <c r="BA50" s="1957"/>
      <c r="BB50" s="1957"/>
      <c r="BC50" s="1957"/>
      <c r="BD50" s="1957"/>
      <c r="BE50" s="1957"/>
      <c r="BF50" s="1957"/>
      <c r="BG50" s="1957"/>
      <c r="BH50" s="1957"/>
      <c r="BI50" s="1957"/>
      <c r="BJ50" s="1957"/>
      <c r="BK50" s="1957"/>
    </row>
    <row r="51" spans="2:63" s="168" customFormat="1" ht="21.75" customHeight="1">
      <c r="B51" s="169" t="s">
        <v>71</v>
      </c>
      <c r="F51" s="1959" t="str">
        <f>activesheet!E30</f>
        <v>SCHOOL PRINCIPAL II</v>
      </c>
      <c r="G51" s="1959"/>
      <c r="H51" s="1959"/>
      <c r="I51" s="1959"/>
      <c r="J51" s="1959"/>
      <c r="K51" s="1959"/>
      <c r="L51" s="1959"/>
      <c r="M51" s="1959"/>
      <c r="N51" s="1959"/>
      <c r="O51" s="1959"/>
      <c r="P51" s="1959"/>
      <c r="Q51" s="1959"/>
      <c r="R51" s="1959"/>
      <c r="S51" s="1959"/>
      <c r="T51" s="172"/>
      <c r="U51" s="172"/>
      <c r="V51" s="172"/>
      <c r="Y51" s="169" t="s">
        <v>71</v>
      </c>
      <c r="AC51" s="2036" t="s">
        <v>11888</v>
      </c>
      <c r="AD51" s="2036"/>
      <c r="AE51" s="2036"/>
      <c r="AF51" s="2036"/>
      <c r="AG51" s="2036"/>
      <c r="AH51" s="2036"/>
      <c r="AI51" s="2036"/>
      <c r="AJ51" s="2036"/>
      <c r="AK51" s="2036"/>
      <c r="AL51" s="2036"/>
      <c r="AM51" s="2036"/>
      <c r="AN51" s="2036"/>
      <c r="AO51" s="2036"/>
      <c r="AP51" s="172"/>
      <c r="AQ51" s="172"/>
      <c r="AR51" s="172"/>
      <c r="AS51" s="172"/>
      <c r="AT51" s="172"/>
      <c r="AU51" s="1764" t="s">
        <v>741</v>
      </c>
      <c r="AV51" s="1764"/>
      <c r="AW51" s="1764"/>
      <c r="AX51" s="1764"/>
      <c r="AY51" s="1764"/>
      <c r="AZ51" s="1764"/>
      <c r="BA51" s="1764"/>
      <c r="BB51" s="1764"/>
      <c r="BC51" s="1764"/>
      <c r="BD51" s="1764"/>
      <c r="BE51" s="1764"/>
      <c r="BF51" s="1764"/>
      <c r="BG51" s="1764"/>
      <c r="BH51" s="1764"/>
      <c r="BI51" s="1764"/>
      <c r="BJ51" s="1764"/>
      <c r="BK51" s="1764"/>
    </row>
    <row r="52" spans="2:63">
      <c r="B52" s="169"/>
      <c r="C52" s="168"/>
      <c r="D52" s="168"/>
      <c r="E52" s="168"/>
      <c r="F52" s="168"/>
      <c r="G52" s="168"/>
      <c r="H52" s="168"/>
      <c r="I52" s="168"/>
      <c r="J52" s="168"/>
      <c r="K52" s="168"/>
      <c r="L52" s="168"/>
      <c r="M52" s="168"/>
    </row>
    <row r="53" spans="2:63">
      <c r="C53" s="168"/>
      <c r="D53" s="168"/>
      <c r="E53" s="168"/>
    </row>
    <row r="54" spans="2:63">
      <c r="B54" s="655"/>
      <c r="C54" s="156"/>
      <c r="D54" s="156"/>
      <c r="E54" s="156"/>
    </row>
    <row r="55" spans="2:63">
      <c r="C55" s="168"/>
      <c r="D55" s="168"/>
      <c r="E55" s="168"/>
      <c r="F55" s="168"/>
      <c r="G55" s="168"/>
      <c r="H55" s="168"/>
      <c r="I55" s="168"/>
      <c r="J55" s="168"/>
      <c r="K55" s="168"/>
      <c r="L55" s="168"/>
      <c r="M55" s="168"/>
    </row>
  </sheetData>
  <sheetProtection algorithmName="SHA-512" hashValue="oWIWcKffZV8SgWxlQEG8DXli47+rvWp5n/UdOM7A+B67zr+nt4OMqv5NNCar4YBr4zIFcqQnJdYyy5E7ivTfMQ==" saltValue="53epuQKYokuY0Rklmxl6XQ==" spinCount="100000" sheet="1" objects="1" scenarios="1" selectLockedCells="1"/>
  <mergeCells count="338">
    <mergeCell ref="B4:I5"/>
    <mergeCell ref="J4:R4"/>
    <mergeCell ref="S4:U4"/>
    <mergeCell ref="J5:L5"/>
    <mergeCell ref="M5:O5"/>
    <mergeCell ref="P5:R5"/>
    <mergeCell ref="S5:U5"/>
    <mergeCell ref="J8:L8"/>
    <mergeCell ref="M8:O8"/>
    <mergeCell ref="P8:R8"/>
    <mergeCell ref="S8:U8"/>
    <mergeCell ref="B11:I13"/>
    <mergeCell ref="J11:O12"/>
    <mergeCell ref="P11:U12"/>
    <mergeCell ref="J6:L6"/>
    <mergeCell ref="M6:O6"/>
    <mergeCell ref="P6:R6"/>
    <mergeCell ref="S6:U6"/>
    <mergeCell ref="J7:L7"/>
    <mergeCell ref="M7:O7"/>
    <mergeCell ref="P7:R7"/>
    <mergeCell ref="S7:U7"/>
    <mergeCell ref="AE13:AG13"/>
    <mergeCell ref="AH13:AJ13"/>
    <mergeCell ref="AK13:AM13"/>
    <mergeCell ref="J14:L14"/>
    <mergeCell ref="P14:R14"/>
    <mergeCell ref="V14:X14"/>
    <mergeCell ref="AB14:AD14"/>
    <mergeCell ref="AH14:AJ14"/>
    <mergeCell ref="V11:AA12"/>
    <mergeCell ref="AB11:AG12"/>
    <mergeCell ref="AH11:AM12"/>
    <mergeCell ref="J13:L13"/>
    <mergeCell ref="M13:O13"/>
    <mergeCell ref="P13:R13"/>
    <mergeCell ref="S13:U13"/>
    <mergeCell ref="V13:X13"/>
    <mergeCell ref="Y13:AA13"/>
    <mergeCell ref="AB13:AD13"/>
    <mergeCell ref="M14:O14"/>
    <mergeCell ref="S14:U14"/>
    <mergeCell ref="Y14:AA14"/>
    <mergeCell ref="AE14:AG14"/>
    <mergeCell ref="AK14:AM14"/>
    <mergeCell ref="AB15:AD15"/>
    <mergeCell ref="AE15:AG15"/>
    <mergeCell ref="AH15:AJ15"/>
    <mergeCell ref="AK15:AM15"/>
    <mergeCell ref="B16:I16"/>
    <mergeCell ref="J16:L16"/>
    <mergeCell ref="M16:O16"/>
    <mergeCell ref="P16:R16"/>
    <mergeCell ref="S16:U16"/>
    <mergeCell ref="V16:X16"/>
    <mergeCell ref="J15:L15"/>
    <mergeCell ref="M15:O15"/>
    <mergeCell ref="P15:R15"/>
    <mergeCell ref="S15:U15"/>
    <mergeCell ref="V15:X15"/>
    <mergeCell ref="Y15:AA15"/>
    <mergeCell ref="Y16:AA16"/>
    <mergeCell ref="AB16:AD16"/>
    <mergeCell ref="AE16:AG16"/>
    <mergeCell ref="AH16:AJ16"/>
    <mergeCell ref="AK16:AM16"/>
    <mergeCell ref="B19:I21"/>
    <mergeCell ref="J19:O20"/>
    <mergeCell ref="P19:U20"/>
    <mergeCell ref="V19:AA20"/>
    <mergeCell ref="AB19:AG20"/>
    <mergeCell ref="AH19:AM20"/>
    <mergeCell ref="AN19:AS20"/>
    <mergeCell ref="AT19:AY20"/>
    <mergeCell ref="AZ19:BE20"/>
    <mergeCell ref="AE21:AG21"/>
    <mergeCell ref="AH21:AJ21"/>
    <mergeCell ref="AK21:AM21"/>
    <mergeCell ref="AN21:AP21"/>
    <mergeCell ref="BF19:BK20"/>
    <mergeCell ref="J21:L21"/>
    <mergeCell ref="M21:O21"/>
    <mergeCell ref="P21:R21"/>
    <mergeCell ref="S21:U21"/>
    <mergeCell ref="V21:X21"/>
    <mergeCell ref="BI21:BK21"/>
    <mergeCell ref="J22:L22"/>
    <mergeCell ref="M22:O22"/>
    <mergeCell ref="P22:R22"/>
    <mergeCell ref="S22:U22"/>
    <mergeCell ref="V22:X22"/>
    <mergeCell ref="Y22:AA22"/>
    <mergeCell ref="AB22:AD22"/>
    <mergeCell ref="AE22:AG22"/>
    <mergeCell ref="AH22:AJ22"/>
    <mergeCell ref="AQ21:AS21"/>
    <mergeCell ref="AT21:AV21"/>
    <mergeCell ref="AW21:AY21"/>
    <mergeCell ref="AZ21:BB21"/>
    <mergeCell ref="BC21:BE21"/>
    <mergeCell ref="BF21:BH21"/>
    <mergeCell ref="Y21:AA21"/>
    <mergeCell ref="AB21:AD21"/>
    <mergeCell ref="BC22:BE22"/>
    <mergeCell ref="BF22:BH22"/>
    <mergeCell ref="BI22:BK22"/>
    <mergeCell ref="J23:L23"/>
    <mergeCell ref="M23:O23"/>
    <mergeCell ref="P23:R23"/>
    <mergeCell ref="S23:U23"/>
    <mergeCell ref="V23:X23"/>
    <mergeCell ref="Y23:AA23"/>
    <mergeCell ref="AB23:AD23"/>
    <mergeCell ref="AK22:AM22"/>
    <mergeCell ref="AN22:AP22"/>
    <mergeCell ref="AQ22:AS22"/>
    <mergeCell ref="AT22:AV22"/>
    <mergeCell ref="AW22:AY22"/>
    <mergeCell ref="AZ22:BB22"/>
    <mergeCell ref="AW23:AY23"/>
    <mergeCell ref="AZ23:BB23"/>
    <mergeCell ref="BC23:BE23"/>
    <mergeCell ref="BF23:BH23"/>
    <mergeCell ref="BI23:BK23"/>
    <mergeCell ref="AQ23:AS23"/>
    <mergeCell ref="AT23:AV23"/>
    <mergeCell ref="J24:L24"/>
    <mergeCell ref="M24:O24"/>
    <mergeCell ref="P24:R24"/>
    <mergeCell ref="S24:U24"/>
    <mergeCell ref="V24:X24"/>
    <mergeCell ref="AE23:AG23"/>
    <mergeCell ref="AH23:AJ23"/>
    <mergeCell ref="AK23:AM23"/>
    <mergeCell ref="AN23:AP23"/>
    <mergeCell ref="BI24:BK24"/>
    <mergeCell ref="J25:L25"/>
    <mergeCell ref="M25:O25"/>
    <mergeCell ref="P25:R25"/>
    <mergeCell ref="S25:U25"/>
    <mergeCell ref="V25:X25"/>
    <mergeCell ref="Y25:AA25"/>
    <mergeCell ref="AB25:AD25"/>
    <mergeCell ref="AE25:AG25"/>
    <mergeCell ref="AH25:AJ25"/>
    <mergeCell ref="AQ24:AS24"/>
    <mergeCell ref="AT24:AV24"/>
    <mergeCell ref="AW24:AY24"/>
    <mergeCell ref="AZ24:BB24"/>
    <mergeCell ref="BC24:BE24"/>
    <mergeCell ref="BF24:BH24"/>
    <mergeCell ref="Y24:AA24"/>
    <mergeCell ref="AB24:AD24"/>
    <mergeCell ref="AE24:AG24"/>
    <mergeCell ref="AH24:AJ24"/>
    <mergeCell ref="AK24:AM24"/>
    <mergeCell ref="AN24:AP24"/>
    <mergeCell ref="BC25:BE25"/>
    <mergeCell ref="BF25:BH25"/>
    <mergeCell ref="BI25:BK25"/>
    <mergeCell ref="J26:L26"/>
    <mergeCell ref="M26:O26"/>
    <mergeCell ref="P26:R26"/>
    <mergeCell ref="S26:U26"/>
    <mergeCell ref="V26:X26"/>
    <mergeCell ref="Y26:AA26"/>
    <mergeCell ref="AB26:AD26"/>
    <mergeCell ref="AK25:AM25"/>
    <mergeCell ref="AN25:AP25"/>
    <mergeCell ref="AQ25:AS25"/>
    <mergeCell ref="AT25:AV25"/>
    <mergeCell ref="AW25:AY25"/>
    <mergeCell ref="AZ25:BB25"/>
    <mergeCell ref="AW26:AY26"/>
    <mergeCell ref="AZ26:BB26"/>
    <mergeCell ref="BC26:BE26"/>
    <mergeCell ref="BF26:BH26"/>
    <mergeCell ref="BI26:BK26"/>
    <mergeCell ref="AQ26:AS26"/>
    <mergeCell ref="AT26:AV26"/>
    <mergeCell ref="J27:L27"/>
    <mergeCell ref="M27:O27"/>
    <mergeCell ref="P27:R27"/>
    <mergeCell ref="S27:U27"/>
    <mergeCell ref="V27:X27"/>
    <mergeCell ref="AE26:AG26"/>
    <mergeCell ref="AH26:AJ26"/>
    <mergeCell ref="AK26:AM26"/>
    <mergeCell ref="AN26:AP26"/>
    <mergeCell ref="BI27:BK27"/>
    <mergeCell ref="B28:I28"/>
    <mergeCell ref="J28:L28"/>
    <mergeCell ref="M28:O28"/>
    <mergeCell ref="P28:R28"/>
    <mergeCell ref="S28:U28"/>
    <mergeCell ref="V28:X28"/>
    <mergeCell ref="Y28:AA28"/>
    <mergeCell ref="AB28:AD28"/>
    <mergeCell ref="AE28:AG28"/>
    <mergeCell ref="AQ27:AS27"/>
    <mergeCell ref="AT27:AV27"/>
    <mergeCell ref="AW27:AY27"/>
    <mergeCell ref="AZ27:BB27"/>
    <mergeCell ref="BC27:BE27"/>
    <mergeCell ref="BF27:BH27"/>
    <mergeCell ref="Y27:AA27"/>
    <mergeCell ref="AB27:AD27"/>
    <mergeCell ref="AE27:AG27"/>
    <mergeCell ref="AH27:AJ27"/>
    <mergeCell ref="AK27:AM27"/>
    <mergeCell ref="AN27:AP27"/>
    <mergeCell ref="AZ28:BB28"/>
    <mergeCell ref="BC28:BE28"/>
    <mergeCell ref="BF28:BH28"/>
    <mergeCell ref="BI28:BK28"/>
    <mergeCell ref="J29:L29"/>
    <mergeCell ref="M29:O29"/>
    <mergeCell ref="P29:R29"/>
    <mergeCell ref="S29:U29"/>
    <mergeCell ref="V29:X29"/>
    <mergeCell ref="Y29:AA29"/>
    <mergeCell ref="AH28:AJ28"/>
    <mergeCell ref="AK28:AM28"/>
    <mergeCell ref="AN28:AP28"/>
    <mergeCell ref="AQ28:AS28"/>
    <mergeCell ref="AT28:AV28"/>
    <mergeCell ref="AW28:AY28"/>
    <mergeCell ref="AT29:AV29"/>
    <mergeCell ref="AW29:AY29"/>
    <mergeCell ref="AZ29:BB29"/>
    <mergeCell ref="BC29:BE29"/>
    <mergeCell ref="BF29:BH29"/>
    <mergeCell ref="BI29:BK29"/>
    <mergeCell ref="AB29:AD29"/>
    <mergeCell ref="AE29:AG29"/>
    <mergeCell ref="AH29:AJ29"/>
    <mergeCell ref="AK29:AM29"/>
    <mergeCell ref="AN29:AP29"/>
    <mergeCell ref="AQ29:AS29"/>
    <mergeCell ref="BC30:BE30"/>
    <mergeCell ref="BF30:BH30"/>
    <mergeCell ref="BI30:BK30"/>
    <mergeCell ref="AB30:AD30"/>
    <mergeCell ref="AE30:AG30"/>
    <mergeCell ref="AH30:AJ30"/>
    <mergeCell ref="AK30:AM30"/>
    <mergeCell ref="AN30:AP30"/>
    <mergeCell ref="AQ30:AS30"/>
    <mergeCell ref="J31:L31"/>
    <mergeCell ref="M31:O31"/>
    <mergeCell ref="P31:R31"/>
    <mergeCell ref="S31:U31"/>
    <mergeCell ref="V31:X31"/>
    <mergeCell ref="Y31:AA31"/>
    <mergeCell ref="AT30:AV30"/>
    <mergeCell ref="AW30:AY30"/>
    <mergeCell ref="AZ30:BB30"/>
    <mergeCell ref="J30:L30"/>
    <mergeCell ref="M30:O30"/>
    <mergeCell ref="P30:R30"/>
    <mergeCell ref="S30:U30"/>
    <mergeCell ref="V30:X30"/>
    <mergeCell ref="Y30:AA30"/>
    <mergeCell ref="AT31:AV31"/>
    <mergeCell ref="AW31:AY31"/>
    <mergeCell ref="AZ31:BB31"/>
    <mergeCell ref="BC31:BE31"/>
    <mergeCell ref="BF31:BH31"/>
    <mergeCell ref="BI31:BK31"/>
    <mergeCell ref="AB31:AD31"/>
    <mergeCell ref="AE31:AG31"/>
    <mergeCell ref="AH31:AJ31"/>
    <mergeCell ref="AK31:AM31"/>
    <mergeCell ref="AN31:AP31"/>
    <mergeCell ref="AQ31:AS31"/>
    <mergeCell ref="BC32:BE32"/>
    <mergeCell ref="BF32:BH32"/>
    <mergeCell ref="BI32:BK32"/>
    <mergeCell ref="AB32:AD32"/>
    <mergeCell ref="AE32:AG32"/>
    <mergeCell ref="AH32:AJ32"/>
    <mergeCell ref="AK32:AM32"/>
    <mergeCell ref="AN32:AP32"/>
    <mergeCell ref="AQ32:AS32"/>
    <mergeCell ref="J33:L33"/>
    <mergeCell ref="M33:O33"/>
    <mergeCell ref="P33:R33"/>
    <mergeCell ref="S33:U33"/>
    <mergeCell ref="V33:X33"/>
    <mergeCell ref="Y33:AA33"/>
    <mergeCell ref="AT32:AV32"/>
    <mergeCell ref="AW32:AY32"/>
    <mergeCell ref="AZ32:BB32"/>
    <mergeCell ref="J32:L32"/>
    <mergeCell ref="M32:O32"/>
    <mergeCell ref="P32:R32"/>
    <mergeCell ref="S32:U32"/>
    <mergeCell ref="V32:X32"/>
    <mergeCell ref="Y32:AA32"/>
    <mergeCell ref="P34:R34"/>
    <mergeCell ref="S34:U34"/>
    <mergeCell ref="V34:X34"/>
    <mergeCell ref="AT33:AV33"/>
    <mergeCell ref="AW33:AY33"/>
    <mergeCell ref="AZ33:BB33"/>
    <mergeCell ref="BC33:BE33"/>
    <mergeCell ref="BF33:BH33"/>
    <mergeCell ref="BI33:BK33"/>
    <mergeCell ref="AB33:AD33"/>
    <mergeCell ref="AE33:AG33"/>
    <mergeCell ref="AH33:AJ33"/>
    <mergeCell ref="AK33:AM33"/>
    <mergeCell ref="AN33:AP33"/>
    <mergeCell ref="AQ33:AS33"/>
    <mergeCell ref="F51:S51"/>
    <mergeCell ref="AC51:AO51"/>
    <mergeCell ref="AU51:BK51"/>
    <mergeCell ref="BI34:BK34"/>
    <mergeCell ref="F49:S49"/>
    <mergeCell ref="Y49:AO49"/>
    <mergeCell ref="AU49:BK50"/>
    <mergeCell ref="F50:S50"/>
    <mergeCell ref="Y50:AO50"/>
    <mergeCell ref="AQ34:AS34"/>
    <mergeCell ref="AT34:AV34"/>
    <mergeCell ref="AW34:AY34"/>
    <mergeCell ref="AZ34:BB34"/>
    <mergeCell ref="BC34:BE34"/>
    <mergeCell ref="BF34:BH34"/>
    <mergeCell ref="Y34:AA34"/>
    <mergeCell ref="AB34:AD34"/>
    <mergeCell ref="AE34:AG34"/>
    <mergeCell ref="AH34:AJ34"/>
    <mergeCell ref="AK34:AM34"/>
    <mergeCell ref="AN34:AP34"/>
    <mergeCell ref="B34:I34"/>
    <mergeCell ref="J34:L34"/>
    <mergeCell ref="M34:O34"/>
  </mergeCells>
  <dataValidations count="1">
    <dataValidation type="whole" allowBlank="1" showInputMessage="1" showErrorMessage="1" errorTitle="GESP SY 2022-2023" error="Please enter valid value between 0 - 20,000." sqref="J6:O7 S8:U8 J23:BE27 J30:BE33 J14:AG15" xr:uid="{00000000-0002-0000-1E00-000000000000}">
      <formula1>0</formula1>
      <formula2>20000</formula2>
    </dataValidation>
  </dataValidations>
  <printOptions horizontalCentered="1" verticalCentered="1"/>
  <pageMargins left="0.25" right="0.25" top="0.2" bottom="0.2" header="0" footer="0.1"/>
  <pageSetup paperSize="9" scale="53" orientation="landscape" r:id="rId1"/>
  <headerFooter alignWithMargins="0">
    <oddFooter>&amp;L&amp;10&amp;F &amp;A&amp;R&amp;11Page 27 of 60</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B1:AY47"/>
  <sheetViews>
    <sheetView showGridLines="0" zoomScaleNormal="100" zoomScaleSheetLayoutView="100" workbookViewId="0">
      <selection activeCell="X31" sqref="X31:AC31"/>
    </sheetView>
  </sheetViews>
  <sheetFormatPr defaultColWidth="9" defaultRowHeight="15.5"/>
  <cols>
    <col min="1" max="1" width="2.08203125" style="969" customWidth="1"/>
    <col min="2" max="45" width="3.58203125" style="969" customWidth="1"/>
    <col min="46" max="46" width="2.08203125" style="969" customWidth="1"/>
    <col min="47" max="63" width="3.58203125" style="969" customWidth="1"/>
    <col min="64" max="64" width="2.08203125" style="969" customWidth="1"/>
    <col min="65" max="232" width="3.58203125" style="969" customWidth="1"/>
    <col min="233" max="16384" width="9" style="969"/>
  </cols>
  <sheetData>
    <row r="1" spans="2:51" ht="12" customHeight="1"/>
    <row r="2" spans="2:51" ht="12" customHeight="1">
      <c r="B2" s="1032" t="s">
        <v>1751</v>
      </c>
    </row>
    <row r="3" spans="2:51" s="568" customFormat="1" ht="27.65" customHeight="1" thickBot="1">
      <c r="B3" s="1033" t="s">
        <v>1954</v>
      </c>
      <c r="C3" s="588"/>
      <c r="L3" s="609"/>
      <c r="N3" s="1034"/>
      <c r="AD3" s="1035"/>
    </row>
    <row r="4" spans="2:51" s="568" customFormat="1" ht="15.75" customHeight="1">
      <c r="B4" s="2858" t="s">
        <v>255</v>
      </c>
      <c r="C4" s="2859"/>
      <c r="D4" s="2859"/>
      <c r="E4" s="2859"/>
      <c r="F4" s="2859"/>
      <c r="G4" s="2859"/>
      <c r="H4" s="2859"/>
      <c r="I4" s="3175"/>
      <c r="J4" s="2858" t="s">
        <v>57</v>
      </c>
      <c r="K4" s="2859"/>
      <c r="L4" s="2859"/>
      <c r="M4" s="3175"/>
      <c r="N4" s="2858" t="s">
        <v>19</v>
      </c>
      <c r="O4" s="2859"/>
      <c r="P4" s="2859"/>
      <c r="Q4" s="3175"/>
      <c r="R4" s="2858" t="s">
        <v>20</v>
      </c>
      <c r="S4" s="2859"/>
      <c r="T4" s="2859"/>
      <c r="U4" s="3175"/>
      <c r="V4" s="2858" t="s">
        <v>21</v>
      </c>
      <c r="W4" s="2859"/>
      <c r="X4" s="2859"/>
      <c r="Y4" s="3175"/>
      <c r="Z4" s="2858" t="s">
        <v>22</v>
      </c>
      <c r="AA4" s="2859"/>
      <c r="AB4" s="2859"/>
      <c r="AC4" s="3175"/>
      <c r="AD4" s="2858" t="s">
        <v>23</v>
      </c>
      <c r="AE4" s="2859"/>
      <c r="AF4" s="2859"/>
      <c r="AG4" s="3175"/>
      <c r="AH4" s="2858" t="s">
        <v>24</v>
      </c>
      <c r="AI4" s="2859"/>
      <c r="AJ4" s="2859"/>
      <c r="AK4" s="3175"/>
      <c r="AL4" s="2675" t="s">
        <v>1166</v>
      </c>
      <c r="AM4" s="2676"/>
      <c r="AN4" s="2676"/>
      <c r="AO4" s="3233"/>
      <c r="AP4" s="2676" t="s">
        <v>1314</v>
      </c>
      <c r="AQ4" s="2676"/>
      <c r="AR4" s="2676"/>
      <c r="AS4" s="2677"/>
    </row>
    <row r="5" spans="2:51" s="568" customFormat="1" ht="31" customHeight="1">
      <c r="B5" s="3176"/>
      <c r="C5" s="3177"/>
      <c r="D5" s="3177"/>
      <c r="E5" s="3177"/>
      <c r="F5" s="3177"/>
      <c r="G5" s="3177"/>
      <c r="H5" s="3177"/>
      <c r="I5" s="3178"/>
      <c r="J5" s="3182"/>
      <c r="K5" s="3183"/>
      <c r="L5" s="3183"/>
      <c r="M5" s="3184"/>
      <c r="N5" s="3182"/>
      <c r="O5" s="3183"/>
      <c r="P5" s="3183"/>
      <c r="Q5" s="3184"/>
      <c r="R5" s="3182"/>
      <c r="S5" s="3183"/>
      <c r="T5" s="3183"/>
      <c r="U5" s="3184"/>
      <c r="V5" s="3182"/>
      <c r="W5" s="3183"/>
      <c r="X5" s="3183"/>
      <c r="Y5" s="3184"/>
      <c r="Z5" s="3182"/>
      <c r="AA5" s="3183"/>
      <c r="AB5" s="3183"/>
      <c r="AC5" s="3184"/>
      <c r="AD5" s="3182"/>
      <c r="AE5" s="3183"/>
      <c r="AF5" s="3183"/>
      <c r="AG5" s="3184"/>
      <c r="AH5" s="3182"/>
      <c r="AI5" s="3183"/>
      <c r="AJ5" s="3183"/>
      <c r="AK5" s="3184"/>
      <c r="AL5" s="3185"/>
      <c r="AM5" s="3186"/>
      <c r="AN5" s="3186"/>
      <c r="AO5" s="3234"/>
      <c r="AP5" s="3186"/>
      <c r="AQ5" s="3186"/>
      <c r="AR5" s="3186"/>
      <c r="AS5" s="3187"/>
    </row>
    <row r="6" spans="2:51" s="568" customFormat="1" ht="16.5" customHeight="1" thickBot="1">
      <c r="B6" s="3176"/>
      <c r="C6" s="3177"/>
      <c r="D6" s="3177"/>
      <c r="E6" s="3177"/>
      <c r="F6" s="3177"/>
      <c r="G6" s="3177"/>
      <c r="H6" s="3177"/>
      <c r="I6" s="3178"/>
      <c r="J6" s="3023" t="s">
        <v>15</v>
      </c>
      <c r="K6" s="3025"/>
      <c r="L6" s="3172" t="s">
        <v>16</v>
      </c>
      <c r="M6" s="3173"/>
      <c r="N6" s="3023" t="s">
        <v>15</v>
      </c>
      <c r="O6" s="3025"/>
      <c r="P6" s="3172" t="s">
        <v>16</v>
      </c>
      <c r="Q6" s="3173"/>
      <c r="R6" s="3023" t="s">
        <v>15</v>
      </c>
      <c r="S6" s="3025"/>
      <c r="T6" s="3172" t="s">
        <v>16</v>
      </c>
      <c r="U6" s="3173"/>
      <c r="V6" s="3023" t="s">
        <v>15</v>
      </c>
      <c r="W6" s="3025"/>
      <c r="X6" s="3172" t="s">
        <v>16</v>
      </c>
      <c r="Y6" s="3173"/>
      <c r="Z6" s="3023" t="s">
        <v>15</v>
      </c>
      <c r="AA6" s="3025"/>
      <c r="AB6" s="3172" t="s">
        <v>16</v>
      </c>
      <c r="AC6" s="3173"/>
      <c r="AD6" s="3023" t="s">
        <v>15</v>
      </c>
      <c r="AE6" s="3025"/>
      <c r="AF6" s="3172" t="s">
        <v>16</v>
      </c>
      <c r="AG6" s="3173"/>
      <c r="AH6" s="3023" t="s">
        <v>15</v>
      </c>
      <c r="AI6" s="3025"/>
      <c r="AJ6" s="3172" t="s">
        <v>16</v>
      </c>
      <c r="AK6" s="3173"/>
      <c r="AL6" s="3023" t="s">
        <v>15</v>
      </c>
      <c r="AM6" s="3025"/>
      <c r="AN6" s="3172" t="s">
        <v>16</v>
      </c>
      <c r="AO6" s="3026"/>
      <c r="AP6" s="3024" t="s">
        <v>15</v>
      </c>
      <c r="AQ6" s="3025"/>
      <c r="AR6" s="3172" t="s">
        <v>16</v>
      </c>
      <c r="AS6" s="3173"/>
    </row>
    <row r="7" spans="2:51" s="568" customFormat="1" ht="25.75" customHeight="1" thickBot="1">
      <c r="B7" s="3179"/>
      <c r="C7" s="3180"/>
      <c r="D7" s="3180"/>
      <c r="E7" s="3180"/>
      <c r="F7" s="3180"/>
      <c r="G7" s="3180"/>
      <c r="H7" s="3180"/>
      <c r="I7" s="3181"/>
      <c r="J7" s="3229">
        <v>0</v>
      </c>
      <c r="K7" s="3230"/>
      <c r="L7" s="3231">
        <v>0</v>
      </c>
      <c r="M7" s="3232"/>
      <c r="N7" s="3229">
        <v>0</v>
      </c>
      <c r="O7" s="3230"/>
      <c r="P7" s="3231">
        <v>0</v>
      </c>
      <c r="Q7" s="3232"/>
      <c r="R7" s="3229">
        <v>0</v>
      </c>
      <c r="S7" s="3230"/>
      <c r="T7" s="3231">
        <v>0</v>
      </c>
      <c r="U7" s="3232"/>
      <c r="V7" s="3229">
        <v>0</v>
      </c>
      <c r="W7" s="3230"/>
      <c r="X7" s="3231">
        <v>0</v>
      </c>
      <c r="Y7" s="3232"/>
      <c r="Z7" s="3229">
        <v>0</v>
      </c>
      <c r="AA7" s="3230"/>
      <c r="AB7" s="3231">
        <v>0</v>
      </c>
      <c r="AC7" s="3232"/>
      <c r="AD7" s="3229">
        <v>0</v>
      </c>
      <c r="AE7" s="3230"/>
      <c r="AF7" s="3231">
        <v>0</v>
      </c>
      <c r="AG7" s="3232"/>
      <c r="AH7" s="3229">
        <v>0</v>
      </c>
      <c r="AI7" s="3230"/>
      <c r="AJ7" s="3231">
        <v>0</v>
      </c>
      <c r="AK7" s="3232"/>
      <c r="AL7" s="3229">
        <v>0</v>
      </c>
      <c r="AM7" s="3230"/>
      <c r="AN7" s="3231">
        <v>0</v>
      </c>
      <c r="AO7" s="3235"/>
      <c r="AP7" s="3225">
        <f>SUM(J7,N7,R7,V7,Z7,AD7,AH7,AL7)</f>
        <v>0</v>
      </c>
      <c r="AQ7" s="3226"/>
      <c r="AR7" s="3227">
        <f>SUM(L7,P7,T7,X7,AB7,AF7,AJ7,AN7)</f>
        <v>0</v>
      </c>
      <c r="AS7" s="3228"/>
    </row>
    <row r="8" spans="2:51" s="128" customFormat="1" ht="40" customHeight="1">
      <c r="S8" s="187"/>
      <c r="T8" s="187"/>
      <c r="U8" s="187"/>
      <c r="V8" s="187"/>
      <c r="X8" s="187"/>
      <c r="AP8" s="728"/>
      <c r="AQ8" s="1027"/>
    </row>
    <row r="9" spans="2:51" s="602" customFormat="1" ht="16.5">
      <c r="B9" s="627" t="s">
        <v>11786</v>
      </c>
      <c r="C9" s="628"/>
      <c r="D9" s="628"/>
      <c r="E9" s="628"/>
      <c r="F9" s="628"/>
      <c r="G9" s="628"/>
      <c r="H9" s="628"/>
      <c r="I9" s="628"/>
      <c r="J9" s="628"/>
      <c r="K9" s="628"/>
      <c r="L9" s="629"/>
      <c r="M9" s="629"/>
      <c r="N9" s="629"/>
      <c r="O9" s="629"/>
      <c r="P9" s="629"/>
      <c r="Q9" s="629"/>
      <c r="R9" s="629"/>
      <c r="S9" s="629"/>
      <c r="T9" s="629"/>
      <c r="U9" s="629"/>
      <c r="V9" s="629"/>
      <c r="W9" s="1028"/>
      <c r="X9" s="629"/>
      <c r="Y9" s="629"/>
      <c r="Z9" s="629"/>
      <c r="AA9" s="629"/>
      <c r="AB9" s="629"/>
      <c r="AC9" s="629"/>
      <c r="AD9" s="629"/>
      <c r="AE9" s="629"/>
      <c r="AF9" s="629"/>
      <c r="AG9" s="629"/>
      <c r="AH9" s="629"/>
      <c r="AI9" s="629"/>
      <c r="AJ9" s="629"/>
      <c r="AK9" s="629"/>
      <c r="AL9" s="628"/>
    </row>
    <row r="10" spans="2:51" s="568" customFormat="1" ht="16" thickBot="1">
      <c r="B10" s="582" t="s">
        <v>904</v>
      </c>
    </row>
    <row r="11" spans="2:51" s="602" customFormat="1" ht="5.25" customHeight="1">
      <c r="B11" s="638"/>
      <c r="C11" s="640"/>
      <c r="D11" s="1029"/>
      <c r="E11" s="632"/>
      <c r="F11" s="632"/>
      <c r="G11" s="632"/>
      <c r="H11" s="632"/>
      <c r="I11" s="632"/>
      <c r="J11" s="632"/>
      <c r="K11" s="632"/>
      <c r="L11" s="632"/>
      <c r="M11" s="632"/>
      <c r="N11" s="632"/>
      <c r="O11" s="830"/>
      <c r="P11" s="830"/>
      <c r="Q11" s="830"/>
      <c r="R11" s="830"/>
      <c r="S11" s="830"/>
      <c r="T11" s="830"/>
      <c r="U11" s="634"/>
      <c r="V11" s="1030"/>
      <c r="W11" s="1030"/>
      <c r="X11" s="1030"/>
      <c r="Y11" s="1030"/>
      <c r="Z11" s="1030"/>
      <c r="AA11" s="1030"/>
      <c r="AB11" s="830"/>
      <c r="AC11" s="830"/>
      <c r="AD11" s="830"/>
      <c r="AE11" s="830"/>
      <c r="AF11" s="830"/>
      <c r="AG11" s="830"/>
      <c r="AH11" s="830"/>
      <c r="AI11" s="830"/>
      <c r="AJ11" s="830"/>
      <c r="AK11" s="830"/>
      <c r="AL11" s="830"/>
      <c r="AM11" s="1031"/>
      <c r="AV11" s="588"/>
      <c r="AW11" s="588"/>
      <c r="AX11" s="588"/>
      <c r="AY11" s="588"/>
    </row>
    <row r="12" spans="2:51" s="602" customFormat="1" ht="20">
      <c r="B12" s="614"/>
      <c r="D12" s="1012" t="s">
        <v>534</v>
      </c>
      <c r="E12" s="1024"/>
      <c r="F12" s="1024"/>
      <c r="G12" s="1024"/>
      <c r="H12" s="1024"/>
      <c r="I12" s="1024"/>
      <c r="J12" s="1024"/>
      <c r="K12" s="1024"/>
      <c r="L12" s="1024"/>
      <c r="M12" s="1024"/>
      <c r="N12" s="1024"/>
      <c r="O12" s="874"/>
      <c r="V12" s="76" t="b">
        <v>1</v>
      </c>
      <c r="W12" s="568" t="s">
        <v>64</v>
      </c>
      <c r="X12" s="588"/>
      <c r="AA12" s="76" t="b">
        <v>0</v>
      </c>
      <c r="AB12" s="568" t="s">
        <v>0</v>
      </c>
      <c r="AC12" s="588"/>
      <c r="AE12" s="874"/>
      <c r="AF12" s="874"/>
      <c r="AG12" s="874"/>
      <c r="AH12" s="874"/>
      <c r="AI12" s="874"/>
      <c r="AJ12" s="874"/>
      <c r="AK12" s="874"/>
      <c r="AL12" s="874"/>
      <c r="AM12" s="1023"/>
      <c r="AV12" s="588"/>
      <c r="AW12" s="588"/>
      <c r="AX12" s="588"/>
      <c r="AY12" s="588"/>
    </row>
    <row r="13" spans="2:51" s="602" customFormat="1" ht="6" customHeight="1">
      <c r="B13" s="614"/>
      <c r="D13" s="1012"/>
      <c r="E13" s="1024"/>
      <c r="F13" s="1024"/>
      <c r="G13" s="1024"/>
      <c r="H13" s="1024"/>
      <c r="I13" s="1024"/>
      <c r="J13" s="1024"/>
      <c r="K13" s="1024"/>
      <c r="L13" s="1024"/>
      <c r="M13" s="1024"/>
      <c r="N13" s="1024"/>
      <c r="O13" s="874"/>
      <c r="V13" s="874"/>
      <c r="W13" s="588"/>
      <c r="X13" s="588"/>
      <c r="AA13" s="874"/>
      <c r="AB13" s="588"/>
      <c r="AC13" s="588"/>
      <c r="AE13" s="874"/>
      <c r="AF13" s="874"/>
      <c r="AG13" s="874"/>
      <c r="AH13" s="874"/>
      <c r="AI13" s="874"/>
      <c r="AJ13" s="874"/>
      <c r="AK13" s="874"/>
      <c r="AL13" s="874"/>
      <c r="AM13" s="1023"/>
      <c r="AV13" s="588"/>
      <c r="AW13" s="588"/>
      <c r="AX13" s="588"/>
      <c r="AY13" s="588"/>
    </row>
    <row r="14" spans="2:51" s="602" customFormat="1" ht="20">
      <c r="B14" s="614"/>
      <c r="D14" s="1012" t="s">
        <v>1167</v>
      </c>
      <c r="E14" s="1024"/>
      <c r="F14" s="1024"/>
      <c r="G14" s="1024"/>
      <c r="H14" s="1024"/>
      <c r="I14" s="1024"/>
      <c r="J14" s="1024"/>
      <c r="K14" s="1024"/>
      <c r="L14" s="1024"/>
      <c r="M14" s="1024"/>
      <c r="N14" s="1024"/>
      <c r="O14" s="874"/>
      <c r="V14" s="76" t="b">
        <v>1</v>
      </c>
      <c r="W14" s="568" t="s">
        <v>64</v>
      </c>
      <c r="X14" s="588"/>
      <c r="AA14" s="76" t="b">
        <v>0</v>
      </c>
      <c r="AB14" s="568" t="s">
        <v>0</v>
      </c>
      <c r="AC14" s="588"/>
      <c r="AE14" s="874"/>
      <c r="AF14" s="874"/>
      <c r="AG14" s="874"/>
      <c r="AH14" s="874"/>
      <c r="AI14" s="874"/>
      <c r="AJ14" s="874"/>
      <c r="AK14" s="874"/>
      <c r="AL14" s="874"/>
      <c r="AM14" s="1023"/>
      <c r="AV14" s="588"/>
      <c r="AW14" s="588"/>
      <c r="AX14" s="588"/>
      <c r="AY14" s="588"/>
    </row>
    <row r="15" spans="2:51" s="602" customFormat="1" ht="6" customHeight="1">
      <c r="B15" s="614"/>
      <c r="D15" s="1012"/>
      <c r="E15" s="1024"/>
      <c r="F15" s="1024"/>
      <c r="G15" s="1024"/>
      <c r="H15" s="1024"/>
      <c r="I15" s="1024"/>
      <c r="J15" s="1024"/>
      <c r="K15" s="1024"/>
      <c r="L15" s="1024"/>
      <c r="M15" s="1024"/>
      <c r="N15" s="1024"/>
      <c r="O15" s="874"/>
      <c r="Q15" s="874"/>
      <c r="R15" s="588"/>
      <c r="S15" s="588"/>
      <c r="V15" s="874"/>
      <c r="W15" s="588"/>
      <c r="Y15" s="588"/>
      <c r="Z15" s="588"/>
      <c r="AA15" s="588"/>
      <c r="AB15" s="588"/>
      <c r="AC15" s="588"/>
      <c r="AE15" s="874"/>
      <c r="AF15" s="874"/>
      <c r="AG15" s="874"/>
      <c r="AH15" s="874"/>
      <c r="AI15" s="874"/>
      <c r="AJ15" s="874"/>
      <c r="AK15" s="874"/>
      <c r="AL15" s="874"/>
      <c r="AM15" s="1023"/>
      <c r="AV15" s="588"/>
      <c r="AW15" s="588"/>
      <c r="AX15" s="588"/>
      <c r="AY15" s="588"/>
    </row>
    <row r="16" spans="2:51" s="602" customFormat="1" ht="20">
      <c r="B16" s="614"/>
      <c r="D16" s="1012" t="s">
        <v>806</v>
      </c>
      <c r="E16" s="1024"/>
      <c r="F16" s="1024"/>
      <c r="G16" s="1024"/>
      <c r="H16" s="1024"/>
      <c r="I16" s="1024"/>
      <c r="J16" s="1024"/>
      <c r="K16" s="1024"/>
      <c r="L16" s="1024"/>
      <c r="M16" s="1024"/>
      <c r="N16" s="1024"/>
      <c r="O16" s="874"/>
      <c r="Q16" s="874"/>
      <c r="R16" s="588"/>
      <c r="S16" s="588"/>
      <c r="V16" s="874"/>
      <c r="W16" s="588"/>
      <c r="Y16" s="588"/>
      <c r="Z16" s="588"/>
      <c r="AA16" s="588"/>
      <c r="AB16" s="588"/>
      <c r="AC16" s="588"/>
      <c r="AE16" s="874"/>
      <c r="AF16" s="874"/>
      <c r="AG16" s="874"/>
      <c r="AH16" s="874"/>
      <c r="AI16" s="874"/>
      <c r="AJ16" s="874"/>
      <c r="AK16" s="874"/>
      <c r="AL16" s="874"/>
      <c r="AM16" s="1023"/>
      <c r="AV16" s="588"/>
      <c r="AW16" s="588"/>
      <c r="AX16" s="588"/>
      <c r="AY16" s="588"/>
    </row>
    <row r="17" spans="2:51" s="602" customFormat="1" ht="6" customHeight="1" thickBot="1">
      <c r="B17" s="614"/>
      <c r="E17" s="1012"/>
      <c r="F17" s="1024"/>
      <c r="G17" s="1024"/>
      <c r="H17" s="1024"/>
      <c r="I17" s="1024"/>
      <c r="J17" s="1024"/>
      <c r="K17" s="1024"/>
      <c r="L17" s="1024"/>
      <c r="M17" s="1024"/>
      <c r="N17" s="1024"/>
      <c r="O17" s="874"/>
      <c r="Q17" s="874"/>
      <c r="R17" s="588"/>
      <c r="S17" s="588"/>
      <c r="V17" s="874"/>
      <c r="W17" s="588"/>
      <c r="X17" s="588"/>
      <c r="Y17" s="588"/>
      <c r="Z17" s="588"/>
      <c r="AA17" s="588"/>
      <c r="AB17" s="588"/>
      <c r="AC17" s="588"/>
      <c r="AE17" s="874"/>
      <c r="AF17" s="874"/>
      <c r="AG17" s="874"/>
      <c r="AH17" s="874"/>
      <c r="AI17" s="874"/>
      <c r="AJ17" s="874"/>
      <c r="AK17" s="874"/>
      <c r="AL17" s="874"/>
      <c r="AM17" s="1023"/>
      <c r="AV17" s="588"/>
      <c r="AW17" s="588"/>
      <c r="AX17" s="588"/>
      <c r="AY17" s="588"/>
    </row>
    <row r="18" spans="2:51" s="602" customFormat="1" ht="19.5" customHeight="1">
      <c r="B18" s="614"/>
      <c r="E18" s="1012"/>
      <c r="F18" s="3236" t="s">
        <v>535</v>
      </c>
      <c r="G18" s="3237"/>
      <c r="H18" s="3237"/>
      <c r="I18" s="3237"/>
      <c r="J18" s="3237"/>
      <c r="K18" s="3237"/>
      <c r="L18" s="3237"/>
      <c r="M18" s="3237"/>
      <c r="N18" s="3237"/>
      <c r="O18" s="3237"/>
      <c r="P18" s="3237"/>
      <c r="Q18" s="3237"/>
      <c r="R18" s="3238"/>
      <c r="S18" s="3242" t="s">
        <v>536</v>
      </c>
      <c r="T18" s="3243"/>
      <c r="U18" s="3243"/>
      <c r="V18" s="3243"/>
      <c r="W18" s="3243"/>
      <c r="X18" s="3244"/>
      <c r="AA18" s="874"/>
      <c r="AB18" s="874"/>
      <c r="AC18" s="874"/>
      <c r="AF18" s="874"/>
      <c r="AG18" s="874"/>
      <c r="AH18" s="874"/>
      <c r="AI18" s="874"/>
      <c r="AJ18" s="874"/>
      <c r="AK18" s="874"/>
      <c r="AL18" s="874"/>
      <c r="AM18" s="1023"/>
      <c r="AV18" s="588"/>
      <c r="AW18" s="588"/>
      <c r="AX18" s="588"/>
      <c r="AY18" s="588"/>
    </row>
    <row r="19" spans="2:51" s="602" customFormat="1" ht="20.5" thickBot="1">
      <c r="B19" s="614"/>
      <c r="E19" s="1012"/>
      <c r="F19" s="3239"/>
      <c r="G19" s="3240"/>
      <c r="H19" s="3240"/>
      <c r="I19" s="3240"/>
      <c r="J19" s="3240"/>
      <c r="K19" s="3240"/>
      <c r="L19" s="3240"/>
      <c r="M19" s="3240"/>
      <c r="N19" s="3240"/>
      <c r="O19" s="3240"/>
      <c r="P19" s="3240"/>
      <c r="Q19" s="3240"/>
      <c r="R19" s="3241"/>
      <c r="S19" s="3245"/>
      <c r="T19" s="3246"/>
      <c r="U19" s="3246"/>
      <c r="V19" s="3246"/>
      <c r="W19" s="3246"/>
      <c r="X19" s="3247"/>
      <c r="AA19" s="874"/>
      <c r="AB19" s="874"/>
      <c r="AC19" s="874"/>
      <c r="AF19" s="874"/>
      <c r="AG19" s="874"/>
      <c r="AH19" s="874"/>
      <c r="AI19" s="874"/>
      <c r="AJ19" s="874"/>
      <c r="AK19" s="874"/>
      <c r="AL19" s="874"/>
      <c r="AM19" s="1023"/>
      <c r="AV19" s="588"/>
      <c r="AW19" s="588"/>
      <c r="AX19" s="588"/>
      <c r="AY19" s="588"/>
    </row>
    <row r="20" spans="2:51" s="602" customFormat="1" ht="30" customHeight="1">
      <c r="B20" s="614"/>
      <c r="E20" s="1012"/>
      <c r="F20" s="3248" t="s">
        <v>537</v>
      </c>
      <c r="G20" s="3249"/>
      <c r="H20" s="3249"/>
      <c r="I20" s="3249"/>
      <c r="J20" s="3249"/>
      <c r="K20" s="3249"/>
      <c r="L20" s="3249"/>
      <c r="M20" s="3249"/>
      <c r="N20" s="3249"/>
      <c r="O20" s="3249"/>
      <c r="P20" s="3249"/>
      <c r="Q20" s="3249"/>
      <c r="R20" s="3250"/>
      <c r="S20" s="3251">
        <v>0</v>
      </c>
      <c r="T20" s="3252"/>
      <c r="U20" s="3252"/>
      <c r="V20" s="3252"/>
      <c r="W20" s="3252"/>
      <c r="X20" s="3253"/>
      <c r="AA20" s="874"/>
      <c r="AB20" s="874"/>
      <c r="AC20" s="874"/>
      <c r="AF20" s="874"/>
      <c r="AG20" s="874"/>
      <c r="AH20" s="874"/>
      <c r="AI20" s="874"/>
      <c r="AJ20" s="874"/>
      <c r="AK20" s="874"/>
      <c r="AL20" s="874"/>
      <c r="AM20" s="1023"/>
      <c r="AV20" s="588"/>
      <c r="AW20" s="588"/>
      <c r="AX20" s="588"/>
      <c r="AY20" s="588"/>
    </row>
    <row r="21" spans="2:51" s="602" customFormat="1" ht="30" customHeight="1">
      <c r="B21" s="614"/>
      <c r="E21" s="1012"/>
      <c r="F21" s="3254" t="s">
        <v>538</v>
      </c>
      <c r="G21" s="3255"/>
      <c r="H21" s="3255"/>
      <c r="I21" s="3255"/>
      <c r="J21" s="3255"/>
      <c r="K21" s="3255"/>
      <c r="L21" s="3255"/>
      <c r="M21" s="3255"/>
      <c r="N21" s="3255"/>
      <c r="O21" s="3255"/>
      <c r="P21" s="3255"/>
      <c r="Q21" s="3255"/>
      <c r="R21" s="3256"/>
      <c r="S21" s="3257">
        <v>3</v>
      </c>
      <c r="T21" s="3258"/>
      <c r="U21" s="3258"/>
      <c r="V21" s="3258"/>
      <c r="W21" s="3258"/>
      <c r="X21" s="3259"/>
      <c r="AA21" s="874"/>
      <c r="AB21" s="874"/>
      <c r="AC21" s="874"/>
      <c r="AF21" s="874"/>
      <c r="AG21" s="874"/>
      <c r="AH21" s="874"/>
      <c r="AI21" s="874"/>
      <c r="AJ21" s="874"/>
      <c r="AK21" s="874"/>
      <c r="AL21" s="874"/>
      <c r="AM21" s="1023"/>
      <c r="AV21" s="588"/>
      <c r="AW21" s="588"/>
      <c r="AX21" s="588"/>
      <c r="AY21" s="588"/>
    </row>
    <row r="22" spans="2:51" s="602" customFormat="1" ht="30.75" customHeight="1">
      <c r="B22" s="614"/>
      <c r="E22" s="1012"/>
      <c r="F22" s="3260" t="s">
        <v>1168</v>
      </c>
      <c r="G22" s="3261"/>
      <c r="H22" s="3261"/>
      <c r="I22" s="3261"/>
      <c r="J22" s="3261"/>
      <c r="K22" s="3262"/>
      <c r="L22" s="3262"/>
      <c r="M22" s="3262"/>
      <c r="N22" s="3262"/>
      <c r="O22" s="3262"/>
      <c r="P22" s="3262"/>
      <c r="Q22" s="3262"/>
      <c r="R22" s="3263"/>
      <c r="S22" s="3264"/>
      <c r="T22" s="3265"/>
      <c r="U22" s="3265"/>
      <c r="V22" s="3265"/>
      <c r="W22" s="3265"/>
      <c r="X22" s="3266"/>
      <c r="Y22" s="1026" t="str">
        <f>IF(AND(ISBLANK(clinic_weighing_other),(clinic_weighing_other_units&gt;0)),"Please specify.",IF(AND((clinic_weighing_other&gt;0),(clinic_weighing_other_units=0)),"Please provide details.",""))</f>
        <v/>
      </c>
      <c r="AA22" s="874"/>
      <c r="AB22" s="874"/>
      <c r="AC22" s="874"/>
      <c r="AF22" s="874"/>
      <c r="AG22" s="874"/>
      <c r="AH22" s="874"/>
      <c r="AI22" s="874"/>
      <c r="AJ22" s="874"/>
      <c r="AK22" s="874"/>
      <c r="AL22" s="874"/>
      <c r="AM22" s="1023"/>
      <c r="AV22" s="588"/>
      <c r="AW22" s="588"/>
      <c r="AX22" s="588"/>
      <c r="AY22" s="588"/>
    </row>
    <row r="23" spans="2:51" s="602" customFormat="1" ht="7.5" customHeight="1" thickBot="1">
      <c r="B23" s="614"/>
      <c r="E23" s="1012"/>
      <c r="F23" s="1019"/>
      <c r="G23" s="1020"/>
      <c r="H23" s="1020"/>
      <c r="I23" s="1020"/>
      <c r="J23" s="1020"/>
      <c r="K23" s="1020"/>
      <c r="L23" s="1020"/>
      <c r="M23" s="1020"/>
      <c r="N23" s="1020"/>
      <c r="O23" s="1020"/>
      <c r="P23" s="866"/>
      <c r="Q23" s="1021"/>
      <c r="R23" s="1022"/>
      <c r="S23" s="3267"/>
      <c r="T23" s="3268"/>
      <c r="U23" s="3268"/>
      <c r="V23" s="3268"/>
      <c r="W23" s="3268"/>
      <c r="X23" s="3269"/>
      <c r="AA23" s="874"/>
      <c r="AB23" s="874"/>
      <c r="AC23" s="874"/>
      <c r="AF23" s="874"/>
      <c r="AG23" s="874"/>
      <c r="AH23" s="874"/>
      <c r="AI23" s="874"/>
      <c r="AJ23" s="874"/>
      <c r="AK23" s="874"/>
      <c r="AL23" s="874"/>
      <c r="AM23" s="1023"/>
      <c r="AV23" s="588"/>
      <c r="AW23" s="588"/>
      <c r="AX23" s="588"/>
      <c r="AY23" s="588"/>
    </row>
    <row r="24" spans="2:51" s="602" customFormat="1" ht="6" customHeight="1">
      <c r="B24" s="614"/>
      <c r="E24" s="1012"/>
      <c r="F24" s="1024"/>
      <c r="G24" s="1024"/>
      <c r="H24" s="1024"/>
      <c r="I24" s="1024"/>
      <c r="J24" s="1024"/>
      <c r="K24" s="1024"/>
      <c r="L24" s="1024"/>
      <c r="M24" s="1024"/>
      <c r="N24" s="1024"/>
      <c r="O24" s="874"/>
      <c r="Q24" s="874"/>
      <c r="R24" s="588"/>
      <c r="S24" s="588"/>
      <c r="V24" s="874"/>
      <c r="W24" s="588"/>
      <c r="X24" s="588"/>
      <c r="Y24" s="588"/>
      <c r="Z24" s="588"/>
      <c r="AA24" s="588"/>
      <c r="AB24" s="588"/>
      <c r="AD24" s="874"/>
      <c r="AE24" s="874"/>
      <c r="AF24" s="874"/>
      <c r="AG24" s="874"/>
      <c r="AH24" s="874"/>
      <c r="AI24" s="874"/>
      <c r="AJ24" s="874"/>
      <c r="AK24" s="874"/>
      <c r="AL24" s="874"/>
      <c r="AM24" s="1023"/>
      <c r="AV24" s="588"/>
      <c r="AW24" s="588"/>
      <c r="AX24" s="588"/>
      <c r="AY24" s="588"/>
    </row>
    <row r="25" spans="2:51" s="602" customFormat="1" ht="20.5">
      <c r="B25" s="614"/>
      <c r="D25" s="1012" t="s">
        <v>1270</v>
      </c>
      <c r="E25" s="637"/>
      <c r="F25" s="649"/>
      <c r="G25" s="649"/>
      <c r="H25" s="649"/>
      <c r="I25" s="649"/>
      <c r="J25" s="649"/>
      <c r="K25" s="649"/>
      <c r="L25" s="649"/>
      <c r="M25" s="649"/>
      <c r="N25" s="649"/>
      <c r="O25" s="609"/>
      <c r="P25" s="568"/>
      <c r="Q25" s="568"/>
      <c r="R25" s="568"/>
      <c r="S25" s="568"/>
      <c r="T25" s="568"/>
      <c r="U25" s="1025"/>
      <c r="V25" s="609"/>
      <c r="W25" s="609"/>
      <c r="X25" s="609"/>
      <c r="Y25" s="609"/>
      <c r="Z25" s="609"/>
      <c r="AA25" s="609"/>
      <c r="AB25" s="568"/>
      <c r="AC25" s="568"/>
      <c r="AD25" s="568"/>
      <c r="AE25" s="568"/>
      <c r="AF25" s="568"/>
      <c r="AG25" s="568"/>
      <c r="AH25" s="568"/>
      <c r="AI25" s="568"/>
      <c r="AJ25" s="568"/>
      <c r="AK25" s="568"/>
      <c r="AL25" s="568"/>
      <c r="AM25" s="574"/>
      <c r="AV25" s="588"/>
      <c r="AW25" s="588"/>
      <c r="AX25" s="588"/>
      <c r="AY25" s="588"/>
    </row>
    <row r="26" spans="2:51" s="602" customFormat="1" ht="20">
      <c r="B26" s="614"/>
      <c r="D26" s="681"/>
      <c r="E26" s="1015"/>
      <c r="F26" s="1015"/>
      <c r="G26" s="1015"/>
      <c r="H26" s="76" t="b">
        <v>1</v>
      </c>
      <c r="I26" s="568" t="s">
        <v>411</v>
      </c>
      <c r="J26" s="681"/>
      <c r="K26" s="681"/>
      <c r="L26" s="681"/>
      <c r="M26" s="681"/>
      <c r="N26" s="681"/>
      <c r="O26" s="681"/>
      <c r="R26" s="76" t="b">
        <v>0</v>
      </c>
      <c r="S26" s="568" t="s">
        <v>412</v>
      </c>
      <c r="T26" s="681"/>
      <c r="U26" s="681"/>
      <c r="V26" s="681"/>
      <c r="W26" s="681"/>
      <c r="X26" s="681"/>
      <c r="AA26" s="76" t="b">
        <v>0</v>
      </c>
      <c r="AB26" s="726" t="s">
        <v>908</v>
      </c>
      <c r="AC26" s="681"/>
      <c r="AD26" s="681"/>
      <c r="AE26" s="681"/>
      <c r="AF26" s="2773"/>
      <c r="AG26" s="2773"/>
      <c r="AH26" s="2773"/>
      <c r="AI26" s="2773"/>
      <c r="AJ26" s="2773"/>
      <c r="AK26" s="2773"/>
      <c r="AL26" s="1017"/>
      <c r="AM26" s="1018"/>
      <c r="AV26" s="588"/>
      <c r="AW26" s="588"/>
      <c r="AX26" s="588"/>
      <c r="AY26" s="588"/>
    </row>
    <row r="27" spans="2:51" s="602" customFormat="1" ht="20">
      <c r="B27" s="614"/>
      <c r="D27" s="681"/>
      <c r="E27" s="1015"/>
      <c r="F27" s="1015"/>
      <c r="G27" s="1015"/>
      <c r="H27" s="76" t="b">
        <v>0</v>
      </c>
      <c r="I27" s="568" t="s">
        <v>539</v>
      </c>
      <c r="J27" s="681"/>
      <c r="K27" s="681"/>
      <c r="L27" s="681"/>
      <c r="M27" s="681"/>
      <c r="N27" s="681"/>
      <c r="O27" s="681"/>
      <c r="R27" s="76" t="b">
        <v>1</v>
      </c>
      <c r="S27" s="568" t="s">
        <v>413</v>
      </c>
      <c r="T27" s="681"/>
      <c r="U27" s="681"/>
      <c r="V27" s="681"/>
      <c r="W27" s="681"/>
      <c r="X27" s="681"/>
      <c r="Y27" s="609"/>
      <c r="Z27" s="568"/>
      <c r="AA27" s="568"/>
      <c r="AB27" s="568"/>
      <c r="AC27" s="568"/>
      <c r="AD27" s="681"/>
      <c r="AE27" s="681"/>
      <c r="AF27" s="1016" t="str">
        <f>IF(AND(clinic_tools_others=TRUE,ISBLANK(clinic_tools_others_value)),"Please specify.",IF(AND(clinic_tools_others=FALSE,(clinic_tools_others_value&gt;0)),"Please check Others if you have entries.",""))</f>
        <v/>
      </c>
      <c r="AG27" s="609"/>
      <c r="AH27" s="609"/>
      <c r="AI27" s="609"/>
      <c r="AJ27" s="609"/>
      <c r="AK27" s="609"/>
      <c r="AL27" s="609"/>
      <c r="AM27" s="711"/>
      <c r="AV27" s="588"/>
      <c r="AW27" s="588"/>
      <c r="AX27" s="588"/>
      <c r="AY27" s="588"/>
    </row>
    <row r="28" spans="2:51" s="602" customFormat="1" ht="25" customHeight="1">
      <c r="B28" s="614"/>
      <c r="D28" s="1012" t="s">
        <v>1169</v>
      </c>
      <c r="E28" s="1012"/>
      <c r="F28" s="1013"/>
      <c r="G28" s="1013"/>
      <c r="H28" s="1013"/>
      <c r="I28" s="1013"/>
      <c r="J28" s="1013"/>
      <c r="K28" s="1013"/>
      <c r="L28" s="1013"/>
      <c r="M28" s="1013"/>
      <c r="N28" s="1013"/>
      <c r="O28" s="874"/>
      <c r="R28" s="588"/>
      <c r="S28" s="588"/>
      <c r="T28" s="588"/>
      <c r="U28" s="1014"/>
      <c r="V28" s="874"/>
      <c r="W28" s="874"/>
      <c r="X28" s="3130">
        <v>3</v>
      </c>
      <c r="Y28" s="3130"/>
      <c r="Z28" s="3130"/>
      <c r="AA28" s="3130"/>
      <c r="AB28" s="3130"/>
      <c r="AC28" s="3130"/>
      <c r="AD28" s="588"/>
      <c r="AE28" s="588"/>
      <c r="AF28" s="588"/>
      <c r="AG28" s="588"/>
      <c r="AH28" s="588"/>
      <c r="AI28" s="588"/>
      <c r="AJ28" s="588"/>
      <c r="AK28" s="588"/>
      <c r="AL28" s="588"/>
      <c r="AM28" s="812"/>
      <c r="AV28" s="588"/>
      <c r="AW28" s="588"/>
      <c r="AX28" s="588"/>
      <c r="AY28" s="588"/>
    </row>
    <row r="29" spans="2:51" s="602" customFormat="1" ht="25" customHeight="1">
      <c r="B29" s="614"/>
      <c r="D29" s="1012" t="s">
        <v>1170</v>
      </c>
      <c r="E29" s="1012"/>
      <c r="F29" s="1013"/>
      <c r="G29" s="1013"/>
      <c r="H29" s="1013"/>
      <c r="I29" s="1013"/>
      <c r="J29" s="1013"/>
      <c r="K29" s="1013"/>
      <c r="L29" s="1013"/>
      <c r="M29" s="1013"/>
      <c r="N29" s="1013"/>
      <c r="O29" s="874"/>
      <c r="P29" s="588"/>
      <c r="Q29" s="588"/>
      <c r="R29" s="588"/>
      <c r="T29" s="588"/>
      <c r="U29" s="1014"/>
      <c r="V29" s="874"/>
      <c r="W29" s="874"/>
      <c r="X29" s="3130">
        <v>6</v>
      </c>
      <c r="Y29" s="3130"/>
      <c r="Z29" s="3130"/>
      <c r="AA29" s="3130"/>
      <c r="AB29" s="3130"/>
      <c r="AC29" s="3130"/>
      <c r="AD29" s="588"/>
      <c r="AE29" s="588"/>
      <c r="AF29" s="588"/>
      <c r="AG29" s="588"/>
      <c r="AH29" s="588"/>
      <c r="AI29" s="588"/>
      <c r="AJ29" s="588"/>
      <c r="AK29" s="588"/>
      <c r="AL29" s="588"/>
      <c r="AM29" s="812"/>
      <c r="AV29" s="588"/>
      <c r="AW29" s="588"/>
      <c r="AX29" s="588"/>
      <c r="AY29" s="588"/>
    </row>
    <row r="30" spans="2:51" s="602" customFormat="1" ht="25" customHeight="1">
      <c r="B30" s="614"/>
      <c r="D30" s="1012" t="s">
        <v>1171</v>
      </c>
      <c r="E30" s="1012"/>
      <c r="F30" s="1013"/>
      <c r="G30" s="1013"/>
      <c r="H30" s="1013"/>
      <c r="I30" s="1013"/>
      <c r="J30" s="1013"/>
      <c r="K30" s="1013"/>
      <c r="L30" s="1013"/>
      <c r="M30" s="1013"/>
      <c r="N30" s="1013"/>
      <c r="O30" s="874"/>
      <c r="P30" s="588"/>
      <c r="Q30" s="588"/>
      <c r="R30" s="588"/>
      <c r="U30" s="1014"/>
      <c r="V30" s="874"/>
      <c r="W30" s="874"/>
      <c r="X30" s="3130">
        <v>1</v>
      </c>
      <c r="Y30" s="3130"/>
      <c r="Z30" s="3130"/>
      <c r="AA30" s="3130"/>
      <c r="AB30" s="3130"/>
      <c r="AC30" s="3130"/>
      <c r="AD30" s="588"/>
      <c r="AE30" s="588"/>
      <c r="AF30" s="588"/>
      <c r="AG30" s="588"/>
      <c r="AH30" s="588"/>
      <c r="AI30" s="588"/>
      <c r="AJ30" s="588"/>
      <c r="AK30" s="588"/>
      <c r="AL30" s="588"/>
      <c r="AM30" s="812"/>
      <c r="AV30" s="588"/>
      <c r="AW30" s="588"/>
      <c r="AX30" s="588"/>
      <c r="AY30" s="588"/>
    </row>
    <row r="31" spans="2:51" s="602" customFormat="1" ht="25" customHeight="1">
      <c r="B31" s="614"/>
      <c r="D31" s="1012" t="s">
        <v>1172</v>
      </c>
      <c r="E31" s="1012"/>
      <c r="F31" s="1013"/>
      <c r="G31" s="1013"/>
      <c r="H31" s="1013"/>
      <c r="I31" s="1013"/>
      <c r="J31" s="1013"/>
      <c r="K31" s="1013"/>
      <c r="L31" s="1013"/>
      <c r="M31" s="1013"/>
      <c r="N31" s="1013"/>
      <c r="O31" s="874"/>
      <c r="P31" s="588"/>
      <c r="Q31" s="588"/>
      <c r="R31" s="588"/>
      <c r="S31" s="588"/>
      <c r="T31" s="588"/>
      <c r="U31" s="1014"/>
      <c r="V31" s="874"/>
      <c r="W31" s="874"/>
      <c r="X31" s="3130">
        <v>1</v>
      </c>
      <c r="Y31" s="3130"/>
      <c r="Z31" s="3130"/>
      <c r="AA31" s="3130"/>
      <c r="AB31" s="3130"/>
      <c r="AC31" s="3130"/>
      <c r="AD31" s="588"/>
      <c r="AE31" s="588"/>
      <c r="AF31" s="588"/>
      <c r="AG31" s="588"/>
      <c r="AH31" s="588"/>
      <c r="AI31" s="588"/>
      <c r="AJ31" s="588"/>
      <c r="AK31" s="588"/>
      <c r="AL31" s="588"/>
      <c r="AM31" s="812"/>
      <c r="AV31" s="588"/>
      <c r="AW31" s="588"/>
      <c r="AX31" s="588"/>
      <c r="AY31" s="588"/>
    </row>
    <row r="32" spans="2:51" s="602" customFormat="1" ht="11.25" customHeight="1" thickBot="1">
      <c r="B32" s="612"/>
      <c r="C32" s="613"/>
      <c r="D32" s="1010"/>
      <c r="E32" s="1010"/>
      <c r="F32" s="1011"/>
      <c r="G32" s="562"/>
      <c r="H32" s="562"/>
      <c r="I32" s="562"/>
      <c r="J32" s="562"/>
      <c r="K32" s="562"/>
      <c r="L32" s="562"/>
      <c r="M32" s="562"/>
      <c r="N32" s="562"/>
      <c r="O32" s="562"/>
      <c r="P32" s="866"/>
      <c r="Q32" s="866"/>
      <c r="R32" s="866"/>
      <c r="S32" s="866"/>
      <c r="T32" s="866"/>
      <c r="U32" s="562"/>
      <c r="V32" s="866"/>
      <c r="W32" s="866"/>
      <c r="X32" s="866"/>
      <c r="Y32" s="866"/>
      <c r="Z32" s="866"/>
      <c r="AA32" s="866"/>
      <c r="AB32" s="562"/>
      <c r="AC32" s="562"/>
      <c r="AD32" s="562"/>
      <c r="AE32" s="562"/>
      <c r="AF32" s="562"/>
      <c r="AG32" s="562"/>
      <c r="AH32" s="562"/>
      <c r="AI32" s="562"/>
      <c r="AJ32" s="562"/>
      <c r="AK32" s="562"/>
      <c r="AL32" s="562"/>
      <c r="AM32" s="806"/>
    </row>
    <row r="33" spans="2:46" s="975" customFormat="1" ht="10" customHeight="1">
      <c r="B33" s="187"/>
      <c r="C33" s="976"/>
      <c r="D33" s="976"/>
      <c r="E33" s="976"/>
      <c r="F33" s="976"/>
      <c r="G33" s="976"/>
      <c r="H33" s="977"/>
      <c r="I33" s="977"/>
      <c r="J33" s="977"/>
      <c r="K33" s="977"/>
      <c r="L33" s="977"/>
      <c r="M33" s="977"/>
      <c r="N33" s="977"/>
      <c r="O33" s="977"/>
      <c r="P33" s="977"/>
      <c r="Q33" s="977"/>
      <c r="R33" s="977"/>
      <c r="S33" s="977"/>
      <c r="T33" s="977"/>
      <c r="U33" s="977"/>
      <c r="V33" s="977"/>
      <c r="W33" s="977"/>
      <c r="X33" s="977"/>
      <c r="Y33" s="977"/>
      <c r="Z33" s="977"/>
      <c r="AA33" s="977"/>
      <c r="AB33" s="977"/>
      <c r="AC33" s="977"/>
      <c r="AD33" s="977"/>
      <c r="AE33" s="977"/>
      <c r="AF33" s="977"/>
      <c r="AG33" s="977"/>
      <c r="AH33" s="977"/>
      <c r="AI33" s="977"/>
      <c r="AJ33" s="977"/>
      <c r="AK33" s="977"/>
      <c r="AL33" s="977"/>
      <c r="AM33" s="977"/>
      <c r="AN33" s="977"/>
      <c r="AO33" s="977"/>
      <c r="AP33" s="977"/>
      <c r="AQ33" s="977"/>
    </row>
    <row r="34" spans="2:46" s="128" customFormat="1" ht="30.75" customHeight="1">
      <c r="C34" s="187"/>
      <c r="E34" s="187"/>
      <c r="G34" s="187"/>
      <c r="I34" s="187"/>
      <c r="K34" s="187"/>
      <c r="M34" s="187"/>
      <c r="O34" s="187"/>
      <c r="Q34" s="187"/>
      <c r="S34" s="187"/>
      <c r="X34" s="187"/>
      <c r="Z34" s="187"/>
      <c r="AC34" s="187"/>
      <c r="AE34" s="187"/>
      <c r="AG34" s="187"/>
      <c r="AI34" s="187"/>
      <c r="AK34" s="187"/>
      <c r="AM34" s="187"/>
      <c r="AO34" s="187"/>
      <c r="AQ34" s="187"/>
      <c r="AS34" s="187"/>
    </row>
    <row r="35" spans="2:46" s="168" customFormat="1" ht="14">
      <c r="B35" s="169" t="s">
        <v>847</v>
      </c>
      <c r="AB35" s="169" t="s">
        <v>765</v>
      </c>
    </row>
    <row r="36" spans="2:46" s="168" customFormat="1" ht="21.75" customHeight="1">
      <c r="B36" s="169" t="s">
        <v>748</v>
      </c>
      <c r="F36" s="1959" t="str">
        <f>activesheet!E29</f>
        <v>RICO S. MISPEROS</v>
      </c>
      <c r="G36" s="1959"/>
      <c r="H36" s="1959"/>
      <c r="I36" s="1959"/>
      <c r="J36" s="1959"/>
      <c r="K36" s="1959"/>
      <c r="L36" s="1959"/>
      <c r="M36" s="1959"/>
      <c r="N36" s="1959"/>
      <c r="O36" s="1959"/>
      <c r="P36" s="1959"/>
      <c r="Q36" s="1959"/>
      <c r="R36" s="1959"/>
      <c r="S36" s="1959"/>
      <c r="T36" s="172"/>
      <c r="U36" s="172"/>
      <c r="V36" s="172"/>
      <c r="W36" s="172"/>
      <c r="X36" s="172"/>
      <c r="Y36" s="172"/>
      <c r="Z36" s="172"/>
      <c r="AB36" s="1959" t="str">
        <f>activesheet!E2079</f>
        <v>RAQUEL N. ACOMPAŇADO</v>
      </c>
      <c r="AC36" s="1959"/>
      <c r="AD36" s="1959"/>
      <c r="AE36" s="1959"/>
      <c r="AF36" s="1959"/>
      <c r="AG36" s="1959"/>
      <c r="AH36" s="1959"/>
      <c r="AI36" s="1959"/>
      <c r="AJ36" s="1959"/>
      <c r="AK36" s="1959"/>
      <c r="AL36" s="1959"/>
      <c r="AM36" s="1959"/>
      <c r="AN36" s="1959"/>
      <c r="AO36" s="1959"/>
      <c r="AP36" s="1959"/>
      <c r="AQ36" s="1959"/>
      <c r="AR36" s="1959"/>
      <c r="AS36" s="1959"/>
    </row>
    <row r="37" spans="2:46" s="174" customFormat="1" ht="15" customHeight="1">
      <c r="B37" s="173"/>
      <c r="F37" s="1764" t="s">
        <v>741</v>
      </c>
      <c r="G37" s="1764"/>
      <c r="H37" s="1764"/>
      <c r="I37" s="1764"/>
      <c r="J37" s="1764"/>
      <c r="K37" s="1764"/>
      <c r="L37" s="1764"/>
      <c r="M37" s="1764"/>
      <c r="N37" s="1764"/>
      <c r="O37" s="1764"/>
      <c r="P37" s="1764"/>
      <c r="Q37" s="1764"/>
      <c r="R37" s="1764"/>
      <c r="S37" s="1764"/>
      <c r="T37" s="184"/>
      <c r="U37" s="184"/>
      <c r="V37" s="184"/>
      <c r="W37" s="184"/>
      <c r="X37" s="184"/>
      <c r="Y37" s="184"/>
      <c r="Z37" s="184"/>
      <c r="AA37" s="175"/>
      <c r="AB37" s="1764" t="s">
        <v>741</v>
      </c>
      <c r="AC37" s="1764"/>
      <c r="AD37" s="1764"/>
      <c r="AE37" s="1764"/>
      <c r="AF37" s="1764"/>
      <c r="AG37" s="1764"/>
      <c r="AH37" s="1764"/>
      <c r="AI37" s="1764"/>
      <c r="AJ37" s="1764"/>
      <c r="AK37" s="1764"/>
      <c r="AL37" s="1764"/>
      <c r="AM37" s="1764"/>
      <c r="AN37" s="1764"/>
      <c r="AO37" s="1764"/>
      <c r="AP37" s="1764"/>
      <c r="AQ37" s="1764"/>
      <c r="AR37" s="1764"/>
      <c r="AS37" s="1764"/>
    </row>
    <row r="38" spans="2:46" s="168" customFormat="1" ht="21.75" customHeight="1">
      <c r="B38" s="169" t="s">
        <v>71</v>
      </c>
      <c r="F38" s="1959" t="str">
        <f>activesheet!E30</f>
        <v>SCHOOL PRINCIPAL II</v>
      </c>
      <c r="G38" s="1959"/>
      <c r="H38" s="1959"/>
      <c r="I38" s="1959"/>
      <c r="J38" s="1959"/>
      <c r="K38" s="1959"/>
      <c r="L38" s="1959"/>
      <c r="M38" s="1959"/>
      <c r="N38" s="1959"/>
      <c r="O38" s="1959"/>
      <c r="P38" s="1959"/>
      <c r="Q38" s="1959"/>
      <c r="R38" s="1959"/>
      <c r="S38" s="1959"/>
      <c r="T38" s="172"/>
      <c r="U38" s="172"/>
      <c r="V38" s="172"/>
      <c r="W38" s="172"/>
      <c r="X38" s="172"/>
      <c r="Y38" s="172"/>
      <c r="Z38" s="172"/>
      <c r="AB38" s="169" t="s">
        <v>71</v>
      </c>
      <c r="AF38" s="1959" t="str">
        <f>activesheet!E2080</f>
        <v>Nurse II</v>
      </c>
      <c r="AG38" s="1959"/>
      <c r="AH38" s="1959"/>
      <c r="AI38" s="1959"/>
      <c r="AJ38" s="1959"/>
      <c r="AK38" s="1959"/>
      <c r="AL38" s="1959"/>
      <c r="AM38" s="1959"/>
      <c r="AN38" s="1959"/>
      <c r="AO38" s="1959"/>
      <c r="AP38" s="1959"/>
      <c r="AQ38" s="1959"/>
      <c r="AR38" s="1959"/>
      <c r="AS38" s="1959"/>
    </row>
    <row r="39" spans="2:46" s="128" customFormat="1" ht="30.75" customHeight="1">
      <c r="P39" s="187"/>
      <c r="R39" s="187"/>
      <c r="T39" s="187"/>
      <c r="V39" s="187"/>
      <c r="X39" s="187"/>
      <c r="Z39" s="187"/>
      <c r="AB39" s="187"/>
      <c r="AD39" s="187"/>
      <c r="AF39" s="187"/>
    </row>
    <row r="40" spans="2:46" s="168" customFormat="1" ht="14">
      <c r="O40" s="169" t="s">
        <v>783</v>
      </c>
    </row>
    <row r="41" spans="2:46" s="168" customFormat="1" ht="21.75" customHeight="1">
      <c r="H41" s="172"/>
      <c r="I41" s="172"/>
      <c r="J41" s="172"/>
      <c r="K41" s="172"/>
      <c r="L41" s="172"/>
      <c r="M41" s="172"/>
      <c r="N41" s="172"/>
      <c r="O41" s="1956" t="str">
        <f>activesheet!E31</f>
        <v>MICHAEL T. JAMIS</v>
      </c>
      <c r="P41" s="1956"/>
      <c r="Q41" s="1956"/>
      <c r="R41" s="1956"/>
      <c r="S41" s="1956"/>
      <c r="T41" s="1956"/>
      <c r="U41" s="1956"/>
      <c r="V41" s="1956"/>
      <c r="W41" s="1956"/>
      <c r="X41" s="1956"/>
      <c r="Y41" s="1956"/>
      <c r="Z41" s="1956"/>
      <c r="AA41" s="1956"/>
      <c r="AB41" s="1956"/>
      <c r="AC41" s="1956"/>
      <c r="AD41" s="1956"/>
      <c r="AE41" s="1956"/>
      <c r="AF41" s="1956"/>
    </row>
    <row r="42" spans="2:46" s="174" customFormat="1" ht="15" customHeight="1">
      <c r="H42" s="184"/>
      <c r="I42" s="184"/>
      <c r="J42" s="184"/>
      <c r="K42" s="184"/>
      <c r="L42" s="184"/>
      <c r="M42" s="184"/>
      <c r="N42" s="184"/>
      <c r="O42" s="1957"/>
      <c r="P42" s="1957"/>
      <c r="Q42" s="1957"/>
      <c r="R42" s="1957"/>
      <c r="S42" s="1957"/>
      <c r="T42" s="1957"/>
      <c r="U42" s="1957"/>
      <c r="V42" s="1957"/>
      <c r="W42" s="1957"/>
      <c r="X42" s="1957"/>
      <c r="Y42" s="1957"/>
      <c r="Z42" s="1957"/>
      <c r="AA42" s="1957"/>
      <c r="AB42" s="1957"/>
      <c r="AC42" s="1957"/>
      <c r="AD42" s="1957"/>
      <c r="AE42" s="1957"/>
      <c r="AF42" s="1957"/>
      <c r="AG42" s="128"/>
      <c r="AH42" s="187"/>
      <c r="AI42" s="128"/>
      <c r="AJ42" s="187"/>
      <c r="AK42" s="128"/>
      <c r="AL42" s="187"/>
      <c r="AM42" s="128"/>
      <c r="AN42" s="187"/>
      <c r="AO42" s="128"/>
      <c r="AP42" s="187"/>
      <c r="AQ42" s="128"/>
      <c r="AR42" s="187"/>
      <c r="AS42" s="128"/>
      <c r="AT42" s="187"/>
    </row>
    <row r="43" spans="2:46" s="168" customFormat="1" ht="21.75" customHeight="1">
      <c r="H43" s="172"/>
      <c r="I43" s="172"/>
      <c r="J43" s="172"/>
      <c r="K43" s="172"/>
      <c r="L43" s="172"/>
      <c r="M43" s="172"/>
      <c r="N43" s="172"/>
      <c r="O43" s="1764" t="s">
        <v>741</v>
      </c>
      <c r="P43" s="1764"/>
      <c r="Q43" s="1764"/>
      <c r="R43" s="1764"/>
      <c r="S43" s="1764"/>
      <c r="T43" s="1764"/>
      <c r="U43" s="1764"/>
      <c r="V43" s="1764"/>
      <c r="W43" s="1764"/>
      <c r="X43" s="1764"/>
      <c r="Y43" s="1764"/>
      <c r="Z43" s="1764"/>
      <c r="AA43" s="1764"/>
      <c r="AB43" s="1764"/>
      <c r="AC43" s="1764"/>
      <c r="AD43" s="1764"/>
      <c r="AE43" s="1764"/>
      <c r="AF43" s="1764"/>
    </row>
    <row r="44" spans="2:46">
      <c r="H44" s="169"/>
      <c r="I44" s="168"/>
      <c r="J44" s="168"/>
      <c r="K44" s="168"/>
      <c r="L44" s="168"/>
      <c r="M44" s="168"/>
      <c r="N44" s="168"/>
      <c r="O44" s="168"/>
      <c r="P44" s="168"/>
      <c r="Q44" s="168"/>
      <c r="R44" s="168"/>
      <c r="S44" s="168"/>
      <c r="T44" s="168"/>
      <c r="U44" s="168"/>
      <c r="V44" s="168"/>
    </row>
    <row r="45" spans="2:46">
      <c r="C45" s="168"/>
      <c r="D45" s="168"/>
      <c r="E45" s="168"/>
    </row>
    <row r="46" spans="2:46">
      <c r="B46" s="655"/>
      <c r="C46" s="156"/>
      <c r="D46" s="156"/>
      <c r="E46" s="156"/>
    </row>
    <row r="47" spans="2:46">
      <c r="C47" s="168"/>
      <c r="D47" s="168"/>
      <c r="E47" s="168"/>
      <c r="F47" s="168"/>
      <c r="G47" s="168"/>
      <c r="H47" s="168"/>
      <c r="I47" s="168"/>
      <c r="J47" s="168"/>
      <c r="K47" s="168"/>
      <c r="L47" s="168"/>
      <c r="M47" s="168"/>
    </row>
  </sheetData>
  <sheetProtection algorithmName="SHA-512" hashValue="PsHA/eUJqS7r1Xt+2Uex6oGfdv4aRHcvcY8HImhfm0PGE7x3tRTVBqxk0bT5s8J56fCP8i1VZava6FJNEx7Ifg==" saltValue="83YyL6Rt9bqsOWUPvxsvWA==" spinCount="100000" sheet="1" objects="1" scenarios="1" selectLockedCells="1"/>
  <mergeCells count="69">
    <mergeCell ref="B4:I7"/>
    <mergeCell ref="X30:AC30"/>
    <mergeCell ref="P7:Q7"/>
    <mergeCell ref="AF26:AK26"/>
    <mergeCell ref="X28:AC28"/>
    <mergeCell ref="X29:AC29"/>
    <mergeCell ref="J4:M5"/>
    <mergeCell ref="J6:K6"/>
    <mergeCell ref="L6:M6"/>
    <mergeCell ref="J7:K7"/>
    <mergeCell ref="L7:M7"/>
    <mergeCell ref="N4:Q5"/>
    <mergeCell ref="N6:O6"/>
    <mergeCell ref="P6:Q6"/>
    <mergeCell ref="N7:O7"/>
    <mergeCell ref="V4:Y5"/>
    <mergeCell ref="F22:J22"/>
    <mergeCell ref="F36:S36"/>
    <mergeCell ref="F37:S37"/>
    <mergeCell ref="X31:AC31"/>
    <mergeCell ref="K22:R22"/>
    <mergeCell ref="S22:X22"/>
    <mergeCell ref="S23:X23"/>
    <mergeCell ref="F18:R19"/>
    <mergeCell ref="S18:X19"/>
    <mergeCell ref="F20:R20"/>
    <mergeCell ref="S20:X20"/>
    <mergeCell ref="F21:R21"/>
    <mergeCell ref="S21:X21"/>
    <mergeCell ref="V6:W6"/>
    <mergeCell ref="X6:Y6"/>
    <mergeCell ref="V7:W7"/>
    <mergeCell ref="X7:Y7"/>
    <mergeCell ref="R4:U5"/>
    <mergeCell ref="R6:S6"/>
    <mergeCell ref="T6:U6"/>
    <mergeCell ref="R7:S7"/>
    <mergeCell ref="T7:U7"/>
    <mergeCell ref="AD4:AG5"/>
    <mergeCell ref="AD6:AE6"/>
    <mergeCell ref="AF6:AG6"/>
    <mergeCell ref="AD7:AE7"/>
    <mergeCell ref="AF7:AG7"/>
    <mergeCell ref="Z4:AC5"/>
    <mergeCell ref="Z6:AA6"/>
    <mergeCell ref="AB6:AC6"/>
    <mergeCell ref="Z7:AA7"/>
    <mergeCell ref="AB7:AC7"/>
    <mergeCell ref="AL4:AO5"/>
    <mergeCell ref="AL6:AM6"/>
    <mergeCell ref="AN6:AO6"/>
    <mergeCell ref="AL7:AM7"/>
    <mergeCell ref="AN7:AO7"/>
    <mergeCell ref="AH4:AK5"/>
    <mergeCell ref="AH6:AI6"/>
    <mergeCell ref="AJ6:AK6"/>
    <mergeCell ref="AH7:AI7"/>
    <mergeCell ref="AJ7:AK7"/>
    <mergeCell ref="AP4:AS5"/>
    <mergeCell ref="AP6:AQ6"/>
    <mergeCell ref="AR6:AS6"/>
    <mergeCell ref="AP7:AQ7"/>
    <mergeCell ref="AR7:AS7"/>
    <mergeCell ref="AF38:AS38"/>
    <mergeCell ref="AB37:AS37"/>
    <mergeCell ref="AB36:AS36"/>
    <mergeCell ref="O41:AF42"/>
    <mergeCell ref="O43:AF43"/>
    <mergeCell ref="F38:S38"/>
  </mergeCells>
  <dataValidations count="3">
    <dataValidation type="whole" allowBlank="1" showInputMessage="1" showErrorMessage="1" errorTitle="GESP SY 2022-2023" error="Please enter valid number between 0 - 20,000." sqref="J7:AO7" xr:uid="{00000000-0002-0000-1F00-000000000000}">
      <formula1>0</formula1>
      <formula2>20000</formula2>
    </dataValidation>
    <dataValidation type="whole" allowBlank="1" showInputMessage="1" showErrorMessage="1" errorTitle="GESP SY 2022-2023" error="Please enter valid number between 0 - 2,000" sqref="S20:X22 X28:AC30" xr:uid="{00000000-0002-0000-1F00-000001000000}">
      <formula1>0</formula1>
      <formula2>2000</formula2>
    </dataValidation>
    <dataValidation type="whole" allowBlank="1" showInputMessage="1" showErrorMessage="1" errorTitle="GESP SY 2022-2023" error="Please enter valid number between 0 - 999." sqref="X31:AC31" xr:uid="{00000000-0002-0000-1F00-000002000000}">
      <formula1>0</formula1>
      <formula2>999</formula2>
    </dataValidation>
  </dataValidations>
  <printOptions horizontalCentered="1" verticalCentered="1"/>
  <pageMargins left="0.25" right="0.25" top="0.2" bottom="0.2" header="0" footer="0.1"/>
  <pageSetup paperSize="9" scale="65" orientation="landscape" r:id="rId1"/>
  <headerFooter alignWithMargins="0">
    <oddFooter>&amp;L&amp;10&amp;F &amp;A&amp;R&amp;11Page 28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9873" r:id="rId4" name="Check Box 1">
              <controlPr locked="0" defaultSize="0" autoFill="0" autoLine="0" autoPict="0">
                <anchor moveWithCells="1">
                  <from>
                    <xdr:col>21</xdr:col>
                    <xdr:colOff>50800</xdr:colOff>
                    <xdr:row>11</xdr:row>
                    <xdr:rowOff>0</xdr:rowOff>
                  </from>
                  <to>
                    <xdr:col>23</xdr:col>
                    <xdr:colOff>0</xdr:colOff>
                    <xdr:row>11</xdr:row>
                    <xdr:rowOff>228600</xdr:rowOff>
                  </to>
                </anchor>
              </controlPr>
            </control>
          </mc:Choice>
        </mc:AlternateContent>
        <mc:AlternateContent xmlns:mc="http://schemas.openxmlformats.org/markup-compatibility/2006">
          <mc:Choice Requires="x14">
            <control shapeId="79874" r:id="rId5" name="Check Box 2">
              <controlPr locked="0" defaultSize="0" autoFill="0" autoLine="0" autoPict="0">
                <anchor moveWithCells="1">
                  <from>
                    <xdr:col>21</xdr:col>
                    <xdr:colOff>50800</xdr:colOff>
                    <xdr:row>13</xdr:row>
                    <xdr:rowOff>0</xdr:rowOff>
                  </from>
                  <to>
                    <xdr:col>23</xdr:col>
                    <xdr:colOff>0</xdr:colOff>
                    <xdr:row>13</xdr:row>
                    <xdr:rowOff>228600</xdr:rowOff>
                  </to>
                </anchor>
              </controlPr>
            </control>
          </mc:Choice>
        </mc:AlternateContent>
        <mc:AlternateContent xmlns:mc="http://schemas.openxmlformats.org/markup-compatibility/2006">
          <mc:Choice Requires="x14">
            <control shapeId="79875" r:id="rId6" name="Check Box 3">
              <controlPr locked="0" defaultSize="0" autoFill="0" autoLine="0" autoPict="0">
                <anchor moveWithCells="1">
                  <from>
                    <xdr:col>26</xdr:col>
                    <xdr:colOff>50800</xdr:colOff>
                    <xdr:row>11</xdr:row>
                    <xdr:rowOff>0</xdr:rowOff>
                  </from>
                  <to>
                    <xdr:col>28</xdr:col>
                    <xdr:colOff>0</xdr:colOff>
                    <xdr:row>11</xdr:row>
                    <xdr:rowOff>228600</xdr:rowOff>
                  </to>
                </anchor>
              </controlPr>
            </control>
          </mc:Choice>
        </mc:AlternateContent>
        <mc:AlternateContent xmlns:mc="http://schemas.openxmlformats.org/markup-compatibility/2006">
          <mc:Choice Requires="x14">
            <control shapeId="79876" r:id="rId7" name="Check Box 4">
              <controlPr locked="0" defaultSize="0" autoFill="0" autoLine="0" autoPict="0">
                <anchor moveWithCells="1">
                  <from>
                    <xdr:col>26</xdr:col>
                    <xdr:colOff>50800</xdr:colOff>
                    <xdr:row>13</xdr:row>
                    <xdr:rowOff>0</xdr:rowOff>
                  </from>
                  <to>
                    <xdr:col>28</xdr:col>
                    <xdr:colOff>0</xdr:colOff>
                    <xdr:row>13</xdr:row>
                    <xdr:rowOff>228600</xdr:rowOff>
                  </to>
                </anchor>
              </controlPr>
            </control>
          </mc:Choice>
        </mc:AlternateContent>
        <mc:AlternateContent xmlns:mc="http://schemas.openxmlformats.org/markup-compatibility/2006">
          <mc:Choice Requires="x14">
            <control shapeId="79877" r:id="rId8" name="Check Box 5">
              <controlPr locked="0" defaultSize="0" autoFill="0" autoLine="0" autoPict="0">
                <anchor moveWithCells="1">
                  <from>
                    <xdr:col>7</xdr:col>
                    <xdr:colOff>50800</xdr:colOff>
                    <xdr:row>25</xdr:row>
                    <xdr:rowOff>0</xdr:rowOff>
                  </from>
                  <to>
                    <xdr:col>9</xdr:col>
                    <xdr:colOff>0</xdr:colOff>
                    <xdr:row>25</xdr:row>
                    <xdr:rowOff>228600</xdr:rowOff>
                  </to>
                </anchor>
              </controlPr>
            </control>
          </mc:Choice>
        </mc:AlternateContent>
        <mc:AlternateContent xmlns:mc="http://schemas.openxmlformats.org/markup-compatibility/2006">
          <mc:Choice Requires="x14">
            <control shapeId="79878" r:id="rId9" name="Check Box 6">
              <controlPr locked="0" defaultSize="0" autoFill="0" autoLine="0" autoPict="0">
                <anchor moveWithCells="1">
                  <from>
                    <xdr:col>7</xdr:col>
                    <xdr:colOff>50800</xdr:colOff>
                    <xdr:row>26</xdr:row>
                    <xdr:rowOff>0</xdr:rowOff>
                  </from>
                  <to>
                    <xdr:col>9</xdr:col>
                    <xdr:colOff>0</xdr:colOff>
                    <xdr:row>26</xdr:row>
                    <xdr:rowOff>228600</xdr:rowOff>
                  </to>
                </anchor>
              </controlPr>
            </control>
          </mc:Choice>
        </mc:AlternateContent>
        <mc:AlternateContent xmlns:mc="http://schemas.openxmlformats.org/markup-compatibility/2006">
          <mc:Choice Requires="x14">
            <control shapeId="79879" r:id="rId10" name="Check Box 7">
              <controlPr locked="0" defaultSize="0" autoFill="0" autoLine="0" autoPict="0">
                <anchor moveWithCells="1">
                  <from>
                    <xdr:col>17</xdr:col>
                    <xdr:colOff>50800</xdr:colOff>
                    <xdr:row>25</xdr:row>
                    <xdr:rowOff>0</xdr:rowOff>
                  </from>
                  <to>
                    <xdr:col>19</xdr:col>
                    <xdr:colOff>0</xdr:colOff>
                    <xdr:row>25</xdr:row>
                    <xdr:rowOff>228600</xdr:rowOff>
                  </to>
                </anchor>
              </controlPr>
            </control>
          </mc:Choice>
        </mc:AlternateContent>
        <mc:AlternateContent xmlns:mc="http://schemas.openxmlformats.org/markup-compatibility/2006">
          <mc:Choice Requires="x14">
            <control shapeId="79880" r:id="rId11" name="Check Box 8">
              <controlPr locked="0" defaultSize="0" autoFill="0" autoLine="0" autoPict="0">
                <anchor moveWithCells="1">
                  <from>
                    <xdr:col>17</xdr:col>
                    <xdr:colOff>50800</xdr:colOff>
                    <xdr:row>26</xdr:row>
                    <xdr:rowOff>0</xdr:rowOff>
                  </from>
                  <to>
                    <xdr:col>19</xdr:col>
                    <xdr:colOff>0</xdr:colOff>
                    <xdr:row>26</xdr:row>
                    <xdr:rowOff>228600</xdr:rowOff>
                  </to>
                </anchor>
              </controlPr>
            </control>
          </mc:Choice>
        </mc:AlternateContent>
        <mc:AlternateContent xmlns:mc="http://schemas.openxmlformats.org/markup-compatibility/2006">
          <mc:Choice Requires="x14">
            <control shapeId="79881" r:id="rId12" name="Check Box 9">
              <controlPr locked="0" defaultSize="0" autoFill="0" autoLine="0" autoPict="0">
                <anchor moveWithCells="1">
                  <from>
                    <xdr:col>26</xdr:col>
                    <xdr:colOff>50800</xdr:colOff>
                    <xdr:row>25</xdr:row>
                    <xdr:rowOff>0</xdr:rowOff>
                  </from>
                  <to>
                    <xdr:col>28</xdr:col>
                    <xdr:colOff>0</xdr:colOff>
                    <xdr:row>25</xdr:row>
                    <xdr:rowOff>228600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B1:AS51"/>
  <sheetViews>
    <sheetView showGridLines="0" topLeftCell="A38" zoomScaleNormal="100" workbookViewId="0">
      <selection activeCell="N8" sqref="N8"/>
    </sheetView>
  </sheetViews>
  <sheetFormatPr defaultColWidth="9" defaultRowHeight="15.5"/>
  <cols>
    <col min="1" max="1" width="2.08203125" style="602" customWidth="1"/>
    <col min="2" max="45" width="3.58203125" style="602" customWidth="1"/>
    <col min="46" max="46" width="2.08203125" style="602" customWidth="1"/>
    <col min="47" max="52" width="3.58203125" style="602" customWidth="1"/>
    <col min="53" max="16384" width="9" style="602"/>
  </cols>
  <sheetData>
    <row r="1" spans="6:41" ht="12" customHeight="1"/>
    <row r="2" spans="6:41" ht="16.5">
      <c r="F2" s="1053" t="s">
        <v>11787</v>
      </c>
    </row>
    <row r="3" spans="6:41" s="568" customFormat="1" ht="16" thickBot="1">
      <c r="F3" s="582" t="s">
        <v>904</v>
      </c>
    </row>
    <row r="4" spans="6:41" ht="3" customHeight="1">
      <c r="F4" s="1054"/>
      <c r="G4" s="1055"/>
      <c r="H4" s="640"/>
      <c r="I4" s="640"/>
      <c r="J4" s="640"/>
      <c r="K4" s="640"/>
      <c r="L4" s="640"/>
      <c r="M4" s="640"/>
      <c r="N4" s="640"/>
      <c r="O4" s="640"/>
      <c r="P4" s="640"/>
      <c r="Q4" s="640"/>
      <c r="R4" s="640"/>
      <c r="S4" s="640"/>
      <c r="T4" s="640"/>
      <c r="U4" s="640"/>
      <c r="V4" s="640"/>
      <c r="W4" s="640"/>
      <c r="X4" s="640"/>
      <c r="Y4" s="640"/>
      <c r="Z4" s="640"/>
      <c r="AA4" s="640"/>
      <c r="AB4" s="640"/>
      <c r="AC4" s="640"/>
      <c r="AD4" s="640"/>
      <c r="AE4" s="640"/>
      <c r="AF4" s="640"/>
      <c r="AG4" s="640"/>
      <c r="AH4" s="640"/>
      <c r="AI4" s="640"/>
      <c r="AJ4" s="640"/>
      <c r="AK4" s="640"/>
      <c r="AL4" s="640"/>
      <c r="AM4" s="640"/>
      <c r="AN4" s="640"/>
      <c r="AO4" s="1056"/>
    </row>
    <row r="5" spans="6:41" ht="20.149999999999999" customHeight="1">
      <c r="F5" s="1048" t="s">
        <v>219</v>
      </c>
      <c r="G5" s="1049"/>
      <c r="H5" s="610"/>
      <c r="I5" s="610"/>
      <c r="J5" s="1057"/>
      <c r="K5" s="1057"/>
      <c r="L5" s="1057"/>
      <c r="M5" s="1057"/>
      <c r="N5" s="1057"/>
      <c r="O5" s="1057"/>
      <c r="P5" s="1057"/>
      <c r="Q5" s="1057"/>
      <c r="R5" s="1057"/>
      <c r="S5" s="1057"/>
      <c r="T5" s="857" t="b">
        <v>1</v>
      </c>
      <c r="U5" s="588" t="s">
        <v>64</v>
      </c>
      <c r="V5" s="588"/>
      <c r="Y5" s="857" t="b">
        <v>0</v>
      </c>
      <c r="Z5" s="588" t="s">
        <v>0</v>
      </c>
      <c r="AO5" s="574"/>
    </row>
    <row r="6" spans="6:41" ht="20.5" customHeight="1">
      <c r="F6" s="1048"/>
      <c r="G6" s="1049"/>
      <c r="H6" s="610"/>
      <c r="I6" s="610" t="s">
        <v>339</v>
      </c>
      <c r="J6" s="1057"/>
      <c r="K6" s="1057"/>
      <c r="L6" s="1057"/>
      <c r="M6" s="1057"/>
      <c r="N6" s="1057"/>
      <c r="O6" s="1057"/>
      <c r="P6" s="1057"/>
      <c r="Q6" s="1057"/>
      <c r="R6" s="1057"/>
      <c r="S6" s="1057"/>
      <c r="T6" s="609"/>
      <c r="U6" s="568"/>
      <c r="V6" s="588"/>
      <c r="Y6" s="1057"/>
      <c r="Z6" s="1057"/>
      <c r="AA6" s="609"/>
      <c r="AB6" s="568"/>
      <c r="AO6" s="574"/>
    </row>
    <row r="7" spans="6:41" ht="20.149999999999999" customHeight="1">
      <c r="F7" s="614"/>
      <c r="J7" s="610" t="s">
        <v>362</v>
      </c>
      <c r="K7" s="651"/>
      <c r="L7" s="651"/>
      <c r="M7" s="651"/>
      <c r="N7" s="651"/>
      <c r="O7" s="651"/>
      <c r="P7" s="651"/>
      <c r="AO7" s="574"/>
    </row>
    <row r="8" spans="6:41" ht="20.149999999999999" customHeight="1">
      <c r="F8" s="614" t="s">
        <v>220</v>
      </c>
      <c r="H8" s="610"/>
      <c r="I8" s="610"/>
      <c r="J8" s="651"/>
      <c r="K8" s="651"/>
      <c r="L8" s="651"/>
      <c r="M8" s="651"/>
      <c r="N8" s="76" t="b">
        <v>1</v>
      </c>
      <c r="O8" s="724" t="s">
        <v>221</v>
      </c>
      <c r="P8" s="651"/>
      <c r="W8" s="608"/>
      <c r="X8" s="724"/>
      <c r="AB8" s="76" t="b">
        <v>0</v>
      </c>
      <c r="AC8" s="724" t="s">
        <v>70</v>
      </c>
      <c r="AO8" s="574"/>
    </row>
    <row r="9" spans="6:41" ht="20.149999999999999" customHeight="1">
      <c r="F9" s="614"/>
      <c r="H9" s="610"/>
      <c r="I9" s="610"/>
      <c r="J9" s="651"/>
      <c r="K9" s="651"/>
      <c r="L9" s="651"/>
      <c r="M9" s="651"/>
      <c r="N9" s="76" t="b">
        <v>0</v>
      </c>
      <c r="O9" s="724" t="s">
        <v>11788</v>
      </c>
      <c r="P9" s="651"/>
      <c r="W9" s="608"/>
      <c r="X9" s="724"/>
      <c r="AB9" s="76" t="b">
        <v>0</v>
      </c>
      <c r="AC9" s="648" t="s">
        <v>908</v>
      </c>
      <c r="AG9" s="3305"/>
      <c r="AH9" s="3305"/>
      <c r="AI9" s="3305"/>
      <c r="AJ9" s="3305"/>
      <c r="AK9" s="3305"/>
      <c r="AL9" s="3305"/>
      <c r="AM9" s="1052"/>
      <c r="AO9" s="574"/>
    </row>
    <row r="10" spans="6:41" ht="20.149999999999999" customHeight="1">
      <c r="F10" s="614"/>
      <c r="H10" s="610"/>
      <c r="I10" s="610"/>
      <c r="J10" s="651"/>
      <c r="K10" s="651"/>
      <c r="L10" s="651"/>
      <c r="M10" s="651"/>
      <c r="N10" s="76" t="b">
        <v>0</v>
      </c>
      <c r="O10" s="724" t="s">
        <v>222</v>
      </c>
      <c r="P10" s="651"/>
      <c r="W10" s="608"/>
      <c r="X10" s="724"/>
      <c r="AG10" s="1051" t="str">
        <f>IF(AND(sch_ws_ifyes_others=TRUE,ISBLANK(sch_specify_watersupply)),"Please specify.",IF(AND(sch_ws_ifyes_others=FALSE,(sch_specify_watersupply&gt;0)),"Please check Others if you have entries.",""))</f>
        <v/>
      </c>
      <c r="AO10" s="574"/>
    </row>
    <row r="11" spans="6:41" ht="20.149999999999999" customHeight="1">
      <c r="F11" s="614"/>
      <c r="H11" s="610"/>
      <c r="I11" s="610"/>
      <c r="J11" s="610" t="s">
        <v>11535</v>
      </c>
      <c r="K11" s="651"/>
      <c r="L11" s="651"/>
      <c r="M11" s="651"/>
      <c r="N11" s="651"/>
      <c r="O11" s="651"/>
      <c r="P11" s="651"/>
      <c r="AB11" s="608"/>
      <c r="AC11" s="3103">
        <v>1100</v>
      </c>
      <c r="AD11" s="3103"/>
      <c r="AE11" s="3103"/>
      <c r="AF11" s="3103"/>
      <c r="AG11" s="3103"/>
      <c r="AO11" s="574"/>
    </row>
    <row r="12" spans="6:41" ht="20.149999999999999" customHeight="1">
      <c r="F12" s="1046"/>
      <c r="G12" s="651"/>
      <c r="I12" s="610"/>
      <c r="J12" s="610" t="s">
        <v>541</v>
      </c>
      <c r="K12" s="610"/>
      <c r="L12" s="610"/>
      <c r="M12" s="610"/>
      <c r="N12" s="610"/>
      <c r="O12" s="610"/>
      <c r="P12" s="610"/>
      <c r="Q12" s="610"/>
      <c r="R12" s="610"/>
      <c r="S12" s="610"/>
      <c r="T12" s="610"/>
      <c r="U12" s="610"/>
      <c r="V12" s="610"/>
      <c r="W12" s="610"/>
      <c r="X12" s="610"/>
      <c r="Y12" s="610"/>
      <c r="Z12" s="610"/>
      <c r="AA12" s="610"/>
      <c r="AB12" s="610"/>
      <c r="AC12" s="610"/>
      <c r="AD12" s="610"/>
      <c r="AE12" s="610"/>
      <c r="AF12" s="610"/>
      <c r="AG12" s="610"/>
      <c r="AH12" s="610"/>
      <c r="AI12" s="610"/>
      <c r="AJ12" s="610"/>
      <c r="AK12" s="610"/>
      <c r="AL12" s="610"/>
      <c r="AM12" s="610"/>
      <c r="AN12" s="610"/>
      <c r="AO12" s="574"/>
    </row>
    <row r="13" spans="6:41" ht="20.149999999999999" customHeight="1">
      <c r="F13" s="636"/>
      <c r="G13" s="610"/>
      <c r="I13" s="651"/>
      <c r="J13" s="1050"/>
      <c r="K13" s="1050"/>
      <c r="L13" s="1050"/>
      <c r="M13" s="1050"/>
      <c r="N13" s="76" t="b">
        <v>1</v>
      </c>
      <c r="O13" s="724" t="s">
        <v>65</v>
      </c>
      <c r="P13" s="1050"/>
      <c r="Q13" s="608"/>
      <c r="R13" s="608"/>
      <c r="S13" s="608"/>
      <c r="T13" s="608"/>
      <c r="U13" s="608"/>
      <c r="V13" s="608"/>
      <c r="W13" s="608"/>
      <c r="X13" s="608"/>
      <c r="Y13" s="608"/>
      <c r="Z13" s="608"/>
      <c r="AA13" s="608"/>
      <c r="AB13" s="76" t="b">
        <v>0</v>
      </c>
      <c r="AC13" s="724" t="s">
        <v>69</v>
      </c>
      <c r="AD13" s="1045"/>
      <c r="AE13" s="1050"/>
      <c r="AF13" s="608"/>
      <c r="AG13" s="608"/>
      <c r="AH13" s="608"/>
      <c r="AI13" s="608"/>
      <c r="AJ13" s="608"/>
      <c r="AK13" s="608"/>
      <c r="AL13" s="608"/>
      <c r="AM13" s="608"/>
      <c r="AN13" s="608"/>
      <c r="AO13" s="574"/>
    </row>
    <row r="14" spans="6:41" ht="20.149999999999999" customHeight="1">
      <c r="F14" s="636"/>
      <c r="G14" s="610"/>
      <c r="H14" s="610"/>
      <c r="I14" s="651"/>
      <c r="J14" s="1050"/>
      <c r="K14" s="1050"/>
      <c r="L14" s="1050"/>
      <c r="M14" s="1050"/>
      <c r="N14" s="76" t="b">
        <v>0</v>
      </c>
      <c r="O14" s="724" t="s">
        <v>66</v>
      </c>
      <c r="P14" s="1050"/>
      <c r="Q14" s="608"/>
      <c r="R14" s="608"/>
      <c r="S14" s="608"/>
      <c r="T14" s="608"/>
      <c r="U14" s="608"/>
      <c r="V14" s="608"/>
      <c r="W14" s="608"/>
      <c r="X14" s="608"/>
      <c r="Y14" s="608"/>
      <c r="Z14" s="608"/>
      <c r="AA14" s="608"/>
      <c r="AB14" s="76" t="b">
        <v>0</v>
      </c>
      <c r="AC14" s="724" t="s">
        <v>68</v>
      </c>
      <c r="AD14" s="1045"/>
      <c r="AE14" s="1050"/>
      <c r="AF14" s="608"/>
      <c r="AG14" s="608"/>
      <c r="AH14" s="608"/>
      <c r="AI14" s="608"/>
      <c r="AJ14" s="608"/>
      <c r="AK14" s="608"/>
      <c r="AL14" s="608"/>
      <c r="AM14" s="608"/>
      <c r="AN14" s="608"/>
      <c r="AO14" s="574"/>
    </row>
    <row r="15" spans="6:41" ht="20.149999999999999" customHeight="1">
      <c r="F15" s="636"/>
      <c r="G15" s="610"/>
      <c r="H15" s="610"/>
      <c r="I15" s="651"/>
      <c r="J15" s="1050"/>
      <c r="K15" s="1050"/>
      <c r="L15" s="1050"/>
      <c r="M15" s="1050"/>
      <c r="N15" s="76" t="b">
        <v>0</v>
      </c>
      <c r="O15" s="724" t="s">
        <v>67</v>
      </c>
      <c r="P15" s="1050"/>
      <c r="Q15" s="608"/>
      <c r="R15" s="608"/>
      <c r="S15" s="608"/>
      <c r="T15" s="608"/>
      <c r="U15" s="608"/>
      <c r="V15" s="608"/>
      <c r="W15" s="608"/>
      <c r="X15" s="608"/>
      <c r="Y15" s="608"/>
      <c r="Z15" s="608"/>
      <c r="AA15" s="608"/>
      <c r="AB15" s="76" t="b">
        <v>0</v>
      </c>
      <c r="AC15" s="648" t="s">
        <v>1168</v>
      </c>
      <c r="AD15" s="1045"/>
      <c r="AE15" s="1050"/>
      <c r="AF15" s="608"/>
      <c r="AG15" s="2672"/>
      <c r="AH15" s="2672"/>
      <c r="AI15" s="2672"/>
      <c r="AJ15" s="2672"/>
      <c r="AK15" s="2672"/>
      <c r="AL15" s="2672"/>
      <c r="AM15" s="879" t="str">
        <f>IF(AND(sch_ws_ifyes_fundsource_others=TRUE,ISBLANK(sch_specify_fund)),"Please specify.",IF(AND(sch_ws_ifyes_fundsource_others=FALSE,(sch_specify_fund&gt;0)),"Please check Others if you have entries.",""))</f>
        <v/>
      </c>
      <c r="AN15" s="608"/>
      <c r="AO15" s="574"/>
    </row>
    <row r="16" spans="6:41" ht="20.149999999999999" customHeight="1">
      <c r="F16" s="614"/>
      <c r="J16" s="602" t="s">
        <v>363</v>
      </c>
      <c r="AG16" s="857" t="b">
        <v>1</v>
      </c>
      <c r="AH16" s="588" t="s">
        <v>223</v>
      </c>
      <c r="AK16" s="857" t="b">
        <v>0</v>
      </c>
      <c r="AL16" s="588" t="s">
        <v>224</v>
      </c>
      <c r="AO16" s="812"/>
    </row>
    <row r="17" spans="6:41" ht="20.149999999999999" customHeight="1">
      <c r="F17" s="614"/>
      <c r="J17" s="602" t="s">
        <v>364</v>
      </c>
      <c r="AG17" s="857" t="b">
        <v>1</v>
      </c>
      <c r="AH17" s="588" t="s">
        <v>223</v>
      </c>
      <c r="AK17" s="857" t="b">
        <v>0</v>
      </c>
      <c r="AL17" s="588" t="s">
        <v>224</v>
      </c>
      <c r="AO17" s="812"/>
    </row>
    <row r="18" spans="6:41" ht="20.149999999999999" customHeight="1">
      <c r="F18" s="614"/>
      <c r="K18" s="602" t="s">
        <v>563</v>
      </c>
      <c r="AG18" s="857" t="b">
        <v>1</v>
      </c>
      <c r="AH18" s="588" t="s">
        <v>223</v>
      </c>
      <c r="AK18" s="857" t="b">
        <v>0</v>
      </c>
      <c r="AL18" s="588" t="s">
        <v>224</v>
      </c>
      <c r="AO18" s="812"/>
    </row>
    <row r="19" spans="6:41" ht="20">
      <c r="F19" s="614"/>
      <c r="K19" s="602" t="s">
        <v>564</v>
      </c>
      <c r="AH19" s="874"/>
      <c r="AI19" s="588"/>
      <c r="AL19" s="874"/>
      <c r="AM19" s="588"/>
      <c r="AO19" s="812"/>
    </row>
    <row r="20" spans="6:41" ht="20.149999999999999" customHeight="1">
      <c r="F20" s="636"/>
      <c r="G20" s="610"/>
      <c r="H20" s="610"/>
      <c r="I20" s="651"/>
      <c r="J20" s="1050"/>
      <c r="K20" s="1050"/>
      <c r="L20" s="1050"/>
      <c r="M20" s="1050"/>
      <c r="N20" s="76" t="b">
        <v>0</v>
      </c>
      <c r="O20" s="724" t="s">
        <v>256</v>
      </c>
      <c r="P20" s="1050"/>
      <c r="Q20" s="608"/>
      <c r="R20" s="608"/>
      <c r="S20" s="608"/>
      <c r="T20" s="608"/>
      <c r="U20" s="608"/>
      <c r="V20" s="608"/>
      <c r="W20" s="608"/>
      <c r="X20" s="608"/>
      <c r="Y20" s="608"/>
      <c r="Z20" s="608"/>
      <c r="AA20" s="608"/>
      <c r="AB20" s="76" t="b">
        <v>1</v>
      </c>
      <c r="AC20" s="724" t="s">
        <v>414</v>
      </c>
      <c r="AD20" s="1045"/>
      <c r="AE20" s="1050"/>
      <c r="AF20" s="608"/>
      <c r="AH20" s="608"/>
      <c r="AI20" s="608"/>
      <c r="AJ20" s="608"/>
      <c r="AK20" s="608"/>
      <c r="AL20" s="608"/>
      <c r="AM20" s="608"/>
      <c r="AN20" s="608"/>
      <c r="AO20" s="574"/>
    </row>
    <row r="21" spans="6:41" ht="20.149999999999999" customHeight="1">
      <c r="F21" s="636"/>
      <c r="G21" s="610"/>
      <c r="H21" s="610"/>
      <c r="I21" s="651"/>
      <c r="J21" s="1050"/>
      <c r="K21" s="1050"/>
      <c r="L21" s="1050"/>
      <c r="M21" s="1050"/>
      <c r="N21" s="76" t="b">
        <v>0</v>
      </c>
      <c r="O21" s="724" t="s">
        <v>257</v>
      </c>
      <c r="P21" s="1050"/>
      <c r="Q21" s="608"/>
      <c r="R21" s="608"/>
      <c r="S21" s="608"/>
      <c r="T21" s="608"/>
      <c r="U21" s="608"/>
      <c r="V21" s="608"/>
      <c r="W21" s="608"/>
      <c r="X21" s="608"/>
      <c r="Y21" s="608"/>
      <c r="Z21" s="608"/>
      <c r="AA21" s="608"/>
      <c r="AB21" s="76" t="b">
        <v>0</v>
      </c>
      <c r="AC21" s="648" t="s">
        <v>1168</v>
      </c>
      <c r="AD21" s="1045"/>
      <c r="AE21" s="1050"/>
      <c r="AF21" s="608"/>
      <c r="AG21" s="2672"/>
      <c r="AH21" s="2672"/>
      <c r="AI21" s="2672"/>
      <c r="AJ21" s="2672"/>
      <c r="AK21" s="2672"/>
      <c r="AL21" s="2672"/>
      <c r="AM21" s="879" t="str">
        <f>IF(AND(sch_ws_ifyes_test_frequent_others=TRUE,ISBLANK(sch_specify_frequency)),"Please specify.",IF(AND(sch_ws_ifyes_test_frequent_others=FALSE,(sch_specify_frequency&gt;0)),"Please check Others if you have entries.",""))</f>
        <v/>
      </c>
      <c r="AN21" s="608"/>
      <c r="AO21" s="574"/>
    </row>
    <row r="22" spans="6:41" ht="20.149999999999999" customHeight="1">
      <c r="F22" s="614"/>
      <c r="K22" s="602" t="s">
        <v>565</v>
      </c>
      <c r="Y22" s="3306" t="s">
        <v>11889</v>
      </c>
      <c r="Z22" s="3306"/>
      <c r="AA22" s="3306"/>
      <c r="AB22" s="3306"/>
      <c r="AC22" s="3306"/>
      <c r="AD22" s="3306"/>
      <c r="AH22" s="874"/>
      <c r="AI22" s="588"/>
      <c r="AL22" s="874"/>
      <c r="AM22" s="588"/>
      <c r="AO22" s="812"/>
    </row>
    <row r="23" spans="6:41" ht="20.149999999999999" customHeight="1">
      <c r="F23" s="614"/>
      <c r="J23" s="602" t="s">
        <v>566</v>
      </c>
      <c r="AG23" s="857" t="b">
        <v>0</v>
      </c>
      <c r="AH23" s="588" t="s">
        <v>223</v>
      </c>
      <c r="AK23" s="857" t="b">
        <v>1</v>
      </c>
      <c r="AL23" s="588" t="s">
        <v>224</v>
      </c>
      <c r="AO23" s="812"/>
    </row>
    <row r="24" spans="6:41" ht="20.149999999999999" customHeight="1">
      <c r="F24" s="614"/>
      <c r="AF24" s="608"/>
      <c r="AG24" s="608"/>
      <c r="AH24" s="608"/>
      <c r="AJ24" s="608"/>
      <c r="AK24" s="608"/>
      <c r="AL24" s="608"/>
      <c r="AM24" s="608"/>
      <c r="AN24" s="608"/>
      <c r="AO24" s="574"/>
    </row>
    <row r="25" spans="6:41" ht="20.149999999999999" customHeight="1">
      <c r="F25" s="1048" t="s">
        <v>239</v>
      </c>
      <c r="G25" s="1049"/>
      <c r="I25" s="1047"/>
      <c r="J25" s="1047"/>
      <c r="K25" s="1047"/>
      <c r="L25" s="1047"/>
      <c r="M25" s="1047"/>
      <c r="N25" s="1047"/>
      <c r="O25" s="1047"/>
      <c r="P25" s="1047"/>
      <c r="Q25" s="1050"/>
      <c r="R25" s="1050"/>
      <c r="S25" s="1050"/>
      <c r="T25" s="1050"/>
      <c r="U25" s="1050"/>
      <c r="V25" s="1050"/>
      <c r="W25" s="1050"/>
      <c r="X25" s="1050"/>
      <c r="Y25" s="1050"/>
      <c r="Z25" s="1050"/>
      <c r="AA25" s="608"/>
      <c r="AG25" s="857" t="b">
        <v>1</v>
      </c>
      <c r="AH25" s="588" t="s">
        <v>223</v>
      </c>
      <c r="AJ25" s="568"/>
      <c r="AK25" s="857" t="b">
        <v>0</v>
      </c>
      <c r="AL25" s="588" t="s">
        <v>224</v>
      </c>
      <c r="AM25" s="568"/>
      <c r="AO25" s="574"/>
    </row>
    <row r="26" spans="6:41" ht="20.149999999999999" customHeight="1">
      <c r="F26" s="1046"/>
      <c r="G26" s="651"/>
      <c r="I26" s="1047"/>
      <c r="J26" s="602" t="s">
        <v>365</v>
      </c>
      <c r="K26" s="1047"/>
      <c r="L26" s="1047"/>
      <c r="M26" s="1047"/>
      <c r="N26" s="1047"/>
      <c r="O26" s="1047"/>
      <c r="P26" s="1047"/>
      <c r="Q26" s="1050"/>
      <c r="R26" s="1050"/>
      <c r="S26" s="1050"/>
      <c r="T26" s="1050"/>
      <c r="U26" s="1050"/>
      <c r="V26" s="1050"/>
      <c r="W26" s="1050"/>
      <c r="X26" s="1050"/>
      <c r="Y26" s="1050"/>
      <c r="Z26" s="1050"/>
      <c r="AA26" s="1050"/>
      <c r="AB26" s="608"/>
      <c r="AC26" s="568"/>
      <c r="AO26" s="574"/>
    </row>
    <row r="27" spans="6:41" ht="20.149999999999999" customHeight="1">
      <c r="F27" s="1046"/>
      <c r="G27" s="651"/>
      <c r="H27" s="602" t="s">
        <v>220</v>
      </c>
      <c r="I27" s="1047"/>
      <c r="K27" s="608"/>
      <c r="L27" s="608"/>
      <c r="M27" s="608"/>
      <c r="N27" s="76" t="b">
        <v>1</v>
      </c>
      <c r="O27" s="724" t="s">
        <v>240</v>
      </c>
      <c r="P27" s="608"/>
      <c r="R27" s="724"/>
      <c r="S27" s="724"/>
      <c r="T27" s="724"/>
      <c r="U27" s="724"/>
      <c r="V27" s="724"/>
      <c r="W27" s="724"/>
      <c r="X27" s="724"/>
      <c r="Y27" s="724"/>
      <c r="Z27" s="724"/>
      <c r="AA27" s="724"/>
      <c r="AB27" s="608"/>
      <c r="AC27" s="568"/>
      <c r="AO27" s="574"/>
    </row>
    <row r="28" spans="6:41" ht="20.149999999999999" customHeight="1">
      <c r="F28" s="1046"/>
      <c r="G28" s="651"/>
      <c r="I28" s="1047"/>
      <c r="K28" s="608"/>
      <c r="L28" s="608"/>
      <c r="M28" s="608"/>
      <c r="N28" s="76" t="b">
        <v>1</v>
      </c>
      <c r="O28" s="724" t="s">
        <v>225</v>
      </c>
      <c r="P28" s="608"/>
      <c r="R28" s="724"/>
      <c r="S28" s="724"/>
      <c r="T28" s="724"/>
      <c r="U28" s="724"/>
      <c r="V28" s="724"/>
      <c r="W28" s="724"/>
      <c r="X28" s="724"/>
      <c r="Y28" s="724"/>
      <c r="Z28" s="724"/>
      <c r="AA28" s="724"/>
      <c r="AB28" s="608"/>
      <c r="AC28" s="568"/>
      <c r="AL28" s="1050"/>
      <c r="AO28" s="574"/>
    </row>
    <row r="29" spans="6:41" ht="20.149999999999999" customHeight="1">
      <c r="F29" s="1046"/>
      <c r="G29" s="651"/>
      <c r="I29" s="1047"/>
      <c r="K29" s="608"/>
      <c r="L29" s="608"/>
      <c r="M29" s="608"/>
      <c r="N29" s="76" t="b">
        <v>0</v>
      </c>
      <c r="O29" s="724" t="s">
        <v>540</v>
      </c>
      <c r="P29" s="608"/>
      <c r="R29" s="724"/>
      <c r="S29" s="724"/>
      <c r="T29" s="724"/>
      <c r="U29" s="724"/>
      <c r="V29" s="724"/>
      <c r="W29" s="724"/>
      <c r="X29" s="724"/>
      <c r="Y29" s="724"/>
      <c r="Z29" s="724"/>
      <c r="AA29" s="724"/>
      <c r="AB29" s="608"/>
      <c r="AC29" s="568"/>
      <c r="AO29" s="574"/>
    </row>
    <row r="30" spans="6:41" ht="20.149999999999999" customHeight="1">
      <c r="F30" s="1046"/>
      <c r="G30" s="651"/>
      <c r="I30" s="1047"/>
      <c r="K30" s="608"/>
      <c r="L30" s="608"/>
      <c r="M30" s="608"/>
      <c r="N30" s="76" t="b">
        <v>0</v>
      </c>
      <c r="O30" s="648" t="s">
        <v>1168</v>
      </c>
      <c r="P30" s="608"/>
      <c r="R30" s="724"/>
      <c r="S30" s="2672"/>
      <c r="T30" s="2672"/>
      <c r="U30" s="2672"/>
      <c r="V30" s="2672"/>
      <c r="W30" s="2672"/>
      <c r="X30" s="2672"/>
      <c r="Y30" s="879" t="str">
        <f>IF(AND(sch_ws_mechanism_ifyes_others=TRUE,ISBLANK(sch_specify_mechanism)),"Please specify.",IF(AND(sch_ws_mechanism_ifyes_others=FALSE,(sch_specify_mechanism&gt;0)),"Please check Others if you have entries.",""))</f>
        <v/>
      </c>
      <c r="Z30" s="724"/>
      <c r="AA30" s="724"/>
      <c r="AB30" s="608"/>
      <c r="AC30" s="568"/>
      <c r="AO30" s="574"/>
    </row>
    <row r="31" spans="6:41" ht="3.75" customHeight="1" thickBot="1">
      <c r="F31" s="612"/>
      <c r="G31" s="613"/>
      <c r="H31" s="1041"/>
      <c r="I31" s="1042"/>
      <c r="J31" s="1042"/>
      <c r="K31" s="1042"/>
      <c r="L31" s="1042"/>
      <c r="M31" s="1042"/>
      <c r="N31" s="1042"/>
      <c r="O31" s="1042"/>
      <c r="P31" s="1042"/>
      <c r="Q31" s="1043"/>
      <c r="R31" s="1043"/>
      <c r="S31" s="1043"/>
      <c r="T31" s="1043"/>
      <c r="U31" s="1043"/>
      <c r="V31" s="1043"/>
      <c r="W31" s="1043"/>
      <c r="X31" s="1043"/>
      <c r="Y31" s="1043"/>
      <c r="Z31" s="1043"/>
      <c r="AA31" s="1043"/>
      <c r="AB31" s="1044"/>
      <c r="AC31" s="562"/>
      <c r="AD31" s="613"/>
      <c r="AE31" s="613"/>
      <c r="AF31" s="1044"/>
      <c r="AG31" s="1044"/>
      <c r="AH31" s="1044"/>
      <c r="AI31" s="1044"/>
      <c r="AJ31" s="1044"/>
      <c r="AK31" s="1044"/>
      <c r="AL31" s="1044"/>
      <c r="AM31" s="1044"/>
      <c r="AN31" s="1044"/>
      <c r="AO31" s="806"/>
    </row>
    <row r="32" spans="6:41" ht="19.399999999999999" customHeight="1">
      <c r="F32" s="3283" t="s">
        <v>366</v>
      </c>
      <c r="G32" s="3283"/>
      <c r="H32" s="3283"/>
      <c r="I32" s="3283"/>
      <c r="J32" s="3283"/>
      <c r="K32" s="3283"/>
      <c r="L32" s="3283"/>
      <c r="M32" s="3283"/>
      <c r="N32" s="3283"/>
      <c r="O32" s="3283"/>
      <c r="P32" s="3283"/>
      <c r="Q32" s="3283"/>
      <c r="R32" s="3283"/>
      <c r="S32" s="3283"/>
      <c r="T32" s="3283"/>
      <c r="U32" s="3283"/>
      <c r="V32" s="3283"/>
      <c r="W32" s="3283"/>
      <c r="X32" s="3283"/>
      <c r="Y32" s="3283"/>
      <c r="Z32" s="3283"/>
      <c r="AA32" s="3283"/>
      <c r="AB32" s="3283"/>
      <c r="AC32" s="3283"/>
      <c r="AD32" s="3283"/>
      <c r="AE32" s="3283"/>
      <c r="AF32" s="3283"/>
      <c r="AG32" s="3283"/>
      <c r="AH32" s="3283"/>
      <c r="AI32" s="3283"/>
      <c r="AJ32" s="3283"/>
      <c r="AK32" s="3283"/>
      <c r="AL32" s="3283"/>
      <c r="AM32" s="3283"/>
      <c r="AN32" s="3283"/>
      <c r="AO32" s="3283"/>
    </row>
    <row r="33" spans="2:44">
      <c r="F33" s="3283" t="s">
        <v>367</v>
      </c>
      <c r="G33" s="3283"/>
      <c r="H33" s="3283"/>
      <c r="I33" s="3283"/>
      <c r="J33" s="3283"/>
      <c r="K33" s="3283"/>
      <c r="L33" s="3283"/>
      <c r="M33" s="3283"/>
      <c r="N33" s="3283"/>
      <c r="O33" s="3283"/>
      <c r="P33" s="3283"/>
      <c r="Q33" s="3283"/>
      <c r="R33" s="3283"/>
      <c r="S33" s="3283"/>
      <c r="T33" s="3283"/>
      <c r="U33" s="3283"/>
      <c r="V33" s="3283"/>
      <c r="W33" s="3283"/>
      <c r="X33" s="3283"/>
      <c r="Y33" s="3283"/>
      <c r="Z33" s="3283"/>
      <c r="AA33" s="3283"/>
      <c r="AB33" s="3283"/>
      <c r="AC33" s="3283"/>
      <c r="AD33" s="3283"/>
      <c r="AE33" s="3283"/>
      <c r="AF33" s="3283"/>
      <c r="AG33" s="3283"/>
      <c r="AH33" s="3283"/>
      <c r="AI33" s="3283"/>
      <c r="AJ33" s="3283"/>
      <c r="AK33" s="3283"/>
      <c r="AL33" s="3283"/>
      <c r="AM33" s="3283"/>
      <c r="AN33" s="3283"/>
      <c r="AO33" s="3283"/>
    </row>
    <row r="34" spans="2:44">
      <c r="F34" s="3283" t="s">
        <v>368</v>
      </c>
      <c r="G34" s="3283"/>
      <c r="H34" s="3283"/>
      <c r="I34" s="3283"/>
      <c r="J34" s="3283"/>
      <c r="K34" s="3283"/>
      <c r="L34" s="3283"/>
      <c r="M34" s="3283"/>
      <c r="N34" s="3283"/>
      <c r="O34" s="3283"/>
      <c r="P34" s="3283"/>
      <c r="Q34" s="3283"/>
      <c r="R34" s="3283"/>
      <c r="S34" s="3283"/>
      <c r="T34" s="3283"/>
      <c r="U34" s="3283"/>
      <c r="V34" s="3283"/>
      <c r="W34" s="3283"/>
      <c r="X34" s="3283"/>
      <c r="Y34" s="3283"/>
      <c r="Z34" s="3283"/>
      <c r="AA34" s="3283"/>
      <c r="AB34" s="3283"/>
      <c r="AC34" s="3283"/>
      <c r="AD34" s="3283"/>
      <c r="AE34" s="3283"/>
      <c r="AF34" s="3283"/>
      <c r="AG34" s="3283"/>
      <c r="AH34" s="3283"/>
      <c r="AI34" s="3283"/>
      <c r="AJ34" s="3283"/>
      <c r="AK34" s="3283"/>
      <c r="AL34" s="3283"/>
      <c r="AM34" s="3283"/>
      <c r="AN34" s="3283"/>
      <c r="AO34" s="3283"/>
    </row>
    <row r="35" spans="2:44">
      <c r="F35" s="3283" t="s">
        <v>369</v>
      </c>
      <c r="G35" s="3283"/>
      <c r="H35" s="3283"/>
      <c r="I35" s="3283"/>
      <c r="J35" s="3283"/>
      <c r="K35" s="3283"/>
      <c r="L35" s="3283"/>
      <c r="M35" s="3283"/>
      <c r="N35" s="3283"/>
      <c r="O35" s="3283"/>
      <c r="P35" s="3283"/>
      <c r="Q35" s="3283"/>
      <c r="R35" s="3283"/>
      <c r="S35" s="3283"/>
      <c r="T35" s="3283"/>
      <c r="U35" s="3283"/>
      <c r="V35" s="3283"/>
      <c r="W35" s="3283"/>
      <c r="X35" s="3283"/>
      <c r="Y35" s="3283"/>
      <c r="Z35" s="3283"/>
      <c r="AA35" s="3283"/>
      <c r="AB35" s="3283"/>
      <c r="AC35" s="3283"/>
      <c r="AD35" s="3283"/>
      <c r="AE35" s="3283"/>
      <c r="AF35" s="3283"/>
      <c r="AG35" s="3283"/>
      <c r="AH35" s="3283"/>
      <c r="AI35" s="3283"/>
      <c r="AJ35" s="3283"/>
      <c r="AK35" s="3283"/>
      <c r="AL35" s="3283"/>
      <c r="AM35" s="3283"/>
      <c r="AN35" s="3283"/>
      <c r="AO35" s="3283"/>
    </row>
    <row r="36" spans="2:44" ht="20.5" customHeight="1">
      <c r="F36" s="873"/>
      <c r="G36" s="873"/>
      <c r="H36" s="873"/>
      <c r="I36" s="873"/>
      <c r="J36" s="873"/>
      <c r="K36" s="873"/>
      <c r="L36" s="873"/>
      <c r="M36" s="873"/>
      <c r="N36" s="873"/>
      <c r="O36" s="873"/>
      <c r="P36" s="873"/>
      <c r="Q36" s="873"/>
      <c r="R36" s="873"/>
      <c r="S36" s="873"/>
      <c r="T36" s="873"/>
      <c r="U36" s="873"/>
      <c r="V36" s="873"/>
      <c r="W36" s="873"/>
      <c r="X36" s="873"/>
      <c r="Y36" s="873"/>
      <c r="Z36" s="873"/>
      <c r="AA36" s="873"/>
      <c r="AB36" s="873"/>
      <c r="AC36" s="873"/>
      <c r="AD36" s="873"/>
      <c r="AE36" s="873"/>
      <c r="AF36" s="873"/>
      <c r="AG36" s="873"/>
      <c r="AH36" s="873"/>
      <c r="AI36" s="873"/>
      <c r="AJ36" s="873"/>
      <c r="AK36" s="873"/>
      <c r="AL36" s="873"/>
      <c r="AM36" s="873"/>
      <c r="AN36" s="873"/>
      <c r="AO36" s="873"/>
    </row>
    <row r="37" spans="2:44" ht="17" thickBot="1">
      <c r="F37" s="627" t="s">
        <v>11789</v>
      </c>
      <c r="G37" s="628"/>
      <c r="H37" s="628"/>
      <c r="I37" s="628"/>
      <c r="J37" s="628"/>
      <c r="K37" s="628"/>
      <c r="L37" s="1045"/>
      <c r="M37" s="1045"/>
      <c r="N37" s="1045"/>
      <c r="O37" s="1045"/>
      <c r="P37" s="1045"/>
      <c r="Q37" s="1045"/>
      <c r="R37" s="1045"/>
      <c r="S37" s="1045"/>
      <c r="T37" s="1045"/>
    </row>
    <row r="38" spans="2:44" ht="25" customHeight="1">
      <c r="F38" s="3284" t="s">
        <v>226</v>
      </c>
      <c r="G38" s="3285"/>
      <c r="H38" s="3285"/>
      <c r="I38" s="3285"/>
      <c r="J38" s="3285"/>
      <c r="K38" s="3285"/>
      <c r="L38" s="3285"/>
      <c r="M38" s="3285"/>
      <c r="N38" s="3285"/>
      <c r="O38" s="3285"/>
      <c r="P38" s="3286"/>
      <c r="Q38" s="3290" t="s">
        <v>227</v>
      </c>
      <c r="R38" s="3291"/>
      <c r="S38" s="3291"/>
      <c r="T38" s="3291"/>
      <c r="U38" s="3291"/>
      <c r="V38" s="3291"/>
      <c r="W38" s="3291"/>
      <c r="X38" s="3291"/>
      <c r="Y38" s="3291"/>
      <c r="Z38" s="3292"/>
      <c r="AA38" s="3293" t="s">
        <v>253</v>
      </c>
      <c r="AB38" s="3294"/>
      <c r="AC38" s="3294"/>
      <c r="AD38" s="3294"/>
      <c r="AE38" s="3295"/>
      <c r="AF38" s="3299" t="s">
        <v>1173</v>
      </c>
      <c r="AG38" s="3294"/>
      <c r="AH38" s="3294"/>
      <c r="AI38" s="3294"/>
      <c r="AJ38" s="3300"/>
      <c r="AK38" s="3285" t="s">
        <v>370</v>
      </c>
      <c r="AL38" s="3285"/>
      <c r="AM38" s="3285"/>
      <c r="AN38" s="3285"/>
      <c r="AO38" s="3286"/>
    </row>
    <row r="39" spans="2:44" ht="25" customHeight="1" thickBot="1">
      <c r="F39" s="3287"/>
      <c r="G39" s="3288"/>
      <c r="H39" s="3288"/>
      <c r="I39" s="3288"/>
      <c r="J39" s="3288"/>
      <c r="K39" s="3288"/>
      <c r="L39" s="3288"/>
      <c r="M39" s="3288"/>
      <c r="N39" s="3288"/>
      <c r="O39" s="3288"/>
      <c r="P39" s="3289"/>
      <c r="Q39" s="3303" t="s">
        <v>371</v>
      </c>
      <c r="R39" s="3271"/>
      <c r="S39" s="3271"/>
      <c r="T39" s="3271"/>
      <c r="U39" s="3304"/>
      <c r="V39" s="3307" t="s">
        <v>372</v>
      </c>
      <c r="W39" s="3271"/>
      <c r="X39" s="3271"/>
      <c r="Y39" s="3271"/>
      <c r="Z39" s="3308"/>
      <c r="AA39" s="3296"/>
      <c r="AB39" s="3297"/>
      <c r="AC39" s="3297"/>
      <c r="AD39" s="3297"/>
      <c r="AE39" s="3298"/>
      <c r="AF39" s="3301"/>
      <c r="AG39" s="3297"/>
      <c r="AH39" s="3297"/>
      <c r="AI39" s="3297"/>
      <c r="AJ39" s="3302"/>
      <c r="AK39" s="3288"/>
      <c r="AL39" s="3288"/>
      <c r="AM39" s="3288"/>
      <c r="AN39" s="3288"/>
      <c r="AO39" s="3289"/>
    </row>
    <row r="40" spans="2:44" ht="23.15" customHeight="1">
      <c r="F40" s="3309" t="s">
        <v>373</v>
      </c>
      <c r="G40" s="3310"/>
      <c r="H40" s="3311"/>
      <c r="I40" s="3311"/>
      <c r="J40" s="3311"/>
      <c r="K40" s="3311"/>
      <c r="L40" s="3311"/>
      <c r="M40" s="3311"/>
      <c r="N40" s="3311"/>
      <c r="O40" s="3311"/>
      <c r="P40" s="3312"/>
      <c r="Q40" s="3273">
        <v>0</v>
      </c>
      <c r="R40" s="3274"/>
      <c r="S40" s="3274"/>
      <c r="T40" s="3274"/>
      <c r="U40" s="3275"/>
      <c r="V40" s="3279">
        <v>3</v>
      </c>
      <c r="W40" s="3274"/>
      <c r="X40" s="3274"/>
      <c r="Y40" s="3274"/>
      <c r="Z40" s="3280"/>
      <c r="AA40" s="3273">
        <v>0</v>
      </c>
      <c r="AB40" s="3274"/>
      <c r="AC40" s="3274"/>
      <c r="AD40" s="3274"/>
      <c r="AE40" s="3316"/>
      <c r="AF40" s="3320">
        <f>SUM(Q40:AE40)</f>
        <v>3</v>
      </c>
      <c r="AG40" s="3291"/>
      <c r="AH40" s="3291"/>
      <c r="AI40" s="3291"/>
      <c r="AJ40" s="3321"/>
      <c r="AK40" s="3318">
        <v>6</v>
      </c>
      <c r="AL40" s="3274"/>
      <c r="AM40" s="3274"/>
      <c r="AN40" s="3274"/>
      <c r="AO40" s="3280"/>
    </row>
    <row r="41" spans="2:44" ht="23.15" customHeight="1" thickBot="1">
      <c r="F41" s="3313" t="s">
        <v>374</v>
      </c>
      <c r="G41" s="3314"/>
      <c r="H41" s="3314"/>
      <c r="I41" s="3314"/>
      <c r="J41" s="3314"/>
      <c r="K41" s="3314"/>
      <c r="L41" s="3314"/>
      <c r="M41" s="3314"/>
      <c r="N41" s="3314"/>
      <c r="O41" s="3314"/>
      <c r="P41" s="3315"/>
      <c r="Q41" s="3276">
        <v>0</v>
      </c>
      <c r="R41" s="3277"/>
      <c r="S41" s="3277"/>
      <c r="T41" s="3277"/>
      <c r="U41" s="3278"/>
      <c r="V41" s="3281">
        <v>21</v>
      </c>
      <c r="W41" s="3277"/>
      <c r="X41" s="3277"/>
      <c r="Y41" s="3277"/>
      <c r="Z41" s="3282"/>
      <c r="AA41" s="3276">
        <v>0</v>
      </c>
      <c r="AB41" s="3277"/>
      <c r="AC41" s="3277"/>
      <c r="AD41" s="3277"/>
      <c r="AE41" s="3317"/>
      <c r="AF41" s="3270">
        <f>SUM(Q41:AE41)</f>
        <v>21</v>
      </c>
      <c r="AG41" s="3271"/>
      <c r="AH41" s="3271"/>
      <c r="AI41" s="3271"/>
      <c r="AJ41" s="3272"/>
      <c r="AK41" s="3319">
        <v>21</v>
      </c>
      <c r="AL41" s="3277"/>
      <c r="AM41" s="3277"/>
      <c r="AN41" s="3277"/>
      <c r="AO41" s="3282"/>
    </row>
    <row r="42" spans="2:44" ht="17.5" customHeight="1">
      <c r="F42" s="1036" t="s">
        <v>406</v>
      </c>
      <c r="G42" s="1037"/>
      <c r="H42" s="1036"/>
      <c r="I42" s="1038"/>
      <c r="J42" s="1036"/>
      <c r="AP42" s="1039"/>
    </row>
    <row r="43" spans="2:44">
      <c r="F43" s="1036" t="s">
        <v>375</v>
      </c>
      <c r="G43" s="1037"/>
      <c r="H43" s="1036"/>
      <c r="I43" s="1038"/>
      <c r="J43" s="1036"/>
      <c r="AR43" s="1039"/>
    </row>
    <row r="44" spans="2:44">
      <c r="F44" s="211" t="s">
        <v>376</v>
      </c>
      <c r="G44" s="1036"/>
      <c r="H44" s="1037"/>
      <c r="I44" s="1036"/>
      <c r="J44" s="1038"/>
    </row>
    <row r="45" spans="2:44">
      <c r="F45" s="211" t="s">
        <v>377</v>
      </c>
      <c r="G45" s="1036"/>
      <c r="H45" s="1037"/>
      <c r="I45" s="1036"/>
      <c r="J45" s="1038"/>
    </row>
    <row r="46" spans="2:44">
      <c r="F46" s="211" t="s">
        <v>407</v>
      </c>
      <c r="G46" s="1036"/>
      <c r="H46" s="1037"/>
      <c r="I46" s="1036"/>
      <c r="J46" s="1038"/>
    </row>
    <row r="47" spans="2:44" ht="20.149999999999999" customHeight="1"/>
    <row r="48" spans="2:44" s="168" customFormat="1" ht="14">
      <c r="B48" s="169" t="s">
        <v>847</v>
      </c>
      <c r="P48" s="169" t="s">
        <v>765</v>
      </c>
      <c r="AH48" s="169" t="s">
        <v>783</v>
      </c>
    </row>
    <row r="49" spans="2:45" s="168" customFormat="1" ht="21.75" customHeight="1">
      <c r="B49" s="169" t="s">
        <v>748</v>
      </c>
      <c r="F49" s="1959" t="str">
        <f>activesheet!E29</f>
        <v>RICO S. MISPEROS</v>
      </c>
      <c r="G49" s="1959"/>
      <c r="H49" s="1959"/>
      <c r="I49" s="1959"/>
      <c r="J49" s="1959"/>
      <c r="K49" s="1959"/>
      <c r="L49" s="1959"/>
      <c r="M49" s="1959"/>
      <c r="P49" s="1959" t="str">
        <f>activesheet!E2079</f>
        <v>RAQUEL N. ACOMPAŇADO</v>
      </c>
      <c r="Q49" s="1959"/>
      <c r="R49" s="1959"/>
      <c r="S49" s="1959"/>
      <c r="T49" s="1959"/>
      <c r="U49" s="1959"/>
      <c r="V49" s="1959"/>
      <c r="W49" s="1959"/>
      <c r="X49" s="1959"/>
      <c r="Y49" s="1959"/>
      <c r="Z49" s="1959"/>
      <c r="AA49" s="1959"/>
      <c r="AB49" s="1959"/>
      <c r="AC49" s="1959"/>
      <c r="AD49" s="1959"/>
      <c r="AE49" s="1959"/>
      <c r="AH49" s="1956" t="str">
        <f>activesheet!E31</f>
        <v>MICHAEL T. JAMIS</v>
      </c>
      <c r="AI49" s="1956"/>
      <c r="AJ49" s="1956"/>
      <c r="AK49" s="1956"/>
      <c r="AL49" s="1956"/>
      <c r="AM49" s="1956"/>
      <c r="AN49" s="1956"/>
      <c r="AO49" s="1956"/>
      <c r="AP49" s="1956"/>
      <c r="AQ49" s="1956"/>
      <c r="AR49" s="1956"/>
      <c r="AS49" s="1956"/>
    </row>
    <row r="50" spans="2:45" s="156" customFormat="1" ht="13.5" customHeight="1">
      <c r="B50" s="655"/>
      <c r="F50" s="1764" t="s">
        <v>741</v>
      </c>
      <c r="G50" s="1764"/>
      <c r="H50" s="1764"/>
      <c r="I50" s="1764"/>
      <c r="J50" s="1764"/>
      <c r="K50" s="1764"/>
      <c r="L50" s="1764"/>
      <c r="M50" s="1764"/>
      <c r="N50" s="1040"/>
      <c r="O50" s="152"/>
      <c r="P50" s="1764" t="s">
        <v>741</v>
      </c>
      <c r="Q50" s="1764"/>
      <c r="R50" s="1764"/>
      <c r="S50" s="1764"/>
      <c r="T50" s="1764"/>
      <c r="U50" s="1764"/>
      <c r="V50" s="1764"/>
      <c r="W50" s="1764"/>
      <c r="X50" s="1764"/>
      <c r="Y50" s="1764"/>
      <c r="Z50" s="1764"/>
      <c r="AA50" s="1764"/>
      <c r="AB50" s="1764"/>
      <c r="AC50" s="1764"/>
      <c r="AD50" s="1764"/>
      <c r="AE50" s="1764"/>
      <c r="AH50" s="1957"/>
      <c r="AI50" s="1957"/>
      <c r="AJ50" s="1957"/>
      <c r="AK50" s="1957"/>
      <c r="AL50" s="1957"/>
      <c r="AM50" s="1957"/>
      <c r="AN50" s="1957"/>
      <c r="AO50" s="1957"/>
      <c r="AP50" s="1957"/>
      <c r="AQ50" s="1957"/>
      <c r="AR50" s="1957"/>
      <c r="AS50" s="1957"/>
    </row>
    <row r="51" spans="2:45" s="168" customFormat="1" ht="21.75" customHeight="1">
      <c r="B51" s="169" t="s">
        <v>71</v>
      </c>
      <c r="F51" s="1959" t="str">
        <f>activesheet!E30</f>
        <v>SCHOOL PRINCIPAL II</v>
      </c>
      <c r="G51" s="1959"/>
      <c r="H51" s="1959"/>
      <c r="I51" s="1959"/>
      <c r="J51" s="1959"/>
      <c r="K51" s="1959"/>
      <c r="L51" s="1959"/>
      <c r="M51" s="1959"/>
      <c r="P51" s="169" t="s">
        <v>71</v>
      </c>
      <c r="T51" s="1959" t="str">
        <f>activesheet!E2080</f>
        <v>Nurse II</v>
      </c>
      <c r="U51" s="1959"/>
      <c r="V51" s="1959"/>
      <c r="W51" s="1959"/>
      <c r="X51" s="1959"/>
      <c r="Y51" s="1959"/>
      <c r="Z51" s="1959"/>
      <c r="AA51" s="1959"/>
      <c r="AB51" s="1959"/>
      <c r="AC51" s="1959"/>
      <c r="AD51" s="1959"/>
      <c r="AE51" s="1959"/>
      <c r="AH51" s="1764" t="s">
        <v>741</v>
      </c>
      <c r="AI51" s="1764"/>
      <c r="AJ51" s="1764"/>
      <c r="AK51" s="1764"/>
      <c r="AL51" s="1764"/>
      <c r="AM51" s="1764"/>
      <c r="AN51" s="1764"/>
      <c r="AO51" s="1764"/>
      <c r="AP51" s="1764"/>
      <c r="AQ51" s="1764"/>
      <c r="AR51" s="1764"/>
      <c r="AS51" s="1764"/>
    </row>
  </sheetData>
  <sheetProtection algorithmName="SHA-512" hashValue="Bf/y3YHb8P9lA2EHAbtbzU8tSc1maPfWjKT+PkJzHdHru4x6zNDKz2R4jsZvpy8kXYKuAKQDqu2Wo2KmdL1hDw==" saltValue="tc1QIBk4ws8+nIQsGxeCzA==" spinCount="100000" sheet="1" objects="1" scenarios="1" selectLockedCells="1"/>
  <mergeCells count="37">
    <mergeCell ref="F51:M51"/>
    <mergeCell ref="T51:AE51"/>
    <mergeCell ref="AH51:AS51"/>
    <mergeCell ref="V39:Z39"/>
    <mergeCell ref="F40:P40"/>
    <mergeCell ref="F41:P41"/>
    <mergeCell ref="F49:M49"/>
    <mergeCell ref="P49:AE49"/>
    <mergeCell ref="AH49:AS50"/>
    <mergeCell ref="F50:M50"/>
    <mergeCell ref="P50:AE50"/>
    <mergeCell ref="AA40:AE40"/>
    <mergeCell ref="AA41:AE41"/>
    <mergeCell ref="AK40:AO40"/>
    <mergeCell ref="AK41:AO41"/>
    <mergeCell ref="AF40:AJ40"/>
    <mergeCell ref="AG9:AL9"/>
    <mergeCell ref="AC11:AG11"/>
    <mergeCell ref="AG15:AL15"/>
    <mergeCell ref="AG21:AL21"/>
    <mergeCell ref="Y22:AD22"/>
    <mergeCell ref="AF41:AJ41"/>
    <mergeCell ref="S30:X30"/>
    <mergeCell ref="Q40:U40"/>
    <mergeCell ref="Q41:U41"/>
    <mergeCell ref="V40:Z40"/>
    <mergeCell ref="V41:Z41"/>
    <mergeCell ref="F32:AO32"/>
    <mergeCell ref="F33:AO33"/>
    <mergeCell ref="F34:AO34"/>
    <mergeCell ref="F35:AO35"/>
    <mergeCell ref="F38:P39"/>
    <mergeCell ref="Q38:Z38"/>
    <mergeCell ref="AA38:AE39"/>
    <mergeCell ref="AF38:AJ39"/>
    <mergeCell ref="AK38:AO39"/>
    <mergeCell ref="Q39:U39"/>
  </mergeCells>
  <conditionalFormatting sqref="I6">
    <cfRule type="expression" dxfId="16" priority="11">
      <formula>AND(T5=TRUE, AND(N8=FALSE, N9=FALSE, N10=FALSE, AB8=FALSE, AB9=FALSE))</formula>
    </cfRule>
  </conditionalFormatting>
  <conditionalFormatting sqref="J7">
    <cfRule type="expression" dxfId="15" priority="10">
      <formula>AND(T5=TRUE, AND(N8=FALSE, N9=FALSE, N10=FALSE, AB8=FALSE, AB9=FALSE))</formula>
    </cfRule>
  </conditionalFormatting>
  <conditionalFormatting sqref="J11">
    <cfRule type="expression" dxfId="14" priority="9">
      <formula>OR(N8=TRUE, N9=TRUE, N10=TRUE, AB8=TRUE, AB9=TRUE)</formula>
    </cfRule>
  </conditionalFormatting>
  <conditionalFormatting sqref="J26">
    <cfRule type="expression" dxfId="13" priority="1">
      <formula>AND(AG25=TRUE, AND(N27=FALSE, N28=FALSE, N29=FALSE, N30=FALSE))</formula>
    </cfRule>
  </conditionalFormatting>
  <dataValidations count="2">
    <dataValidation type="whole" allowBlank="1" showInputMessage="1" showErrorMessage="1" errorTitle="GESP SY 2022-2023" error="Please enter valid number between 0 - 999." sqref="Q40:AE41 AK40:AO41" xr:uid="{00000000-0002-0000-2000-000000000000}">
      <formula1>0</formula1>
      <formula2>999</formula2>
    </dataValidation>
    <dataValidation type="decimal" allowBlank="1" showInputMessage="1" showErrorMessage="1" errorTitle="GESP SY 2022-2023" error="Please enter valid number between 0 - 1,000,000." sqref="AC11:AG11" xr:uid="{00000000-0002-0000-2000-000001000000}">
      <formula1>0</formula1>
      <formula2>1000000</formula2>
    </dataValidation>
  </dataValidations>
  <printOptions horizontalCentered="1" verticalCentered="1"/>
  <pageMargins left="0.25" right="0.25" top="0.2" bottom="0.2" header="0" footer="0.1"/>
  <pageSetup paperSize="9" scale="61" orientation="landscape" r:id="rId1"/>
  <headerFooter alignWithMargins="0">
    <oddFooter>&amp;L&amp;10&amp;F &amp;A&amp;R&amp;11Page 29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0897" r:id="rId4" name="Check Box 1">
              <controlPr locked="0" defaultSize="0" autoFill="0" autoLine="0" autoPict="0">
                <anchor moveWithCells="1">
                  <from>
                    <xdr:col>19</xdr:col>
                    <xdr:colOff>38100</xdr:colOff>
                    <xdr:row>4</xdr:row>
                    <xdr:rowOff>31750</xdr:rowOff>
                  </from>
                  <to>
                    <xdr:col>19</xdr:col>
                    <xdr:colOff>266700</xdr:colOff>
                    <xdr:row>5</xdr:row>
                    <xdr:rowOff>31750</xdr:rowOff>
                  </to>
                </anchor>
              </controlPr>
            </control>
          </mc:Choice>
        </mc:AlternateContent>
        <mc:AlternateContent xmlns:mc="http://schemas.openxmlformats.org/markup-compatibility/2006">
          <mc:Choice Requires="x14">
            <control shapeId="80898" r:id="rId5" name="Check Box 2">
              <controlPr locked="0" defaultSize="0" autoFill="0" autoLine="0" autoPict="0">
                <anchor moveWithCells="1">
                  <from>
                    <xdr:col>24</xdr:col>
                    <xdr:colOff>38100</xdr:colOff>
                    <xdr:row>4</xdr:row>
                    <xdr:rowOff>31750</xdr:rowOff>
                  </from>
                  <to>
                    <xdr:col>24</xdr:col>
                    <xdr:colOff>266700</xdr:colOff>
                    <xdr:row>5</xdr:row>
                    <xdr:rowOff>31750</xdr:rowOff>
                  </to>
                </anchor>
              </controlPr>
            </control>
          </mc:Choice>
        </mc:AlternateContent>
        <mc:AlternateContent xmlns:mc="http://schemas.openxmlformats.org/markup-compatibility/2006">
          <mc:Choice Requires="x14">
            <control shapeId="80899" r:id="rId6" name="Check Box 3">
              <controlPr locked="0" defaultSize="0" autoFill="0" autoLine="0" autoPict="0">
                <anchor moveWithCells="1">
                  <from>
                    <xdr:col>13</xdr:col>
                    <xdr:colOff>38100</xdr:colOff>
                    <xdr:row>7</xdr:row>
                    <xdr:rowOff>12700</xdr:rowOff>
                  </from>
                  <to>
                    <xdr:col>13</xdr:col>
                    <xdr:colOff>266700</xdr:colOff>
                    <xdr:row>8</xdr:row>
                    <xdr:rowOff>12700</xdr:rowOff>
                  </to>
                </anchor>
              </controlPr>
            </control>
          </mc:Choice>
        </mc:AlternateContent>
        <mc:AlternateContent xmlns:mc="http://schemas.openxmlformats.org/markup-compatibility/2006">
          <mc:Choice Requires="x14">
            <control shapeId="80900" r:id="rId7" name="Check Box 4">
              <controlPr locked="0" defaultSize="0" autoFill="0" autoLine="0" autoPict="0">
                <anchor moveWithCells="1">
                  <from>
                    <xdr:col>13</xdr:col>
                    <xdr:colOff>38100</xdr:colOff>
                    <xdr:row>7</xdr:row>
                    <xdr:rowOff>260350</xdr:rowOff>
                  </from>
                  <to>
                    <xdr:col>13</xdr:col>
                    <xdr:colOff>266700</xdr:colOff>
                    <xdr:row>8</xdr:row>
                    <xdr:rowOff>260350</xdr:rowOff>
                  </to>
                </anchor>
              </controlPr>
            </control>
          </mc:Choice>
        </mc:AlternateContent>
        <mc:AlternateContent xmlns:mc="http://schemas.openxmlformats.org/markup-compatibility/2006">
          <mc:Choice Requires="x14">
            <control shapeId="80901" r:id="rId8" name="Check Box 5">
              <controlPr locked="0" defaultSize="0" autoFill="0" autoLine="0" autoPict="0">
                <anchor moveWithCells="1">
                  <from>
                    <xdr:col>13</xdr:col>
                    <xdr:colOff>38100</xdr:colOff>
                    <xdr:row>8</xdr:row>
                    <xdr:rowOff>260350</xdr:rowOff>
                  </from>
                  <to>
                    <xdr:col>13</xdr:col>
                    <xdr:colOff>266700</xdr:colOff>
                    <xdr:row>9</xdr:row>
                    <xdr:rowOff>260350</xdr:rowOff>
                  </to>
                </anchor>
              </controlPr>
            </control>
          </mc:Choice>
        </mc:AlternateContent>
        <mc:AlternateContent xmlns:mc="http://schemas.openxmlformats.org/markup-compatibility/2006">
          <mc:Choice Requires="x14">
            <control shapeId="80902" r:id="rId9" name="Check Box 6">
              <controlPr locked="0" defaultSize="0" autoFill="0" autoLine="0" autoPict="0">
                <anchor moveWithCells="1">
                  <from>
                    <xdr:col>27</xdr:col>
                    <xdr:colOff>38100</xdr:colOff>
                    <xdr:row>7</xdr:row>
                    <xdr:rowOff>12700</xdr:rowOff>
                  </from>
                  <to>
                    <xdr:col>27</xdr:col>
                    <xdr:colOff>266700</xdr:colOff>
                    <xdr:row>8</xdr:row>
                    <xdr:rowOff>12700</xdr:rowOff>
                  </to>
                </anchor>
              </controlPr>
            </control>
          </mc:Choice>
        </mc:AlternateContent>
        <mc:AlternateContent xmlns:mc="http://schemas.openxmlformats.org/markup-compatibility/2006">
          <mc:Choice Requires="x14">
            <control shapeId="80903" r:id="rId10" name="Check Box 7">
              <controlPr locked="0" defaultSize="0" autoFill="0" autoLine="0" autoPict="0">
                <anchor moveWithCells="1">
                  <from>
                    <xdr:col>27</xdr:col>
                    <xdr:colOff>38100</xdr:colOff>
                    <xdr:row>8</xdr:row>
                    <xdr:rowOff>12700</xdr:rowOff>
                  </from>
                  <to>
                    <xdr:col>27</xdr:col>
                    <xdr:colOff>266700</xdr:colOff>
                    <xdr:row>9</xdr:row>
                    <xdr:rowOff>12700</xdr:rowOff>
                  </to>
                </anchor>
              </controlPr>
            </control>
          </mc:Choice>
        </mc:AlternateContent>
        <mc:AlternateContent xmlns:mc="http://schemas.openxmlformats.org/markup-compatibility/2006">
          <mc:Choice Requires="x14">
            <control shapeId="80904" r:id="rId11" name="Check Box 8">
              <controlPr locked="0" defaultSize="0" autoFill="0" autoLine="0" autoPict="0">
                <anchor moveWithCells="1">
                  <from>
                    <xdr:col>13</xdr:col>
                    <xdr:colOff>38100</xdr:colOff>
                    <xdr:row>12</xdr:row>
                    <xdr:rowOff>0</xdr:rowOff>
                  </from>
                  <to>
                    <xdr:col>13</xdr:col>
                    <xdr:colOff>266700</xdr:colOff>
                    <xdr:row>13</xdr:row>
                    <xdr:rowOff>0</xdr:rowOff>
                  </to>
                </anchor>
              </controlPr>
            </control>
          </mc:Choice>
        </mc:AlternateContent>
        <mc:AlternateContent xmlns:mc="http://schemas.openxmlformats.org/markup-compatibility/2006">
          <mc:Choice Requires="x14">
            <control shapeId="80905" r:id="rId12" name="Check Box 9">
              <controlPr locked="0" defaultSize="0" autoFill="0" autoLine="0" autoPict="0">
                <anchor moveWithCells="1">
                  <from>
                    <xdr:col>13</xdr:col>
                    <xdr:colOff>38100</xdr:colOff>
                    <xdr:row>13</xdr:row>
                    <xdr:rowOff>0</xdr:rowOff>
                  </from>
                  <to>
                    <xdr:col>13</xdr:col>
                    <xdr:colOff>266700</xdr:colOff>
                    <xdr:row>14</xdr:row>
                    <xdr:rowOff>0</xdr:rowOff>
                  </to>
                </anchor>
              </controlPr>
            </control>
          </mc:Choice>
        </mc:AlternateContent>
        <mc:AlternateContent xmlns:mc="http://schemas.openxmlformats.org/markup-compatibility/2006">
          <mc:Choice Requires="x14">
            <control shapeId="80906" r:id="rId13" name="Check Box 10">
              <controlPr locked="0" defaultSize="0" autoFill="0" autoLine="0" autoPict="0">
                <anchor moveWithCells="1">
                  <from>
                    <xdr:col>13</xdr:col>
                    <xdr:colOff>38100</xdr:colOff>
                    <xdr:row>14</xdr:row>
                    <xdr:rowOff>0</xdr:rowOff>
                  </from>
                  <to>
                    <xdr:col>13</xdr:col>
                    <xdr:colOff>266700</xdr:colOff>
                    <xdr:row>15</xdr:row>
                    <xdr:rowOff>0</xdr:rowOff>
                  </to>
                </anchor>
              </controlPr>
            </control>
          </mc:Choice>
        </mc:AlternateContent>
        <mc:AlternateContent xmlns:mc="http://schemas.openxmlformats.org/markup-compatibility/2006">
          <mc:Choice Requires="x14">
            <control shapeId="80907" r:id="rId14" name="Check Box 11">
              <controlPr locked="0" defaultSize="0" autoFill="0" autoLine="0" autoPict="0">
                <anchor moveWithCells="1">
                  <from>
                    <xdr:col>27</xdr:col>
                    <xdr:colOff>38100</xdr:colOff>
                    <xdr:row>12</xdr:row>
                    <xdr:rowOff>12700</xdr:rowOff>
                  </from>
                  <to>
                    <xdr:col>27</xdr:col>
                    <xdr:colOff>266700</xdr:colOff>
                    <xdr:row>13</xdr:row>
                    <xdr:rowOff>12700</xdr:rowOff>
                  </to>
                </anchor>
              </controlPr>
            </control>
          </mc:Choice>
        </mc:AlternateContent>
        <mc:AlternateContent xmlns:mc="http://schemas.openxmlformats.org/markup-compatibility/2006">
          <mc:Choice Requires="x14">
            <control shapeId="80908" r:id="rId15" name="Check Box 12">
              <controlPr locked="0" defaultSize="0" autoFill="0" autoLine="0" autoPict="0">
                <anchor moveWithCells="1">
                  <from>
                    <xdr:col>27</xdr:col>
                    <xdr:colOff>38100</xdr:colOff>
                    <xdr:row>12</xdr:row>
                    <xdr:rowOff>260350</xdr:rowOff>
                  </from>
                  <to>
                    <xdr:col>27</xdr:col>
                    <xdr:colOff>266700</xdr:colOff>
                    <xdr:row>13</xdr:row>
                    <xdr:rowOff>260350</xdr:rowOff>
                  </to>
                </anchor>
              </controlPr>
            </control>
          </mc:Choice>
        </mc:AlternateContent>
        <mc:AlternateContent xmlns:mc="http://schemas.openxmlformats.org/markup-compatibility/2006">
          <mc:Choice Requires="x14">
            <control shapeId="80909" r:id="rId16" name="Check Box 13">
              <controlPr locked="0" defaultSize="0" autoFill="0" autoLine="0" autoPict="0">
                <anchor moveWithCells="1">
                  <from>
                    <xdr:col>27</xdr:col>
                    <xdr:colOff>38100</xdr:colOff>
                    <xdr:row>14</xdr:row>
                    <xdr:rowOff>12700</xdr:rowOff>
                  </from>
                  <to>
                    <xdr:col>27</xdr:col>
                    <xdr:colOff>266700</xdr:colOff>
                    <xdr:row>15</xdr:row>
                    <xdr:rowOff>12700</xdr:rowOff>
                  </to>
                </anchor>
              </controlPr>
            </control>
          </mc:Choice>
        </mc:AlternateContent>
        <mc:AlternateContent xmlns:mc="http://schemas.openxmlformats.org/markup-compatibility/2006">
          <mc:Choice Requires="x14">
            <control shapeId="80910" r:id="rId17" name="Check Box 14">
              <controlPr locked="0" defaultSize="0" autoFill="0" autoLine="0" autoPict="0">
                <anchor moveWithCells="1">
                  <from>
                    <xdr:col>32</xdr:col>
                    <xdr:colOff>38100</xdr:colOff>
                    <xdr:row>15</xdr:row>
                    <xdr:rowOff>31750</xdr:rowOff>
                  </from>
                  <to>
                    <xdr:col>32</xdr:col>
                    <xdr:colOff>266700</xdr:colOff>
                    <xdr:row>16</xdr:row>
                    <xdr:rowOff>31750</xdr:rowOff>
                  </to>
                </anchor>
              </controlPr>
            </control>
          </mc:Choice>
        </mc:AlternateContent>
        <mc:AlternateContent xmlns:mc="http://schemas.openxmlformats.org/markup-compatibility/2006">
          <mc:Choice Requires="x14">
            <control shapeId="80911" r:id="rId18" name="Check Box 15">
              <controlPr locked="0" defaultSize="0" autoFill="0" autoLine="0" autoPict="0">
                <anchor moveWithCells="1">
                  <from>
                    <xdr:col>32</xdr:col>
                    <xdr:colOff>38100</xdr:colOff>
                    <xdr:row>16</xdr:row>
                    <xdr:rowOff>31750</xdr:rowOff>
                  </from>
                  <to>
                    <xdr:col>32</xdr:col>
                    <xdr:colOff>266700</xdr:colOff>
                    <xdr:row>17</xdr:row>
                    <xdr:rowOff>31750</xdr:rowOff>
                  </to>
                </anchor>
              </controlPr>
            </control>
          </mc:Choice>
        </mc:AlternateContent>
        <mc:AlternateContent xmlns:mc="http://schemas.openxmlformats.org/markup-compatibility/2006">
          <mc:Choice Requires="x14">
            <control shapeId="80912" r:id="rId19" name="Check Box 16">
              <controlPr locked="0" defaultSize="0" autoFill="0" autoLine="0" autoPict="0">
                <anchor moveWithCells="1">
                  <from>
                    <xdr:col>32</xdr:col>
                    <xdr:colOff>38100</xdr:colOff>
                    <xdr:row>17</xdr:row>
                    <xdr:rowOff>31750</xdr:rowOff>
                  </from>
                  <to>
                    <xdr:col>32</xdr:col>
                    <xdr:colOff>266700</xdr:colOff>
                    <xdr:row>18</xdr:row>
                    <xdr:rowOff>31750</xdr:rowOff>
                  </to>
                </anchor>
              </controlPr>
            </control>
          </mc:Choice>
        </mc:AlternateContent>
        <mc:AlternateContent xmlns:mc="http://schemas.openxmlformats.org/markup-compatibility/2006">
          <mc:Choice Requires="x14">
            <control shapeId="80913" r:id="rId20" name="Check Box 17">
              <controlPr locked="0" defaultSize="0" autoFill="0" autoLine="0" autoPict="0">
                <anchor moveWithCells="1">
                  <from>
                    <xdr:col>36</xdr:col>
                    <xdr:colOff>38100</xdr:colOff>
                    <xdr:row>15</xdr:row>
                    <xdr:rowOff>31750</xdr:rowOff>
                  </from>
                  <to>
                    <xdr:col>36</xdr:col>
                    <xdr:colOff>266700</xdr:colOff>
                    <xdr:row>16</xdr:row>
                    <xdr:rowOff>31750</xdr:rowOff>
                  </to>
                </anchor>
              </controlPr>
            </control>
          </mc:Choice>
        </mc:AlternateContent>
        <mc:AlternateContent xmlns:mc="http://schemas.openxmlformats.org/markup-compatibility/2006">
          <mc:Choice Requires="x14">
            <control shapeId="80914" r:id="rId21" name="Check Box 18">
              <controlPr locked="0" defaultSize="0" autoFill="0" autoLine="0" autoPict="0">
                <anchor moveWithCells="1">
                  <from>
                    <xdr:col>36</xdr:col>
                    <xdr:colOff>38100</xdr:colOff>
                    <xdr:row>16</xdr:row>
                    <xdr:rowOff>31750</xdr:rowOff>
                  </from>
                  <to>
                    <xdr:col>36</xdr:col>
                    <xdr:colOff>266700</xdr:colOff>
                    <xdr:row>17</xdr:row>
                    <xdr:rowOff>31750</xdr:rowOff>
                  </to>
                </anchor>
              </controlPr>
            </control>
          </mc:Choice>
        </mc:AlternateContent>
        <mc:AlternateContent xmlns:mc="http://schemas.openxmlformats.org/markup-compatibility/2006">
          <mc:Choice Requires="x14">
            <control shapeId="80915" r:id="rId22" name="Check Box 19">
              <controlPr locked="0" defaultSize="0" autoFill="0" autoLine="0" autoPict="0">
                <anchor moveWithCells="1">
                  <from>
                    <xdr:col>36</xdr:col>
                    <xdr:colOff>38100</xdr:colOff>
                    <xdr:row>17</xdr:row>
                    <xdr:rowOff>31750</xdr:rowOff>
                  </from>
                  <to>
                    <xdr:col>36</xdr:col>
                    <xdr:colOff>266700</xdr:colOff>
                    <xdr:row>18</xdr:row>
                    <xdr:rowOff>31750</xdr:rowOff>
                  </to>
                </anchor>
              </controlPr>
            </control>
          </mc:Choice>
        </mc:AlternateContent>
        <mc:AlternateContent xmlns:mc="http://schemas.openxmlformats.org/markup-compatibility/2006">
          <mc:Choice Requires="x14">
            <control shapeId="80916" r:id="rId23" name="Check Box 20">
              <controlPr locked="0" defaultSize="0" autoFill="0" autoLine="0" autoPict="0">
                <anchor moveWithCells="1">
                  <from>
                    <xdr:col>13</xdr:col>
                    <xdr:colOff>38100</xdr:colOff>
                    <xdr:row>18</xdr:row>
                    <xdr:rowOff>260350</xdr:rowOff>
                  </from>
                  <to>
                    <xdr:col>13</xdr:col>
                    <xdr:colOff>266700</xdr:colOff>
                    <xdr:row>19</xdr:row>
                    <xdr:rowOff>260350</xdr:rowOff>
                  </to>
                </anchor>
              </controlPr>
            </control>
          </mc:Choice>
        </mc:AlternateContent>
        <mc:AlternateContent xmlns:mc="http://schemas.openxmlformats.org/markup-compatibility/2006">
          <mc:Choice Requires="x14">
            <control shapeId="80917" r:id="rId24" name="Check Box 21">
              <controlPr locked="0" defaultSize="0" autoFill="0" autoLine="0" autoPict="0">
                <anchor moveWithCells="1">
                  <from>
                    <xdr:col>13</xdr:col>
                    <xdr:colOff>38100</xdr:colOff>
                    <xdr:row>20</xdr:row>
                    <xdr:rowOff>0</xdr:rowOff>
                  </from>
                  <to>
                    <xdr:col>13</xdr:col>
                    <xdr:colOff>266700</xdr:colOff>
                    <xdr:row>21</xdr:row>
                    <xdr:rowOff>12700</xdr:rowOff>
                  </to>
                </anchor>
              </controlPr>
            </control>
          </mc:Choice>
        </mc:AlternateContent>
        <mc:AlternateContent xmlns:mc="http://schemas.openxmlformats.org/markup-compatibility/2006">
          <mc:Choice Requires="x14">
            <control shapeId="80918" r:id="rId25" name="Check Box 22">
              <controlPr locked="0" defaultSize="0" autoFill="0" autoLine="0" autoPict="0">
                <anchor moveWithCells="1">
                  <from>
                    <xdr:col>27</xdr:col>
                    <xdr:colOff>38100</xdr:colOff>
                    <xdr:row>18</xdr:row>
                    <xdr:rowOff>241300</xdr:rowOff>
                  </from>
                  <to>
                    <xdr:col>27</xdr:col>
                    <xdr:colOff>266700</xdr:colOff>
                    <xdr:row>19</xdr:row>
                    <xdr:rowOff>260350</xdr:rowOff>
                  </to>
                </anchor>
              </controlPr>
            </control>
          </mc:Choice>
        </mc:AlternateContent>
        <mc:AlternateContent xmlns:mc="http://schemas.openxmlformats.org/markup-compatibility/2006">
          <mc:Choice Requires="x14">
            <control shapeId="80919" r:id="rId26" name="Check Box 23">
              <controlPr locked="0" defaultSize="0" autoFill="0" autoLine="0" autoPict="0">
                <anchor moveWithCells="1">
                  <from>
                    <xdr:col>27</xdr:col>
                    <xdr:colOff>38100</xdr:colOff>
                    <xdr:row>19</xdr:row>
                    <xdr:rowOff>241300</xdr:rowOff>
                  </from>
                  <to>
                    <xdr:col>27</xdr:col>
                    <xdr:colOff>266700</xdr:colOff>
                    <xdr:row>21</xdr:row>
                    <xdr:rowOff>12700</xdr:rowOff>
                  </to>
                </anchor>
              </controlPr>
            </control>
          </mc:Choice>
        </mc:AlternateContent>
        <mc:AlternateContent xmlns:mc="http://schemas.openxmlformats.org/markup-compatibility/2006">
          <mc:Choice Requires="x14">
            <control shapeId="80920" r:id="rId27" name="Check Box 24">
              <controlPr locked="0" defaultSize="0" autoFill="0" autoLine="0" autoPict="0">
                <anchor moveWithCells="1">
                  <from>
                    <xdr:col>32</xdr:col>
                    <xdr:colOff>38100</xdr:colOff>
                    <xdr:row>22</xdr:row>
                    <xdr:rowOff>31750</xdr:rowOff>
                  </from>
                  <to>
                    <xdr:col>32</xdr:col>
                    <xdr:colOff>266700</xdr:colOff>
                    <xdr:row>23</xdr:row>
                    <xdr:rowOff>31750</xdr:rowOff>
                  </to>
                </anchor>
              </controlPr>
            </control>
          </mc:Choice>
        </mc:AlternateContent>
        <mc:AlternateContent xmlns:mc="http://schemas.openxmlformats.org/markup-compatibility/2006">
          <mc:Choice Requires="x14">
            <control shapeId="80921" r:id="rId28" name="Check Box 25">
              <controlPr locked="0" defaultSize="0" autoFill="0" autoLine="0" autoPict="0">
                <anchor moveWithCells="1">
                  <from>
                    <xdr:col>32</xdr:col>
                    <xdr:colOff>38100</xdr:colOff>
                    <xdr:row>24</xdr:row>
                    <xdr:rowOff>31750</xdr:rowOff>
                  </from>
                  <to>
                    <xdr:col>32</xdr:col>
                    <xdr:colOff>266700</xdr:colOff>
                    <xdr:row>25</xdr:row>
                    <xdr:rowOff>31750</xdr:rowOff>
                  </to>
                </anchor>
              </controlPr>
            </control>
          </mc:Choice>
        </mc:AlternateContent>
        <mc:AlternateContent xmlns:mc="http://schemas.openxmlformats.org/markup-compatibility/2006">
          <mc:Choice Requires="x14">
            <control shapeId="80922" r:id="rId29" name="Check Box 26">
              <controlPr locked="0" defaultSize="0" autoFill="0" autoLine="0" autoPict="0">
                <anchor moveWithCells="1">
                  <from>
                    <xdr:col>36</xdr:col>
                    <xdr:colOff>38100</xdr:colOff>
                    <xdr:row>22</xdr:row>
                    <xdr:rowOff>31750</xdr:rowOff>
                  </from>
                  <to>
                    <xdr:col>36</xdr:col>
                    <xdr:colOff>266700</xdr:colOff>
                    <xdr:row>23</xdr:row>
                    <xdr:rowOff>31750</xdr:rowOff>
                  </to>
                </anchor>
              </controlPr>
            </control>
          </mc:Choice>
        </mc:AlternateContent>
        <mc:AlternateContent xmlns:mc="http://schemas.openxmlformats.org/markup-compatibility/2006">
          <mc:Choice Requires="x14">
            <control shapeId="80923" r:id="rId30" name="Check Box 27">
              <controlPr locked="0" defaultSize="0" autoFill="0" autoLine="0" autoPict="0">
                <anchor moveWithCells="1">
                  <from>
                    <xdr:col>36</xdr:col>
                    <xdr:colOff>38100</xdr:colOff>
                    <xdr:row>24</xdr:row>
                    <xdr:rowOff>31750</xdr:rowOff>
                  </from>
                  <to>
                    <xdr:col>36</xdr:col>
                    <xdr:colOff>266700</xdr:colOff>
                    <xdr:row>25</xdr:row>
                    <xdr:rowOff>31750</xdr:rowOff>
                  </to>
                </anchor>
              </controlPr>
            </control>
          </mc:Choice>
        </mc:AlternateContent>
        <mc:AlternateContent xmlns:mc="http://schemas.openxmlformats.org/markup-compatibility/2006">
          <mc:Choice Requires="x14">
            <control shapeId="80924" r:id="rId31" name="Check Box 28">
              <controlPr locked="0" defaultSize="0" autoFill="0" autoLine="0" autoPict="0">
                <anchor moveWithCells="1">
                  <from>
                    <xdr:col>13</xdr:col>
                    <xdr:colOff>38100</xdr:colOff>
                    <xdr:row>26</xdr:row>
                    <xdr:rowOff>0</xdr:rowOff>
                  </from>
                  <to>
                    <xdr:col>13</xdr:col>
                    <xdr:colOff>266700</xdr:colOff>
                    <xdr:row>27</xdr:row>
                    <xdr:rowOff>0</xdr:rowOff>
                  </to>
                </anchor>
              </controlPr>
            </control>
          </mc:Choice>
        </mc:AlternateContent>
        <mc:AlternateContent xmlns:mc="http://schemas.openxmlformats.org/markup-compatibility/2006">
          <mc:Choice Requires="x14">
            <control shapeId="80925" r:id="rId32" name="Check Box 29">
              <controlPr locked="0" defaultSize="0" autoFill="0" autoLine="0" autoPict="0">
                <anchor moveWithCells="1">
                  <from>
                    <xdr:col>13</xdr:col>
                    <xdr:colOff>38100</xdr:colOff>
                    <xdr:row>27</xdr:row>
                    <xdr:rowOff>0</xdr:rowOff>
                  </from>
                  <to>
                    <xdr:col>13</xdr:col>
                    <xdr:colOff>266700</xdr:colOff>
                    <xdr:row>28</xdr:row>
                    <xdr:rowOff>0</xdr:rowOff>
                  </to>
                </anchor>
              </controlPr>
            </control>
          </mc:Choice>
        </mc:AlternateContent>
        <mc:AlternateContent xmlns:mc="http://schemas.openxmlformats.org/markup-compatibility/2006">
          <mc:Choice Requires="x14">
            <control shapeId="80926" r:id="rId33" name="Check Box 30">
              <controlPr locked="0" defaultSize="0" autoFill="0" autoLine="0" autoPict="0">
                <anchor moveWithCells="1">
                  <from>
                    <xdr:col>13</xdr:col>
                    <xdr:colOff>38100</xdr:colOff>
                    <xdr:row>28</xdr:row>
                    <xdr:rowOff>0</xdr:rowOff>
                  </from>
                  <to>
                    <xdr:col>13</xdr:col>
                    <xdr:colOff>266700</xdr:colOff>
                    <xdr:row>29</xdr:row>
                    <xdr:rowOff>0</xdr:rowOff>
                  </to>
                </anchor>
              </controlPr>
            </control>
          </mc:Choice>
        </mc:AlternateContent>
        <mc:AlternateContent xmlns:mc="http://schemas.openxmlformats.org/markup-compatibility/2006">
          <mc:Choice Requires="x14">
            <control shapeId="80927" r:id="rId34" name="Check Box 31">
              <controlPr locked="0" defaultSize="0" autoFill="0" autoLine="0" autoPict="0">
                <anchor moveWithCells="1">
                  <from>
                    <xdr:col>13</xdr:col>
                    <xdr:colOff>38100</xdr:colOff>
                    <xdr:row>29</xdr:row>
                    <xdr:rowOff>0</xdr:rowOff>
                  </from>
                  <to>
                    <xdr:col>13</xdr:col>
                    <xdr:colOff>266700</xdr:colOff>
                    <xdr:row>30</xdr:row>
                    <xdr:rowOff>0</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pageSetUpPr fitToPage="1"/>
  </sheetPr>
  <dimension ref="B1:BN44"/>
  <sheetViews>
    <sheetView showGridLines="0" topLeftCell="A32" zoomScaleNormal="100" workbookViewId="0">
      <selection activeCell="R6" sqref="R6:T6"/>
    </sheetView>
  </sheetViews>
  <sheetFormatPr defaultColWidth="9" defaultRowHeight="15.5"/>
  <cols>
    <col min="1" max="1" width="2.08203125" style="602" customWidth="1"/>
    <col min="2" max="62" width="3.58203125" style="602" customWidth="1"/>
    <col min="63" max="63" width="2.08203125" style="602" customWidth="1"/>
    <col min="64" max="80" width="3.58203125" style="602" customWidth="1"/>
    <col min="81" max="16384" width="9" style="602"/>
  </cols>
  <sheetData>
    <row r="1" spans="2:44" ht="12" customHeight="1"/>
    <row r="2" spans="2:44" s="568" customFormat="1" ht="18" customHeight="1">
      <c r="B2" s="627" t="s">
        <v>11790</v>
      </c>
      <c r="M2" s="609"/>
      <c r="O2" s="609"/>
      <c r="X2" s="625"/>
      <c r="Y2" s="625"/>
      <c r="AA2" s="625"/>
      <c r="AB2" s="625"/>
      <c r="AD2" s="625"/>
      <c r="AE2" s="625"/>
      <c r="AG2" s="625"/>
      <c r="AH2" s="625"/>
      <c r="AJ2" s="625"/>
      <c r="AK2" s="625"/>
      <c r="AL2" s="625"/>
      <c r="AM2" s="625"/>
      <c r="AN2" s="625"/>
      <c r="AO2" s="625"/>
      <c r="AP2" s="625"/>
      <c r="AQ2" s="625"/>
      <c r="AR2" s="625"/>
    </row>
    <row r="3" spans="2:44" s="568" customFormat="1" ht="15" customHeight="1" thickBot="1">
      <c r="B3" s="1063" t="s">
        <v>903</v>
      </c>
      <c r="M3" s="609"/>
      <c r="O3" s="609"/>
      <c r="X3" s="625"/>
      <c r="Y3" s="625"/>
      <c r="AA3" s="625"/>
      <c r="AB3" s="625"/>
      <c r="AD3" s="625"/>
      <c r="AE3" s="625"/>
      <c r="AG3" s="625"/>
      <c r="AH3" s="625"/>
      <c r="AJ3" s="625"/>
      <c r="AK3" s="625"/>
      <c r="AL3" s="625"/>
      <c r="AM3" s="625"/>
      <c r="AN3" s="625"/>
      <c r="AO3" s="625"/>
      <c r="AP3" s="625"/>
      <c r="AQ3" s="625"/>
      <c r="AR3" s="625"/>
    </row>
    <row r="4" spans="2:44" s="568" customFormat="1" ht="23.5" customHeight="1">
      <c r="B4" s="2675" t="s">
        <v>557</v>
      </c>
      <c r="C4" s="2676"/>
      <c r="D4" s="2676"/>
      <c r="E4" s="2676"/>
      <c r="F4" s="2676"/>
      <c r="G4" s="2676"/>
      <c r="H4" s="2676"/>
      <c r="I4" s="2676"/>
      <c r="J4" s="2676"/>
      <c r="K4" s="2676"/>
      <c r="L4" s="2676"/>
      <c r="M4" s="2676"/>
      <c r="N4" s="2676"/>
      <c r="O4" s="2676"/>
      <c r="P4" s="2676"/>
      <c r="Q4" s="2677"/>
      <c r="R4" s="3407" t="s">
        <v>57</v>
      </c>
      <c r="S4" s="3408"/>
      <c r="T4" s="3409"/>
      <c r="U4" s="2858" t="s">
        <v>19</v>
      </c>
      <c r="V4" s="2859"/>
      <c r="W4" s="3175"/>
      <c r="X4" s="2858" t="s">
        <v>20</v>
      </c>
      <c r="Y4" s="2859"/>
      <c r="Z4" s="3175"/>
      <c r="AA4" s="2858" t="s">
        <v>21</v>
      </c>
      <c r="AB4" s="2859"/>
      <c r="AC4" s="3175"/>
      <c r="AD4" s="2858" t="s">
        <v>22</v>
      </c>
      <c r="AE4" s="2859"/>
      <c r="AF4" s="3175"/>
      <c r="AG4" s="2858" t="s">
        <v>23</v>
      </c>
      <c r="AH4" s="2859"/>
      <c r="AI4" s="3175"/>
      <c r="AJ4" s="2858" t="s">
        <v>24</v>
      </c>
      <c r="AK4" s="2859"/>
      <c r="AL4" s="3203"/>
      <c r="AM4" s="3166" t="s">
        <v>1302</v>
      </c>
      <c r="AN4" s="3167"/>
      <c r="AO4" s="3168"/>
    </row>
    <row r="5" spans="2:44" s="568" customFormat="1" ht="21" customHeight="1" thickBot="1">
      <c r="B5" s="2678"/>
      <c r="C5" s="2679"/>
      <c r="D5" s="2679"/>
      <c r="E5" s="2679"/>
      <c r="F5" s="2679"/>
      <c r="G5" s="2679"/>
      <c r="H5" s="2679"/>
      <c r="I5" s="2679"/>
      <c r="J5" s="2679"/>
      <c r="K5" s="2679"/>
      <c r="L5" s="2679"/>
      <c r="M5" s="2679"/>
      <c r="N5" s="2679"/>
      <c r="O5" s="2679"/>
      <c r="P5" s="2679"/>
      <c r="Q5" s="2680"/>
      <c r="R5" s="3410"/>
      <c r="S5" s="3411"/>
      <c r="T5" s="3412"/>
      <c r="U5" s="3179"/>
      <c r="V5" s="3180"/>
      <c r="W5" s="3181"/>
      <c r="X5" s="3179"/>
      <c r="Y5" s="3180"/>
      <c r="Z5" s="3181"/>
      <c r="AA5" s="3179"/>
      <c r="AB5" s="3180"/>
      <c r="AC5" s="3181"/>
      <c r="AD5" s="3179"/>
      <c r="AE5" s="3180"/>
      <c r="AF5" s="3181"/>
      <c r="AG5" s="3179"/>
      <c r="AH5" s="3180"/>
      <c r="AI5" s="3181"/>
      <c r="AJ5" s="3179"/>
      <c r="AK5" s="3180"/>
      <c r="AL5" s="3413"/>
      <c r="AM5" s="3414"/>
      <c r="AN5" s="3415"/>
      <c r="AO5" s="3416"/>
    </row>
    <row r="6" spans="2:44" s="588" customFormat="1" ht="25.5" customHeight="1">
      <c r="B6" s="3404" t="s">
        <v>1505</v>
      </c>
      <c r="C6" s="3405"/>
      <c r="D6" s="3405"/>
      <c r="E6" s="3405"/>
      <c r="F6" s="3405"/>
      <c r="G6" s="3405"/>
      <c r="H6" s="3405"/>
      <c r="I6" s="3405"/>
      <c r="J6" s="3405"/>
      <c r="K6" s="3405"/>
      <c r="L6" s="3405"/>
      <c r="M6" s="3405"/>
      <c r="N6" s="3405"/>
      <c r="O6" s="3405"/>
      <c r="P6" s="3405"/>
      <c r="Q6" s="3406"/>
      <c r="R6" s="3198">
        <v>0</v>
      </c>
      <c r="S6" s="3199"/>
      <c r="T6" s="3206"/>
      <c r="U6" s="3198">
        <v>0</v>
      </c>
      <c r="V6" s="3199"/>
      <c r="W6" s="3206"/>
      <c r="X6" s="3198">
        <v>0</v>
      </c>
      <c r="Y6" s="3199"/>
      <c r="Z6" s="3206"/>
      <c r="AA6" s="3198">
        <v>0</v>
      </c>
      <c r="AB6" s="3199"/>
      <c r="AC6" s="3206"/>
      <c r="AD6" s="3198">
        <v>0</v>
      </c>
      <c r="AE6" s="3199"/>
      <c r="AF6" s="3206"/>
      <c r="AG6" s="3198">
        <v>0</v>
      </c>
      <c r="AH6" s="3199"/>
      <c r="AI6" s="3206"/>
      <c r="AJ6" s="3198">
        <v>0</v>
      </c>
      <c r="AK6" s="3199"/>
      <c r="AL6" s="3207"/>
      <c r="AM6" s="3201">
        <f>SUM(R6:AL6)</f>
        <v>0</v>
      </c>
      <c r="AN6" s="3201"/>
      <c r="AO6" s="3209"/>
    </row>
    <row r="7" spans="2:44" s="588" customFormat="1" ht="18" customHeight="1">
      <c r="B7" s="3401" t="s">
        <v>585</v>
      </c>
      <c r="C7" s="3402"/>
      <c r="D7" s="3402"/>
      <c r="E7" s="3402"/>
      <c r="F7" s="3402"/>
      <c r="G7" s="3402"/>
      <c r="H7" s="3402"/>
      <c r="I7" s="3402"/>
      <c r="J7" s="3402"/>
      <c r="K7" s="3402"/>
      <c r="L7" s="3402"/>
      <c r="M7" s="3402"/>
      <c r="N7" s="3402"/>
      <c r="O7" s="3402"/>
      <c r="P7" s="3402"/>
      <c r="Q7" s="3403"/>
      <c r="R7" s="3160"/>
      <c r="S7" s="3161"/>
      <c r="T7" s="3161"/>
      <c r="U7" s="3160"/>
      <c r="V7" s="3161"/>
      <c r="W7" s="3161"/>
      <c r="X7" s="3160"/>
      <c r="Y7" s="3161"/>
      <c r="Z7" s="3161"/>
      <c r="AA7" s="3160"/>
      <c r="AB7" s="3161"/>
      <c r="AC7" s="3161"/>
      <c r="AD7" s="3160"/>
      <c r="AE7" s="3161"/>
      <c r="AF7" s="3161"/>
      <c r="AG7" s="3160"/>
      <c r="AH7" s="3161"/>
      <c r="AI7" s="3161"/>
      <c r="AJ7" s="3160"/>
      <c r="AK7" s="3161"/>
      <c r="AL7" s="3429"/>
      <c r="AM7" s="3165"/>
      <c r="AN7" s="3161"/>
      <c r="AO7" s="3164"/>
    </row>
    <row r="8" spans="2:44" s="588" customFormat="1" ht="25.5" customHeight="1">
      <c r="B8" s="3421" t="s">
        <v>1506</v>
      </c>
      <c r="C8" s="3422"/>
      <c r="D8" s="3422"/>
      <c r="E8" s="3422"/>
      <c r="F8" s="3422"/>
      <c r="G8" s="3422"/>
      <c r="H8" s="3422"/>
      <c r="I8" s="3422"/>
      <c r="J8" s="3422"/>
      <c r="K8" s="3422"/>
      <c r="L8" s="3422"/>
      <c r="M8" s="3422"/>
      <c r="N8" s="3422"/>
      <c r="O8" s="3422"/>
      <c r="P8" s="3422"/>
      <c r="Q8" s="3423"/>
      <c r="R8" s="3146">
        <v>0</v>
      </c>
      <c r="S8" s="2612"/>
      <c r="T8" s="3149"/>
      <c r="U8" s="3146">
        <v>0</v>
      </c>
      <c r="V8" s="2612"/>
      <c r="W8" s="3149"/>
      <c r="X8" s="3146">
        <v>0</v>
      </c>
      <c r="Y8" s="2612"/>
      <c r="Z8" s="3149"/>
      <c r="AA8" s="3146">
        <v>0</v>
      </c>
      <c r="AB8" s="2612"/>
      <c r="AC8" s="3149"/>
      <c r="AD8" s="3146">
        <v>0</v>
      </c>
      <c r="AE8" s="2612"/>
      <c r="AF8" s="3149"/>
      <c r="AG8" s="3146">
        <v>0</v>
      </c>
      <c r="AH8" s="2612"/>
      <c r="AI8" s="3149"/>
      <c r="AJ8" s="3146">
        <v>0</v>
      </c>
      <c r="AK8" s="2612"/>
      <c r="AL8" s="3214"/>
      <c r="AM8" s="3155">
        <f>SUM(R8:AL8)</f>
        <v>0</v>
      </c>
      <c r="AN8" s="3156"/>
      <c r="AO8" s="3159"/>
    </row>
    <row r="9" spans="2:44" s="588" customFormat="1" ht="25.5" customHeight="1">
      <c r="B9" s="3421" t="s">
        <v>1174</v>
      </c>
      <c r="C9" s="3422"/>
      <c r="D9" s="3422"/>
      <c r="E9" s="3422"/>
      <c r="F9" s="3422"/>
      <c r="G9" s="3422"/>
      <c r="H9" s="3422"/>
      <c r="I9" s="3422"/>
      <c r="J9" s="3422"/>
      <c r="K9" s="3422"/>
      <c r="L9" s="3422"/>
      <c r="M9" s="3422"/>
      <c r="N9" s="3422"/>
      <c r="O9" s="3422"/>
      <c r="P9" s="3422"/>
      <c r="Q9" s="3423"/>
      <c r="R9" s="3146">
        <v>0</v>
      </c>
      <c r="S9" s="2612"/>
      <c r="T9" s="3149"/>
      <c r="U9" s="3146">
        <v>0</v>
      </c>
      <c r="V9" s="2612"/>
      <c r="W9" s="3149"/>
      <c r="X9" s="3146">
        <v>0</v>
      </c>
      <c r="Y9" s="2612"/>
      <c r="Z9" s="3149"/>
      <c r="AA9" s="3146">
        <v>0</v>
      </c>
      <c r="AB9" s="2612"/>
      <c r="AC9" s="3149"/>
      <c r="AD9" s="3146">
        <v>0</v>
      </c>
      <c r="AE9" s="2612"/>
      <c r="AF9" s="3149"/>
      <c r="AG9" s="3146">
        <v>0</v>
      </c>
      <c r="AH9" s="2612"/>
      <c r="AI9" s="3149"/>
      <c r="AJ9" s="3146">
        <v>0</v>
      </c>
      <c r="AK9" s="2612"/>
      <c r="AL9" s="3214"/>
      <c r="AM9" s="3155">
        <f>SUM(R9:AL9)</f>
        <v>0</v>
      </c>
      <c r="AN9" s="3156"/>
      <c r="AO9" s="3159"/>
    </row>
    <row r="10" spans="2:44" s="588" customFormat="1" ht="18" customHeight="1">
      <c r="B10" s="3401" t="s">
        <v>1507</v>
      </c>
      <c r="C10" s="3402"/>
      <c r="D10" s="3402"/>
      <c r="E10" s="3402"/>
      <c r="F10" s="3402"/>
      <c r="G10" s="3402"/>
      <c r="H10" s="3402"/>
      <c r="I10" s="3402"/>
      <c r="J10" s="3402"/>
      <c r="K10" s="3402"/>
      <c r="L10" s="3402"/>
      <c r="M10" s="3402"/>
      <c r="N10" s="3402"/>
      <c r="O10" s="3402"/>
      <c r="P10" s="3402"/>
      <c r="Q10" s="3403"/>
      <c r="R10" s="3424"/>
      <c r="S10" s="3425"/>
      <c r="T10" s="3425"/>
      <c r="U10" s="3424"/>
      <c r="V10" s="3425"/>
      <c r="W10" s="3425"/>
      <c r="X10" s="3424"/>
      <c r="Y10" s="3425"/>
      <c r="Z10" s="3425"/>
      <c r="AA10" s="3424"/>
      <c r="AB10" s="3425"/>
      <c r="AC10" s="3425"/>
      <c r="AD10" s="3424"/>
      <c r="AE10" s="3425"/>
      <c r="AF10" s="3425"/>
      <c r="AG10" s="3424"/>
      <c r="AH10" s="3425"/>
      <c r="AI10" s="3425"/>
      <c r="AJ10" s="3424"/>
      <c r="AK10" s="3425"/>
      <c r="AL10" s="3426"/>
      <c r="AM10" s="3427"/>
      <c r="AN10" s="3425"/>
      <c r="AO10" s="3428"/>
    </row>
    <row r="11" spans="2:44" s="588" customFormat="1" ht="25.5" customHeight="1">
      <c r="B11" s="3421" t="s">
        <v>1508</v>
      </c>
      <c r="C11" s="3422"/>
      <c r="D11" s="3422"/>
      <c r="E11" s="3422"/>
      <c r="F11" s="3422"/>
      <c r="G11" s="3422"/>
      <c r="H11" s="3422"/>
      <c r="I11" s="3422"/>
      <c r="J11" s="3422"/>
      <c r="K11" s="3422"/>
      <c r="L11" s="3422"/>
      <c r="M11" s="3422"/>
      <c r="N11" s="3422"/>
      <c r="O11" s="3422"/>
      <c r="P11" s="3422"/>
      <c r="Q11" s="3423"/>
      <c r="R11" s="3146">
        <v>0</v>
      </c>
      <c r="S11" s="2612"/>
      <c r="T11" s="3149"/>
      <c r="U11" s="3146">
        <v>0</v>
      </c>
      <c r="V11" s="2612"/>
      <c r="W11" s="3149"/>
      <c r="X11" s="3146">
        <v>0</v>
      </c>
      <c r="Y11" s="2612"/>
      <c r="Z11" s="3149"/>
      <c r="AA11" s="3146">
        <v>0</v>
      </c>
      <c r="AB11" s="2612"/>
      <c r="AC11" s="3149"/>
      <c r="AD11" s="3146">
        <v>0</v>
      </c>
      <c r="AE11" s="2612"/>
      <c r="AF11" s="3149"/>
      <c r="AG11" s="3146">
        <v>0</v>
      </c>
      <c r="AH11" s="2612"/>
      <c r="AI11" s="3149"/>
      <c r="AJ11" s="3146">
        <v>0</v>
      </c>
      <c r="AK11" s="2612"/>
      <c r="AL11" s="3214"/>
      <c r="AM11" s="3156">
        <f t="shared" ref="AM11:AM14" si="0">SUM(R11:AL11)</f>
        <v>0</v>
      </c>
      <c r="AN11" s="3156"/>
      <c r="AO11" s="3159"/>
    </row>
    <row r="12" spans="2:44" s="588" customFormat="1" ht="25.5" customHeight="1">
      <c r="B12" s="3421" t="s">
        <v>1509</v>
      </c>
      <c r="C12" s="3422"/>
      <c r="D12" s="3422"/>
      <c r="E12" s="3422"/>
      <c r="F12" s="3422"/>
      <c r="G12" s="3422"/>
      <c r="H12" s="3422"/>
      <c r="I12" s="3422"/>
      <c r="J12" s="3422"/>
      <c r="K12" s="3422"/>
      <c r="L12" s="3422"/>
      <c r="M12" s="3422"/>
      <c r="N12" s="3422"/>
      <c r="O12" s="3422"/>
      <c r="P12" s="3422"/>
      <c r="Q12" s="3423"/>
      <c r="R12" s="3146">
        <v>0</v>
      </c>
      <c r="S12" s="2612"/>
      <c r="T12" s="3149"/>
      <c r="U12" s="3146">
        <v>0</v>
      </c>
      <c r="V12" s="2612"/>
      <c r="W12" s="3149"/>
      <c r="X12" s="3146">
        <v>0</v>
      </c>
      <c r="Y12" s="2612"/>
      <c r="Z12" s="3149"/>
      <c r="AA12" s="3146">
        <v>0</v>
      </c>
      <c r="AB12" s="2612"/>
      <c r="AC12" s="3149"/>
      <c r="AD12" s="3146">
        <v>0</v>
      </c>
      <c r="AE12" s="2612"/>
      <c r="AF12" s="3149"/>
      <c r="AG12" s="3146">
        <v>0</v>
      </c>
      <c r="AH12" s="2612"/>
      <c r="AI12" s="3149"/>
      <c r="AJ12" s="3146">
        <v>0</v>
      </c>
      <c r="AK12" s="2612"/>
      <c r="AL12" s="3214"/>
      <c r="AM12" s="3156">
        <f t="shared" si="0"/>
        <v>0</v>
      </c>
      <c r="AN12" s="3156"/>
      <c r="AO12" s="3159"/>
    </row>
    <row r="13" spans="2:44" s="588" customFormat="1" ht="25.5" customHeight="1">
      <c r="B13" s="3401" t="s">
        <v>1510</v>
      </c>
      <c r="C13" s="3402"/>
      <c r="D13" s="3402"/>
      <c r="E13" s="3402"/>
      <c r="F13" s="3402"/>
      <c r="G13" s="3402"/>
      <c r="H13" s="3402"/>
      <c r="I13" s="3402"/>
      <c r="J13" s="3402"/>
      <c r="K13" s="3402"/>
      <c r="L13" s="3402"/>
      <c r="M13" s="3402"/>
      <c r="N13" s="3402"/>
      <c r="O13" s="3402"/>
      <c r="P13" s="3402"/>
      <c r="Q13" s="3403"/>
      <c r="R13" s="3146">
        <v>0</v>
      </c>
      <c r="S13" s="2612"/>
      <c r="T13" s="3149"/>
      <c r="U13" s="3146">
        <v>0</v>
      </c>
      <c r="V13" s="2612"/>
      <c r="W13" s="3149"/>
      <c r="X13" s="3146">
        <v>0</v>
      </c>
      <c r="Y13" s="2612"/>
      <c r="Z13" s="3149"/>
      <c r="AA13" s="3146">
        <v>0</v>
      </c>
      <c r="AB13" s="2612"/>
      <c r="AC13" s="3149"/>
      <c r="AD13" s="3146">
        <v>0</v>
      </c>
      <c r="AE13" s="2612"/>
      <c r="AF13" s="3149"/>
      <c r="AG13" s="3146">
        <v>0</v>
      </c>
      <c r="AH13" s="2612"/>
      <c r="AI13" s="3149"/>
      <c r="AJ13" s="3146">
        <v>0</v>
      </c>
      <c r="AK13" s="2612"/>
      <c r="AL13" s="3214"/>
      <c r="AM13" s="3156">
        <f t="shared" si="0"/>
        <v>0</v>
      </c>
      <c r="AN13" s="3156"/>
      <c r="AO13" s="3159"/>
    </row>
    <row r="14" spans="2:44" s="588" customFormat="1" ht="25.5" customHeight="1">
      <c r="B14" s="3401" t="s">
        <v>1511</v>
      </c>
      <c r="C14" s="3402"/>
      <c r="D14" s="3402"/>
      <c r="E14" s="3402"/>
      <c r="F14" s="3402"/>
      <c r="G14" s="3402"/>
      <c r="H14" s="3402"/>
      <c r="I14" s="3402"/>
      <c r="J14" s="3402"/>
      <c r="K14" s="3402"/>
      <c r="L14" s="3402"/>
      <c r="M14" s="3402"/>
      <c r="N14" s="3402"/>
      <c r="O14" s="3402"/>
      <c r="P14" s="3402"/>
      <c r="Q14" s="3403"/>
      <c r="R14" s="3146">
        <v>0</v>
      </c>
      <c r="S14" s="2612"/>
      <c r="T14" s="3149"/>
      <c r="U14" s="3146">
        <v>0</v>
      </c>
      <c r="V14" s="2612"/>
      <c r="W14" s="3149"/>
      <c r="X14" s="3146">
        <v>0</v>
      </c>
      <c r="Y14" s="2612"/>
      <c r="Z14" s="3149"/>
      <c r="AA14" s="3146">
        <v>0</v>
      </c>
      <c r="AB14" s="2612"/>
      <c r="AC14" s="3149"/>
      <c r="AD14" s="3146">
        <v>0</v>
      </c>
      <c r="AE14" s="2612"/>
      <c r="AF14" s="3149"/>
      <c r="AG14" s="3146">
        <v>0</v>
      </c>
      <c r="AH14" s="2612"/>
      <c r="AI14" s="3149"/>
      <c r="AJ14" s="3146">
        <v>0</v>
      </c>
      <c r="AK14" s="2612"/>
      <c r="AL14" s="3214"/>
      <c r="AM14" s="3156">
        <f t="shared" si="0"/>
        <v>0</v>
      </c>
      <c r="AN14" s="3156"/>
      <c r="AO14" s="3159"/>
    </row>
    <row r="15" spans="2:44" s="588" customFormat="1" ht="25.5" customHeight="1" thickBot="1">
      <c r="B15" s="3380" t="s">
        <v>1512</v>
      </c>
      <c r="C15" s="3381"/>
      <c r="D15" s="3381"/>
      <c r="E15" s="3381"/>
      <c r="F15" s="3381"/>
      <c r="G15" s="3381"/>
      <c r="H15" s="3381"/>
      <c r="I15" s="3381"/>
      <c r="J15" s="3381"/>
      <c r="K15" s="3381"/>
      <c r="L15" s="3381"/>
      <c r="M15" s="3381"/>
      <c r="N15" s="3381"/>
      <c r="O15" s="3381"/>
      <c r="P15" s="3381"/>
      <c r="Q15" s="3382"/>
      <c r="R15" s="3383">
        <v>0</v>
      </c>
      <c r="S15" s="3384"/>
      <c r="T15" s="3385"/>
      <c r="U15" s="3383">
        <v>0</v>
      </c>
      <c r="V15" s="3384"/>
      <c r="W15" s="3385"/>
      <c r="X15" s="3383">
        <v>0</v>
      </c>
      <c r="Y15" s="3384"/>
      <c r="Z15" s="3385"/>
      <c r="AA15" s="3383">
        <v>0</v>
      </c>
      <c r="AB15" s="3384"/>
      <c r="AC15" s="3385"/>
      <c r="AD15" s="3417"/>
      <c r="AE15" s="3418"/>
      <c r="AF15" s="3419"/>
      <c r="AG15" s="3417"/>
      <c r="AH15" s="3418"/>
      <c r="AI15" s="3419"/>
      <c r="AJ15" s="3417"/>
      <c r="AK15" s="3418"/>
      <c r="AL15" s="3420"/>
      <c r="AM15" s="3387">
        <f>SUM(R15:AC15)</f>
        <v>0</v>
      </c>
      <c r="AN15" s="3387"/>
      <c r="AO15" s="3388"/>
    </row>
    <row r="16" spans="2:44" s="975" customFormat="1" ht="7.5" customHeight="1">
      <c r="B16" s="187"/>
      <c r="C16" s="976"/>
      <c r="D16" s="976"/>
      <c r="E16" s="976"/>
      <c r="F16" s="976"/>
      <c r="G16" s="976"/>
      <c r="H16" s="977"/>
      <c r="I16" s="977"/>
      <c r="J16" s="977"/>
      <c r="K16" s="977"/>
      <c r="L16" s="977"/>
      <c r="M16" s="977"/>
      <c r="N16" s="977"/>
      <c r="O16" s="977"/>
      <c r="P16" s="977"/>
      <c r="Q16" s="977"/>
      <c r="R16" s="977"/>
      <c r="S16" s="977"/>
      <c r="T16" s="977"/>
      <c r="U16" s="977"/>
      <c r="V16" s="977"/>
      <c r="W16" s="977"/>
      <c r="X16" s="977"/>
      <c r="Y16" s="977"/>
      <c r="Z16" s="977"/>
      <c r="AA16" s="977"/>
      <c r="AB16" s="977"/>
      <c r="AC16" s="977"/>
      <c r="AD16" s="977"/>
      <c r="AE16" s="977"/>
      <c r="AF16" s="977"/>
      <c r="AG16" s="977"/>
      <c r="AH16" s="977"/>
      <c r="AI16" s="977"/>
      <c r="AJ16" s="977"/>
      <c r="AK16" s="977"/>
      <c r="AL16" s="977"/>
      <c r="AM16" s="977"/>
      <c r="AN16" s="977"/>
      <c r="AO16" s="977"/>
      <c r="AP16" s="977"/>
      <c r="AQ16" s="977"/>
    </row>
    <row r="17" spans="2:63" s="211" customFormat="1" ht="30" customHeight="1">
      <c r="B17" s="1062" t="s">
        <v>151</v>
      </c>
      <c r="C17" s="3086" t="s">
        <v>586</v>
      </c>
      <c r="D17" s="3086"/>
      <c r="E17" s="3086"/>
      <c r="F17" s="3086"/>
      <c r="G17" s="3086"/>
      <c r="H17" s="3086"/>
      <c r="I17" s="3086"/>
      <c r="J17" s="3086"/>
      <c r="K17" s="3086"/>
      <c r="L17" s="3086"/>
      <c r="M17" s="3086"/>
      <c r="N17" s="3086"/>
      <c r="O17" s="3086"/>
      <c r="P17" s="3086"/>
      <c r="Q17" s="3086"/>
      <c r="R17" s="3086"/>
      <c r="S17" s="3086"/>
      <c r="T17" s="3086"/>
      <c r="U17" s="3086"/>
      <c r="V17" s="3086"/>
      <c r="W17" s="3086"/>
      <c r="X17" s="3086"/>
      <c r="Y17" s="3086"/>
      <c r="Z17" s="3086"/>
      <c r="AA17" s="3086"/>
      <c r="AB17" s="3086"/>
      <c r="AC17" s="3086"/>
      <c r="AD17" s="3086"/>
      <c r="AE17" s="3086"/>
      <c r="AF17" s="3086"/>
      <c r="AG17" s="3086"/>
      <c r="AH17" s="3086"/>
      <c r="AI17" s="3086"/>
      <c r="AJ17" s="3086"/>
      <c r="AK17" s="3086"/>
      <c r="AL17" s="3086"/>
      <c r="AM17" s="3086"/>
      <c r="AN17" s="3086"/>
      <c r="AO17" s="3086"/>
      <c r="AP17" s="327"/>
      <c r="AQ17" s="327"/>
      <c r="AR17" s="327"/>
      <c r="AS17" s="327"/>
      <c r="AT17" s="327"/>
      <c r="AU17" s="327"/>
      <c r="AV17" s="327"/>
      <c r="AW17" s="327"/>
      <c r="AX17" s="327"/>
      <c r="AY17" s="327"/>
      <c r="AZ17" s="317"/>
      <c r="BA17" s="317"/>
      <c r="BB17" s="317"/>
      <c r="BC17" s="317"/>
      <c r="BD17" s="317"/>
      <c r="BE17" s="317"/>
      <c r="BF17" s="317"/>
      <c r="BG17" s="317"/>
      <c r="BH17" s="317"/>
      <c r="BI17" s="317"/>
      <c r="BJ17" s="317"/>
    </row>
    <row r="18" spans="2:63" s="211" customFormat="1" ht="15" customHeight="1">
      <c r="B18" s="1062" t="s">
        <v>152</v>
      </c>
      <c r="C18" s="3086" t="s">
        <v>587</v>
      </c>
      <c r="D18" s="3086"/>
      <c r="E18" s="3086"/>
      <c r="F18" s="3086"/>
      <c r="G18" s="3086"/>
      <c r="H18" s="3086"/>
      <c r="I18" s="3086"/>
      <c r="J18" s="3086"/>
      <c r="K18" s="3086"/>
      <c r="L18" s="3086"/>
      <c r="M18" s="3086"/>
      <c r="N18" s="3086"/>
      <c r="O18" s="3086"/>
      <c r="P18" s="3086"/>
      <c r="Q18" s="3086"/>
      <c r="R18" s="3086"/>
      <c r="S18" s="3086"/>
      <c r="T18" s="3086"/>
      <c r="U18" s="3086"/>
      <c r="V18" s="3086"/>
      <c r="W18" s="3086"/>
      <c r="X18" s="3086"/>
      <c r="Y18" s="3086"/>
      <c r="Z18" s="3086"/>
      <c r="AA18" s="3086"/>
      <c r="AB18" s="3086"/>
      <c r="AC18" s="3086"/>
      <c r="AD18" s="3086"/>
      <c r="AE18" s="3086"/>
      <c r="AF18" s="3086"/>
      <c r="AG18" s="3086"/>
      <c r="AH18" s="3086"/>
      <c r="AI18" s="3086"/>
      <c r="AJ18" s="3086"/>
      <c r="AK18" s="3086"/>
      <c r="AL18" s="3086"/>
      <c r="AM18" s="3086"/>
      <c r="AN18" s="3086"/>
      <c r="AO18" s="3086"/>
      <c r="AP18" s="327"/>
      <c r="AQ18" s="327"/>
      <c r="AR18" s="327"/>
      <c r="AS18" s="327"/>
      <c r="AT18" s="327"/>
      <c r="AU18" s="327"/>
      <c r="AV18" s="327"/>
      <c r="AW18" s="327"/>
      <c r="AX18" s="327"/>
      <c r="AY18" s="327"/>
      <c r="AZ18" s="317"/>
      <c r="BA18" s="317"/>
      <c r="BB18" s="317"/>
      <c r="BC18" s="317"/>
      <c r="BD18" s="317"/>
      <c r="BE18" s="317"/>
      <c r="BF18" s="317"/>
      <c r="BG18" s="317"/>
      <c r="BH18" s="317"/>
      <c r="BI18" s="317"/>
      <c r="BJ18" s="317"/>
    </row>
    <row r="19" spans="2:63" s="211" customFormat="1" ht="15" customHeight="1">
      <c r="B19" s="1062" t="s">
        <v>153</v>
      </c>
      <c r="C19" s="3086" t="s">
        <v>588</v>
      </c>
      <c r="D19" s="3086"/>
      <c r="E19" s="3086"/>
      <c r="F19" s="3086"/>
      <c r="G19" s="3086"/>
      <c r="H19" s="3086"/>
      <c r="I19" s="3086"/>
      <c r="J19" s="3086"/>
      <c r="K19" s="3086"/>
      <c r="L19" s="3086"/>
      <c r="M19" s="3086"/>
      <c r="N19" s="3086"/>
      <c r="O19" s="3086"/>
      <c r="P19" s="3086"/>
      <c r="Q19" s="3086"/>
      <c r="R19" s="3086"/>
      <c r="S19" s="3086"/>
      <c r="T19" s="3086"/>
      <c r="U19" s="3086"/>
      <c r="V19" s="3086"/>
      <c r="W19" s="3086"/>
      <c r="X19" s="3086"/>
      <c r="Y19" s="3086"/>
      <c r="Z19" s="3086"/>
      <c r="AA19" s="3086"/>
      <c r="AB19" s="3086"/>
      <c r="AC19" s="3086"/>
      <c r="AD19" s="3086"/>
      <c r="AE19" s="3086"/>
      <c r="AF19" s="3086"/>
      <c r="AG19" s="3086"/>
      <c r="AH19" s="3086"/>
      <c r="AI19" s="3086"/>
      <c r="AJ19" s="3086"/>
      <c r="AK19" s="3086"/>
      <c r="AL19" s="3086"/>
      <c r="AM19" s="3086"/>
      <c r="AN19" s="3086"/>
      <c r="AO19" s="3086"/>
      <c r="AP19" s="327"/>
      <c r="AQ19" s="327"/>
      <c r="AR19" s="327"/>
      <c r="AS19" s="327"/>
      <c r="AT19" s="327"/>
      <c r="AU19" s="327"/>
      <c r="AV19" s="327"/>
      <c r="AW19" s="327"/>
      <c r="AX19" s="327"/>
      <c r="AY19" s="327"/>
      <c r="AZ19" s="317"/>
      <c r="BA19" s="317"/>
      <c r="BB19" s="317"/>
      <c r="BC19" s="317"/>
      <c r="BD19" s="317"/>
      <c r="BE19" s="317"/>
      <c r="BF19" s="318"/>
      <c r="BG19" s="318"/>
      <c r="BH19" s="318"/>
      <c r="BI19" s="318"/>
      <c r="BJ19" s="318"/>
    </row>
    <row r="20" spans="2:63" s="211" customFormat="1" ht="15" customHeight="1">
      <c r="B20" s="1062" t="s">
        <v>154</v>
      </c>
      <c r="C20" s="3086" t="s">
        <v>589</v>
      </c>
      <c r="D20" s="3086"/>
      <c r="E20" s="3086"/>
      <c r="F20" s="3086"/>
      <c r="G20" s="3086"/>
      <c r="H20" s="3086"/>
      <c r="I20" s="3086"/>
      <c r="J20" s="3086"/>
      <c r="K20" s="3086"/>
      <c r="L20" s="3086"/>
      <c r="M20" s="3086"/>
      <c r="N20" s="3086"/>
      <c r="O20" s="3086"/>
      <c r="P20" s="3086"/>
      <c r="Q20" s="3086"/>
      <c r="R20" s="3086"/>
      <c r="S20" s="3086"/>
      <c r="T20" s="3086"/>
      <c r="U20" s="3086"/>
      <c r="V20" s="3086"/>
      <c r="W20" s="3086"/>
      <c r="X20" s="3086"/>
      <c r="Y20" s="3086"/>
      <c r="Z20" s="3086"/>
      <c r="AA20" s="3086"/>
      <c r="AB20" s="3086"/>
      <c r="AC20" s="3086"/>
      <c r="AD20" s="3086"/>
      <c r="AE20" s="3086"/>
      <c r="AF20" s="3086"/>
      <c r="AG20" s="3086"/>
      <c r="AH20" s="3086"/>
      <c r="AI20" s="3086"/>
      <c r="AJ20" s="3086"/>
      <c r="AK20" s="3086"/>
      <c r="AL20" s="3086"/>
      <c r="AM20" s="3086"/>
      <c r="AN20" s="3086"/>
      <c r="AO20" s="3086"/>
      <c r="AP20" s="327"/>
      <c r="AQ20" s="327"/>
      <c r="AR20" s="327"/>
      <c r="AS20" s="327"/>
      <c r="AT20" s="327"/>
      <c r="AU20" s="327"/>
      <c r="AV20" s="327"/>
      <c r="AW20" s="327"/>
      <c r="AX20" s="327"/>
      <c r="AY20" s="327"/>
      <c r="AZ20" s="327"/>
      <c r="BA20" s="317"/>
      <c r="BB20" s="317"/>
      <c r="BC20" s="317"/>
      <c r="BD20" s="317"/>
      <c r="BE20" s="317"/>
      <c r="BF20" s="317"/>
      <c r="BG20" s="318"/>
      <c r="BH20" s="318"/>
      <c r="BI20" s="318"/>
      <c r="BJ20" s="318"/>
      <c r="BK20" s="318"/>
    </row>
    <row r="21" spans="2:63" s="975" customFormat="1" ht="20.149999999999999" customHeight="1">
      <c r="B21" s="187"/>
      <c r="C21" s="976"/>
      <c r="D21" s="976"/>
      <c r="E21" s="976"/>
      <c r="F21" s="976"/>
      <c r="G21" s="976"/>
      <c r="H21" s="977"/>
      <c r="I21" s="977"/>
      <c r="J21" s="977"/>
      <c r="K21" s="977"/>
      <c r="L21" s="977"/>
      <c r="M21" s="977"/>
      <c r="N21" s="977"/>
      <c r="O21" s="977"/>
      <c r="P21" s="977"/>
      <c r="Q21" s="977"/>
      <c r="R21" s="977"/>
      <c r="S21" s="977"/>
      <c r="T21" s="977"/>
      <c r="U21" s="977"/>
      <c r="V21" s="977"/>
      <c r="W21" s="977"/>
      <c r="X21" s="977"/>
      <c r="Y21" s="977"/>
      <c r="Z21" s="977"/>
      <c r="AA21" s="977"/>
      <c r="AB21" s="977"/>
      <c r="AC21" s="977"/>
      <c r="AD21" s="977"/>
      <c r="AE21" s="977"/>
      <c r="AF21" s="977"/>
      <c r="AG21" s="977"/>
      <c r="AH21" s="977"/>
      <c r="AI21" s="977"/>
      <c r="AJ21" s="977"/>
      <c r="AK21" s="977"/>
      <c r="AL21" s="977"/>
      <c r="AM21" s="977"/>
      <c r="AN21" s="977"/>
      <c r="AO21" s="977"/>
      <c r="AP21" s="977"/>
      <c r="AQ21" s="977"/>
      <c r="AR21" s="977"/>
    </row>
    <row r="22" spans="2:63" s="568" customFormat="1" ht="20">
      <c r="B22" s="627" t="s">
        <v>11791</v>
      </c>
      <c r="M22" s="609"/>
      <c r="O22" s="609"/>
      <c r="AC22" s="625"/>
      <c r="AD22" s="625"/>
      <c r="AE22" s="625"/>
      <c r="AF22" s="625"/>
      <c r="AG22" s="625"/>
      <c r="AH22" s="625"/>
      <c r="AI22" s="625"/>
      <c r="AJ22" s="625"/>
      <c r="AK22" s="625"/>
      <c r="AL22" s="625"/>
      <c r="AM22" s="625"/>
      <c r="AN22" s="625"/>
      <c r="AO22" s="625"/>
      <c r="AP22" s="625"/>
      <c r="AQ22" s="625"/>
    </row>
    <row r="23" spans="2:63" s="568" customFormat="1" ht="15" customHeight="1" thickBot="1">
      <c r="B23" s="1063" t="s">
        <v>903</v>
      </c>
      <c r="I23" s="609"/>
      <c r="K23" s="609"/>
      <c r="T23" s="625"/>
      <c r="U23" s="625"/>
      <c r="W23" s="625"/>
      <c r="X23" s="625"/>
      <c r="Z23" s="625"/>
      <c r="AA23" s="625"/>
      <c r="AC23" s="625"/>
      <c r="AD23" s="625"/>
      <c r="AF23" s="625"/>
      <c r="AG23" s="625"/>
      <c r="AH23" s="625"/>
      <c r="AI23" s="625"/>
      <c r="AJ23" s="625"/>
      <c r="AK23" s="625"/>
      <c r="AL23" s="625"/>
      <c r="AM23" s="625"/>
      <c r="AN23" s="625"/>
    </row>
    <row r="24" spans="2:63" s="568" customFormat="1" ht="23.5" customHeight="1">
      <c r="B24" s="2675" t="s">
        <v>557</v>
      </c>
      <c r="C24" s="2676"/>
      <c r="D24" s="2676"/>
      <c r="E24" s="2676"/>
      <c r="F24" s="2676"/>
      <c r="G24" s="2676"/>
      <c r="H24" s="2676"/>
      <c r="I24" s="2676"/>
      <c r="J24" s="2676"/>
      <c r="K24" s="2676"/>
      <c r="L24" s="2676"/>
      <c r="M24" s="2676"/>
      <c r="N24" s="2676"/>
      <c r="O24" s="2676"/>
      <c r="P24" s="2676"/>
      <c r="Q24" s="2677"/>
      <c r="R24" s="3407" t="s">
        <v>57</v>
      </c>
      <c r="S24" s="3408"/>
      <c r="T24" s="3409"/>
      <c r="U24" s="2858" t="s">
        <v>19</v>
      </c>
      <c r="V24" s="2859"/>
      <c r="W24" s="3175"/>
      <c r="X24" s="2858" t="s">
        <v>20</v>
      </c>
      <c r="Y24" s="2859"/>
      <c r="Z24" s="3175"/>
      <c r="AA24" s="2858" t="s">
        <v>21</v>
      </c>
      <c r="AB24" s="2859"/>
      <c r="AC24" s="3175"/>
      <c r="AD24" s="2858" t="s">
        <v>22</v>
      </c>
      <c r="AE24" s="2859"/>
      <c r="AF24" s="3175"/>
      <c r="AG24" s="2858" t="s">
        <v>23</v>
      </c>
      <c r="AH24" s="2859"/>
      <c r="AI24" s="3175"/>
      <c r="AJ24" s="2858" t="s">
        <v>24</v>
      </c>
      <c r="AK24" s="2859"/>
      <c r="AL24" s="3203"/>
      <c r="AM24" s="3166" t="s">
        <v>1302</v>
      </c>
      <c r="AN24" s="3167"/>
      <c r="AO24" s="3168"/>
    </row>
    <row r="25" spans="2:63" s="568" customFormat="1" ht="21" customHeight="1" thickBot="1">
      <c r="B25" s="2678"/>
      <c r="C25" s="2679"/>
      <c r="D25" s="2679"/>
      <c r="E25" s="2679"/>
      <c r="F25" s="2679"/>
      <c r="G25" s="2679"/>
      <c r="H25" s="2679"/>
      <c r="I25" s="2679"/>
      <c r="J25" s="2679"/>
      <c r="K25" s="2679"/>
      <c r="L25" s="2679"/>
      <c r="M25" s="2679"/>
      <c r="N25" s="2679"/>
      <c r="O25" s="2679"/>
      <c r="P25" s="2679"/>
      <c r="Q25" s="2680"/>
      <c r="R25" s="3410"/>
      <c r="S25" s="3411"/>
      <c r="T25" s="3412"/>
      <c r="U25" s="3179"/>
      <c r="V25" s="3180"/>
      <c r="W25" s="3181"/>
      <c r="X25" s="3179"/>
      <c r="Y25" s="3180"/>
      <c r="Z25" s="3181"/>
      <c r="AA25" s="3179"/>
      <c r="AB25" s="3180"/>
      <c r="AC25" s="3181"/>
      <c r="AD25" s="3179"/>
      <c r="AE25" s="3180"/>
      <c r="AF25" s="3181"/>
      <c r="AG25" s="3179"/>
      <c r="AH25" s="3180"/>
      <c r="AI25" s="3181"/>
      <c r="AJ25" s="3179"/>
      <c r="AK25" s="3180"/>
      <c r="AL25" s="3413"/>
      <c r="AM25" s="3414"/>
      <c r="AN25" s="3415"/>
      <c r="AO25" s="3416"/>
    </row>
    <row r="26" spans="2:63" s="588" customFormat="1" ht="25.5" customHeight="1">
      <c r="B26" s="3404" t="s">
        <v>1505</v>
      </c>
      <c r="C26" s="3405"/>
      <c r="D26" s="3405"/>
      <c r="E26" s="3405"/>
      <c r="F26" s="3405"/>
      <c r="G26" s="3405"/>
      <c r="H26" s="3405"/>
      <c r="I26" s="3405"/>
      <c r="J26" s="3405"/>
      <c r="K26" s="3405"/>
      <c r="L26" s="3405"/>
      <c r="M26" s="3405"/>
      <c r="N26" s="3405"/>
      <c r="O26" s="3405"/>
      <c r="P26" s="3405"/>
      <c r="Q26" s="3406"/>
      <c r="R26" s="3198">
        <v>0</v>
      </c>
      <c r="S26" s="3199"/>
      <c r="T26" s="3206"/>
      <c r="U26" s="3198">
        <v>0</v>
      </c>
      <c r="V26" s="3199"/>
      <c r="W26" s="3206"/>
      <c r="X26" s="3198">
        <v>0</v>
      </c>
      <c r="Y26" s="3199"/>
      <c r="Z26" s="3206"/>
      <c r="AA26" s="3198">
        <v>0</v>
      </c>
      <c r="AB26" s="3199"/>
      <c r="AC26" s="3206"/>
      <c r="AD26" s="3198">
        <v>0</v>
      </c>
      <c r="AE26" s="3199"/>
      <c r="AF26" s="3206"/>
      <c r="AG26" s="3198">
        <v>0</v>
      </c>
      <c r="AH26" s="3199"/>
      <c r="AI26" s="3206"/>
      <c r="AJ26" s="3198">
        <v>0</v>
      </c>
      <c r="AK26" s="3199"/>
      <c r="AL26" s="3207"/>
      <c r="AM26" s="3201">
        <f>SUM(R26:AL26)</f>
        <v>0</v>
      </c>
      <c r="AN26" s="3201"/>
      <c r="AO26" s="3209"/>
    </row>
    <row r="27" spans="2:63" s="588" customFormat="1" ht="25.5" customHeight="1">
      <c r="B27" s="3401" t="s">
        <v>1513</v>
      </c>
      <c r="C27" s="3402"/>
      <c r="D27" s="3402"/>
      <c r="E27" s="3402"/>
      <c r="F27" s="3402"/>
      <c r="G27" s="3402"/>
      <c r="H27" s="3402"/>
      <c r="I27" s="3402"/>
      <c r="J27" s="3402"/>
      <c r="K27" s="3402"/>
      <c r="L27" s="3402"/>
      <c r="M27" s="3402"/>
      <c r="N27" s="3402"/>
      <c r="O27" s="3402"/>
      <c r="P27" s="3402"/>
      <c r="Q27" s="3403"/>
      <c r="R27" s="3146">
        <v>0</v>
      </c>
      <c r="S27" s="2612"/>
      <c r="T27" s="3149"/>
      <c r="U27" s="3146">
        <v>0</v>
      </c>
      <c r="V27" s="2612"/>
      <c r="W27" s="3149"/>
      <c r="X27" s="3146">
        <v>0</v>
      </c>
      <c r="Y27" s="2612"/>
      <c r="Z27" s="3149"/>
      <c r="AA27" s="3146">
        <v>0</v>
      </c>
      <c r="AB27" s="2612"/>
      <c r="AC27" s="3149"/>
      <c r="AD27" s="3146">
        <v>0</v>
      </c>
      <c r="AE27" s="2612"/>
      <c r="AF27" s="3149"/>
      <c r="AG27" s="3146">
        <v>0</v>
      </c>
      <c r="AH27" s="2612"/>
      <c r="AI27" s="3149"/>
      <c r="AJ27" s="3146">
        <v>0</v>
      </c>
      <c r="AK27" s="2612"/>
      <c r="AL27" s="3214"/>
      <c r="AM27" s="3156">
        <f t="shared" ref="AM27:AM29" si="1">SUM(R27:AL27)</f>
        <v>0</v>
      </c>
      <c r="AN27" s="3156"/>
      <c r="AO27" s="3159"/>
    </row>
    <row r="28" spans="2:63" s="588" customFormat="1" ht="30" customHeight="1">
      <c r="B28" s="3401" t="s">
        <v>1514</v>
      </c>
      <c r="C28" s="3402"/>
      <c r="D28" s="3402"/>
      <c r="E28" s="3402"/>
      <c r="F28" s="3402"/>
      <c r="G28" s="3402"/>
      <c r="H28" s="3402"/>
      <c r="I28" s="3402"/>
      <c r="J28" s="3402"/>
      <c r="K28" s="3402"/>
      <c r="L28" s="3402"/>
      <c r="M28" s="3402"/>
      <c r="N28" s="3402"/>
      <c r="O28" s="3402"/>
      <c r="P28" s="3402"/>
      <c r="Q28" s="3403"/>
      <c r="R28" s="3146">
        <v>0</v>
      </c>
      <c r="S28" s="2612"/>
      <c r="T28" s="3149"/>
      <c r="U28" s="3146">
        <v>0</v>
      </c>
      <c r="V28" s="2612"/>
      <c r="W28" s="3149"/>
      <c r="X28" s="3146">
        <v>0</v>
      </c>
      <c r="Y28" s="2612"/>
      <c r="Z28" s="3149"/>
      <c r="AA28" s="3146">
        <v>0</v>
      </c>
      <c r="AB28" s="2612"/>
      <c r="AC28" s="3149"/>
      <c r="AD28" s="3146">
        <v>0</v>
      </c>
      <c r="AE28" s="2612"/>
      <c r="AF28" s="3149"/>
      <c r="AG28" s="3146">
        <v>0</v>
      </c>
      <c r="AH28" s="2612"/>
      <c r="AI28" s="3149"/>
      <c r="AJ28" s="3146">
        <v>0</v>
      </c>
      <c r="AK28" s="2612"/>
      <c r="AL28" s="3214"/>
      <c r="AM28" s="3156">
        <f t="shared" si="1"/>
        <v>0</v>
      </c>
      <c r="AN28" s="3156"/>
      <c r="AO28" s="3159"/>
    </row>
    <row r="29" spans="2:63" s="588" customFormat="1" ht="30" customHeight="1" thickBot="1">
      <c r="B29" s="3380" t="s">
        <v>1515</v>
      </c>
      <c r="C29" s="3381"/>
      <c r="D29" s="3381"/>
      <c r="E29" s="3381"/>
      <c r="F29" s="3381"/>
      <c r="G29" s="3381"/>
      <c r="H29" s="3381"/>
      <c r="I29" s="3381"/>
      <c r="J29" s="3381"/>
      <c r="K29" s="3381"/>
      <c r="L29" s="3381"/>
      <c r="M29" s="3381"/>
      <c r="N29" s="3381"/>
      <c r="O29" s="3381"/>
      <c r="P29" s="3381"/>
      <c r="Q29" s="3382"/>
      <c r="R29" s="3383">
        <v>0</v>
      </c>
      <c r="S29" s="3384"/>
      <c r="T29" s="3385"/>
      <c r="U29" s="3383">
        <v>0</v>
      </c>
      <c r="V29" s="3384"/>
      <c r="W29" s="3385"/>
      <c r="X29" s="3383">
        <v>0</v>
      </c>
      <c r="Y29" s="3384"/>
      <c r="Z29" s="3385"/>
      <c r="AA29" s="3383">
        <v>0</v>
      </c>
      <c r="AB29" s="3384"/>
      <c r="AC29" s="3385"/>
      <c r="AD29" s="3383">
        <v>0</v>
      </c>
      <c r="AE29" s="3384"/>
      <c r="AF29" s="3385"/>
      <c r="AG29" s="3383">
        <v>0</v>
      </c>
      <c r="AH29" s="3384"/>
      <c r="AI29" s="3385"/>
      <c r="AJ29" s="3383">
        <v>0</v>
      </c>
      <c r="AK29" s="3384"/>
      <c r="AL29" s="3386"/>
      <c r="AM29" s="3387">
        <f t="shared" si="1"/>
        <v>0</v>
      </c>
      <c r="AN29" s="3387"/>
      <c r="AO29" s="3388"/>
    </row>
    <row r="30" spans="2:63" s="975" customFormat="1" ht="20.149999999999999" customHeight="1">
      <c r="B30" s="976"/>
      <c r="C30" s="976"/>
      <c r="D30" s="976"/>
      <c r="E30" s="976"/>
      <c r="F30" s="976"/>
      <c r="G30" s="977"/>
      <c r="H30" s="977"/>
      <c r="I30" s="977"/>
      <c r="J30" s="977"/>
      <c r="K30" s="977"/>
      <c r="L30" s="977"/>
      <c r="M30" s="977"/>
      <c r="N30" s="977"/>
      <c r="O30" s="977"/>
      <c r="P30" s="977"/>
      <c r="Q30" s="977"/>
      <c r="R30" s="977"/>
      <c r="S30" s="977"/>
      <c r="T30" s="977"/>
      <c r="U30" s="977"/>
      <c r="V30" s="977"/>
      <c r="W30" s="977"/>
      <c r="X30" s="977"/>
      <c r="Y30" s="977"/>
      <c r="Z30" s="977"/>
      <c r="AA30" s="977"/>
      <c r="AB30" s="977"/>
      <c r="AC30" s="977"/>
      <c r="AD30" s="977"/>
      <c r="AE30" s="977"/>
      <c r="AF30" s="977"/>
      <c r="AG30" s="977"/>
      <c r="AH30" s="977"/>
      <c r="AI30" s="977"/>
      <c r="AJ30" s="977"/>
      <c r="AK30" s="977"/>
      <c r="AL30" s="977"/>
      <c r="AM30" s="977"/>
      <c r="AN30" s="977"/>
      <c r="AO30" s="977"/>
      <c r="AP30" s="977"/>
    </row>
    <row r="31" spans="2:63" s="1060" customFormat="1" ht="18">
      <c r="B31" s="627" t="s">
        <v>11851</v>
      </c>
      <c r="C31" s="1058"/>
      <c r="D31" s="1058"/>
      <c r="E31" s="1058"/>
      <c r="F31" s="1058"/>
      <c r="G31" s="1058"/>
      <c r="H31" s="1058"/>
      <c r="I31" s="1058"/>
      <c r="J31" s="1058"/>
      <c r="K31" s="1058"/>
      <c r="L31" s="1059"/>
      <c r="M31" s="1059"/>
      <c r="N31" s="1059"/>
      <c r="O31" s="1059"/>
      <c r="P31" s="1059"/>
      <c r="Q31" s="1059"/>
      <c r="R31" s="1059"/>
      <c r="S31" s="1059"/>
      <c r="T31" s="1059"/>
      <c r="U31" s="1059"/>
      <c r="V31" s="1059"/>
      <c r="W31" s="1059"/>
      <c r="X31" s="1059"/>
      <c r="Y31" s="1059"/>
      <c r="Z31" s="1059"/>
      <c r="AA31" s="1059"/>
      <c r="AB31" s="1059"/>
      <c r="AC31" s="1059"/>
      <c r="AD31" s="1059"/>
      <c r="AE31" s="1059"/>
      <c r="AF31" s="1059"/>
      <c r="AG31" s="1059"/>
      <c r="AH31" s="1059"/>
      <c r="AI31" s="1059"/>
      <c r="AJ31" s="1059"/>
      <c r="AK31" s="1059"/>
      <c r="AL31" s="1058"/>
    </row>
    <row r="32" spans="2:63" ht="16.5" customHeight="1" thickBot="1">
      <c r="B32" s="1061" t="s">
        <v>1516</v>
      </c>
      <c r="D32" s="1012"/>
      <c r="E32" s="1013"/>
      <c r="F32" s="1013"/>
      <c r="G32" s="1013"/>
      <c r="H32" s="1013"/>
      <c r="I32" s="1013"/>
      <c r="J32" s="1013"/>
      <c r="K32" s="1013"/>
      <c r="L32" s="1013"/>
      <c r="M32" s="1013"/>
      <c r="N32" s="874"/>
      <c r="O32" s="588"/>
      <c r="P32" s="588"/>
      <c r="Q32" s="588"/>
      <c r="R32" s="588"/>
      <c r="S32" s="588"/>
      <c r="T32" s="1014"/>
      <c r="U32" s="874"/>
      <c r="V32" s="874"/>
      <c r="W32" s="874"/>
      <c r="X32" s="874"/>
      <c r="Y32" s="874"/>
      <c r="Z32" s="874"/>
      <c r="AA32" s="588"/>
      <c r="AB32" s="588"/>
      <c r="AC32" s="588"/>
      <c r="AD32" s="588"/>
      <c r="AE32" s="588"/>
      <c r="AF32" s="588"/>
      <c r="AG32" s="588"/>
      <c r="AH32" s="588"/>
      <c r="AI32" s="588"/>
      <c r="AJ32" s="588"/>
      <c r="AU32" s="588"/>
    </row>
    <row r="33" spans="2:66">
      <c r="B33" s="3392" t="s">
        <v>560</v>
      </c>
      <c r="C33" s="3393"/>
      <c r="D33" s="3393"/>
      <c r="E33" s="3393"/>
      <c r="F33" s="3394"/>
      <c r="G33" s="3365" t="s">
        <v>11792</v>
      </c>
      <c r="H33" s="3366"/>
      <c r="I33" s="3366"/>
      <c r="J33" s="3366"/>
      <c r="K33" s="3366"/>
      <c r="L33" s="3366"/>
      <c r="M33" s="3366"/>
      <c r="N33" s="3366"/>
      <c r="O33" s="3366"/>
      <c r="P33" s="3366"/>
      <c r="Q33" s="3366"/>
      <c r="R33" s="3366"/>
      <c r="S33" s="3366"/>
      <c r="T33" s="3366"/>
      <c r="U33" s="3366"/>
      <c r="V33" s="3366"/>
      <c r="W33" s="3366"/>
      <c r="X33" s="3366"/>
      <c r="Y33" s="3366"/>
      <c r="Z33" s="3366"/>
      <c r="AA33" s="3366"/>
      <c r="AB33" s="3366"/>
      <c r="AC33" s="3366"/>
      <c r="AD33" s="3366"/>
      <c r="AE33" s="3366"/>
      <c r="AF33" s="3366"/>
      <c r="AG33" s="3366"/>
      <c r="AH33" s="3366"/>
      <c r="AI33" s="3366"/>
      <c r="AJ33" s="3366"/>
      <c r="AK33" s="3366"/>
      <c r="AL33" s="3366"/>
      <c r="AM33" s="3366"/>
      <c r="AN33" s="3366"/>
      <c r="AO33" s="3366"/>
      <c r="AP33" s="3366"/>
      <c r="AQ33" s="3366"/>
      <c r="AR33" s="3366"/>
      <c r="AS33" s="3366"/>
      <c r="AT33" s="3366"/>
      <c r="AU33" s="3366"/>
      <c r="AV33" s="3366"/>
      <c r="AW33" s="3366"/>
      <c r="AX33" s="3366"/>
      <c r="AY33" s="3366"/>
      <c r="AZ33" s="3366"/>
      <c r="BA33" s="3366"/>
      <c r="BB33" s="3366"/>
      <c r="BC33" s="3366"/>
      <c r="BD33" s="3366"/>
      <c r="BE33" s="3366"/>
      <c r="BF33" s="3366"/>
      <c r="BG33" s="3366"/>
      <c r="BH33" s="3366"/>
      <c r="BI33" s="3366"/>
      <c r="BJ33" s="3367"/>
      <c r="BK33" s="588"/>
      <c r="BL33" s="588"/>
      <c r="BM33" s="588"/>
      <c r="BN33" s="588"/>
    </row>
    <row r="34" spans="2:66">
      <c r="B34" s="3395"/>
      <c r="C34" s="3396"/>
      <c r="D34" s="3396"/>
      <c r="E34" s="3396"/>
      <c r="F34" s="3397"/>
      <c r="G34" s="3368" t="s">
        <v>561</v>
      </c>
      <c r="H34" s="3369"/>
      <c r="I34" s="3369"/>
      <c r="J34" s="3369"/>
      <c r="K34" s="3369"/>
      <c r="L34" s="3369"/>
      <c r="M34" s="3369"/>
      <c r="N34" s="3369"/>
      <c r="O34" s="3369"/>
      <c r="P34" s="3369"/>
      <c r="Q34" s="3369"/>
      <c r="R34" s="3369"/>
      <c r="S34" s="3369"/>
      <c r="T34" s="3369"/>
      <c r="U34" s="3369"/>
      <c r="V34" s="3369"/>
      <c r="W34" s="3369"/>
      <c r="X34" s="3369"/>
      <c r="Y34" s="3369"/>
      <c r="Z34" s="3369"/>
      <c r="AA34" s="3369"/>
      <c r="AB34" s="3369"/>
      <c r="AC34" s="3369"/>
      <c r="AD34" s="3369"/>
      <c r="AE34" s="3369"/>
      <c r="AF34" s="3369"/>
      <c r="AG34" s="3369"/>
      <c r="AH34" s="3370"/>
      <c r="AI34" s="3368" t="s">
        <v>562</v>
      </c>
      <c r="AJ34" s="3369"/>
      <c r="AK34" s="3369"/>
      <c r="AL34" s="3369"/>
      <c r="AM34" s="3369"/>
      <c r="AN34" s="3369"/>
      <c r="AO34" s="3369"/>
      <c r="AP34" s="3369"/>
      <c r="AQ34" s="3369"/>
      <c r="AR34" s="3369"/>
      <c r="AS34" s="3369"/>
      <c r="AT34" s="3369"/>
      <c r="AU34" s="3369"/>
      <c r="AV34" s="3369"/>
      <c r="AW34" s="3369"/>
      <c r="AX34" s="3369"/>
      <c r="AY34" s="3369"/>
      <c r="AZ34" s="3369"/>
      <c r="BA34" s="3369"/>
      <c r="BB34" s="3369"/>
      <c r="BC34" s="3369"/>
      <c r="BD34" s="3369"/>
      <c r="BE34" s="3369"/>
      <c r="BF34" s="3369"/>
      <c r="BG34" s="3369"/>
      <c r="BH34" s="3369"/>
      <c r="BI34" s="3369"/>
      <c r="BJ34" s="3370"/>
    </row>
    <row r="35" spans="2:66" ht="16.399999999999999" customHeight="1" thickBot="1">
      <c r="B35" s="3395"/>
      <c r="C35" s="3396"/>
      <c r="D35" s="3396"/>
      <c r="E35" s="3396"/>
      <c r="F35" s="3397"/>
      <c r="G35" s="3371" t="s">
        <v>1517</v>
      </c>
      <c r="H35" s="3372"/>
      <c r="I35" s="3372"/>
      <c r="J35" s="3372"/>
      <c r="K35" s="3372"/>
      <c r="L35" s="3372"/>
      <c r="M35" s="3372"/>
      <c r="N35" s="3372"/>
      <c r="O35" s="3372"/>
      <c r="P35" s="3372"/>
      <c r="Q35" s="3372"/>
      <c r="R35" s="3372"/>
      <c r="S35" s="3372"/>
      <c r="T35" s="3373"/>
      <c r="U35" s="3374" t="s">
        <v>11793</v>
      </c>
      <c r="V35" s="3375"/>
      <c r="W35" s="3375"/>
      <c r="X35" s="3375"/>
      <c r="Y35" s="3375"/>
      <c r="Z35" s="3376"/>
      <c r="AA35" s="3377" t="s">
        <v>11847</v>
      </c>
      <c r="AB35" s="3378"/>
      <c r="AC35" s="3378"/>
      <c r="AD35" s="3378"/>
      <c r="AE35" s="3378"/>
      <c r="AF35" s="3378"/>
      <c r="AG35" s="3378"/>
      <c r="AH35" s="3379"/>
      <c r="AI35" s="3371" t="s">
        <v>1517</v>
      </c>
      <c r="AJ35" s="3372"/>
      <c r="AK35" s="3372"/>
      <c r="AL35" s="3372"/>
      <c r="AM35" s="3372"/>
      <c r="AN35" s="3372"/>
      <c r="AO35" s="3372"/>
      <c r="AP35" s="3372"/>
      <c r="AQ35" s="3372"/>
      <c r="AR35" s="3372"/>
      <c r="AS35" s="3372"/>
      <c r="AT35" s="3372"/>
      <c r="AU35" s="3372"/>
      <c r="AV35" s="3373"/>
      <c r="AW35" s="3374" t="s">
        <v>11793</v>
      </c>
      <c r="AX35" s="3375"/>
      <c r="AY35" s="3375"/>
      <c r="AZ35" s="3375"/>
      <c r="BA35" s="3375"/>
      <c r="BB35" s="3376"/>
      <c r="BC35" s="3378" t="s">
        <v>11847</v>
      </c>
      <c r="BD35" s="3378"/>
      <c r="BE35" s="3378"/>
      <c r="BF35" s="3378"/>
      <c r="BG35" s="3378"/>
      <c r="BH35" s="3378"/>
      <c r="BI35" s="3378"/>
      <c r="BJ35" s="3379"/>
    </row>
    <row r="36" spans="2:66" ht="16" thickBot="1">
      <c r="B36" s="3398"/>
      <c r="C36" s="3399"/>
      <c r="D36" s="3399"/>
      <c r="E36" s="3399"/>
      <c r="F36" s="3400"/>
      <c r="G36" s="3363" t="s">
        <v>190</v>
      </c>
      <c r="H36" s="3364"/>
      <c r="I36" s="3362" t="s">
        <v>191</v>
      </c>
      <c r="J36" s="3364"/>
      <c r="K36" s="3362" t="s">
        <v>192</v>
      </c>
      <c r="L36" s="3364"/>
      <c r="M36" s="3362" t="s">
        <v>193</v>
      </c>
      <c r="N36" s="3364"/>
      <c r="O36" s="3362" t="s">
        <v>1518</v>
      </c>
      <c r="P36" s="3364"/>
      <c r="Q36" s="3362" t="s">
        <v>117</v>
      </c>
      <c r="R36" s="3364"/>
      <c r="S36" s="3389" t="s">
        <v>184</v>
      </c>
      <c r="T36" s="3390"/>
      <c r="U36" s="3391" t="s">
        <v>184</v>
      </c>
      <c r="V36" s="3352"/>
      <c r="W36" s="3352" t="s">
        <v>185</v>
      </c>
      <c r="X36" s="3352"/>
      <c r="Y36" s="3351" t="s">
        <v>186</v>
      </c>
      <c r="Z36" s="3360"/>
      <c r="AA36" s="3353" t="s">
        <v>11840</v>
      </c>
      <c r="AB36" s="3361"/>
      <c r="AC36" s="3362" t="s">
        <v>187</v>
      </c>
      <c r="AD36" s="3353"/>
      <c r="AE36" s="3362" t="s">
        <v>188</v>
      </c>
      <c r="AF36" s="3364"/>
      <c r="AG36" s="3353" t="s">
        <v>189</v>
      </c>
      <c r="AH36" s="3361"/>
      <c r="AI36" s="3363" t="s">
        <v>190</v>
      </c>
      <c r="AJ36" s="3364"/>
      <c r="AK36" s="3362" t="s">
        <v>191</v>
      </c>
      <c r="AL36" s="3364"/>
      <c r="AM36" s="3362" t="s">
        <v>192</v>
      </c>
      <c r="AN36" s="3364"/>
      <c r="AO36" s="3362" t="s">
        <v>193</v>
      </c>
      <c r="AP36" s="3364"/>
      <c r="AQ36" s="3362" t="s">
        <v>1518</v>
      </c>
      <c r="AR36" s="3364"/>
      <c r="AS36" s="3362" t="s">
        <v>117</v>
      </c>
      <c r="AT36" s="3364"/>
      <c r="AU36" s="3362" t="s">
        <v>184</v>
      </c>
      <c r="AV36" s="3361"/>
      <c r="AW36" s="3350" t="s">
        <v>184</v>
      </c>
      <c r="AX36" s="3351"/>
      <c r="AY36" s="3352" t="s">
        <v>185</v>
      </c>
      <c r="AZ36" s="3352"/>
      <c r="BA36" s="3351" t="s">
        <v>186</v>
      </c>
      <c r="BB36" s="3360"/>
      <c r="BC36" s="3348" t="s">
        <v>11840</v>
      </c>
      <c r="BD36" s="3349"/>
      <c r="BE36" s="3353" t="s">
        <v>187</v>
      </c>
      <c r="BF36" s="3353"/>
      <c r="BG36" s="3362" t="s">
        <v>188</v>
      </c>
      <c r="BH36" s="3364"/>
      <c r="BI36" s="3353" t="s">
        <v>189</v>
      </c>
      <c r="BJ36" s="3361"/>
    </row>
    <row r="37" spans="2:66" ht="25.5" customHeight="1">
      <c r="B37" s="3357" t="s">
        <v>911</v>
      </c>
      <c r="C37" s="3358"/>
      <c r="D37" s="3358"/>
      <c r="E37" s="3358"/>
      <c r="F37" s="3359"/>
      <c r="G37" s="3347">
        <v>0</v>
      </c>
      <c r="H37" s="3343"/>
      <c r="I37" s="3342">
        <v>0</v>
      </c>
      <c r="J37" s="3343"/>
      <c r="K37" s="3342">
        <v>0</v>
      </c>
      <c r="L37" s="3343"/>
      <c r="M37" s="3342">
        <v>0</v>
      </c>
      <c r="N37" s="3343"/>
      <c r="O37" s="3342">
        <v>0</v>
      </c>
      <c r="P37" s="3343"/>
      <c r="Q37" s="3342">
        <v>0</v>
      </c>
      <c r="R37" s="3343"/>
      <c r="S37" s="3342">
        <v>0</v>
      </c>
      <c r="T37" s="3345"/>
      <c r="U37" s="3326">
        <v>0</v>
      </c>
      <c r="V37" s="3327"/>
      <c r="W37" s="3327">
        <v>0</v>
      </c>
      <c r="X37" s="3327"/>
      <c r="Y37" s="3327">
        <v>0</v>
      </c>
      <c r="Z37" s="3328"/>
      <c r="AA37" s="3344">
        <v>0</v>
      </c>
      <c r="AB37" s="3345"/>
      <c r="AC37" s="3344">
        <v>0</v>
      </c>
      <c r="AD37" s="3344"/>
      <c r="AE37" s="3342">
        <v>0</v>
      </c>
      <c r="AF37" s="3343"/>
      <c r="AG37" s="3344">
        <v>0</v>
      </c>
      <c r="AH37" s="3345"/>
      <c r="AI37" s="3347">
        <v>0</v>
      </c>
      <c r="AJ37" s="3344"/>
      <c r="AK37" s="3342">
        <v>0</v>
      </c>
      <c r="AL37" s="3343"/>
      <c r="AM37" s="3342">
        <v>0</v>
      </c>
      <c r="AN37" s="3343"/>
      <c r="AO37" s="3342">
        <v>0</v>
      </c>
      <c r="AP37" s="3343"/>
      <c r="AQ37" s="3342">
        <v>0</v>
      </c>
      <c r="AR37" s="3343"/>
      <c r="AS37" s="3342">
        <v>0</v>
      </c>
      <c r="AT37" s="3343"/>
      <c r="AU37" s="3342">
        <v>0</v>
      </c>
      <c r="AV37" s="3345"/>
      <c r="AW37" s="3326">
        <v>0</v>
      </c>
      <c r="AX37" s="3327"/>
      <c r="AY37" s="3327">
        <v>0</v>
      </c>
      <c r="AZ37" s="3327"/>
      <c r="BA37" s="3327">
        <v>0</v>
      </c>
      <c r="BB37" s="3328"/>
      <c r="BC37" s="3347">
        <v>0</v>
      </c>
      <c r="BD37" s="3343"/>
      <c r="BE37" s="3344">
        <v>0</v>
      </c>
      <c r="BF37" s="3344"/>
      <c r="BG37" s="3342">
        <v>0</v>
      </c>
      <c r="BH37" s="3343"/>
      <c r="BI37" s="3344">
        <v>0</v>
      </c>
      <c r="BJ37" s="3345"/>
    </row>
    <row r="38" spans="2:66" ht="30" customHeight="1" thickBot="1">
      <c r="B38" s="3354" t="s">
        <v>912</v>
      </c>
      <c r="C38" s="3355"/>
      <c r="D38" s="3355"/>
      <c r="E38" s="3355"/>
      <c r="F38" s="3356"/>
      <c r="G38" s="3322">
        <v>0</v>
      </c>
      <c r="H38" s="3323"/>
      <c r="I38" s="3330">
        <v>0</v>
      </c>
      <c r="J38" s="3323"/>
      <c r="K38" s="3330">
        <v>0</v>
      </c>
      <c r="L38" s="3323"/>
      <c r="M38" s="3330">
        <v>0</v>
      </c>
      <c r="N38" s="3323"/>
      <c r="O38" s="3330">
        <v>0</v>
      </c>
      <c r="P38" s="3323"/>
      <c r="Q38" s="3330">
        <v>0</v>
      </c>
      <c r="R38" s="3323"/>
      <c r="S38" s="3330">
        <v>0</v>
      </c>
      <c r="T38" s="3331"/>
      <c r="U38" s="3329">
        <v>0</v>
      </c>
      <c r="V38" s="3324"/>
      <c r="W38" s="3324">
        <v>0</v>
      </c>
      <c r="X38" s="3324"/>
      <c r="Y38" s="3324">
        <v>0</v>
      </c>
      <c r="Z38" s="3325"/>
      <c r="AA38" s="3346">
        <v>0</v>
      </c>
      <c r="AB38" s="3331"/>
      <c r="AC38" s="3346">
        <v>0</v>
      </c>
      <c r="AD38" s="3346"/>
      <c r="AE38" s="3330">
        <v>0</v>
      </c>
      <c r="AF38" s="3323"/>
      <c r="AG38" s="3346">
        <v>0</v>
      </c>
      <c r="AH38" s="3331"/>
      <c r="AI38" s="3322">
        <v>0</v>
      </c>
      <c r="AJ38" s="3323"/>
      <c r="AK38" s="3330">
        <v>0</v>
      </c>
      <c r="AL38" s="3323"/>
      <c r="AM38" s="3330">
        <v>0</v>
      </c>
      <c r="AN38" s="3323"/>
      <c r="AO38" s="3330">
        <v>0</v>
      </c>
      <c r="AP38" s="3323"/>
      <c r="AQ38" s="3330">
        <v>0</v>
      </c>
      <c r="AR38" s="3323"/>
      <c r="AS38" s="3330">
        <v>0</v>
      </c>
      <c r="AT38" s="3323"/>
      <c r="AU38" s="3330">
        <v>0</v>
      </c>
      <c r="AV38" s="3331"/>
      <c r="AW38" s="3329">
        <v>0</v>
      </c>
      <c r="AX38" s="3324"/>
      <c r="AY38" s="3324">
        <v>0</v>
      </c>
      <c r="AZ38" s="3324"/>
      <c r="BA38" s="3324">
        <v>0</v>
      </c>
      <c r="BB38" s="3325"/>
      <c r="BC38" s="3322">
        <v>0</v>
      </c>
      <c r="BD38" s="3323"/>
      <c r="BE38" s="3346">
        <v>0</v>
      </c>
      <c r="BF38" s="3346"/>
      <c r="BG38" s="3330">
        <v>0</v>
      </c>
      <c r="BH38" s="3323"/>
      <c r="BI38" s="3346">
        <v>0</v>
      </c>
      <c r="BJ38" s="3331"/>
    </row>
    <row r="39" spans="2:66" ht="25.5" customHeight="1" thickTop="1" thickBot="1">
      <c r="B39" s="3339" t="s">
        <v>29</v>
      </c>
      <c r="C39" s="3340"/>
      <c r="D39" s="3340"/>
      <c r="E39" s="3340"/>
      <c r="F39" s="3341"/>
      <c r="G39" s="3334">
        <f>SUM(G37:H38)</f>
        <v>0</v>
      </c>
      <c r="H39" s="3335"/>
      <c r="I39" s="3336">
        <f t="shared" ref="I39" si="2">SUM(I37:J38)</f>
        <v>0</v>
      </c>
      <c r="J39" s="3335"/>
      <c r="K39" s="3336">
        <f t="shared" ref="K39" si="3">SUM(K37:L38)</f>
        <v>0</v>
      </c>
      <c r="L39" s="3335"/>
      <c r="M39" s="3336">
        <f t="shared" ref="M39" si="4">SUM(M37:N38)</f>
        <v>0</v>
      </c>
      <c r="N39" s="3335"/>
      <c r="O39" s="3336">
        <f t="shared" ref="O39" si="5">SUM(O37:P38)</f>
        <v>0</v>
      </c>
      <c r="P39" s="3335"/>
      <c r="Q39" s="3336">
        <f t="shared" ref="Q39" si="6">SUM(Q37:R38)</f>
        <v>0</v>
      </c>
      <c r="R39" s="3335"/>
      <c r="S39" s="3336">
        <f t="shared" ref="S39" si="7">SUM(S37:T38)</f>
        <v>0</v>
      </c>
      <c r="T39" s="3333"/>
      <c r="U39" s="3337">
        <f>SUM(U37:V38)</f>
        <v>0</v>
      </c>
      <c r="V39" s="3338"/>
      <c r="W39" s="3338">
        <f t="shared" ref="W39" si="8">SUM(W37:X38)</f>
        <v>0</v>
      </c>
      <c r="X39" s="3338"/>
      <c r="Y39" s="3338">
        <f t="shared" ref="Y39" si="9">SUM(Y37:Z38)</f>
        <v>0</v>
      </c>
      <c r="Z39" s="3430"/>
      <c r="AA39" s="3332">
        <f t="shared" ref="AA39" si="10">SUM(AA37:AB38)</f>
        <v>0</v>
      </c>
      <c r="AB39" s="3333"/>
      <c r="AC39" s="3332">
        <f t="shared" ref="AC39" si="11">SUM(AC37:AD38)</f>
        <v>0</v>
      </c>
      <c r="AD39" s="3332"/>
      <c r="AE39" s="3336">
        <f t="shared" ref="AE39" si="12">SUM(AE37:AF38)</f>
        <v>0</v>
      </c>
      <c r="AF39" s="3335"/>
      <c r="AG39" s="3332">
        <f t="shared" ref="AG39" si="13">SUM(AG37:AH38)</f>
        <v>0</v>
      </c>
      <c r="AH39" s="3333"/>
      <c r="AI39" s="3334">
        <f t="shared" ref="AI39" si="14">SUM(AI37:AJ38)</f>
        <v>0</v>
      </c>
      <c r="AJ39" s="3335"/>
      <c r="AK39" s="3336">
        <f t="shared" ref="AK39" si="15">SUM(AK37:AL38)</f>
        <v>0</v>
      </c>
      <c r="AL39" s="3335"/>
      <c r="AM39" s="3336">
        <f t="shared" ref="AM39" si="16">SUM(AM37:AN38)</f>
        <v>0</v>
      </c>
      <c r="AN39" s="3335"/>
      <c r="AO39" s="3336">
        <f t="shared" ref="AO39" si="17">SUM(AO37:AP38)</f>
        <v>0</v>
      </c>
      <c r="AP39" s="3335"/>
      <c r="AQ39" s="3336">
        <f t="shared" ref="AQ39" si="18">SUM(AQ37:AR38)</f>
        <v>0</v>
      </c>
      <c r="AR39" s="3335"/>
      <c r="AS39" s="3336">
        <f t="shared" ref="AS39" si="19">SUM(AS37:AT38)</f>
        <v>0</v>
      </c>
      <c r="AT39" s="3335"/>
      <c r="AU39" s="3336">
        <f t="shared" ref="AU39" si="20">SUM(AU37:AV38)</f>
        <v>0</v>
      </c>
      <c r="AV39" s="3333"/>
      <c r="AW39" s="3337">
        <f t="shared" ref="AW39" si="21">SUM(AW37:AX38)</f>
        <v>0</v>
      </c>
      <c r="AX39" s="3338"/>
      <c r="AY39" s="3338">
        <f t="shared" ref="AY39" si="22">SUM(AY37:AZ38)</f>
        <v>0</v>
      </c>
      <c r="AZ39" s="3338"/>
      <c r="BA39" s="3338">
        <f t="shared" ref="BA39" si="23">SUM(BA37:BB38)</f>
        <v>0</v>
      </c>
      <c r="BB39" s="3430"/>
      <c r="BC39" s="3334">
        <f t="shared" ref="BC39" si="24">SUM(BC37:BD38)</f>
        <v>0</v>
      </c>
      <c r="BD39" s="3335"/>
      <c r="BE39" s="3332">
        <f t="shared" ref="BE39" si="25">SUM(BE37:BF38)</f>
        <v>0</v>
      </c>
      <c r="BF39" s="3332"/>
      <c r="BG39" s="3336">
        <f t="shared" ref="BG39" si="26">SUM(BG37:BH38)</f>
        <v>0</v>
      </c>
      <c r="BH39" s="3335"/>
      <c r="BI39" s="3332">
        <f t="shared" ref="BI39" si="27">SUM(BI37:BJ38)</f>
        <v>0</v>
      </c>
      <c r="BJ39" s="3333"/>
    </row>
    <row r="40" spans="2:66" ht="30.65" customHeight="1"/>
    <row r="41" spans="2:66" s="168" customFormat="1" ht="14">
      <c r="B41" s="169" t="s">
        <v>847</v>
      </c>
      <c r="W41" s="169" t="s">
        <v>765</v>
      </c>
      <c r="AR41" s="169" t="s">
        <v>783</v>
      </c>
    </row>
    <row r="42" spans="2:66" s="168" customFormat="1" ht="21.75" customHeight="1">
      <c r="B42" s="169" t="s">
        <v>748</v>
      </c>
      <c r="F42" s="1959" t="str">
        <f>activesheet!E29</f>
        <v>RICO S. MISPEROS</v>
      </c>
      <c r="G42" s="1959"/>
      <c r="H42" s="1959"/>
      <c r="I42" s="1959"/>
      <c r="J42" s="1959"/>
      <c r="K42" s="1959"/>
      <c r="L42" s="1959"/>
      <c r="M42" s="1959"/>
      <c r="N42" s="1959"/>
      <c r="O42" s="1959"/>
      <c r="P42" s="1959"/>
      <c r="Q42" s="1959"/>
      <c r="R42" s="1959"/>
      <c r="S42" s="1959"/>
      <c r="T42" s="172"/>
      <c r="W42" s="1959" t="str">
        <f>activesheet!E2079</f>
        <v>RAQUEL N. ACOMPAŇADO</v>
      </c>
      <c r="X42" s="1959"/>
      <c r="Y42" s="1959"/>
      <c r="Z42" s="1959"/>
      <c r="AA42" s="1959"/>
      <c r="AB42" s="1959"/>
      <c r="AC42" s="1959"/>
      <c r="AD42" s="1959"/>
      <c r="AE42" s="1959"/>
      <c r="AF42" s="1959"/>
      <c r="AG42" s="1959"/>
      <c r="AH42" s="1959"/>
      <c r="AI42" s="1959"/>
      <c r="AJ42" s="1959"/>
      <c r="AK42" s="1959"/>
      <c r="AL42" s="1959"/>
      <c r="AM42" s="1959"/>
      <c r="AN42" s="1959"/>
      <c r="AO42" s="172"/>
      <c r="AR42" s="1956" t="str">
        <f>activesheet!E31</f>
        <v>MICHAEL T. JAMIS</v>
      </c>
      <c r="AS42" s="1956"/>
      <c r="AT42" s="1956"/>
      <c r="AU42" s="1956"/>
      <c r="AV42" s="1956"/>
      <c r="AW42" s="1956"/>
      <c r="AX42" s="1956"/>
      <c r="AY42" s="1956"/>
      <c r="AZ42" s="1956"/>
      <c r="BA42" s="1956"/>
      <c r="BB42" s="1956"/>
      <c r="BC42" s="1956"/>
      <c r="BD42" s="1956"/>
      <c r="BE42" s="1956"/>
      <c r="BF42" s="1956"/>
      <c r="BG42" s="1956"/>
      <c r="BH42" s="1956"/>
      <c r="BI42" s="1956"/>
    </row>
    <row r="43" spans="2:66" s="156" customFormat="1" ht="13.5" customHeight="1">
      <c r="B43" s="655"/>
      <c r="F43" s="1764" t="s">
        <v>741</v>
      </c>
      <c r="G43" s="1764"/>
      <c r="H43" s="1764"/>
      <c r="I43" s="1764"/>
      <c r="J43" s="1764"/>
      <c r="K43" s="1764"/>
      <c r="L43" s="1764"/>
      <c r="M43" s="1764"/>
      <c r="N43" s="1764"/>
      <c r="O43" s="1764"/>
      <c r="P43" s="1764"/>
      <c r="Q43" s="1764"/>
      <c r="R43" s="1764"/>
      <c r="S43" s="1764"/>
      <c r="T43" s="184"/>
      <c r="U43" s="1040"/>
      <c r="V43" s="152"/>
      <c r="W43" s="1764" t="s">
        <v>741</v>
      </c>
      <c r="X43" s="1764"/>
      <c r="Y43" s="1764"/>
      <c r="Z43" s="1764"/>
      <c r="AA43" s="1764"/>
      <c r="AB43" s="1764"/>
      <c r="AC43" s="1764"/>
      <c r="AD43" s="1764"/>
      <c r="AE43" s="1764"/>
      <c r="AF43" s="1764"/>
      <c r="AG43" s="1764"/>
      <c r="AH43" s="1764"/>
      <c r="AI43" s="1764"/>
      <c r="AJ43" s="1764"/>
      <c r="AK43" s="1764"/>
      <c r="AL43" s="1764"/>
      <c r="AM43" s="1764"/>
      <c r="AN43" s="1764"/>
      <c r="AO43" s="184"/>
      <c r="AR43" s="1957"/>
      <c r="AS43" s="1957"/>
      <c r="AT43" s="1957"/>
      <c r="AU43" s="1957"/>
      <c r="AV43" s="1957"/>
      <c r="AW43" s="1957"/>
      <c r="AX43" s="1957"/>
      <c r="AY43" s="1957"/>
      <c r="AZ43" s="1957"/>
      <c r="BA43" s="1957"/>
      <c r="BB43" s="1957"/>
      <c r="BC43" s="1957"/>
      <c r="BD43" s="1957"/>
      <c r="BE43" s="1957"/>
      <c r="BF43" s="1957"/>
      <c r="BG43" s="1957"/>
      <c r="BH43" s="1957"/>
      <c r="BI43" s="1957"/>
    </row>
    <row r="44" spans="2:66" s="168" customFormat="1" ht="21.75" customHeight="1">
      <c r="B44" s="169" t="s">
        <v>71</v>
      </c>
      <c r="F44" s="1959" t="str">
        <f>activesheet!E30</f>
        <v>SCHOOL PRINCIPAL II</v>
      </c>
      <c r="G44" s="1959"/>
      <c r="H44" s="1959"/>
      <c r="I44" s="1959"/>
      <c r="J44" s="1959"/>
      <c r="K44" s="1959"/>
      <c r="L44" s="1959"/>
      <c r="M44" s="1959"/>
      <c r="N44" s="1959"/>
      <c r="O44" s="1959"/>
      <c r="P44" s="1959"/>
      <c r="Q44" s="1959"/>
      <c r="R44" s="1959"/>
      <c r="S44" s="1959"/>
      <c r="T44" s="172"/>
      <c r="W44" s="169" t="s">
        <v>71</v>
      </c>
      <c r="AA44" s="1959" t="str">
        <f>activesheet!E2080</f>
        <v>Nurse II</v>
      </c>
      <c r="AB44" s="1959"/>
      <c r="AC44" s="1959"/>
      <c r="AD44" s="1959"/>
      <c r="AE44" s="1959"/>
      <c r="AF44" s="1959"/>
      <c r="AG44" s="1959"/>
      <c r="AH44" s="1959"/>
      <c r="AI44" s="1959"/>
      <c r="AJ44" s="1959"/>
      <c r="AK44" s="1959"/>
      <c r="AL44" s="1959"/>
      <c r="AM44" s="1959"/>
      <c r="AN44" s="1959"/>
      <c r="AO44" s="172"/>
      <c r="AR44" s="1764" t="s">
        <v>741</v>
      </c>
      <c r="AS44" s="1764"/>
      <c r="AT44" s="1764"/>
      <c r="AU44" s="1764"/>
      <c r="AV44" s="1764"/>
      <c r="AW44" s="1764"/>
      <c r="AX44" s="1764"/>
      <c r="AY44" s="1764"/>
      <c r="AZ44" s="1764"/>
      <c r="BA44" s="1764"/>
      <c r="BB44" s="1764"/>
      <c r="BC44" s="1764"/>
      <c r="BD44" s="1764"/>
      <c r="BE44" s="1764"/>
      <c r="BF44" s="1764"/>
      <c r="BG44" s="1764"/>
      <c r="BH44" s="1764"/>
      <c r="BI44" s="1764"/>
    </row>
  </sheetData>
  <sheetProtection algorithmName="SHA-512" hashValue="ulcuPUkv5+VRlADApkxkIoijzt+a254htuqa9yoxs4kPEDbVLQ9Kb/6cGIOPuPBYa+QLrlJSTho9RGZaSpbNTA==" saltValue="uhw0iWFx9CQeCwLhUSY1Zw==" spinCount="100000" sheet="1" selectLockedCells="1"/>
  <mergeCells count="281">
    <mergeCell ref="Y39:Z39"/>
    <mergeCell ref="W39:X39"/>
    <mergeCell ref="AQ39:AR39"/>
    <mergeCell ref="AO39:AP39"/>
    <mergeCell ref="AM39:AN39"/>
    <mergeCell ref="AK39:AL39"/>
    <mergeCell ref="AI39:AJ39"/>
    <mergeCell ref="BA39:BB39"/>
    <mergeCell ref="AY39:AZ39"/>
    <mergeCell ref="AW39:AX39"/>
    <mergeCell ref="AU39:AV39"/>
    <mergeCell ref="AS39:AT39"/>
    <mergeCell ref="AG4:AI5"/>
    <mergeCell ref="AJ4:AL5"/>
    <mergeCell ref="AM4:AO5"/>
    <mergeCell ref="B6:Q6"/>
    <mergeCell ref="R6:T6"/>
    <mergeCell ref="U6:W6"/>
    <mergeCell ref="X6:Z6"/>
    <mergeCell ref="AA6:AC6"/>
    <mergeCell ref="AD6:AF6"/>
    <mergeCell ref="AG6:AI6"/>
    <mergeCell ref="B4:Q5"/>
    <mergeCell ref="R4:T5"/>
    <mergeCell ref="U4:W5"/>
    <mergeCell ref="X4:Z5"/>
    <mergeCell ref="AA4:AC5"/>
    <mergeCell ref="AD4:AF5"/>
    <mergeCell ref="AJ6:AL6"/>
    <mergeCell ref="AM6:AO6"/>
    <mergeCell ref="B7:Q7"/>
    <mergeCell ref="R7:T7"/>
    <mergeCell ref="U7:W7"/>
    <mergeCell ref="X7:Z7"/>
    <mergeCell ref="AA7:AC7"/>
    <mergeCell ref="AD7:AF7"/>
    <mergeCell ref="AG7:AI7"/>
    <mergeCell ref="AJ7:AL7"/>
    <mergeCell ref="AM7:AO7"/>
    <mergeCell ref="B8:Q8"/>
    <mergeCell ref="R8:T8"/>
    <mergeCell ref="U8:W8"/>
    <mergeCell ref="X8:Z8"/>
    <mergeCell ref="AA8:AC8"/>
    <mergeCell ref="AD8:AF8"/>
    <mergeCell ref="AG8:AI8"/>
    <mergeCell ref="AJ8:AL8"/>
    <mergeCell ref="AM8:AO8"/>
    <mergeCell ref="AG9:AI9"/>
    <mergeCell ref="AJ9:AL9"/>
    <mergeCell ref="AM9:AO9"/>
    <mergeCell ref="B10:Q10"/>
    <mergeCell ref="R10:T10"/>
    <mergeCell ref="U10:W10"/>
    <mergeCell ref="X10:Z10"/>
    <mergeCell ref="AA10:AC10"/>
    <mergeCell ref="AD10:AF10"/>
    <mergeCell ref="AG10:AI10"/>
    <mergeCell ref="B9:Q9"/>
    <mergeCell ref="R9:T9"/>
    <mergeCell ref="U9:W9"/>
    <mergeCell ref="X9:Z9"/>
    <mergeCell ref="AA9:AC9"/>
    <mergeCell ref="AD9:AF9"/>
    <mergeCell ref="AJ10:AL10"/>
    <mergeCell ref="AM10:AO10"/>
    <mergeCell ref="B11:Q11"/>
    <mergeCell ref="R11:T11"/>
    <mergeCell ref="U11:W11"/>
    <mergeCell ref="X11:Z11"/>
    <mergeCell ref="AA11:AC11"/>
    <mergeCell ref="AD11:AF11"/>
    <mergeCell ref="AG11:AI11"/>
    <mergeCell ref="AJ11:AL11"/>
    <mergeCell ref="AM11:AO11"/>
    <mergeCell ref="B12:Q12"/>
    <mergeCell ref="R12:T12"/>
    <mergeCell ref="U12:W12"/>
    <mergeCell ref="X12:Z12"/>
    <mergeCell ref="AA12:AC12"/>
    <mergeCell ref="AD12:AF12"/>
    <mergeCell ref="AG12:AI12"/>
    <mergeCell ref="AJ12:AL12"/>
    <mergeCell ref="AM12:AO12"/>
    <mergeCell ref="AG13:AI13"/>
    <mergeCell ref="AJ13:AL13"/>
    <mergeCell ref="AM13:AO13"/>
    <mergeCell ref="B14:Q14"/>
    <mergeCell ref="R14:T14"/>
    <mergeCell ref="U14:W14"/>
    <mergeCell ref="X14:Z14"/>
    <mergeCell ref="AA14:AC14"/>
    <mergeCell ref="AD14:AF14"/>
    <mergeCell ref="AG14:AI14"/>
    <mergeCell ref="B13:Q13"/>
    <mergeCell ref="R13:T13"/>
    <mergeCell ref="U13:W13"/>
    <mergeCell ref="X13:Z13"/>
    <mergeCell ref="AA13:AC13"/>
    <mergeCell ref="AD13:AF13"/>
    <mergeCell ref="AJ14:AL14"/>
    <mergeCell ref="AM14:AO14"/>
    <mergeCell ref="B15:Q15"/>
    <mergeCell ref="R15:T15"/>
    <mergeCell ref="U15:W15"/>
    <mergeCell ref="X15:Z15"/>
    <mergeCell ref="AA15:AC15"/>
    <mergeCell ref="AD15:AF15"/>
    <mergeCell ref="AG15:AI15"/>
    <mergeCell ref="AJ15:AL15"/>
    <mergeCell ref="AM15:AO15"/>
    <mergeCell ref="C17:AO17"/>
    <mergeCell ref="C18:AO18"/>
    <mergeCell ref="C19:AO19"/>
    <mergeCell ref="C20:AO20"/>
    <mergeCell ref="B24:Q25"/>
    <mergeCell ref="R24:T25"/>
    <mergeCell ref="U24:W25"/>
    <mergeCell ref="X24:Z25"/>
    <mergeCell ref="AA24:AC25"/>
    <mergeCell ref="AD24:AF25"/>
    <mergeCell ref="AG24:AI25"/>
    <mergeCell ref="AJ24:AL25"/>
    <mergeCell ref="AM24:AO25"/>
    <mergeCell ref="B26:Q26"/>
    <mergeCell ref="R26:T26"/>
    <mergeCell ref="U26:W26"/>
    <mergeCell ref="X26:Z26"/>
    <mergeCell ref="AA26:AC26"/>
    <mergeCell ref="AD26:AF26"/>
    <mergeCell ref="AG26:AI26"/>
    <mergeCell ref="AJ26:AL26"/>
    <mergeCell ref="AM26:AO26"/>
    <mergeCell ref="B27:Q27"/>
    <mergeCell ref="R27:T27"/>
    <mergeCell ref="U27:W27"/>
    <mergeCell ref="X27:Z27"/>
    <mergeCell ref="AA27:AC27"/>
    <mergeCell ref="AD27:AF27"/>
    <mergeCell ref="AG27:AI27"/>
    <mergeCell ref="AJ27:AL27"/>
    <mergeCell ref="AM27:AO27"/>
    <mergeCell ref="B28:Q28"/>
    <mergeCell ref="R28:T28"/>
    <mergeCell ref="U28:W28"/>
    <mergeCell ref="X28:Z28"/>
    <mergeCell ref="AA28:AC28"/>
    <mergeCell ref="AD28:AF28"/>
    <mergeCell ref="AG28:AI28"/>
    <mergeCell ref="AJ28:AL28"/>
    <mergeCell ref="AM28:AO28"/>
    <mergeCell ref="BG36:BH36"/>
    <mergeCell ref="BI36:BJ36"/>
    <mergeCell ref="B29:Q29"/>
    <mergeCell ref="R29:T29"/>
    <mergeCell ref="U29:W29"/>
    <mergeCell ref="X29:Z29"/>
    <mergeCell ref="AA29:AC29"/>
    <mergeCell ref="AD29:AF29"/>
    <mergeCell ref="AG29:AI29"/>
    <mergeCell ref="AJ29:AL29"/>
    <mergeCell ref="AM29:AO29"/>
    <mergeCell ref="S36:T36"/>
    <mergeCell ref="U36:V36"/>
    <mergeCell ref="BA36:BB36"/>
    <mergeCell ref="AE36:AF36"/>
    <mergeCell ref="AG36:AH36"/>
    <mergeCell ref="AI36:AJ36"/>
    <mergeCell ref="AK36:AL36"/>
    <mergeCell ref="AM36:AN36"/>
    <mergeCell ref="AO36:AP36"/>
    <mergeCell ref="AQ36:AR36"/>
    <mergeCell ref="AS36:AT36"/>
    <mergeCell ref="AU36:AV36"/>
    <mergeCell ref="B33:F36"/>
    <mergeCell ref="G33:BJ33"/>
    <mergeCell ref="G34:AH34"/>
    <mergeCell ref="AI34:BJ34"/>
    <mergeCell ref="G35:T35"/>
    <mergeCell ref="U35:Z35"/>
    <mergeCell ref="AA35:AH35"/>
    <mergeCell ref="AI35:AV35"/>
    <mergeCell ref="AW35:BB35"/>
    <mergeCell ref="BC35:BJ35"/>
    <mergeCell ref="W36:X36"/>
    <mergeCell ref="Y36:Z36"/>
    <mergeCell ref="AA36:AB36"/>
    <mergeCell ref="AC36:AD36"/>
    <mergeCell ref="G36:H36"/>
    <mergeCell ref="I36:J36"/>
    <mergeCell ref="K36:L36"/>
    <mergeCell ref="M36:N36"/>
    <mergeCell ref="O36:P36"/>
    <mergeCell ref="Q36:R36"/>
    <mergeCell ref="BC36:BD36"/>
    <mergeCell ref="AW36:AX36"/>
    <mergeCell ref="AY36:AZ36"/>
    <mergeCell ref="BE36:BF36"/>
    <mergeCell ref="BC37:BD37"/>
    <mergeCell ref="BE37:BF37"/>
    <mergeCell ref="BG37:BH37"/>
    <mergeCell ref="BI37:BJ37"/>
    <mergeCell ref="B38:F38"/>
    <mergeCell ref="G38:H38"/>
    <mergeCell ref="I38:J38"/>
    <mergeCell ref="K38:L38"/>
    <mergeCell ref="M38:N38"/>
    <mergeCell ref="Q37:R37"/>
    <mergeCell ref="S37:T37"/>
    <mergeCell ref="U37:V37"/>
    <mergeCell ref="AA37:AB37"/>
    <mergeCell ref="AC37:AD37"/>
    <mergeCell ref="AE37:AF37"/>
    <mergeCell ref="B37:F37"/>
    <mergeCell ref="G37:H37"/>
    <mergeCell ref="I37:J37"/>
    <mergeCell ref="K37:L37"/>
    <mergeCell ref="M37:N37"/>
    <mergeCell ref="O37:P37"/>
    <mergeCell ref="AG37:AH37"/>
    <mergeCell ref="O39:P39"/>
    <mergeCell ref="AE38:AF38"/>
    <mergeCell ref="AG38:AH38"/>
    <mergeCell ref="BC38:BD38"/>
    <mergeCell ref="BE38:BF38"/>
    <mergeCell ref="BG38:BH38"/>
    <mergeCell ref="BI38:BJ38"/>
    <mergeCell ref="O38:P38"/>
    <mergeCell ref="Q38:R38"/>
    <mergeCell ref="S38:T38"/>
    <mergeCell ref="U38:V38"/>
    <mergeCell ref="AA38:AB38"/>
    <mergeCell ref="AC38:AD38"/>
    <mergeCell ref="W37:X37"/>
    <mergeCell ref="Y37:Z37"/>
    <mergeCell ref="AI37:AJ37"/>
    <mergeCell ref="AK37:AL37"/>
    <mergeCell ref="AM37:AN37"/>
    <mergeCell ref="AO37:AP37"/>
    <mergeCell ref="AQ37:AR37"/>
    <mergeCell ref="AS37:AT37"/>
    <mergeCell ref="AU37:AV37"/>
    <mergeCell ref="F44:S44"/>
    <mergeCell ref="AA44:AN44"/>
    <mergeCell ref="AR44:BI44"/>
    <mergeCell ref="AG39:AH39"/>
    <mergeCell ref="BC39:BD39"/>
    <mergeCell ref="BE39:BF39"/>
    <mergeCell ref="BG39:BH39"/>
    <mergeCell ref="BI39:BJ39"/>
    <mergeCell ref="F42:S42"/>
    <mergeCell ref="W42:AN42"/>
    <mergeCell ref="AR42:BI43"/>
    <mergeCell ref="F43:S43"/>
    <mergeCell ref="W43:AN43"/>
    <mergeCell ref="Q39:R39"/>
    <mergeCell ref="S39:T39"/>
    <mergeCell ref="U39:V39"/>
    <mergeCell ref="AA39:AB39"/>
    <mergeCell ref="AC39:AD39"/>
    <mergeCell ref="AE39:AF39"/>
    <mergeCell ref="B39:F39"/>
    <mergeCell ref="G39:H39"/>
    <mergeCell ref="I39:J39"/>
    <mergeCell ref="K39:L39"/>
    <mergeCell ref="M39:N39"/>
    <mergeCell ref="AI38:AJ38"/>
    <mergeCell ref="Y38:Z38"/>
    <mergeCell ref="W38:X38"/>
    <mergeCell ref="AW37:AX37"/>
    <mergeCell ref="AY37:AZ37"/>
    <mergeCell ref="BA37:BB37"/>
    <mergeCell ref="BA38:BB38"/>
    <mergeCell ref="AY38:AZ38"/>
    <mergeCell ref="AW38:AX38"/>
    <mergeCell ref="AK38:AL38"/>
    <mergeCell ref="AM38:AN38"/>
    <mergeCell ref="AO38:AP38"/>
    <mergeCell ref="AQ38:AR38"/>
    <mergeCell ref="AS38:AT38"/>
    <mergeCell ref="AU38:AV38"/>
  </mergeCells>
  <dataValidations count="2">
    <dataValidation type="whole" allowBlank="1" showInputMessage="1" showErrorMessage="1" errorTitle="GESP SY 2022-2023" error="Please enter valid number between 0 - 20,000." sqref="R6:AL6 R8:AL9 R11:AL14 R15:AC15 R26:AL29 G37:AH38" xr:uid="{00000000-0002-0000-2100-000000000000}">
      <formula1>0</formula1>
      <formula2>20000</formula2>
    </dataValidation>
    <dataValidation type="whole" allowBlank="1" showInputMessage="1" showErrorMessage="1" errorTitle="GESP SY 2022-2023" error="Please enter valid number between 0 - 999." sqref="AI37:BJ38" xr:uid="{00000000-0002-0000-2100-000001000000}">
      <formula1>0</formula1>
      <formula2>999</formula2>
    </dataValidation>
  </dataValidations>
  <printOptions horizontalCentered="1" verticalCentered="1"/>
  <pageMargins left="0.25" right="0.25" top="0.2" bottom="0.2" header="0" footer="0.1"/>
  <pageSetup paperSize="9" scale="57" orientation="landscape" r:id="rId1"/>
  <headerFooter alignWithMargins="0">
    <oddFooter>&amp;L&amp;10&amp;F &amp;A&amp;R&amp;11Page 30 of 60</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pageSetUpPr fitToPage="1"/>
  </sheetPr>
  <dimension ref="B1:BE61"/>
  <sheetViews>
    <sheetView showGridLines="0" zoomScaleNormal="100" workbookViewId="0">
      <selection activeCell="AA5" sqref="AA5"/>
    </sheetView>
  </sheetViews>
  <sheetFormatPr defaultColWidth="9" defaultRowHeight="15.5"/>
  <cols>
    <col min="1" max="1" width="2.08203125" style="602" customWidth="1"/>
    <col min="2" max="40" width="3.58203125" style="602" customWidth="1"/>
    <col min="41" max="41" width="2.08203125" style="602" customWidth="1"/>
    <col min="42" max="44" width="3.58203125" style="602" customWidth="1"/>
    <col min="45" max="45" width="2.08203125" style="602" customWidth="1"/>
    <col min="46" max="55" width="3.58203125" style="602" customWidth="1"/>
    <col min="56" max="16384" width="9" style="602"/>
  </cols>
  <sheetData>
    <row r="1" spans="2:49" ht="12" customHeight="1"/>
    <row r="2" spans="2:49" ht="16.5">
      <c r="B2" s="627" t="s">
        <v>11794</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9" s="568" customFormat="1" ht="17.5" customHeight="1" thickBot="1">
      <c r="B3" s="1063" t="s">
        <v>904</v>
      </c>
    </row>
    <row r="4" spans="2:49" ht="5.25"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1056"/>
      <c r="AT4" s="588"/>
      <c r="AU4" s="588"/>
      <c r="AV4" s="588"/>
      <c r="AW4" s="588"/>
    </row>
    <row r="5" spans="2:49" ht="17.5" customHeight="1">
      <c r="B5" s="614"/>
      <c r="C5" s="1081" t="s">
        <v>151</v>
      </c>
      <c r="D5" s="1012" t="s">
        <v>807</v>
      </c>
      <c r="E5" s="1012"/>
      <c r="F5" s="1013"/>
      <c r="G5" s="1013"/>
      <c r="H5" s="1013"/>
      <c r="I5" s="1013"/>
      <c r="J5" s="1013"/>
      <c r="K5" s="1013"/>
      <c r="L5" s="1013"/>
      <c r="M5" s="1013"/>
      <c r="N5" s="1013"/>
      <c r="O5" s="874"/>
      <c r="P5" s="588"/>
      <c r="Q5" s="588"/>
      <c r="R5" s="588"/>
      <c r="S5" s="588"/>
      <c r="T5" s="588"/>
      <c r="U5" s="1014"/>
      <c r="V5" s="874"/>
      <c r="W5" s="874"/>
      <c r="X5" s="874"/>
      <c r="Y5" s="874"/>
      <c r="Z5" s="874"/>
      <c r="AA5" s="857" t="b">
        <v>0</v>
      </c>
      <c r="AB5" s="588" t="s">
        <v>64</v>
      </c>
      <c r="AC5" s="588"/>
      <c r="AF5" s="857" t="b">
        <v>1</v>
      </c>
      <c r="AG5" s="588" t="s">
        <v>0</v>
      </c>
      <c r="AH5" s="874"/>
      <c r="AI5" s="588"/>
      <c r="AJ5" s="588"/>
      <c r="AK5" s="588"/>
      <c r="AN5" s="1018"/>
      <c r="AT5" s="588"/>
      <c r="AU5" s="588"/>
      <c r="AV5" s="588"/>
      <c r="AW5" s="588"/>
    </row>
    <row r="6" spans="2:49" ht="6" customHeigh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N6" s="1018"/>
      <c r="AT6" s="588"/>
      <c r="AU6" s="588"/>
      <c r="AV6" s="588"/>
      <c r="AW6" s="588"/>
    </row>
    <row r="7" spans="2:49" ht="18" customHeight="1">
      <c r="B7" s="614"/>
      <c r="C7" s="1081" t="s">
        <v>152</v>
      </c>
      <c r="D7" s="1012" t="s">
        <v>808</v>
      </c>
      <c r="E7" s="1012"/>
      <c r="F7" s="1013"/>
      <c r="G7" s="1013"/>
      <c r="H7" s="1013"/>
      <c r="I7" s="1013"/>
      <c r="J7" s="1013"/>
      <c r="K7" s="1013"/>
      <c r="L7" s="1013"/>
      <c r="M7" s="1013"/>
      <c r="N7" s="1013"/>
      <c r="O7" s="874"/>
      <c r="P7" s="588"/>
      <c r="Q7" s="588"/>
      <c r="R7" s="588"/>
      <c r="S7" s="588"/>
      <c r="T7" s="588"/>
      <c r="U7" s="1014"/>
      <c r="V7" s="874"/>
      <c r="W7" s="874"/>
      <c r="X7" s="874"/>
      <c r="Y7" s="874"/>
      <c r="Z7" s="874"/>
      <c r="AA7" s="857" t="b">
        <v>0</v>
      </c>
      <c r="AB7" s="588" t="s">
        <v>64</v>
      </c>
      <c r="AC7" s="588"/>
      <c r="AF7" s="857" t="b">
        <v>1</v>
      </c>
      <c r="AG7" s="588" t="s">
        <v>0</v>
      </c>
      <c r="AH7" s="874"/>
      <c r="AI7" s="588"/>
      <c r="AJ7" s="588"/>
      <c r="AK7" s="588"/>
      <c r="AN7" s="1018"/>
      <c r="AT7" s="588"/>
      <c r="AU7" s="588"/>
      <c r="AV7" s="588"/>
      <c r="AW7" s="588"/>
    </row>
    <row r="8" spans="2:49" ht="6" customHeight="1">
      <c r="B8" s="614"/>
      <c r="E8" s="1080"/>
      <c r="F8" s="629"/>
      <c r="G8" s="629"/>
      <c r="H8" s="629"/>
      <c r="I8" s="629"/>
      <c r="J8" s="629"/>
      <c r="K8" s="629"/>
      <c r="L8" s="629"/>
      <c r="M8" s="629"/>
      <c r="N8" s="629"/>
      <c r="O8" s="874"/>
      <c r="Q8" s="874"/>
      <c r="R8" s="975"/>
      <c r="S8" s="588"/>
      <c r="V8" s="874"/>
      <c r="W8" s="975"/>
      <c r="X8" s="588"/>
      <c r="Y8" s="588"/>
      <c r="Z8" s="588"/>
      <c r="AA8" s="588"/>
      <c r="AB8" s="588"/>
      <c r="AC8" s="588"/>
      <c r="AE8" s="874"/>
      <c r="AF8" s="874"/>
      <c r="AG8" s="874"/>
      <c r="AH8" s="874"/>
      <c r="AI8" s="874"/>
      <c r="AJ8" s="874"/>
      <c r="AK8" s="874"/>
      <c r="AN8" s="1018"/>
      <c r="AT8" s="588"/>
      <c r="AU8" s="588"/>
      <c r="AV8" s="588"/>
      <c r="AW8" s="588"/>
    </row>
    <row r="9" spans="2:49" ht="18" customHeight="1">
      <c r="B9" s="614"/>
      <c r="C9" s="1081" t="s">
        <v>153</v>
      </c>
      <c r="D9" s="1012" t="s">
        <v>1175</v>
      </c>
      <c r="E9" s="1012"/>
      <c r="F9" s="1013"/>
      <c r="G9" s="1013"/>
      <c r="H9" s="1013"/>
      <c r="I9" s="1013"/>
      <c r="J9" s="1013"/>
      <c r="K9" s="1013"/>
      <c r="L9" s="1013"/>
      <c r="M9" s="1013"/>
      <c r="N9" s="1013"/>
      <c r="O9" s="874"/>
      <c r="P9" s="588"/>
      <c r="Q9" s="588"/>
      <c r="R9" s="588"/>
      <c r="S9" s="588"/>
      <c r="T9" s="588"/>
      <c r="U9" s="1014"/>
      <c r="V9" s="874"/>
      <c r="W9" s="874"/>
      <c r="X9" s="874"/>
      <c r="Y9" s="874"/>
      <c r="Z9" s="874"/>
      <c r="AA9" s="874"/>
      <c r="AB9" s="588"/>
      <c r="AC9" s="588"/>
      <c r="AD9" s="588"/>
      <c r="AE9" s="588"/>
      <c r="AF9" s="588"/>
      <c r="AG9" s="588"/>
      <c r="AH9" s="588"/>
      <c r="AI9" s="588"/>
      <c r="AJ9" s="588"/>
      <c r="AK9" s="588"/>
      <c r="AN9" s="1018"/>
      <c r="AT9" s="588"/>
      <c r="AU9" s="588"/>
      <c r="AV9" s="588"/>
      <c r="AW9" s="588"/>
    </row>
    <row r="10" spans="2:49" ht="6" customHeight="1" thickBot="1">
      <c r="B10" s="614"/>
      <c r="E10" s="1080"/>
      <c r="F10" s="629"/>
      <c r="G10" s="629"/>
      <c r="H10" s="629"/>
      <c r="I10" s="629"/>
      <c r="J10" s="629"/>
      <c r="K10" s="629"/>
      <c r="L10" s="629"/>
      <c r="M10" s="629"/>
      <c r="N10" s="629"/>
      <c r="O10" s="874"/>
      <c r="Q10" s="874"/>
      <c r="R10" s="975"/>
      <c r="S10" s="588"/>
      <c r="V10" s="874"/>
      <c r="W10" s="975"/>
      <c r="X10" s="588"/>
      <c r="Y10" s="588"/>
      <c r="Z10" s="588"/>
      <c r="AA10" s="588"/>
      <c r="AB10" s="588"/>
      <c r="AC10" s="588"/>
      <c r="AE10" s="874"/>
      <c r="AF10" s="874"/>
      <c r="AG10" s="874"/>
      <c r="AH10" s="874"/>
      <c r="AI10" s="874"/>
      <c r="AJ10" s="874"/>
      <c r="AK10" s="874"/>
      <c r="AN10" s="1018"/>
      <c r="AT10" s="588"/>
      <c r="AU10" s="588"/>
      <c r="AV10" s="588"/>
      <c r="AW10" s="588"/>
    </row>
    <row r="11" spans="2:49" ht="20.149999999999999" customHeight="1" thickBot="1">
      <c r="B11" s="614"/>
      <c r="D11" s="3442" t="s">
        <v>124</v>
      </c>
      <c r="E11" s="3443"/>
      <c r="F11" s="3443"/>
      <c r="G11" s="3443"/>
      <c r="H11" s="3443"/>
      <c r="I11" s="3443"/>
      <c r="J11" s="3443"/>
      <c r="K11" s="3444"/>
      <c r="L11" s="3442" t="s">
        <v>258</v>
      </c>
      <c r="M11" s="3443"/>
      <c r="N11" s="3443"/>
      <c r="O11" s="3443"/>
      <c r="P11" s="3443"/>
      <c r="Q11" s="3443"/>
      <c r="R11" s="3444"/>
      <c r="S11" s="1091"/>
      <c r="T11" s="580"/>
      <c r="U11" s="580"/>
      <c r="V11" s="580"/>
      <c r="W11" s="580"/>
      <c r="X11" s="580"/>
      <c r="Y11" s="580"/>
      <c r="Z11" s="580"/>
      <c r="AA11" s="580"/>
      <c r="AB11" s="580"/>
      <c r="AC11" s="580"/>
      <c r="AD11" s="580"/>
      <c r="AE11" s="580"/>
      <c r="AF11" s="580"/>
      <c r="AG11" s="874"/>
      <c r="AH11" s="874"/>
      <c r="AI11" s="874"/>
      <c r="AN11" s="1018"/>
      <c r="AR11" s="588"/>
      <c r="AS11" s="588"/>
      <c r="AT11" s="588"/>
      <c r="AU11" s="588"/>
    </row>
    <row r="12" spans="2:49" ht="20.149999999999999" customHeight="1">
      <c r="B12" s="614"/>
      <c r="D12" s="1083"/>
      <c r="E12" s="1084"/>
      <c r="F12" s="1072" t="s">
        <v>879</v>
      </c>
      <c r="G12" s="1072"/>
      <c r="H12" s="1072"/>
      <c r="I12" s="1072"/>
      <c r="J12" s="1072"/>
      <c r="K12" s="1073"/>
      <c r="L12" s="3452">
        <v>0</v>
      </c>
      <c r="M12" s="3453"/>
      <c r="N12" s="3453"/>
      <c r="O12" s="3453"/>
      <c r="P12" s="3453"/>
      <c r="Q12" s="3453"/>
      <c r="R12" s="3454"/>
      <c r="S12" s="1067"/>
      <c r="T12" s="606"/>
      <c r="U12" s="606"/>
      <c r="V12" s="606"/>
      <c r="W12" s="606"/>
      <c r="X12" s="606"/>
      <c r="Y12" s="606"/>
      <c r="Z12" s="606"/>
      <c r="AA12" s="606"/>
      <c r="AB12" s="606"/>
      <c r="AC12" s="606"/>
      <c r="AD12" s="606"/>
      <c r="AE12" s="606"/>
      <c r="AF12" s="606"/>
      <c r="AG12" s="874"/>
      <c r="AH12" s="874"/>
      <c r="AI12" s="874"/>
      <c r="AN12" s="1018"/>
      <c r="AR12" s="588"/>
      <c r="AS12" s="588"/>
      <c r="AT12" s="588"/>
      <c r="AU12" s="588"/>
    </row>
    <row r="13" spans="2:49" ht="20.149999999999999" customHeight="1">
      <c r="B13" s="614"/>
      <c r="D13" s="1085"/>
      <c r="E13" s="1086"/>
      <c r="F13" s="1075" t="s">
        <v>880</v>
      </c>
      <c r="G13" s="1075"/>
      <c r="H13" s="1075"/>
      <c r="I13" s="1075"/>
      <c r="J13" s="1075"/>
      <c r="K13" s="1076"/>
      <c r="L13" s="3455">
        <v>0</v>
      </c>
      <c r="M13" s="3262"/>
      <c r="N13" s="3262"/>
      <c r="O13" s="3262"/>
      <c r="P13" s="3262"/>
      <c r="Q13" s="3262"/>
      <c r="R13" s="3263"/>
      <c r="S13" s="1067"/>
      <c r="T13" s="606"/>
      <c r="U13" s="606"/>
      <c r="V13" s="606"/>
      <c r="W13" s="606"/>
      <c r="X13" s="606"/>
      <c r="Y13" s="606"/>
      <c r="Z13" s="606"/>
      <c r="AA13" s="606"/>
      <c r="AB13" s="606"/>
      <c r="AC13" s="606"/>
      <c r="AD13" s="606"/>
      <c r="AE13" s="606"/>
      <c r="AF13" s="606"/>
      <c r="AG13" s="874"/>
      <c r="AH13" s="874"/>
      <c r="AI13" s="874"/>
      <c r="AN13" s="1018"/>
      <c r="AR13" s="588"/>
      <c r="AS13" s="588"/>
      <c r="AT13" s="588"/>
      <c r="AU13" s="588"/>
    </row>
    <row r="14" spans="2:49" ht="20.149999999999999" customHeight="1">
      <c r="B14" s="614"/>
      <c r="D14" s="1085"/>
      <c r="E14" s="1086"/>
      <c r="F14" s="1075" t="s">
        <v>881</v>
      </c>
      <c r="G14" s="1075"/>
      <c r="H14" s="1075"/>
      <c r="I14" s="1075"/>
      <c r="J14" s="1075"/>
      <c r="K14" s="1076"/>
      <c r="L14" s="3455">
        <v>0</v>
      </c>
      <c r="M14" s="3262"/>
      <c r="N14" s="3262"/>
      <c r="O14" s="3262"/>
      <c r="P14" s="3262"/>
      <c r="Q14" s="3262"/>
      <c r="R14" s="3263"/>
      <c r="S14" s="1067"/>
      <c r="T14" s="606"/>
      <c r="U14" s="606"/>
      <c r="V14" s="606"/>
      <c r="W14" s="606"/>
      <c r="X14" s="606"/>
      <c r="Y14" s="606"/>
      <c r="Z14" s="606"/>
      <c r="AA14" s="606"/>
      <c r="AB14" s="606"/>
      <c r="AC14" s="606"/>
      <c r="AD14" s="606"/>
      <c r="AE14" s="606"/>
      <c r="AF14" s="606"/>
      <c r="AG14" s="874"/>
      <c r="AH14" s="874"/>
      <c r="AI14" s="874"/>
      <c r="AN14" s="1018"/>
      <c r="AR14" s="588"/>
      <c r="AS14" s="588"/>
      <c r="AT14" s="588"/>
      <c r="AU14" s="588"/>
    </row>
    <row r="15" spans="2:49" ht="20.149999999999999" customHeight="1">
      <c r="B15" s="614"/>
      <c r="D15" s="1085"/>
      <c r="E15" s="1086"/>
      <c r="F15" s="1075" t="s">
        <v>882</v>
      </c>
      <c r="G15" s="1075"/>
      <c r="H15" s="1075"/>
      <c r="I15" s="1075"/>
      <c r="J15" s="1075"/>
      <c r="K15" s="1076"/>
      <c r="L15" s="3455">
        <v>0</v>
      </c>
      <c r="M15" s="3262"/>
      <c r="N15" s="3262"/>
      <c r="O15" s="3262"/>
      <c r="P15" s="3262"/>
      <c r="Q15" s="3262"/>
      <c r="R15" s="3263"/>
      <c r="S15" s="1067"/>
      <c r="T15" s="606"/>
      <c r="U15" s="606"/>
      <c r="V15" s="606"/>
      <c r="W15" s="606"/>
      <c r="X15" s="606"/>
      <c r="Y15" s="606"/>
      <c r="Z15" s="606"/>
      <c r="AA15" s="606"/>
      <c r="AB15" s="606"/>
      <c r="AC15" s="606"/>
      <c r="AD15" s="606"/>
      <c r="AE15" s="606"/>
      <c r="AF15" s="606"/>
      <c r="AG15" s="874"/>
      <c r="AH15" s="874"/>
      <c r="AI15" s="874"/>
      <c r="AN15" s="1018"/>
      <c r="AR15" s="588"/>
      <c r="AS15" s="588"/>
      <c r="AT15" s="588"/>
      <c r="AU15" s="588"/>
    </row>
    <row r="16" spans="2:49" ht="20.149999999999999" customHeight="1">
      <c r="B16" s="614"/>
      <c r="D16" s="1085"/>
      <c r="E16" s="1086"/>
      <c r="F16" s="1075" t="s">
        <v>883</v>
      </c>
      <c r="G16" s="1075"/>
      <c r="H16" s="1075"/>
      <c r="I16" s="1075"/>
      <c r="J16" s="1075"/>
      <c r="K16" s="1076"/>
      <c r="L16" s="3455">
        <v>0</v>
      </c>
      <c r="M16" s="3262"/>
      <c r="N16" s="3262"/>
      <c r="O16" s="3262"/>
      <c r="P16" s="3262"/>
      <c r="Q16" s="3262"/>
      <c r="R16" s="3263"/>
      <c r="S16" s="1067"/>
      <c r="T16" s="606"/>
      <c r="U16" s="606"/>
      <c r="V16" s="606"/>
      <c r="W16" s="606"/>
      <c r="X16" s="606"/>
      <c r="Y16" s="606"/>
      <c r="Z16" s="606"/>
      <c r="AA16" s="606"/>
      <c r="AB16" s="606"/>
      <c r="AC16" s="606"/>
      <c r="AD16" s="606"/>
      <c r="AE16" s="606"/>
      <c r="AF16" s="606"/>
      <c r="AG16" s="874"/>
      <c r="AH16" s="874"/>
      <c r="AI16" s="874"/>
      <c r="AN16" s="1018"/>
      <c r="AR16" s="588"/>
      <c r="AS16" s="588"/>
      <c r="AT16" s="588"/>
      <c r="AU16" s="588"/>
    </row>
    <row r="17" spans="2:57" ht="20.149999999999999" customHeight="1">
      <c r="B17" s="614"/>
      <c r="D17" s="1085"/>
      <c r="E17" s="1086"/>
      <c r="F17" s="1075" t="s">
        <v>884</v>
      </c>
      <c r="G17" s="1075"/>
      <c r="H17" s="1075"/>
      <c r="I17" s="1075"/>
      <c r="J17" s="1075"/>
      <c r="K17" s="1076"/>
      <c r="L17" s="3455">
        <v>0</v>
      </c>
      <c r="M17" s="3262"/>
      <c r="N17" s="3262"/>
      <c r="O17" s="3262"/>
      <c r="P17" s="3262"/>
      <c r="Q17" s="3262"/>
      <c r="R17" s="3263"/>
      <c r="S17" s="1067"/>
      <c r="T17" s="606"/>
      <c r="U17" s="606"/>
      <c r="V17" s="606"/>
      <c r="W17" s="606"/>
      <c r="X17" s="606"/>
      <c r="Y17" s="606"/>
      <c r="Z17" s="606"/>
      <c r="AA17" s="606"/>
      <c r="AB17" s="606"/>
      <c r="AC17" s="606"/>
      <c r="AD17" s="606"/>
      <c r="AE17" s="606"/>
      <c r="AF17" s="606"/>
      <c r="AG17" s="874"/>
      <c r="AH17" s="874"/>
      <c r="AI17" s="874"/>
      <c r="AN17" s="1018"/>
      <c r="AR17" s="588"/>
      <c r="AS17" s="588"/>
      <c r="AT17" s="588"/>
      <c r="AU17" s="588"/>
    </row>
    <row r="18" spans="2:57" ht="20.149999999999999" customHeight="1" thickBot="1">
      <c r="B18" s="614"/>
      <c r="D18" s="1087"/>
      <c r="E18" s="1088"/>
      <c r="F18" s="1089" t="s">
        <v>885</v>
      </c>
      <c r="G18" s="1089"/>
      <c r="H18" s="1089"/>
      <c r="I18" s="1089"/>
      <c r="J18" s="1089"/>
      <c r="K18" s="1090"/>
      <c r="L18" s="3456">
        <v>0</v>
      </c>
      <c r="M18" s="3457"/>
      <c r="N18" s="3457"/>
      <c r="O18" s="3457"/>
      <c r="P18" s="3457"/>
      <c r="Q18" s="3457"/>
      <c r="R18" s="3458"/>
      <c r="S18" s="1067"/>
      <c r="T18" s="606"/>
      <c r="U18" s="606"/>
      <c r="V18" s="606"/>
      <c r="W18" s="606"/>
      <c r="X18" s="606"/>
      <c r="Y18" s="606"/>
      <c r="Z18" s="606"/>
      <c r="AA18" s="606"/>
      <c r="AB18" s="606"/>
      <c r="AC18" s="606"/>
      <c r="AD18" s="606"/>
      <c r="AE18" s="606"/>
      <c r="AF18" s="606"/>
      <c r="AG18" s="874"/>
      <c r="AH18" s="874"/>
      <c r="AI18" s="874"/>
      <c r="AN18" s="1018"/>
      <c r="AR18" s="588"/>
      <c r="AS18" s="588"/>
      <c r="AT18" s="588"/>
      <c r="AU18" s="588"/>
    </row>
    <row r="19" spans="2:57" ht="20.149999999999999" customHeight="1" thickTop="1" thickBot="1">
      <c r="B19" s="614"/>
      <c r="D19" s="1064"/>
      <c r="E19" s="1065"/>
      <c r="F19" s="1065" t="s">
        <v>886</v>
      </c>
      <c r="G19" s="1065"/>
      <c r="H19" s="1065"/>
      <c r="I19" s="1065"/>
      <c r="J19" s="1065"/>
      <c r="K19" s="1066"/>
      <c r="L19" s="3363">
        <f>SUM(L12:R18)</f>
        <v>0</v>
      </c>
      <c r="M19" s="3353"/>
      <c r="N19" s="3353"/>
      <c r="O19" s="3353"/>
      <c r="P19" s="3353"/>
      <c r="Q19" s="3353"/>
      <c r="R19" s="3361"/>
      <c r="S19" s="1067"/>
      <c r="T19" s="606"/>
      <c r="U19" s="606"/>
      <c r="V19" s="606"/>
      <c r="W19" s="606"/>
      <c r="X19" s="606"/>
      <c r="Y19" s="606"/>
      <c r="Z19" s="606"/>
      <c r="AA19" s="606"/>
      <c r="AB19" s="606"/>
      <c r="AC19" s="606"/>
      <c r="AD19" s="606"/>
      <c r="AE19" s="606"/>
      <c r="AF19" s="606"/>
      <c r="AG19" s="874"/>
      <c r="AH19" s="874"/>
      <c r="AI19" s="874"/>
      <c r="AN19" s="1018"/>
      <c r="AR19" s="588"/>
      <c r="AS19" s="588"/>
      <c r="AT19" s="588"/>
      <c r="AU19" s="588"/>
    </row>
    <row r="20" spans="2:57" ht="6" customHeight="1">
      <c r="B20" s="614"/>
      <c r="E20" s="1080"/>
      <c r="F20" s="629"/>
      <c r="G20" s="629"/>
      <c r="H20" s="629"/>
      <c r="I20" s="629"/>
      <c r="J20" s="629"/>
      <c r="K20" s="629"/>
      <c r="L20" s="629"/>
      <c r="M20" s="629"/>
      <c r="N20" s="629"/>
      <c r="O20" s="874"/>
      <c r="Q20" s="874"/>
      <c r="R20" s="975"/>
      <c r="S20" s="588"/>
      <c r="V20" s="874"/>
      <c r="W20" s="975"/>
      <c r="X20" s="588"/>
      <c r="Y20" s="588"/>
      <c r="Z20" s="588"/>
      <c r="AA20" s="588"/>
      <c r="AB20" s="588"/>
      <c r="AD20" s="874"/>
      <c r="AE20" s="874"/>
      <c r="AF20" s="874"/>
      <c r="AG20" s="874"/>
      <c r="AH20" s="874"/>
      <c r="AI20" s="874"/>
      <c r="AJ20" s="874"/>
      <c r="AK20" s="874"/>
      <c r="AN20" s="1018"/>
      <c r="AT20" s="588"/>
      <c r="AU20" s="588"/>
      <c r="AV20" s="588"/>
      <c r="AW20" s="588"/>
    </row>
    <row r="21" spans="2:57" ht="30" customHeight="1">
      <c r="B21" s="614"/>
      <c r="C21" s="618" t="s">
        <v>154</v>
      </c>
      <c r="D21" s="3440" t="s">
        <v>809</v>
      </c>
      <c r="E21" s="3440"/>
      <c r="F21" s="3440"/>
      <c r="G21" s="3440"/>
      <c r="H21" s="3440"/>
      <c r="I21" s="3440"/>
      <c r="J21" s="3440"/>
      <c r="K21" s="3440"/>
      <c r="L21" s="3440"/>
      <c r="M21" s="3440"/>
      <c r="N21" s="3440"/>
      <c r="O21" s="3440"/>
      <c r="P21" s="3440"/>
      <c r="Q21" s="3440"/>
      <c r="R21" s="3440"/>
      <c r="S21" s="3440"/>
      <c r="T21" s="3440"/>
      <c r="U21" s="3440"/>
      <c r="V21" s="3440"/>
      <c r="W21" s="3440"/>
      <c r="X21" s="874"/>
      <c r="Y21" s="874"/>
      <c r="Z21" s="874"/>
      <c r="AA21" s="76" t="b">
        <v>0</v>
      </c>
      <c r="AB21" s="568" t="s">
        <v>64</v>
      </c>
      <c r="AC21" s="568"/>
      <c r="AD21" s="610"/>
      <c r="AE21" s="610"/>
      <c r="AF21" s="76" t="b">
        <v>1</v>
      </c>
      <c r="AG21" s="568" t="s">
        <v>0</v>
      </c>
      <c r="AH21" s="874"/>
      <c r="AI21" s="588"/>
      <c r="AJ21" s="588"/>
      <c r="AK21" s="588"/>
      <c r="AN21" s="1018"/>
      <c r="AT21" s="588"/>
      <c r="AU21" s="588"/>
      <c r="AV21" s="588"/>
      <c r="AW21" s="588"/>
    </row>
    <row r="22" spans="2:57" ht="6" customHeight="1">
      <c r="B22" s="614"/>
      <c r="E22" s="1080"/>
      <c r="F22" s="629"/>
      <c r="G22" s="629"/>
      <c r="H22" s="629"/>
      <c r="I22" s="629"/>
      <c r="J22" s="629"/>
      <c r="K22" s="629"/>
      <c r="L22" s="629"/>
      <c r="M22" s="629"/>
      <c r="N22" s="629"/>
      <c r="O22" s="874"/>
      <c r="Q22" s="874"/>
      <c r="R22" s="975"/>
      <c r="S22" s="588"/>
      <c r="V22" s="874"/>
      <c r="W22" s="975"/>
      <c r="X22" s="588"/>
      <c r="Y22" s="588"/>
      <c r="Z22" s="588"/>
      <c r="AA22" s="588"/>
      <c r="AB22" s="588"/>
      <c r="AC22" s="588"/>
      <c r="AE22" s="874"/>
      <c r="AF22" s="874"/>
      <c r="AG22" s="874"/>
      <c r="AH22" s="874"/>
      <c r="AI22" s="874"/>
      <c r="AJ22" s="874"/>
      <c r="AK22" s="874"/>
      <c r="AN22" s="1018"/>
      <c r="AT22" s="588"/>
      <c r="AU22" s="588"/>
      <c r="AV22" s="588"/>
      <c r="AW22" s="588"/>
    </row>
    <row r="23" spans="2:57" ht="18" customHeight="1">
      <c r="B23" s="614"/>
      <c r="C23" s="1081" t="s">
        <v>155</v>
      </c>
      <c r="D23" s="1012" t="s">
        <v>11795</v>
      </c>
      <c r="E23" s="1012"/>
      <c r="F23" s="1013"/>
      <c r="G23" s="1013"/>
      <c r="H23" s="1013"/>
      <c r="I23" s="1013"/>
      <c r="J23" s="1013"/>
      <c r="K23" s="1013"/>
      <c r="L23" s="1013"/>
      <c r="M23" s="1013"/>
      <c r="N23" s="1013"/>
      <c r="O23" s="874"/>
      <c r="P23" s="588"/>
      <c r="Q23" s="588"/>
      <c r="R23" s="588"/>
      <c r="S23" s="588"/>
      <c r="T23" s="588"/>
      <c r="U23" s="1014"/>
      <c r="V23" s="874"/>
      <c r="W23" s="874"/>
      <c r="X23" s="874"/>
      <c r="Y23" s="874"/>
      <c r="Z23" s="874"/>
      <c r="AA23" s="857" t="b">
        <v>1</v>
      </c>
      <c r="AB23" s="588" t="s">
        <v>64</v>
      </c>
      <c r="AC23" s="588"/>
      <c r="AF23" s="857" t="b">
        <v>0</v>
      </c>
      <c r="AG23" s="588" t="s">
        <v>0</v>
      </c>
      <c r="AH23" s="874"/>
      <c r="AI23" s="588"/>
      <c r="AJ23" s="588"/>
      <c r="AK23" s="588"/>
      <c r="AN23" s="1018"/>
      <c r="AT23" s="588"/>
      <c r="AU23" s="588"/>
      <c r="AV23" s="588"/>
      <c r="AW23" s="588"/>
    </row>
    <row r="24" spans="2:57" ht="6" customHeight="1">
      <c r="B24" s="614"/>
      <c r="E24" s="1080"/>
      <c r="F24" s="629"/>
      <c r="G24" s="629"/>
      <c r="H24" s="629"/>
      <c r="I24" s="629"/>
      <c r="J24" s="629"/>
      <c r="K24" s="629"/>
      <c r="L24" s="629"/>
      <c r="M24" s="629"/>
      <c r="N24" s="629"/>
      <c r="O24" s="874"/>
      <c r="Q24" s="874"/>
      <c r="R24" s="975"/>
      <c r="S24" s="588"/>
      <c r="V24" s="874"/>
      <c r="W24" s="975"/>
      <c r="X24" s="588"/>
      <c r="Y24" s="588"/>
      <c r="Z24" s="588"/>
      <c r="AA24" s="588"/>
      <c r="AB24" s="588"/>
      <c r="AC24" s="588"/>
      <c r="AE24" s="874"/>
      <c r="AF24" s="874"/>
      <c r="AG24" s="874"/>
      <c r="AH24" s="874"/>
      <c r="AI24" s="874"/>
      <c r="AJ24" s="874"/>
      <c r="AK24" s="874"/>
      <c r="AN24" s="1018"/>
      <c r="AP24" s="3451"/>
      <c r="AQ24" s="3451"/>
      <c r="AR24" s="3451"/>
      <c r="AS24" s="3451"/>
      <c r="AT24" s="3451"/>
      <c r="AU24" s="588"/>
      <c r="AV24" s="588"/>
      <c r="AW24" s="588"/>
    </row>
    <row r="25" spans="2:57" ht="18" customHeight="1">
      <c r="B25" s="614"/>
      <c r="C25" s="1081" t="s">
        <v>156</v>
      </c>
      <c r="D25" s="1012" t="s">
        <v>1343</v>
      </c>
      <c r="E25" s="1012"/>
      <c r="F25" s="1013"/>
      <c r="G25" s="1013"/>
      <c r="H25" s="1013"/>
      <c r="I25" s="1013"/>
      <c r="J25" s="1013"/>
      <c r="K25" s="1013"/>
      <c r="L25" s="1013"/>
      <c r="M25" s="1013"/>
      <c r="N25" s="1013"/>
      <c r="O25" s="874"/>
      <c r="P25" s="588"/>
      <c r="Q25" s="588"/>
      <c r="R25" s="588"/>
      <c r="S25" s="588"/>
      <c r="T25" s="588"/>
      <c r="U25" s="1014"/>
      <c r="V25" s="874"/>
      <c r="W25" s="874"/>
      <c r="X25" s="874"/>
      <c r="Y25" s="874"/>
      <c r="Z25" s="874"/>
      <c r="AA25" s="874"/>
      <c r="AB25" s="588"/>
      <c r="AC25" s="588"/>
      <c r="AF25" s="857" t="b">
        <v>0</v>
      </c>
      <c r="AG25" s="588" t="s">
        <v>64</v>
      </c>
      <c r="AH25" s="588"/>
      <c r="AK25" s="857" t="b">
        <v>1</v>
      </c>
      <c r="AL25" s="588" t="s">
        <v>0</v>
      </c>
      <c r="AN25" s="1018"/>
      <c r="AP25" s="3451"/>
      <c r="AQ25" s="3451"/>
      <c r="AR25" s="3451"/>
      <c r="AS25" s="3451"/>
      <c r="AT25" s="3451"/>
      <c r="AU25" s="588"/>
      <c r="AV25" s="588"/>
      <c r="AW25" s="588"/>
    </row>
    <row r="26" spans="2:57">
      <c r="B26" s="614"/>
      <c r="D26" s="3440" t="s">
        <v>1337</v>
      </c>
      <c r="E26" s="3440"/>
      <c r="F26" s="3440"/>
      <c r="G26" s="3440"/>
      <c r="H26" s="3440"/>
      <c r="I26" s="3440"/>
      <c r="J26" s="3440"/>
      <c r="K26" s="3440"/>
      <c r="L26" s="3440"/>
      <c r="M26" s="3440"/>
      <c r="N26" s="3440"/>
      <c r="O26" s="3440"/>
      <c r="P26" s="3440"/>
      <c r="Q26" s="3440"/>
      <c r="R26" s="3440"/>
      <c r="S26" s="3440"/>
      <c r="T26" s="3440"/>
      <c r="U26" s="3440"/>
      <c r="V26" s="3440"/>
      <c r="W26" s="3440"/>
      <c r="X26" s="3440"/>
      <c r="Y26" s="3440"/>
      <c r="Z26" s="3440"/>
      <c r="AA26" s="3440"/>
      <c r="AB26" s="3440"/>
      <c r="AC26" s="3440"/>
      <c r="AD26" s="3440"/>
      <c r="AE26" s="3440"/>
      <c r="AF26" s="3440"/>
      <c r="AG26" s="3440"/>
      <c r="AH26" s="3440"/>
      <c r="AI26" s="3440"/>
      <c r="AJ26" s="3440"/>
      <c r="AK26" s="3440"/>
      <c r="AL26" s="3440"/>
      <c r="AM26" s="3440"/>
      <c r="AN26" s="1018"/>
      <c r="AW26" s="588"/>
      <c r="AX26" s="588"/>
      <c r="AY26" s="588"/>
      <c r="AZ26" s="588"/>
    </row>
    <row r="27" spans="2:57" ht="6" customHeight="1" thickBot="1">
      <c r="B27" s="614"/>
      <c r="E27" s="1080"/>
      <c r="F27" s="629"/>
      <c r="G27" s="629"/>
      <c r="H27" s="629"/>
      <c r="I27" s="629"/>
      <c r="J27" s="629"/>
      <c r="K27" s="629"/>
      <c r="L27" s="629"/>
      <c r="M27" s="629"/>
      <c r="N27" s="629"/>
      <c r="O27" s="874"/>
      <c r="Q27" s="874"/>
      <c r="R27" s="975"/>
      <c r="S27" s="588"/>
      <c r="V27" s="874"/>
      <c r="W27" s="975"/>
      <c r="X27" s="588"/>
      <c r="Y27" s="588"/>
      <c r="Z27" s="588"/>
      <c r="AA27" s="588"/>
      <c r="AB27" s="588"/>
      <c r="AC27" s="588"/>
      <c r="AE27" s="874"/>
      <c r="AF27" s="874"/>
      <c r="AG27" s="874"/>
      <c r="AH27" s="874"/>
      <c r="AI27" s="874"/>
      <c r="AJ27" s="874"/>
      <c r="AK27" s="874"/>
      <c r="AN27" s="1018"/>
      <c r="AT27" s="588"/>
      <c r="AU27" s="588"/>
      <c r="AV27" s="588"/>
      <c r="AW27" s="588"/>
    </row>
    <row r="28" spans="2:57" ht="82" customHeight="1" thickBot="1">
      <c r="B28" s="614"/>
      <c r="D28" s="3348" t="s">
        <v>124</v>
      </c>
      <c r="E28" s="3441"/>
      <c r="F28" s="3441"/>
      <c r="G28" s="3441"/>
      <c r="H28" s="3390"/>
      <c r="I28" s="3442" t="s">
        <v>1342</v>
      </c>
      <c r="J28" s="3443"/>
      <c r="K28" s="3443"/>
      <c r="L28" s="3443"/>
      <c r="M28" s="3444"/>
      <c r="N28" s="3442" t="s">
        <v>1338</v>
      </c>
      <c r="O28" s="3443"/>
      <c r="P28" s="3443"/>
      <c r="Q28" s="3443"/>
      <c r="R28" s="3444"/>
      <c r="S28" s="3442" t="s">
        <v>1340</v>
      </c>
      <c r="T28" s="3443"/>
      <c r="U28" s="3443"/>
      <c r="V28" s="3443"/>
      <c r="W28" s="3444"/>
      <c r="X28" s="3442" t="s">
        <v>810</v>
      </c>
      <c r="Y28" s="3443"/>
      <c r="Z28" s="3443"/>
      <c r="AA28" s="3443"/>
      <c r="AB28" s="3444"/>
      <c r="AC28" s="3442" t="s">
        <v>1341</v>
      </c>
      <c r="AD28" s="3443"/>
      <c r="AE28" s="3443"/>
      <c r="AF28" s="3443"/>
      <c r="AG28" s="3444"/>
      <c r="AH28" s="3442" t="s">
        <v>1339</v>
      </c>
      <c r="AI28" s="3443"/>
      <c r="AJ28" s="3443"/>
      <c r="AK28" s="3443"/>
      <c r="AL28" s="3444"/>
      <c r="AM28" s="1082"/>
      <c r="AN28" s="1068"/>
      <c r="AO28" s="874"/>
      <c r="AP28" s="874"/>
      <c r="AQ28" s="874"/>
      <c r="AR28" s="874"/>
      <c r="BB28" s="588"/>
      <c r="BC28" s="588"/>
      <c r="BD28" s="588"/>
      <c r="BE28" s="588"/>
    </row>
    <row r="29" spans="2:57" ht="20.149999999999999" customHeight="1">
      <c r="B29" s="614"/>
      <c r="D29" s="1071"/>
      <c r="E29" s="1072" t="s">
        <v>57</v>
      </c>
      <c r="F29" s="1072"/>
      <c r="G29" s="1072"/>
      <c r="H29" s="1073"/>
      <c r="I29" s="3437">
        <v>0</v>
      </c>
      <c r="J29" s="3438"/>
      <c r="K29" s="3438"/>
      <c r="L29" s="3438"/>
      <c r="M29" s="3439"/>
      <c r="N29" s="3437">
        <v>0</v>
      </c>
      <c r="O29" s="3438"/>
      <c r="P29" s="3438"/>
      <c r="Q29" s="3438"/>
      <c r="R29" s="3439"/>
      <c r="S29" s="3437">
        <v>0</v>
      </c>
      <c r="T29" s="3438"/>
      <c r="U29" s="3438"/>
      <c r="V29" s="3438"/>
      <c r="W29" s="3439"/>
      <c r="X29" s="3437">
        <v>0</v>
      </c>
      <c r="Y29" s="3438"/>
      <c r="Z29" s="3438"/>
      <c r="AA29" s="3438"/>
      <c r="AB29" s="3439"/>
      <c r="AC29" s="3437">
        <v>0</v>
      </c>
      <c r="AD29" s="3438"/>
      <c r="AE29" s="3438"/>
      <c r="AF29" s="3438"/>
      <c r="AG29" s="3439"/>
      <c r="AH29" s="3437">
        <v>0</v>
      </c>
      <c r="AI29" s="3438"/>
      <c r="AJ29" s="3438"/>
      <c r="AK29" s="3438"/>
      <c r="AL29" s="3439"/>
      <c r="AM29" s="643"/>
      <c r="AN29" s="1068"/>
      <c r="AO29" s="874"/>
      <c r="AP29" s="874"/>
      <c r="AQ29" s="874"/>
      <c r="AR29" s="874"/>
      <c r="BB29" s="588"/>
      <c r="BC29" s="588"/>
      <c r="BD29" s="588"/>
      <c r="BE29" s="588"/>
    </row>
    <row r="30" spans="2:57" ht="20.149999999999999" customHeight="1">
      <c r="B30" s="614"/>
      <c r="D30" s="1074"/>
      <c r="E30" s="1075" t="s">
        <v>19</v>
      </c>
      <c r="F30" s="1075"/>
      <c r="G30" s="1075"/>
      <c r="H30" s="1076"/>
      <c r="I30" s="3434">
        <v>0</v>
      </c>
      <c r="J30" s="3435"/>
      <c r="K30" s="3435"/>
      <c r="L30" s="3435"/>
      <c r="M30" s="3436"/>
      <c r="N30" s="3434">
        <v>0</v>
      </c>
      <c r="O30" s="3435"/>
      <c r="P30" s="3435"/>
      <c r="Q30" s="3435"/>
      <c r="R30" s="3436"/>
      <c r="S30" s="3434">
        <v>0</v>
      </c>
      <c r="T30" s="3435"/>
      <c r="U30" s="3435"/>
      <c r="V30" s="3435"/>
      <c r="W30" s="3436"/>
      <c r="X30" s="3434">
        <v>0</v>
      </c>
      <c r="Y30" s="3435"/>
      <c r="Z30" s="3435"/>
      <c r="AA30" s="3435"/>
      <c r="AB30" s="3436"/>
      <c r="AC30" s="3434">
        <v>0</v>
      </c>
      <c r="AD30" s="3435"/>
      <c r="AE30" s="3435"/>
      <c r="AF30" s="3435"/>
      <c r="AG30" s="3436"/>
      <c r="AH30" s="3434">
        <v>0</v>
      </c>
      <c r="AI30" s="3435"/>
      <c r="AJ30" s="3435"/>
      <c r="AK30" s="3435"/>
      <c r="AL30" s="3436"/>
      <c r="AM30" s="1067"/>
      <c r="AN30" s="1068"/>
      <c r="AO30" s="874"/>
      <c r="AP30" s="874"/>
      <c r="AQ30" s="874"/>
      <c r="AR30" s="874"/>
      <c r="BB30" s="588"/>
      <c r="BC30" s="588"/>
      <c r="BD30" s="588"/>
      <c r="BE30" s="588"/>
    </row>
    <row r="31" spans="2:57" ht="20.149999999999999" customHeight="1">
      <c r="B31" s="614"/>
      <c r="D31" s="1074"/>
      <c r="E31" s="1075" t="s">
        <v>20</v>
      </c>
      <c r="F31" s="1075"/>
      <c r="G31" s="1075"/>
      <c r="H31" s="1076"/>
      <c r="I31" s="3448">
        <v>0</v>
      </c>
      <c r="J31" s="3449"/>
      <c r="K31" s="3449"/>
      <c r="L31" s="3449"/>
      <c r="M31" s="3450"/>
      <c r="N31" s="3448">
        <v>0</v>
      </c>
      <c r="O31" s="3449"/>
      <c r="P31" s="3449"/>
      <c r="Q31" s="3449"/>
      <c r="R31" s="3450"/>
      <c r="S31" s="3448">
        <v>0</v>
      </c>
      <c r="T31" s="3449"/>
      <c r="U31" s="3449"/>
      <c r="V31" s="3449"/>
      <c r="W31" s="3450"/>
      <c r="X31" s="3448">
        <v>0</v>
      </c>
      <c r="Y31" s="3449"/>
      <c r="Z31" s="3449"/>
      <c r="AA31" s="3449"/>
      <c r="AB31" s="3450"/>
      <c r="AC31" s="3448">
        <v>0</v>
      </c>
      <c r="AD31" s="3449"/>
      <c r="AE31" s="3449"/>
      <c r="AF31" s="3449"/>
      <c r="AG31" s="3450"/>
      <c r="AH31" s="3448">
        <v>0</v>
      </c>
      <c r="AI31" s="3449"/>
      <c r="AJ31" s="3449"/>
      <c r="AK31" s="3449"/>
      <c r="AL31" s="3450"/>
      <c r="AM31" s="1067"/>
      <c r="AN31" s="1068"/>
      <c r="AO31" s="874"/>
      <c r="AP31" s="874"/>
      <c r="AQ31" s="874"/>
      <c r="AR31" s="874"/>
      <c r="BB31" s="588"/>
      <c r="BC31" s="588"/>
      <c r="BD31" s="588"/>
      <c r="BE31" s="588"/>
    </row>
    <row r="32" spans="2:57" ht="20.149999999999999" customHeight="1">
      <c r="B32" s="614"/>
      <c r="D32" s="1074"/>
      <c r="E32" s="1075" t="s">
        <v>21</v>
      </c>
      <c r="F32" s="1075"/>
      <c r="G32" s="1075"/>
      <c r="H32" s="1076"/>
      <c r="I32" s="3434">
        <v>0</v>
      </c>
      <c r="J32" s="3435"/>
      <c r="K32" s="3435"/>
      <c r="L32" s="3435"/>
      <c r="M32" s="3436"/>
      <c r="N32" s="3434">
        <v>0</v>
      </c>
      <c r="O32" s="3435"/>
      <c r="P32" s="3435"/>
      <c r="Q32" s="3435"/>
      <c r="R32" s="3436"/>
      <c r="S32" s="3434">
        <v>0</v>
      </c>
      <c r="T32" s="3435"/>
      <c r="U32" s="3435"/>
      <c r="V32" s="3435"/>
      <c r="W32" s="3436"/>
      <c r="X32" s="3434">
        <v>0</v>
      </c>
      <c r="Y32" s="3435"/>
      <c r="Z32" s="3435"/>
      <c r="AA32" s="3435"/>
      <c r="AB32" s="3436"/>
      <c r="AC32" s="3434">
        <v>0</v>
      </c>
      <c r="AD32" s="3435"/>
      <c r="AE32" s="3435"/>
      <c r="AF32" s="3435"/>
      <c r="AG32" s="3436"/>
      <c r="AH32" s="3434">
        <v>0</v>
      </c>
      <c r="AI32" s="3435"/>
      <c r="AJ32" s="3435"/>
      <c r="AK32" s="3435"/>
      <c r="AL32" s="3436"/>
      <c r="AM32" s="1067"/>
      <c r="AN32" s="1068"/>
      <c r="AO32" s="874"/>
      <c r="AP32" s="874"/>
      <c r="AQ32" s="874"/>
      <c r="AR32" s="874"/>
      <c r="BB32" s="588"/>
      <c r="BC32" s="588"/>
      <c r="BD32" s="588"/>
      <c r="BE32" s="588"/>
    </row>
    <row r="33" spans="2:57" ht="20.149999999999999" customHeight="1">
      <c r="B33" s="614"/>
      <c r="D33" s="1074"/>
      <c r="E33" s="1075" t="s">
        <v>22</v>
      </c>
      <c r="F33" s="1075"/>
      <c r="G33" s="1075"/>
      <c r="H33" s="1076"/>
      <c r="I33" s="3448">
        <v>0</v>
      </c>
      <c r="J33" s="3449"/>
      <c r="K33" s="3449"/>
      <c r="L33" s="3449"/>
      <c r="M33" s="3450"/>
      <c r="N33" s="3448">
        <v>0</v>
      </c>
      <c r="O33" s="3449"/>
      <c r="P33" s="3449"/>
      <c r="Q33" s="3449"/>
      <c r="R33" s="3450"/>
      <c r="S33" s="3448">
        <v>0</v>
      </c>
      <c r="T33" s="3449"/>
      <c r="U33" s="3449"/>
      <c r="V33" s="3449"/>
      <c r="W33" s="3450"/>
      <c r="X33" s="3448">
        <v>0</v>
      </c>
      <c r="Y33" s="3449"/>
      <c r="Z33" s="3449"/>
      <c r="AA33" s="3449"/>
      <c r="AB33" s="3450"/>
      <c r="AC33" s="3448">
        <v>0</v>
      </c>
      <c r="AD33" s="3449"/>
      <c r="AE33" s="3449"/>
      <c r="AF33" s="3449"/>
      <c r="AG33" s="3450"/>
      <c r="AH33" s="3448">
        <v>0</v>
      </c>
      <c r="AI33" s="3449"/>
      <c r="AJ33" s="3449"/>
      <c r="AK33" s="3449"/>
      <c r="AL33" s="3450"/>
      <c r="AM33" s="1067"/>
      <c r="AN33" s="1068"/>
      <c r="AO33" s="874"/>
      <c r="AP33" s="874"/>
      <c r="AQ33" s="874"/>
      <c r="AR33" s="874"/>
      <c r="BB33" s="588"/>
      <c r="BC33" s="588"/>
      <c r="BD33" s="588"/>
      <c r="BE33" s="588"/>
    </row>
    <row r="34" spans="2:57" ht="20.149999999999999" customHeight="1">
      <c r="B34" s="614"/>
      <c r="D34" s="1074"/>
      <c r="E34" s="1075" t="s">
        <v>23</v>
      </c>
      <c r="F34" s="1075"/>
      <c r="G34" s="1075"/>
      <c r="H34" s="1076"/>
      <c r="I34" s="3434">
        <v>0</v>
      </c>
      <c r="J34" s="3435"/>
      <c r="K34" s="3435"/>
      <c r="L34" s="3435"/>
      <c r="M34" s="3436"/>
      <c r="N34" s="3434">
        <v>0</v>
      </c>
      <c r="O34" s="3435"/>
      <c r="P34" s="3435"/>
      <c r="Q34" s="3435"/>
      <c r="R34" s="3436"/>
      <c r="S34" s="3434">
        <v>0</v>
      </c>
      <c r="T34" s="3435"/>
      <c r="U34" s="3435"/>
      <c r="V34" s="3435"/>
      <c r="W34" s="3436"/>
      <c r="X34" s="3434">
        <v>0</v>
      </c>
      <c r="Y34" s="3435"/>
      <c r="Z34" s="3435"/>
      <c r="AA34" s="3435"/>
      <c r="AB34" s="3436"/>
      <c r="AC34" s="3434">
        <v>0</v>
      </c>
      <c r="AD34" s="3435"/>
      <c r="AE34" s="3435"/>
      <c r="AF34" s="3435"/>
      <c r="AG34" s="3436"/>
      <c r="AH34" s="3434">
        <v>0</v>
      </c>
      <c r="AI34" s="3435"/>
      <c r="AJ34" s="3435"/>
      <c r="AK34" s="3435"/>
      <c r="AL34" s="3436"/>
      <c r="AM34" s="1067"/>
      <c r="AN34" s="1068"/>
      <c r="AO34" s="874"/>
      <c r="AP34" s="874"/>
      <c r="AQ34" s="874"/>
      <c r="AR34" s="874"/>
      <c r="BB34" s="588"/>
      <c r="BC34" s="588"/>
      <c r="BD34" s="588"/>
      <c r="BE34" s="588"/>
    </row>
    <row r="35" spans="2:57" ht="20.149999999999999" customHeight="1" thickBot="1">
      <c r="B35" s="614"/>
      <c r="D35" s="1077"/>
      <c r="E35" s="1078" t="s">
        <v>24</v>
      </c>
      <c r="F35" s="1078"/>
      <c r="G35" s="1078"/>
      <c r="H35" s="1079"/>
      <c r="I35" s="3445">
        <v>0</v>
      </c>
      <c r="J35" s="3446"/>
      <c r="K35" s="3446"/>
      <c r="L35" s="3446"/>
      <c r="M35" s="3447"/>
      <c r="N35" s="3445">
        <v>0</v>
      </c>
      <c r="O35" s="3446"/>
      <c r="P35" s="3446"/>
      <c r="Q35" s="3446"/>
      <c r="R35" s="3447"/>
      <c r="S35" s="3445">
        <v>0</v>
      </c>
      <c r="T35" s="3446"/>
      <c r="U35" s="3446"/>
      <c r="V35" s="3446"/>
      <c r="W35" s="3447"/>
      <c r="X35" s="3445">
        <v>0</v>
      </c>
      <c r="Y35" s="3446"/>
      <c r="Z35" s="3446"/>
      <c r="AA35" s="3446"/>
      <c r="AB35" s="3447"/>
      <c r="AC35" s="3445">
        <v>0</v>
      </c>
      <c r="AD35" s="3446"/>
      <c r="AE35" s="3446"/>
      <c r="AF35" s="3446"/>
      <c r="AG35" s="3447"/>
      <c r="AH35" s="3445">
        <v>0</v>
      </c>
      <c r="AI35" s="3446"/>
      <c r="AJ35" s="3446"/>
      <c r="AK35" s="3446"/>
      <c r="AL35" s="3447"/>
      <c r="AM35" s="1067"/>
      <c r="AN35" s="1068"/>
      <c r="AO35" s="874"/>
      <c r="AP35" s="874"/>
      <c r="AQ35" s="874"/>
      <c r="AR35" s="874"/>
      <c r="BB35" s="588"/>
      <c r="BC35" s="588"/>
      <c r="BD35" s="588"/>
      <c r="BE35" s="588"/>
    </row>
    <row r="36" spans="2:57" ht="20.149999999999999" customHeight="1" thickTop="1" thickBot="1">
      <c r="B36" s="614"/>
      <c r="D36" s="1064"/>
      <c r="E36" s="1065" t="s">
        <v>29</v>
      </c>
      <c r="F36" s="1065"/>
      <c r="G36" s="1065"/>
      <c r="H36" s="1066"/>
      <c r="I36" s="3334">
        <f>SUM(I29:M35)</f>
        <v>0</v>
      </c>
      <c r="J36" s="3332"/>
      <c r="K36" s="3332"/>
      <c r="L36" s="3332"/>
      <c r="M36" s="3333"/>
      <c r="N36" s="3334">
        <f t="shared" ref="N36" si="0">SUM(N29:R35)</f>
        <v>0</v>
      </c>
      <c r="O36" s="3332"/>
      <c r="P36" s="3332"/>
      <c r="Q36" s="3332"/>
      <c r="R36" s="3333"/>
      <c r="S36" s="3334">
        <f t="shared" ref="S36" si="1">SUM(S29:W35)</f>
        <v>0</v>
      </c>
      <c r="T36" s="3332"/>
      <c r="U36" s="3332"/>
      <c r="V36" s="3332"/>
      <c r="W36" s="3333"/>
      <c r="X36" s="3334">
        <f t="shared" ref="X36" si="2">SUM(X29:AB35)</f>
        <v>0</v>
      </c>
      <c r="Y36" s="3332"/>
      <c r="Z36" s="3332"/>
      <c r="AA36" s="3332"/>
      <c r="AB36" s="3333"/>
      <c r="AC36" s="3334">
        <f t="shared" ref="AC36" si="3">SUM(AC29:AG35)</f>
        <v>0</v>
      </c>
      <c r="AD36" s="3332"/>
      <c r="AE36" s="3332"/>
      <c r="AF36" s="3332"/>
      <c r="AG36" s="3333"/>
      <c r="AH36" s="3334">
        <f t="shared" ref="AH36" si="4">SUM(AH29:AL35)</f>
        <v>0</v>
      </c>
      <c r="AI36" s="3332"/>
      <c r="AJ36" s="3332"/>
      <c r="AK36" s="3332"/>
      <c r="AL36" s="3333"/>
      <c r="AM36" s="1067"/>
      <c r="AN36" s="1068"/>
      <c r="AO36" s="874"/>
      <c r="AP36" s="874"/>
      <c r="AQ36" s="874"/>
      <c r="AR36" s="874"/>
      <c r="BB36" s="588"/>
      <c r="BC36" s="588"/>
      <c r="BD36" s="588"/>
      <c r="BE36" s="588"/>
    </row>
    <row r="37" spans="2:57" ht="6" customHeight="1">
      <c r="B37" s="614"/>
      <c r="E37" s="1080"/>
      <c r="F37" s="629"/>
      <c r="G37" s="629"/>
      <c r="H37" s="629"/>
      <c r="I37" s="629"/>
      <c r="J37" s="629"/>
      <c r="K37" s="629"/>
      <c r="L37" s="629"/>
      <c r="M37" s="629"/>
      <c r="N37" s="874"/>
      <c r="P37" s="874"/>
      <c r="Q37" s="975"/>
      <c r="R37" s="588"/>
      <c r="U37" s="874"/>
      <c r="V37" s="975"/>
      <c r="W37" s="588"/>
      <c r="X37" s="588"/>
      <c r="Y37" s="588"/>
      <c r="Z37" s="588"/>
      <c r="AA37" s="588"/>
      <c r="AB37" s="588"/>
      <c r="AD37" s="874"/>
      <c r="AE37" s="874"/>
      <c r="AF37" s="874"/>
      <c r="AG37" s="874"/>
      <c r="AH37" s="874"/>
      <c r="AI37" s="874"/>
      <c r="AJ37" s="874"/>
      <c r="AN37" s="1018"/>
      <c r="AS37" s="588"/>
      <c r="AT37" s="588"/>
      <c r="AU37" s="588"/>
      <c r="AV37" s="588"/>
    </row>
    <row r="38" spans="2:57" ht="18" customHeight="1">
      <c r="B38" s="614"/>
      <c r="C38" s="1081" t="s">
        <v>157</v>
      </c>
      <c r="D38" s="1012" t="s">
        <v>1344</v>
      </c>
      <c r="E38" s="1012"/>
      <c r="F38" s="1013"/>
      <c r="G38" s="1013"/>
      <c r="H38" s="1013"/>
      <c r="I38" s="1013"/>
      <c r="J38" s="1013"/>
      <c r="K38" s="1013"/>
      <c r="L38" s="1013"/>
      <c r="M38" s="1013"/>
      <c r="N38" s="1013"/>
      <c r="O38" s="874"/>
      <c r="P38" s="588"/>
      <c r="Q38" s="588"/>
      <c r="R38" s="588"/>
      <c r="S38" s="588"/>
      <c r="T38" s="588"/>
      <c r="U38" s="1014"/>
      <c r="V38" s="874"/>
      <c r="W38" s="874"/>
      <c r="X38" s="874"/>
      <c r="Y38" s="874"/>
      <c r="Z38" s="874"/>
      <c r="AA38" s="874"/>
      <c r="AB38" s="588"/>
      <c r="AC38" s="588"/>
      <c r="AF38" s="857" t="b">
        <v>0</v>
      </c>
      <c r="AG38" s="588" t="s">
        <v>64</v>
      </c>
      <c r="AH38" s="588"/>
      <c r="AK38" s="857" t="b">
        <v>1</v>
      </c>
      <c r="AL38" s="588" t="s">
        <v>0</v>
      </c>
      <c r="AN38" s="1018"/>
      <c r="AT38" s="588"/>
      <c r="AU38" s="588"/>
      <c r="AV38" s="588"/>
      <c r="AW38" s="588"/>
    </row>
    <row r="39" spans="2:57">
      <c r="B39" s="614"/>
      <c r="D39" s="3440" t="s">
        <v>1345</v>
      </c>
      <c r="E39" s="3440"/>
      <c r="F39" s="3440"/>
      <c r="G39" s="3440"/>
      <c r="H39" s="3440"/>
      <c r="I39" s="3440"/>
      <c r="J39" s="3440"/>
      <c r="K39" s="3440"/>
      <c r="L39" s="3440"/>
      <c r="M39" s="3440"/>
      <c r="N39" s="3440"/>
      <c r="O39" s="3440"/>
      <c r="P39" s="3440"/>
      <c r="Q39" s="3440"/>
      <c r="R39" s="3440"/>
      <c r="S39" s="3440"/>
      <c r="T39" s="3440"/>
      <c r="U39" s="3440"/>
      <c r="V39" s="3440"/>
      <c r="W39" s="3440"/>
      <c r="X39" s="3440"/>
      <c r="Y39" s="3440"/>
      <c r="Z39" s="3440"/>
      <c r="AA39" s="3440"/>
      <c r="AB39" s="3440"/>
      <c r="AC39" s="3440"/>
      <c r="AD39" s="3440"/>
      <c r="AE39" s="3440"/>
      <c r="AF39" s="3440"/>
      <c r="AG39" s="3440"/>
      <c r="AH39" s="3440"/>
      <c r="AI39" s="3440"/>
      <c r="AJ39" s="3440"/>
      <c r="AK39" s="3440"/>
      <c r="AL39" s="3440"/>
      <c r="AM39" s="3440"/>
      <c r="AN39" s="1018"/>
      <c r="AW39" s="588"/>
      <c r="AX39" s="588"/>
      <c r="AY39" s="588"/>
      <c r="AZ39" s="588"/>
    </row>
    <row r="40" spans="2:57" ht="6" customHeight="1" thickBot="1">
      <c r="B40" s="614"/>
      <c r="E40" s="1080"/>
      <c r="F40" s="629"/>
      <c r="G40" s="629"/>
      <c r="H40" s="629"/>
      <c r="I40" s="629"/>
      <c r="J40" s="629"/>
      <c r="K40" s="629"/>
      <c r="L40" s="629"/>
      <c r="M40" s="629"/>
      <c r="N40" s="629"/>
      <c r="O40" s="874"/>
      <c r="Q40" s="874"/>
      <c r="R40" s="975"/>
      <c r="S40" s="588"/>
      <c r="V40" s="874"/>
      <c r="W40" s="975"/>
      <c r="X40" s="588"/>
      <c r="Y40" s="588"/>
      <c r="Z40" s="588"/>
      <c r="AA40" s="588"/>
      <c r="AB40" s="588"/>
      <c r="AC40" s="588"/>
      <c r="AE40" s="874"/>
      <c r="AF40" s="874"/>
      <c r="AG40" s="874"/>
      <c r="AH40" s="874"/>
      <c r="AI40" s="874"/>
      <c r="AJ40" s="874"/>
      <c r="AK40" s="874"/>
      <c r="AN40" s="1018"/>
      <c r="AT40" s="588"/>
      <c r="AU40" s="588"/>
      <c r="AV40" s="588"/>
      <c r="AW40" s="588"/>
    </row>
    <row r="41" spans="2:57" ht="82" customHeight="1" thickBot="1">
      <c r="B41" s="614"/>
      <c r="D41" s="3348" t="s">
        <v>124</v>
      </c>
      <c r="E41" s="3441"/>
      <c r="F41" s="3441"/>
      <c r="G41" s="3441"/>
      <c r="H41" s="3390"/>
      <c r="I41" s="3442" t="s">
        <v>1342</v>
      </c>
      <c r="J41" s="3443"/>
      <c r="K41" s="3443"/>
      <c r="L41" s="3443"/>
      <c r="M41" s="3444"/>
      <c r="N41" s="3442" t="s">
        <v>1338</v>
      </c>
      <c r="O41" s="3443"/>
      <c r="P41" s="3443"/>
      <c r="Q41" s="3443"/>
      <c r="R41" s="3444"/>
      <c r="S41" s="3442" t="s">
        <v>1340</v>
      </c>
      <c r="T41" s="3443"/>
      <c r="U41" s="3443"/>
      <c r="V41" s="3443"/>
      <c r="W41" s="3444"/>
      <c r="X41" s="3442" t="s">
        <v>810</v>
      </c>
      <c r="Y41" s="3443"/>
      <c r="Z41" s="3443"/>
      <c r="AA41" s="3443"/>
      <c r="AB41" s="3444"/>
      <c r="AC41" s="3442" t="s">
        <v>1341</v>
      </c>
      <c r="AD41" s="3443"/>
      <c r="AE41" s="3443"/>
      <c r="AF41" s="3443"/>
      <c r="AG41" s="3444"/>
      <c r="AH41" s="3442" t="s">
        <v>1339</v>
      </c>
      <c r="AI41" s="3443"/>
      <c r="AJ41" s="3443"/>
      <c r="AK41" s="3443"/>
      <c r="AL41" s="3444"/>
      <c r="AM41" s="1082"/>
      <c r="AN41" s="1068"/>
      <c r="AO41" s="874"/>
      <c r="AP41" s="874"/>
      <c r="AQ41" s="874"/>
      <c r="AR41" s="874"/>
      <c r="BB41" s="588"/>
      <c r="BC41" s="588"/>
      <c r="BD41" s="588"/>
      <c r="BE41" s="588"/>
    </row>
    <row r="42" spans="2:57" ht="20.149999999999999" customHeight="1">
      <c r="B42" s="614"/>
      <c r="D42" s="1071"/>
      <c r="E42" s="1072" t="s">
        <v>57</v>
      </c>
      <c r="F42" s="1072"/>
      <c r="G42" s="1072"/>
      <c r="H42" s="1073"/>
      <c r="I42" s="3437">
        <v>0</v>
      </c>
      <c r="J42" s="3438"/>
      <c r="K42" s="3438"/>
      <c r="L42" s="3438"/>
      <c r="M42" s="3439"/>
      <c r="N42" s="3437">
        <v>0</v>
      </c>
      <c r="O42" s="3438"/>
      <c r="P42" s="3438"/>
      <c r="Q42" s="3438"/>
      <c r="R42" s="3439"/>
      <c r="S42" s="3437">
        <v>0</v>
      </c>
      <c r="T42" s="3438"/>
      <c r="U42" s="3438"/>
      <c r="V42" s="3438"/>
      <c r="W42" s="3439"/>
      <c r="X42" s="3437">
        <v>0</v>
      </c>
      <c r="Y42" s="3438"/>
      <c r="Z42" s="3438"/>
      <c r="AA42" s="3438"/>
      <c r="AB42" s="3439"/>
      <c r="AC42" s="3437">
        <v>0</v>
      </c>
      <c r="AD42" s="3438"/>
      <c r="AE42" s="3438"/>
      <c r="AF42" s="3438"/>
      <c r="AG42" s="3439"/>
      <c r="AH42" s="3437">
        <v>0</v>
      </c>
      <c r="AI42" s="3438"/>
      <c r="AJ42" s="3438"/>
      <c r="AK42" s="3438"/>
      <c r="AL42" s="3439"/>
      <c r="AM42" s="643"/>
      <c r="AN42" s="1068"/>
      <c r="AO42" s="874"/>
      <c r="AP42" s="874"/>
      <c r="AQ42" s="874"/>
      <c r="AR42" s="874"/>
      <c r="BB42" s="588"/>
      <c r="BC42" s="588"/>
      <c r="BD42" s="588"/>
      <c r="BE42" s="588"/>
    </row>
    <row r="43" spans="2:57" ht="20.149999999999999" customHeight="1">
      <c r="B43" s="614"/>
      <c r="D43" s="1074"/>
      <c r="E43" s="1075" t="s">
        <v>19</v>
      </c>
      <c r="F43" s="1075"/>
      <c r="G43" s="1075"/>
      <c r="H43" s="1076"/>
      <c r="I43" s="3434">
        <v>0</v>
      </c>
      <c r="J43" s="3435"/>
      <c r="K43" s="3435"/>
      <c r="L43" s="3435"/>
      <c r="M43" s="3436"/>
      <c r="N43" s="3434">
        <v>0</v>
      </c>
      <c r="O43" s="3435"/>
      <c r="P43" s="3435"/>
      <c r="Q43" s="3435"/>
      <c r="R43" s="3436"/>
      <c r="S43" s="3434">
        <v>0</v>
      </c>
      <c r="T43" s="3435"/>
      <c r="U43" s="3435"/>
      <c r="V43" s="3435"/>
      <c r="W43" s="3436"/>
      <c r="X43" s="3434">
        <v>0</v>
      </c>
      <c r="Y43" s="3435"/>
      <c r="Z43" s="3435"/>
      <c r="AA43" s="3435"/>
      <c r="AB43" s="3436"/>
      <c r="AC43" s="3434">
        <v>0</v>
      </c>
      <c r="AD43" s="3435"/>
      <c r="AE43" s="3435"/>
      <c r="AF43" s="3435"/>
      <c r="AG43" s="3436"/>
      <c r="AH43" s="3434">
        <v>0</v>
      </c>
      <c r="AI43" s="3435"/>
      <c r="AJ43" s="3435"/>
      <c r="AK43" s="3435"/>
      <c r="AL43" s="3436"/>
      <c r="AM43" s="1067"/>
      <c r="AN43" s="1068"/>
      <c r="AO43" s="874"/>
      <c r="AP43" s="874"/>
      <c r="AQ43" s="874"/>
      <c r="AR43" s="874"/>
      <c r="BB43" s="588"/>
      <c r="BC43" s="588"/>
      <c r="BD43" s="588"/>
      <c r="BE43" s="588"/>
    </row>
    <row r="44" spans="2:57" ht="20.149999999999999" customHeight="1">
      <c r="B44" s="614"/>
      <c r="D44" s="1074"/>
      <c r="E44" s="1075" t="s">
        <v>20</v>
      </c>
      <c r="F44" s="1075"/>
      <c r="G44" s="1075"/>
      <c r="H44" s="1076"/>
      <c r="I44" s="3434">
        <v>0</v>
      </c>
      <c r="J44" s="3435"/>
      <c r="K44" s="3435"/>
      <c r="L44" s="3435"/>
      <c r="M44" s="3436"/>
      <c r="N44" s="3434">
        <v>0</v>
      </c>
      <c r="O44" s="3435"/>
      <c r="P44" s="3435"/>
      <c r="Q44" s="3435"/>
      <c r="R44" s="3436"/>
      <c r="S44" s="3434">
        <v>0</v>
      </c>
      <c r="T44" s="3435"/>
      <c r="U44" s="3435"/>
      <c r="V44" s="3435"/>
      <c r="W44" s="3436"/>
      <c r="X44" s="3434">
        <v>0</v>
      </c>
      <c r="Y44" s="3435"/>
      <c r="Z44" s="3435"/>
      <c r="AA44" s="3435"/>
      <c r="AB44" s="3436"/>
      <c r="AC44" s="3434">
        <v>0</v>
      </c>
      <c r="AD44" s="3435"/>
      <c r="AE44" s="3435"/>
      <c r="AF44" s="3435"/>
      <c r="AG44" s="3436"/>
      <c r="AH44" s="3434">
        <v>0</v>
      </c>
      <c r="AI44" s="3435"/>
      <c r="AJ44" s="3435"/>
      <c r="AK44" s="3435"/>
      <c r="AL44" s="3436"/>
      <c r="AM44" s="1067"/>
      <c r="AN44" s="1068"/>
      <c r="AO44" s="874"/>
      <c r="AP44" s="874"/>
      <c r="AQ44" s="874"/>
      <c r="AR44" s="874"/>
      <c r="BB44" s="588"/>
      <c r="BC44" s="588"/>
      <c r="BD44" s="588"/>
      <c r="BE44" s="588"/>
    </row>
    <row r="45" spans="2:57" ht="20.149999999999999" customHeight="1">
      <c r="B45" s="614"/>
      <c r="D45" s="1074"/>
      <c r="E45" s="1075" t="s">
        <v>21</v>
      </c>
      <c r="F45" s="1075"/>
      <c r="G45" s="1075"/>
      <c r="H45" s="1076"/>
      <c r="I45" s="3434">
        <v>0</v>
      </c>
      <c r="J45" s="3435"/>
      <c r="K45" s="3435"/>
      <c r="L45" s="3435"/>
      <c r="M45" s="3436"/>
      <c r="N45" s="3434">
        <v>0</v>
      </c>
      <c r="O45" s="3435"/>
      <c r="P45" s="3435"/>
      <c r="Q45" s="3435"/>
      <c r="R45" s="3436"/>
      <c r="S45" s="3434">
        <v>0</v>
      </c>
      <c r="T45" s="3435"/>
      <c r="U45" s="3435"/>
      <c r="V45" s="3435"/>
      <c r="W45" s="3436"/>
      <c r="X45" s="3434">
        <v>0</v>
      </c>
      <c r="Y45" s="3435"/>
      <c r="Z45" s="3435"/>
      <c r="AA45" s="3435"/>
      <c r="AB45" s="3436"/>
      <c r="AC45" s="3434">
        <v>0</v>
      </c>
      <c r="AD45" s="3435"/>
      <c r="AE45" s="3435"/>
      <c r="AF45" s="3435"/>
      <c r="AG45" s="3436"/>
      <c r="AH45" s="3434">
        <v>0</v>
      </c>
      <c r="AI45" s="3435"/>
      <c r="AJ45" s="3435"/>
      <c r="AK45" s="3435"/>
      <c r="AL45" s="3436"/>
      <c r="AM45" s="1067"/>
      <c r="AN45" s="1068"/>
      <c r="AO45" s="874"/>
      <c r="AP45" s="874"/>
      <c r="AQ45" s="874"/>
      <c r="AR45" s="874"/>
      <c r="BB45" s="588"/>
      <c r="BC45" s="588"/>
      <c r="BD45" s="588"/>
      <c r="BE45" s="588"/>
    </row>
    <row r="46" spans="2:57" ht="20.149999999999999" customHeight="1">
      <c r="B46" s="614"/>
      <c r="D46" s="1074"/>
      <c r="E46" s="1075" t="s">
        <v>22</v>
      </c>
      <c r="F46" s="1075"/>
      <c r="G46" s="1075"/>
      <c r="H46" s="1076"/>
      <c r="I46" s="3434">
        <v>0</v>
      </c>
      <c r="J46" s="3435"/>
      <c r="K46" s="3435"/>
      <c r="L46" s="3435"/>
      <c r="M46" s="3436"/>
      <c r="N46" s="3434">
        <v>0</v>
      </c>
      <c r="O46" s="3435"/>
      <c r="P46" s="3435"/>
      <c r="Q46" s="3435"/>
      <c r="R46" s="3436"/>
      <c r="S46" s="3434">
        <v>0</v>
      </c>
      <c r="T46" s="3435"/>
      <c r="U46" s="3435"/>
      <c r="V46" s="3435"/>
      <c r="W46" s="3436"/>
      <c r="X46" s="3434">
        <v>0</v>
      </c>
      <c r="Y46" s="3435"/>
      <c r="Z46" s="3435"/>
      <c r="AA46" s="3435"/>
      <c r="AB46" s="3436"/>
      <c r="AC46" s="3434">
        <v>0</v>
      </c>
      <c r="AD46" s="3435"/>
      <c r="AE46" s="3435"/>
      <c r="AF46" s="3435"/>
      <c r="AG46" s="3436"/>
      <c r="AH46" s="3434">
        <v>0</v>
      </c>
      <c r="AI46" s="3435"/>
      <c r="AJ46" s="3435"/>
      <c r="AK46" s="3435"/>
      <c r="AL46" s="3436"/>
      <c r="AM46" s="1067"/>
      <c r="AN46" s="1068"/>
      <c r="AO46" s="874"/>
      <c r="AP46" s="874"/>
      <c r="AQ46" s="874"/>
      <c r="AR46" s="874"/>
      <c r="BB46" s="588"/>
      <c r="BC46" s="588"/>
      <c r="BD46" s="588"/>
      <c r="BE46" s="588"/>
    </row>
    <row r="47" spans="2:57" ht="20.149999999999999" customHeight="1">
      <c r="B47" s="614"/>
      <c r="D47" s="1074"/>
      <c r="E47" s="1075" t="s">
        <v>23</v>
      </c>
      <c r="F47" s="1075"/>
      <c r="G47" s="1075"/>
      <c r="H47" s="1076"/>
      <c r="I47" s="3434">
        <v>0</v>
      </c>
      <c r="J47" s="3435"/>
      <c r="K47" s="3435"/>
      <c r="L47" s="3435"/>
      <c r="M47" s="3436"/>
      <c r="N47" s="3434">
        <v>0</v>
      </c>
      <c r="O47" s="3435"/>
      <c r="P47" s="3435"/>
      <c r="Q47" s="3435"/>
      <c r="R47" s="3436"/>
      <c r="S47" s="3434">
        <v>0</v>
      </c>
      <c r="T47" s="3435"/>
      <c r="U47" s="3435"/>
      <c r="V47" s="3435"/>
      <c r="W47" s="3436"/>
      <c r="X47" s="3434">
        <v>0</v>
      </c>
      <c r="Y47" s="3435"/>
      <c r="Z47" s="3435"/>
      <c r="AA47" s="3435"/>
      <c r="AB47" s="3436"/>
      <c r="AC47" s="3434">
        <v>0</v>
      </c>
      <c r="AD47" s="3435"/>
      <c r="AE47" s="3435"/>
      <c r="AF47" s="3435"/>
      <c r="AG47" s="3436"/>
      <c r="AH47" s="3434">
        <v>0</v>
      </c>
      <c r="AI47" s="3435"/>
      <c r="AJ47" s="3435"/>
      <c r="AK47" s="3435"/>
      <c r="AL47" s="3436"/>
      <c r="AM47" s="1067"/>
      <c r="AN47" s="1068"/>
      <c r="AO47" s="874"/>
      <c r="AP47" s="874"/>
      <c r="AQ47" s="874"/>
      <c r="AR47" s="874"/>
      <c r="BB47" s="588"/>
      <c r="BC47" s="588"/>
      <c r="BD47" s="588"/>
      <c r="BE47" s="588"/>
    </row>
    <row r="48" spans="2:57" ht="20.149999999999999" customHeight="1" thickBot="1">
      <c r="B48" s="614"/>
      <c r="D48" s="1077"/>
      <c r="E48" s="1078" t="s">
        <v>24</v>
      </c>
      <c r="F48" s="1078"/>
      <c r="G48" s="1078"/>
      <c r="H48" s="1079"/>
      <c r="I48" s="3431">
        <v>0</v>
      </c>
      <c r="J48" s="3432"/>
      <c r="K48" s="3432"/>
      <c r="L48" s="3432"/>
      <c r="M48" s="3433"/>
      <c r="N48" s="3431">
        <v>0</v>
      </c>
      <c r="O48" s="3432"/>
      <c r="P48" s="3432"/>
      <c r="Q48" s="3432"/>
      <c r="R48" s="3433"/>
      <c r="S48" s="3431">
        <v>0</v>
      </c>
      <c r="T48" s="3432"/>
      <c r="U48" s="3432"/>
      <c r="V48" s="3432"/>
      <c r="W48" s="3433"/>
      <c r="X48" s="3431">
        <v>0</v>
      </c>
      <c r="Y48" s="3432"/>
      <c r="Z48" s="3432"/>
      <c r="AA48" s="3432"/>
      <c r="AB48" s="3433"/>
      <c r="AC48" s="3431">
        <v>0</v>
      </c>
      <c r="AD48" s="3432"/>
      <c r="AE48" s="3432"/>
      <c r="AF48" s="3432"/>
      <c r="AG48" s="3433"/>
      <c r="AH48" s="3431">
        <v>0</v>
      </c>
      <c r="AI48" s="3432"/>
      <c r="AJ48" s="3432"/>
      <c r="AK48" s="3432"/>
      <c r="AL48" s="3433"/>
      <c r="AM48" s="1067"/>
      <c r="AN48" s="1068"/>
      <c r="AO48" s="874"/>
      <c r="AP48" s="874"/>
      <c r="AQ48" s="874"/>
      <c r="AR48" s="874"/>
      <c r="BB48" s="588"/>
      <c r="BC48" s="588"/>
      <c r="BD48" s="588"/>
      <c r="BE48" s="588"/>
    </row>
    <row r="49" spans="2:57" ht="20.149999999999999" customHeight="1" thickTop="1" thickBot="1">
      <c r="B49" s="614"/>
      <c r="D49" s="1064"/>
      <c r="E49" s="1065" t="s">
        <v>29</v>
      </c>
      <c r="F49" s="1065"/>
      <c r="G49" s="1065"/>
      <c r="H49" s="1066"/>
      <c r="I49" s="3334">
        <f>SUM(I42:M48)</f>
        <v>0</v>
      </c>
      <c r="J49" s="3332"/>
      <c r="K49" s="3332"/>
      <c r="L49" s="3332"/>
      <c r="M49" s="3333"/>
      <c r="N49" s="3334">
        <f t="shared" ref="N49" si="5">SUM(N42:R48)</f>
        <v>0</v>
      </c>
      <c r="O49" s="3332"/>
      <c r="P49" s="3332"/>
      <c r="Q49" s="3332"/>
      <c r="R49" s="3333"/>
      <c r="S49" s="3334">
        <f t="shared" ref="S49" si="6">SUM(S42:W48)</f>
        <v>0</v>
      </c>
      <c r="T49" s="3332"/>
      <c r="U49" s="3332"/>
      <c r="V49" s="3332"/>
      <c r="W49" s="3333"/>
      <c r="X49" s="3334">
        <f t="shared" ref="X49" si="7">SUM(X42:AB48)</f>
        <v>0</v>
      </c>
      <c r="Y49" s="3332"/>
      <c r="Z49" s="3332"/>
      <c r="AA49" s="3332"/>
      <c r="AB49" s="3333"/>
      <c r="AC49" s="3334">
        <f t="shared" ref="AC49" si="8">SUM(AC42:AG48)</f>
        <v>0</v>
      </c>
      <c r="AD49" s="3332"/>
      <c r="AE49" s="3332"/>
      <c r="AF49" s="3332"/>
      <c r="AG49" s="3333"/>
      <c r="AH49" s="3334">
        <f t="shared" ref="AH49" si="9">SUM(AH42:AL48)</f>
        <v>0</v>
      </c>
      <c r="AI49" s="3332"/>
      <c r="AJ49" s="3332"/>
      <c r="AK49" s="3332"/>
      <c r="AL49" s="3333"/>
      <c r="AM49" s="1067"/>
      <c r="AN49" s="1068"/>
      <c r="AO49" s="874"/>
      <c r="AP49" s="874"/>
      <c r="AQ49" s="874"/>
      <c r="AR49" s="874"/>
      <c r="BB49" s="588"/>
      <c r="BC49" s="588"/>
      <c r="BD49" s="588"/>
      <c r="BE49" s="588"/>
    </row>
    <row r="50" spans="2:57" ht="5.5" customHeight="1" thickBot="1">
      <c r="B50" s="612"/>
      <c r="C50" s="613"/>
      <c r="D50" s="1010"/>
      <c r="E50" s="1010"/>
      <c r="F50" s="1011"/>
      <c r="G50" s="562"/>
      <c r="H50" s="562"/>
      <c r="I50" s="562"/>
      <c r="J50" s="562"/>
      <c r="K50" s="562"/>
      <c r="L50" s="562"/>
      <c r="M50" s="562"/>
      <c r="N50" s="562"/>
      <c r="O50" s="866"/>
      <c r="P50" s="866"/>
      <c r="Q50" s="866"/>
      <c r="R50" s="866"/>
      <c r="S50" s="866"/>
      <c r="T50" s="562"/>
      <c r="U50" s="866"/>
      <c r="V50" s="866"/>
      <c r="W50" s="866"/>
      <c r="X50" s="866"/>
      <c r="Y50" s="866"/>
      <c r="Z50" s="866"/>
      <c r="AA50" s="562"/>
      <c r="AB50" s="562"/>
      <c r="AC50" s="562"/>
      <c r="AD50" s="562"/>
      <c r="AE50" s="562"/>
      <c r="AF50" s="562"/>
      <c r="AG50" s="562"/>
      <c r="AH50" s="562"/>
      <c r="AI50" s="562"/>
      <c r="AJ50" s="562"/>
      <c r="AK50" s="613"/>
      <c r="AL50" s="613"/>
      <c r="AM50" s="613"/>
      <c r="AN50" s="1069"/>
    </row>
    <row r="51" spans="2:57" s="128" customFormat="1" ht="30.75" customHeight="1">
      <c r="C51" s="187"/>
      <c r="E51" s="187"/>
      <c r="G51" s="187"/>
      <c r="I51" s="187"/>
      <c r="K51" s="187"/>
      <c r="M51" s="187"/>
      <c r="O51" s="187"/>
      <c r="P51" s="187"/>
      <c r="Q51" s="187"/>
      <c r="R51" s="187"/>
      <c r="S51" s="187"/>
      <c r="V51" s="187"/>
      <c r="Y51" s="187"/>
      <c r="AA51" s="187"/>
      <c r="AC51" s="187"/>
      <c r="AE51" s="187"/>
      <c r="AG51" s="187"/>
      <c r="AI51" s="187"/>
      <c r="AL51" s="187"/>
    </row>
    <row r="52" spans="2:57" s="168" customFormat="1" ht="14">
      <c r="B52" s="169" t="s">
        <v>17</v>
      </c>
      <c r="Y52" s="169" t="s">
        <v>765</v>
      </c>
    </row>
    <row r="53" spans="2:57" s="168" customFormat="1" ht="21.75" customHeight="1">
      <c r="B53" s="169" t="s">
        <v>748</v>
      </c>
      <c r="F53" s="1959" t="str">
        <f>activesheet!E29</f>
        <v>RICO S. MISPEROS</v>
      </c>
      <c r="G53" s="1959"/>
      <c r="H53" s="1959"/>
      <c r="I53" s="1959"/>
      <c r="J53" s="1959"/>
      <c r="K53" s="1959"/>
      <c r="L53" s="1959"/>
      <c r="M53" s="1959"/>
      <c r="N53" s="1959"/>
      <c r="O53" s="1959"/>
      <c r="P53" s="1959"/>
      <c r="Q53" s="1959"/>
      <c r="R53" s="172"/>
      <c r="S53" s="172"/>
      <c r="T53" s="172"/>
      <c r="U53" s="172"/>
      <c r="Y53" s="1959" t="str">
        <f>activesheet!E2079</f>
        <v>RAQUEL N. ACOMPAŇADO</v>
      </c>
      <c r="Z53" s="1959"/>
      <c r="AA53" s="1959"/>
      <c r="AB53" s="1959"/>
      <c r="AC53" s="1959"/>
      <c r="AD53" s="1959"/>
      <c r="AE53" s="1959"/>
      <c r="AF53" s="1959"/>
      <c r="AG53" s="1959"/>
      <c r="AH53" s="1959"/>
      <c r="AI53" s="1959"/>
      <c r="AJ53" s="1959"/>
      <c r="AK53" s="1959"/>
      <c r="AL53" s="1959"/>
      <c r="AM53" s="1959"/>
      <c r="AN53" s="1070"/>
    </row>
    <row r="54" spans="2:57" s="156" customFormat="1" ht="13.5">
      <c r="B54" s="655"/>
      <c r="F54" s="1764" t="s">
        <v>741</v>
      </c>
      <c r="G54" s="1764"/>
      <c r="H54" s="1764"/>
      <c r="I54" s="1764"/>
      <c r="J54" s="1764"/>
      <c r="K54" s="1764"/>
      <c r="L54" s="1764"/>
      <c r="M54" s="1764"/>
      <c r="N54" s="1764"/>
      <c r="O54" s="1764"/>
      <c r="P54" s="1764"/>
      <c r="Q54" s="1764"/>
      <c r="R54" s="184"/>
      <c r="S54" s="184"/>
      <c r="T54" s="184"/>
      <c r="U54" s="184"/>
      <c r="V54" s="152"/>
      <c r="W54" s="152"/>
      <c r="X54" s="152"/>
      <c r="Y54" s="1764" t="s">
        <v>741</v>
      </c>
      <c r="Z54" s="1764"/>
      <c r="AA54" s="1764"/>
      <c r="AB54" s="1764"/>
      <c r="AC54" s="1764"/>
      <c r="AD54" s="1764"/>
      <c r="AE54" s="1764"/>
      <c r="AF54" s="1764"/>
      <c r="AG54" s="1764"/>
      <c r="AH54" s="1764"/>
      <c r="AI54" s="1764"/>
      <c r="AJ54" s="1764"/>
      <c r="AK54" s="1764"/>
      <c r="AL54" s="1764"/>
      <c r="AM54" s="1764"/>
    </row>
    <row r="55" spans="2:57" s="168" customFormat="1" ht="21.75" customHeight="1">
      <c r="B55" s="169" t="s">
        <v>71</v>
      </c>
      <c r="F55" s="1959" t="str">
        <f>activesheet!E30</f>
        <v>SCHOOL PRINCIPAL II</v>
      </c>
      <c r="G55" s="1959"/>
      <c r="H55" s="1959"/>
      <c r="I55" s="1959"/>
      <c r="J55" s="1959"/>
      <c r="K55" s="1959"/>
      <c r="L55" s="1959"/>
      <c r="M55" s="1959"/>
      <c r="N55" s="1959"/>
      <c r="O55" s="1959"/>
      <c r="P55" s="1959"/>
      <c r="Q55" s="1959"/>
      <c r="R55" s="172"/>
      <c r="S55" s="172"/>
      <c r="T55" s="172"/>
      <c r="U55" s="172"/>
      <c r="Y55" s="169" t="s">
        <v>71</v>
      </c>
      <c r="AC55" s="1959" t="str">
        <f>activesheet!E2080</f>
        <v>Nurse II</v>
      </c>
      <c r="AD55" s="1959"/>
      <c r="AE55" s="1959"/>
      <c r="AF55" s="1959"/>
      <c r="AG55" s="1959"/>
      <c r="AH55" s="1959"/>
      <c r="AI55" s="1959"/>
      <c r="AJ55" s="1959"/>
      <c r="AK55" s="1959"/>
      <c r="AL55" s="1959"/>
      <c r="AM55" s="1959"/>
      <c r="AN55" s="1070"/>
    </row>
    <row r="56" spans="2:57" s="661" customFormat="1" ht="30.75" customHeight="1">
      <c r="B56" s="501"/>
      <c r="D56" s="501"/>
      <c r="F56" s="501"/>
      <c r="H56" s="501"/>
      <c r="J56" s="501"/>
      <c r="L56" s="501"/>
      <c r="N56" s="501"/>
      <c r="P56" s="501"/>
      <c r="R56" s="187"/>
      <c r="S56" s="187"/>
      <c r="T56" s="187"/>
      <c r="U56" s="187"/>
      <c r="V56" s="128"/>
      <c r="W56" s="187"/>
      <c r="X56" s="128"/>
      <c r="Y56" s="501"/>
      <c r="AA56" s="501"/>
      <c r="AC56" s="501"/>
      <c r="AE56" s="501"/>
      <c r="AG56" s="501"/>
      <c r="AI56" s="501"/>
      <c r="AK56" s="501"/>
      <c r="AM56" s="501"/>
    </row>
    <row r="57" spans="2:57" s="168" customFormat="1" ht="14">
      <c r="N57" s="169" t="s">
        <v>783</v>
      </c>
    </row>
    <row r="58" spans="2:57" s="168" customFormat="1" ht="21.75" customHeight="1">
      <c r="N58" s="1956" t="str">
        <f>activesheet!E31</f>
        <v>MICHAEL T. JAMIS</v>
      </c>
      <c r="O58" s="1956"/>
      <c r="P58" s="1956"/>
      <c r="Q58" s="1956"/>
      <c r="R58" s="1956"/>
      <c r="S58" s="1956"/>
      <c r="T58" s="1956"/>
      <c r="U58" s="1956"/>
      <c r="V58" s="1956"/>
      <c r="W58" s="1956"/>
      <c r="X58" s="1956"/>
      <c r="Y58" s="1956"/>
      <c r="Z58" s="1956"/>
      <c r="AA58" s="1956"/>
      <c r="AB58" s="1956"/>
      <c r="AC58" s="1956"/>
    </row>
    <row r="59" spans="2:57" s="156" customFormat="1" ht="15" customHeight="1">
      <c r="N59" s="1957"/>
      <c r="O59" s="1957"/>
      <c r="P59" s="1957"/>
      <c r="Q59" s="1957"/>
      <c r="R59" s="1957"/>
      <c r="S59" s="1957"/>
      <c r="T59" s="1957"/>
      <c r="U59" s="1957"/>
      <c r="V59" s="1957"/>
      <c r="W59" s="1957"/>
      <c r="X59" s="1957"/>
      <c r="Y59" s="1957"/>
      <c r="Z59" s="1957"/>
      <c r="AA59" s="1957"/>
      <c r="AB59" s="1957"/>
      <c r="AC59" s="1957"/>
    </row>
    <row r="60" spans="2:57">
      <c r="N60" s="1764" t="s">
        <v>741</v>
      </c>
      <c r="O60" s="1764"/>
      <c r="P60" s="1764"/>
      <c r="Q60" s="1764"/>
      <c r="R60" s="1764"/>
      <c r="S60" s="1764"/>
      <c r="T60" s="1764"/>
      <c r="U60" s="1764"/>
      <c r="V60" s="1764"/>
      <c r="W60" s="1764"/>
      <c r="X60" s="1764"/>
      <c r="Y60" s="1764"/>
      <c r="Z60" s="1764"/>
      <c r="AA60" s="1764"/>
      <c r="AB60" s="1764"/>
      <c r="AC60" s="1764"/>
    </row>
    <row r="61" spans="2:57">
      <c r="N61" s="501"/>
      <c r="O61" s="661"/>
      <c r="P61" s="501"/>
      <c r="Q61" s="661"/>
      <c r="R61" s="501"/>
      <c r="S61" s="661"/>
      <c r="T61" s="501"/>
      <c r="U61" s="661"/>
      <c r="V61" s="501"/>
      <c r="W61" s="661"/>
      <c r="X61" s="501"/>
      <c r="Y61" s="661"/>
      <c r="Z61" s="501"/>
      <c r="AA61" s="661"/>
      <c r="AB61" s="501"/>
      <c r="AC61" s="661"/>
    </row>
  </sheetData>
  <sheetProtection algorithmName="SHA-512" hashValue="BRSS+RpmnOX6qOXnR//wFfIIXenhhUme9vnAU+LMikbMypiTF9LAIP1fRe5TkSJ/Q/MTsIHaB9jWfLN6o5m6MQ==" saltValue="RfVKeczjgcLSPT/T6K2YCA==" spinCount="100000" sheet="1" objects="1" scenarios="1" selectLockedCells="1"/>
  <mergeCells count="132">
    <mergeCell ref="AP24:AT25"/>
    <mergeCell ref="D11:K11"/>
    <mergeCell ref="L11:R11"/>
    <mergeCell ref="L12:R12"/>
    <mergeCell ref="L13:R13"/>
    <mergeCell ref="L14:R14"/>
    <mergeCell ref="L15:R15"/>
    <mergeCell ref="D26:AM26"/>
    <mergeCell ref="D28:H28"/>
    <mergeCell ref="I28:M28"/>
    <mergeCell ref="N28:R28"/>
    <mergeCell ref="S28:W28"/>
    <mergeCell ref="X28:AB28"/>
    <mergeCell ref="AC28:AG28"/>
    <mergeCell ref="AH28:AL28"/>
    <mergeCell ref="L16:R16"/>
    <mergeCell ref="L17:R17"/>
    <mergeCell ref="L18:R18"/>
    <mergeCell ref="L19:R19"/>
    <mergeCell ref="D21:W21"/>
    <mergeCell ref="I30:M30"/>
    <mergeCell ref="N30:R30"/>
    <mergeCell ref="S30:W30"/>
    <mergeCell ref="X30:AB30"/>
    <mergeCell ref="AC30:AG30"/>
    <mergeCell ref="AH30:AL30"/>
    <mergeCell ref="I29:M29"/>
    <mergeCell ref="N29:R29"/>
    <mergeCell ref="S29:W29"/>
    <mergeCell ref="X29:AB29"/>
    <mergeCell ref="AC29:AG29"/>
    <mergeCell ref="AH29:AL29"/>
    <mergeCell ref="I32:M32"/>
    <mergeCell ref="N32:R32"/>
    <mergeCell ref="S32:W32"/>
    <mergeCell ref="X32:AB32"/>
    <mergeCell ref="AC32:AG32"/>
    <mergeCell ref="AH32:AL32"/>
    <mergeCell ref="I31:M31"/>
    <mergeCell ref="N31:R31"/>
    <mergeCell ref="S31:W31"/>
    <mergeCell ref="X31:AB31"/>
    <mergeCell ref="AC31:AG31"/>
    <mergeCell ref="AH31:AL31"/>
    <mergeCell ref="I34:M34"/>
    <mergeCell ref="N34:R34"/>
    <mergeCell ref="S34:W34"/>
    <mergeCell ref="X34:AB34"/>
    <mergeCell ref="AC34:AG34"/>
    <mergeCell ref="AH34:AL34"/>
    <mergeCell ref="I33:M33"/>
    <mergeCell ref="N33:R33"/>
    <mergeCell ref="S33:W33"/>
    <mergeCell ref="X33:AB33"/>
    <mergeCell ref="AC33:AG33"/>
    <mergeCell ref="AH33:AL33"/>
    <mergeCell ref="I36:M36"/>
    <mergeCell ref="N36:R36"/>
    <mergeCell ref="S36:W36"/>
    <mergeCell ref="X36:AB36"/>
    <mergeCell ref="AC36:AG36"/>
    <mergeCell ref="AH36:AL36"/>
    <mergeCell ref="I35:M35"/>
    <mergeCell ref="N35:R35"/>
    <mergeCell ref="S35:W35"/>
    <mergeCell ref="X35:AB35"/>
    <mergeCell ref="AC35:AG35"/>
    <mergeCell ref="AH35:AL35"/>
    <mergeCell ref="I42:M42"/>
    <mergeCell ref="N42:R42"/>
    <mergeCell ref="S42:W42"/>
    <mergeCell ref="X42:AB42"/>
    <mergeCell ref="AC42:AG42"/>
    <mergeCell ref="AH42:AL42"/>
    <mergeCell ref="D39:AM39"/>
    <mergeCell ref="D41:H41"/>
    <mergeCell ref="I41:M41"/>
    <mergeCell ref="N41:R41"/>
    <mergeCell ref="S41:W41"/>
    <mergeCell ref="X41:AB41"/>
    <mergeCell ref="AC41:AG41"/>
    <mergeCell ref="AH41:AL41"/>
    <mergeCell ref="I44:M44"/>
    <mergeCell ref="N44:R44"/>
    <mergeCell ref="S44:W44"/>
    <mergeCell ref="X44:AB44"/>
    <mergeCell ref="AC44:AG44"/>
    <mergeCell ref="AH44:AL44"/>
    <mergeCell ref="I43:M43"/>
    <mergeCell ref="N43:R43"/>
    <mergeCell ref="S43:W43"/>
    <mergeCell ref="X43:AB43"/>
    <mergeCell ref="AC43:AG43"/>
    <mergeCell ref="AH43:AL43"/>
    <mergeCell ref="I46:M46"/>
    <mergeCell ref="N46:R46"/>
    <mergeCell ref="S46:W46"/>
    <mergeCell ref="X46:AB46"/>
    <mergeCell ref="AC46:AG46"/>
    <mergeCell ref="AH46:AL46"/>
    <mergeCell ref="I45:M45"/>
    <mergeCell ref="N45:R45"/>
    <mergeCell ref="S45:W45"/>
    <mergeCell ref="X45:AB45"/>
    <mergeCell ref="AC45:AG45"/>
    <mergeCell ref="AH45:AL45"/>
    <mergeCell ref="I48:M48"/>
    <mergeCell ref="N48:R48"/>
    <mergeCell ref="S48:W48"/>
    <mergeCell ref="X48:AB48"/>
    <mergeCell ref="AC48:AG48"/>
    <mergeCell ref="AH48:AL48"/>
    <mergeCell ref="I47:M47"/>
    <mergeCell ref="N47:R47"/>
    <mergeCell ref="S47:W47"/>
    <mergeCell ref="X47:AB47"/>
    <mergeCell ref="AC47:AG47"/>
    <mergeCell ref="AH47:AL47"/>
    <mergeCell ref="N58:AC59"/>
    <mergeCell ref="N60:AC60"/>
    <mergeCell ref="F53:Q53"/>
    <mergeCell ref="Y53:AM53"/>
    <mergeCell ref="F54:Q54"/>
    <mergeCell ref="Y54:AM54"/>
    <mergeCell ref="F55:Q55"/>
    <mergeCell ref="AC55:AM55"/>
    <mergeCell ref="I49:M49"/>
    <mergeCell ref="N49:R49"/>
    <mergeCell ref="S49:W49"/>
    <mergeCell ref="X49:AB49"/>
    <mergeCell ref="AC49:AG49"/>
    <mergeCell ref="AH49:AL49"/>
  </mergeCells>
  <conditionalFormatting sqref="D26:AM26">
    <cfRule type="expression" dxfId="12" priority="2">
      <formula>AND(AF25=TRUE, AND(I36=0, N36=0, S36=0, X36=0, AC36=0, AH36=0))</formula>
    </cfRule>
  </conditionalFormatting>
  <conditionalFormatting sqref="D39:AM39">
    <cfRule type="expression" dxfId="11" priority="1">
      <formula>AND(AF38=TRUE, AND(I49=0, N49=0, S49=0, X49=0, AC49=0, AH49=0))</formula>
    </cfRule>
  </conditionalFormatting>
  <dataValidations count="2">
    <dataValidation type="whole" allowBlank="1" showInputMessage="1" showErrorMessage="1" errorTitle="GESP SY 2022-2023" error="Please enter valid number between 0 - 20,000." sqref="I29:AL35 L12:R18" xr:uid="{00000000-0002-0000-2200-000000000000}">
      <formula1>0</formula1>
      <formula2>20000</formula2>
    </dataValidation>
    <dataValidation type="whole" allowBlank="1" showInputMessage="1" showErrorMessage="1" errorTitle="GESP SY 2022-2023" error="Please enter valid number between 0 - 999." sqref="I42:AL48" xr:uid="{00000000-0002-0000-2200-000001000000}">
      <formula1>0</formula1>
      <formula2>999</formula2>
    </dataValidation>
  </dataValidations>
  <printOptions horizontalCentered="1" verticalCentered="1"/>
  <pageMargins left="0.25" right="0.25" top="0.2" bottom="0.2" header="0" footer="0.1"/>
  <pageSetup paperSize="9" scale="49" orientation="landscape" r:id="rId1"/>
  <headerFooter alignWithMargins="0">
    <oddFooter>&amp;L&amp;10&amp;F &amp;A&amp;R&amp;11Page 31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3425" r:id="rId4" name="Check Box 1">
              <controlPr locked="0" defaultSize="0" autoFill="0" autoLine="0" autoPict="0">
                <anchor moveWithCells="1">
                  <from>
                    <xdr:col>26</xdr:col>
                    <xdr:colOff>38100</xdr:colOff>
                    <xdr:row>4</xdr:row>
                    <xdr:rowOff>0</xdr:rowOff>
                  </from>
                  <to>
                    <xdr:col>27</xdr:col>
                    <xdr:colOff>152400</xdr:colOff>
                    <xdr:row>5</xdr:row>
                    <xdr:rowOff>0</xdr:rowOff>
                  </to>
                </anchor>
              </controlPr>
            </control>
          </mc:Choice>
        </mc:AlternateContent>
        <mc:AlternateContent xmlns:mc="http://schemas.openxmlformats.org/markup-compatibility/2006">
          <mc:Choice Requires="x14">
            <control shapeId="103426" r:id="rId5" name="Check Box 2">
              <controlPr locked="0" defaultSize="0" autoFill="0" autoLine="0" autoPict="0">
                <anchor moveWithCells="1">
                  <from>
                    <xdr:col>26</xdr:col>
                    <xdr:colOff>38100</xdr:colOff>
                    <xdr:row>6</xdr:row>
                    <xdr:rowOff>0</xdr:rowOff>
                  </from>
                  <to>
                    <xdr:col>27</xdr:col>
                    <xdr:colOff>152400</xdr:colOff>
                    <xdr:row>6</xdr:row>
                    <xdr:rowOff>222250</xdr:rowOff>
                  </to>
                </anchor>
              </controlPr>
            </control>
          </mc:Choice>
        </mc:AlternateContent>
        <mc:AlternateContent xmlns:mc="http://schemas.openxmlformats.org/markup-compatibility/2006">
          <mc:Choice Requires="x14">
            <control shapeId="103427" r:id="rId6" name="Check Box 3">
              <controlPr locked="0" defaultSize="0" autoFill="0" autoLine="0" autoPict="0">
                <anchor moveWithCells="1">
                  <from>
                    <xdr:col>31</xdr:col>
                    <xdr:colOff>38100</xdr:colOff>
                    <xdr:row>4</xdr:row>
                    <xdr:rowOff>0</xdr:rowOff>
                  </from>
                  <to>
                    <xdr:col>32</xdr:col>
                    <xdr:colOff>152400</xdr:colOff>
                    <xdr:row>5</xdr:row>
                    <xdr:rowOff>0</xdr:rowOff>
                  </to>
                </anchor>
              </controlPr>
            </control>
          </mc:Choice>
        </mc:AlternateContent>
        <mc:AlternateContent xmlns:mc="http://schemas.openxmlformats.org/markup-compatibility/2006">
          <mc:Choice Requires="x14">
            <control shapeId="103428" r:id="rId7" name="Check Box 4">
              <controlPr locked="0" defaultSize="0" autoFill="0" autoLine="0" autoPict="0">
                <anchor moveWithCells="1">
                  <from>
                    <xdr:col>31</xdr:col>
                    <xdr:colOff>38100</xdr:colOff>
                    <xdr:row>6</xdr:row>
                    <xdr:rowOff>0</xdr:rowOff>
                  </from>
                  <to>
                    <xdr:col>32</xdr:col>
                    <xdr:colOff>152400</xdr:colOff>
                    <xdr:row>6</xdr:row>
                    <xdr:rowOff>222250</xdr:rowOff>
                  </to>
                </anchor>
              </controlPr>
            </control>
          </mc:Choice>
        </mc:AlternateContent>
        <mc:AlternateContent xmlns:mc="http://schemas.openxmlformats.org/markup-compatibility/2006">
          <mc:Choice Requires="x14">
            <control shapeId="103429" r:id="rId8" name="Check Box 5">
              <controlPr locked="0" defaultSize="0" autoFill="0" autoLine="0" autoPict="0">
                <anchor moveWithCells="1">
                  <from>
                    <xdr:col>26</xdr:col>
                    <xdr:colOff>38100</xdr:colOff>
                    <xdr:row>20</xdr:row>
                    <xdr:rowOff>88900</xdr:rowOff>
                  </from>
                  <to>
                    <xdr:col>27</xdr:col>
                    <xdr:colOff>152400</xdr:colOff>
                    <xdr:row>20</xdr:row>
                    <xdr:rowOff>317500</xdr:rowOff>
                  </to>
                </anchor>
              </controlPr>
            </control>
          </mc:Choice>
        </mc:AlternateContent>
        <mc:AlternateContent xmlns:mc="http://schemas.openxmlformats.org/markup-compatibility/2006">
          <mc:Choice Requires="x14">
            <control shapeId="103430" r:id="rId9" name="Check Box 6">
              <controlPr locked="0" defaultSize="0" autoFill="0" autoLine="0" autoPict="0">
                <anchor moveWithCells="1">
                  <from>
                    <xdr:col>31</xdr:col>
                    <xdr:colOff>38100</xdr:colOff>
                    <xdr:row>20</xdr:row>
                    <xdr:rowOff>88900</xdr:rowOff>
                  </from>
                  <to>
                    <xdr:col>32</xdr:col>
                    <xdr:colOff>152400</xdr:colOff>
                    <xdr:row>20</xdr:row>
                    <xdr:rowOff>317500</xdr:rowOff>
                  </to>
                </anchor>
              </controlPr>
            </control>
          </mc:Choice>
        </mc:AlternateContent>
        <mc:AlternateContent xmlns:mc="http://schemas.openxmlformats.org/markup-compatibility/2006">
          <mc:Choice Requires="x14">
            <control shapeId="103431" r:id="rId10" name="Check Box 7">
              <controlPr locked="0" defaultSize="0" autoFill="0" autoLine="0" autoPict="0">
                <anchor moveWithCells="1">
                  <from>
                    <xdr:col>26</xdr:col>
                    <xdr:colOff>38100</xdr:colOff>
                    <xdr:row>22</xdr:row>
                    <xdr:rowOff>0</xdr:rowOff>
                  </from>
                  <to>
                    <xdr:col>27</xdr:col>
                    <xdr:colOff>152400</xdr:colOff>
                    <xdr:row>22</xdr:row>
                    <xdr:rowOff>222250</xdr:rowOff>
                  </to>
                </anchor>
              </controlPr>
            </control>
          </mc:Choice>
        </mc:AlternateContent>
        <mc:AlternateContent xmlns:mc="http://schemas.openxmlformats.org/markup-compatibility/2006">
          <mc:Choice Requires="x14">
            <control shapeId="103432" r:id="rId11" name="Check Box 8">
              <controlPr locked="0" defaultSize="0" autoFill="0" autoLine="0" autoPict="0">
                <anchor moveWithCells="1">
                  <from>
                    <xdr:col>31</xdr:col>
                    <xdr:colOff>38100</xdr:colOff>
                    <xdr:row>22</xdr:row>
                    <xdr:rowOff>0</xdr:rowOff>
                  </from>
                  <to>
                    <xdr:col>32</xdr:col>
                    <xdr:colOff>152400</xdr:colOff>
                    <xdr:row>22</xdr:row>
                    <xdr:rowOff>222250</xdr:rowOff>
                  </to>
                </anchor>
              </controlPr>
            </control>
          </mc:Choice>
        </mc:AlternateContent>
        <mc:AlternateContent xmlns:mc="http://schemas.openxmlformats.org/markup-compatibility/2006">
          <mc:Choice Requires="x14">
            <control shapeId="103433" r:id="rId12" name="Check Box 9">
              <controlPr locked="0" defaultSize="0" autoFill="0" autoLine="0" autoPict="0">
                <anchor moveWithCells="1">
                  <from>
                    <xdr:col>31</xdr:col>
                    <xdr:colOff>38100</xdr:colOff>
                    <xdr:row>24</xdr:row>
                    <xdr:rowOff>0</xdr:rowOff>
                  </from>
                  <to>
                    <xdr:col>32</xdr:col>
                    <xdr:colOff>152400</xdr:colOff>
                    <xdr:row>24</xdr:row>
                    <xdr:rowOff>222250</xdr:rowOff>
                  </to>
                </anchor>
              </controlPr>
            </control>
          </mc:Choice>
        </mc:AlternateContent>
        <mc:AlternateContent xmlns:mc="http://schemas.openxmlformats.org/markup-compatibility/2006">
          <mc:Choice Requires="x14">
            <control shapeId="103434" r:id="rId13" name="Check Box 10">
              <controlPr locked="0" defaultSize="0" autoFill="0" autoLine="0" autoPict="0">
                <anchor moveWithCells="1">
                  <from>
                    <xdr:col>36</xdr:col>
                    <xdr:colOff>38100</xdr:colOff>
                    <xdr:row>24</xdr:row>
                    <xdr:rowOff>0</xdr:rowOff>
                  </from>
                  <to>
                    <xdr:col>37</xdr:col>
                    <xdr:colOff>152400</xdr:colOff>
                    <xdr:row>24</xdr:row>
                    <xdr:rowOff>222250</xdr:rowOff>
                  </to>
                </anchor>
              </controlPr>
            </control>
          </mc:Choice>
        </mc:AlternateContent>
        <mc:AlternateContent xmlns:mc="http://schemas.openxmlformats.org/markup-compatibility/2006">
          <mc:Choice Requires="x14">
            <control shapeId="103435" r:id="rId14" name="Check Box 11">
              <controlPr locked="0" defaultSize="0" autoFill="0" autoLine="0" autoPict="0">
                <anchor moveWithCells="1">
                  <from>
                    <xdr:col>31</xdr:col>
                    <xdr:colOff>38100</xdr:colOff>
                    <xdr:row>37</xdr:row>
                    <xdr:rowOff>0</xdr:rowOff>
                  </from>
                  <to>
                    <xdr:col>32</xdr:col>
                    <xdr:colOff>152400</xdr:colOff>
                    <xdr:row>37</xdr:row>
                    <xdr:rowOff>222250</xdr:rowOff>
                  </to>
                </anchor>
              </controlPr>
            </control>
          </mc:Choice>
        </mc:AlternateContent>
        <mc:AlternateContent xmlns:mc="http://schemas.openxmlformats.org/markup-compatibility/2006">
          <mc:Choice Requires="x14">
            <control shapeId="103436" r:id="rId15" name="Check Box 12">
              <controlPr locked="0" defaultSize="0" autoFill="0" autoLine="0" autoPict="0">
                <anchor moveWithCells="1">
                  <from>
                    <xdr:col>36</xdr:col>
                    <xdr:colOff>38100</xdr:colOff>
                    <xdr:row>37</xdr:row>
                    <xdr:rowOff>0</xdr:rowOff>
                  </from>
                  <to>
                    <xdr:col>37</xdr:col>
                    <xdr:colOff>152400</xdr:colOff>
                    <xdr:row>37</xdr:row>
                    <xdr:rowOff>222250</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pageSetUpPr fitToPage="1"/>
  </sheetPr>
  <dimension ref="B1:BH32"/>
  <sheetViews>
    <sheetView showGridLines="0" topLeftCell="A20" zoomScaleNormal="100" workbookViewId="0">
      <selection activeCell="M10" sqref="M10:S10"/>
    </sheetView>
  </sheetViews>
  <sheetFormatPr defaultColWidth="9" defaultRowHeight="15.5"/>
  <cols>
    <col min="1" max="1" width="2.08203125" style="602" customWidth="1"/>
    <col min="2" max="44" width="3.58203125" style="602" customWidth="1"/>
    <col min="45" max="45" width="2.08203125" style="602" customWidth="1"/>
    <col min="46" max="46" width="3.58203125" style="602" customWidth="1"/>
    <col min="47" max="47" width="2.08203125" style="602" customWidth="1"/>
    <col min="48" max="16384" width="9" style="602"/>
  </cols>
  <sheetData>
    <row r="1" spans="3:60" ht="12" customHeight="1"/>
    <row r="2" spans="3:60" ht="16.5">
      <c r="D2" s="627" t="s">
        <v>11796</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 thickBot="1">
      <c r="D3" s="582" t="s">
        <v>903</v>
      </c>
    </row>
    <row r="4" spans="3:60" ht="3.6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6" customHeight="1">
      <c r="D5" s="614"/>
      <c r="E5" s="1081" t="s">
        <v>151</v>
      </c>
      <c r="F5" s="1012" t="s">
        <v>811</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5"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8" customHeight="1">
      <c r="C7" s="1018"/>
      <c r="D7" s="614"/>
      <c r="F7" s="3471" t="s">
        <v>812</v>
      </c>
      <c r="G7" s="3472"/>
      <c r="H7" s="3472"/>
      <c r="I7" s="3472"/>
      <c r="J7" s="3472"/>
      <c r="K7" s="3472"/>
      <c r="L7" s="3473"/>
      <c r="M7" s="3477" t="s">
        <v>258</v>
      </c>
      <c r="N7" s="3478"/>
      <c r="O7" s="3478"/>
      <c r="P7" s="3478"/>
      <c r="Q7" s="3478"/>
      <c r="R7" s="3478"/>
      <c r="S7" s="3478"/>
      <c r="T7" s="3478"/>
      <c r="U7" s="3478"/>
      <c r="V7" s="3478"/>
      <c r="W7" s="3478"/>
      <c r="X7" s="3478"/>
      <c r="Y7" s="3478"/>
      <c r="Z7" s="3478"/>
      <c r="AA7" s="3478"/>
      <c r="AB7" s="3478"/>
      <c r="AC7" s="3478"/>
      <c r="AD7" s="3478"/>
      <c r="AE7" s="3478"/>
      <c r="AF7" s="3478"/>
      <c r="AG7" s="3478"/>
      <c r="AH7" s="3478"/>
      <c r="AI7" s="3478"/>
      <c r="AJ7" s="3478"/>
      <c r="AK7" s="3478"/>
      <c r="AL7" s="3478"/>
      <c r="AM7" s="3478"/>
      <c r="AN7" s="3479"/>
      <c r="AO7" s="1103"/>
      <c r="AP7" s="1104"/>
      <c r="AQ7" s="1105"/>
      <c r="AR7" s="1094"/>
      <c r="AS7" s="874"/>
      <c r="AT7" s="874"/>
      <c r="AU7" s="874"/>
      <c r="BE7" s="588"/>
      <c r="BF7" s="588"/>
      <c r="BG7" s="588"/>
      <c r="BH7" s="588"/>
    </row>
    <row r="8" spans="3:60" ht="18" customHeight="1">
      <c r="C8" s="1018"/>
      <c r="D8" s="614"/>
      <c r="F8" s="3474"/>
      <c r="G8" s="3475"/>
      <c r="H8" s="3475"/>
      <c r="I8" s="3475"/>
      <c r="J8" s="3475"/>
      <c r="K8" s="3475"/>
      <c r="L8" s="3476"/>
      <c r="M8" s="3368" t="s">
        <v>1346</v>
      </c>
      <c r="N8" s="3369"/>
      <c r="O8" s="3369"/>
      <c r="P8" s="3369"/>
      <c r="Q8" s="3369"/>
      <c r="R8" s="3369"/>
      <c r="S8" s="3369"/>
      <c r="T8" s="3369"/>
      <c r="U8" s="3369"/>
      <c r="V8" s="3369"/>
      <c r="W8" s="3369"/>
      <c r="X8" s="3369"/>
      <c r="Y8" s="3369"/>
      <c r="Z8" s="3370"/>
      <c r="AA8" s="3480" t="s">
        <v>887</v>
      </c>
      <c r="AB8" s="3481"/>
      <c r="AC8" s="3481"/>
      <c r="AD8" s="3481"/>
      <c r="AE8" s="3481"/>
      <c r="AF8" s="3481"/>
      <c r="AG8" s="3482"/>
      <c r="AH8" s="3480" t="s">
        <v>888</v>
      </c>
      <c r="AI8" s="3481"/>
      <c r="AJ8" s="3481"/>
      <c r="AK8" s="3481"/>
      <c r="AL8" s="3481"/>
      <c r="AM8" s="3481"/>
      <c r="AN8" s="3482"/>
      <c r="AO8" s="1103"/>
      <c r="AP8" s="1104"/>
      <c r="AQ8" s="1105"/>
      <c r="AR8" s="1094"/>
      <c r="AS8" s="874"/>
      <c r="AT8" s="874"/>
      <c r="AU8" s="874"/>
      <c r="BE8" s="588"/>
      <c r="BF8" s="588"/>
      <c r="BG8" s="588"/>
      <c r="BH8" s="588"/>
    </row>
    <row r="9" spans="3:60" ht="31" customHeight="1" thickBot="1">
      <c r="C9" s="1018"/>
      <c r="D9" s="614"/>
      <c r="F9" s="3363"/>
      <c r="G9" s="3353"/>
      <c r="H9" s="3353"/>
      <c r="I9" s="3353"/>
      <c r="J9" s="3353"/>
      <c r="K9" s="3353"/>
      <c r="L9" s="3361"/>
      <c r="M9" s="3398" t="s">
        <v>1348</v>
      </c>
      <c r="N9" s="3399"/>
      <c r="O9" s="3399"/>
      <c r="P9" s="3399"/>
      <c r="Q9" s="3399"/>
      <c r="R9" s="3399"/>
      <c r="S9" s="3400"/>
      <c r="T9" s="3398" t="s">
        <v>1349</v>
      </c>
      <c r="U9" s="3399"/>
      <c r="V9" s="3399"/>
      <c r="W9" s="3399"/>
      <c r="X9" s="3399"/>
      <c r="Y9" s="3399"/>
      <c r="Z9" s="3400"/>
      <c r="AA9" s="3363"/>
      <c r="AB9" s="3353"/>
      <c r="AC9" s="3353"/>
      <c r="AD9" s="3353"/>
      <c r="AE9" s="3353"/>
      <c r="AF9" s="3353"/>
      <c r="AG9" s="3361"/>
      <c r="AH9" s="3363"/>
      <c r="AI9" s="3353"/>
      <c r="AJ9" s="3353"/>
      <c r="AK9" s="3353"/>
      <c r="AL9" s="3353"/>
      <c r="AM9" s="3353"/>
      <c r="AN9" s="3361"/>
      <c r="AO9" s="1103"/>
      <c r="AP9" s="1104"/>
      <c r="AQ9" s="1105"/>
      <c r="AR9" s="1094"/>
      <c r="AS9" s="874"/>
      <c r="AT9" s="874"/>
      <c r="AU9" s="874"/>
      <c r="BE9" s="588"/>
      <c r="BF9" s="588"/>
      <c r="BG9" s="588"/>
      <c r="BH9" s="588"/>
    </row>
    <row r="10" spans="3:60" ht="25" customHeight="1">
      <c r="C10" s="1018"/>
      <c r="D10" s="614"/>
      <c r="F10" s="3357" t="s">
        <v>813</v>
      </c>
      <c r="G10" s="3358"/>
      <c r="H10" s="3358"/>
      <c r="I10" s="3358"/>
      <c r="J10" s="3358"/>
      <c r="K10" s="3358"/>
      <c r="L10" s="3359"/>
      <c r="M10" s="3437">
        <v>0</v>
      </c>
      <c r="N10" s="3438"/>
      <c r="O10" s="3438"/>
      <c r="P10" s="3438"/>
      <c r="Q10" s="3438"/>
      <c r="R10" s="3438"/>
      <c r="S10" s="3439"/>
      <c r="T10" s="3437">
        <v>0</v>
      </c>
      <c r="U10" s="3438"/>
      <c r="V10" s="3438"/>
      <c r="W10" s="3438"/>
      <c r="X10" s="3438"/>
      <c r="Y10" s="3438"/>
      <c r="Z10" s="3439"/>
      <c r="AA10" s="3437">
        <v>0</v>
      </c>
      <c r="AB10" s="3438"/>
      <c r="AC10" s="3438"/>
      <c r="AD10" s="3438"/>
      <c r="AE10" s="3438"/>
      <c r="AF10" s="3438"/>
      <c r="AG10" s="3439"/>
      <c r="AH10" s="3437">
        <v>0</v>
      </c>
      <c r="AI10" s="3438"/>
      <c r="AJ10" s="3438"/>
      <c r="AK10" s="3438"/>
      <c r="AL10" s="3438"/>
      <c r="AM10" s="3438"/>
      <c r="AN10" s="3439"/>
      <c r="AO10" s="1100"/>
      <c r="AP10" s="1101"/>
      <c r="AQ10" s="607"/>
      <c r="AR10" s="1094"/>
      <c r="AS10" s="874"/>
      <c r="AT10" s="874"/>
      <c r="AU10" s="874"/>
      <c r="BE10" s="588"/>
      <c r="BF10" s="588"/>
      <c r="BG10" s="588"/>
      <c r="BH10" s="588"/>
    </row>
    <row r="11" spans="3:60" ht="25" customHeight="1">
      <c r="C11" s="1018"/>
      <c r="D11" s="614"/>
      <c r="F11" s="3468" t="s">
        <v>814</v>
      </c>
      <c r="G11" s="3469"/>
      <c r="H11" s="3469"/>
      <c r="I11" s="3469"/>
      <c r="J11" s="3469"/>
      <c r="K11" s="3469"/>
      <c r="L11" s="3470"/>
      <c r="M11" s="3434">
        <v>0</v>
      </c>
      <c r="N11" s="3435"/>
      <c r="O11" s="3435"/>
      <c r="P11" s="3435"/>
      <c r="Q11" s="3435"/>
      <c r="R11" s="3435"/>
      <c r="S11" s="3436"/>
      <c r="T11" s="3434">
        <v>0</v>
      </c>
      <c r="U11" s="3435"/>
      <c r="V11" s="3435"/>
      <c r="W11" s="3435"/>
      <c r="X11" s="3435"/>
      <c r="Y11" s="3435"/>
      <c r="Z11" s="3436"/>
      <c r="AA11" s="3434">
        <v>0</v>
      </c>
      <c r="AB11" s="3435"/>
      <c r="AC11" s="3435"/>
      <c r="AD11" s="3435"/>
      <c r="AE11" s="3435"/>
      <c r="AF11" s="3435"/>
      <c r="AG11" s="3436"/>
      <c r="AH11" s="3434">
        <v>0</v>
      </c>
      <c r="AI11" s="3435"/>
      <c r="AJ11" s="3435"/>
      <c r="AK11" s="3435"/>
      <c r="AL11" s="3435"/>
      <c r="AM11" s="3435"/>
      <c r="AN11" s="3436"/>
      <c r="AO11" s="1092"/>
      <c r="AP11" s="1093"/>
      <c r="AQ11" s="606"/>
      <c r="AR11" s="1094"/>
      <c r="AS11" s="874"/>
      <c r="AT11" s="874"/>
      <c r="AU11" s="874"/>
      <c r="BE11" s="588"/>
      <c r="BF11" s="588"/>
      <c r="BG11" s="588"/>
      <c r="BH11" s="588"/>
    </row>
    <row r="12" spans="3:60" ht="25" customHeight="1" thickBot="1">
      <c r="C12" s="1018"/>
      <c r="D12" s="614"/>
      <c r="F12" s="3462" t="s">
        <v>815</v>
      </c>
      <c r="G12" s="3463"/>
      <c r="H12" s="3463"/>
      <c r="I12" s="3463"/>
      <c r="J12" s="3463"/>
      <c r="K12" s="3463"/>
      <c r="L12" s="3464"/>
      <c r="M12" s="3322">
        <v>0</v>
      </c>
      <c r="N12" s="3346"/>
      <c r="O12" s="3346"/>
      <c r="P12" s="3346"/>
      <c r="Q12" s="3346"/>
      <c r="R12" s="3346"/>
      <c r="S12" s="3331"/>
      <c r="T12" s="3322">
        <v>0</v>
      </c>
      <c r="U12" s="3346"/>
      <c r="V12" s="3346"/>
      <c r="W12" s="3346"/>
      <c r="X12" s="3346"/>
      <c r="Y12" s="3346"/>
      <c r="Z12" s="3331"/>
      <c r="AA12" s="3322">
        <v>0</v>
      </c>
      <c r="AB12" s="3346"/>
      <c r="AC12" s="3346"/>
      <c r="AD12" s="3346"/>
      <c r="AE12" s="3346"/>
      <c r="AF12" s="3346"/>
      <c r="AG12" s="3331"/>
      <c r="AH12" s="3322">
        <v>0</v>
      </c>
      <c r="AI12" s="3346"/>
      <c r="AJ12" s="3346"/>
      <c r="AK12" s="3346"/>
      <c r="AL12" s="3346"/>
      <c r="AM12" s="3346"/>
      <c r="AN12" s="3331"/>
      <c r="AO12" s="1092"/>
      <c r="AP12" s="1093"/>
      <c r="AQ12" s="606"/>
      <c r="AR12" s="1094"/>
      <c r="AS12" s="874"/>
      <c r="AT12" s="874"/>
      <c r="AU12" s="874"/>
      <c r="BE12" s="588"/>
      <c r="BF12" s="588"/>
      <c r="BG12" s="588"/>
      <c r="BH12" s="588"/>
    </row>
    <row r="13" spans="3:60" ht="25" customHeight="1" thickTop="1" thickBot="1">
      <c r="C13" s="1018"/>
      <c r="D13" s="614"/>
      <c r="F13" s="3363" t="s">
        <v>29</v>
      </c>
      <c r="G13" s="3353"/>
      <c r="H13" s="3353"/>
      <c r="I13" s="3353"/>
      <c r="J13" s="3353"/>
      <c r="K13" s="3353"/>
      <c r="L13" s="3361"/>
      <c r="M13" s="3465">
        <f>SUM(M10:S12)</f>
        <v>0</v>
      </c>
      <c r="N13" s="3466"/>
      <c r="O13" s="3466"/>
      <c r="P13" s="3466"/>
      <c r="Q13" s="3466"/>
      <c r="R13" s="3466"/>
      <c r="S13" s="3467"/>
      <c r="T13" s="3465">
        <f t="shared" ref="T13" si="0">SUM(T10:Z12)</f>
        <v>0</v>
      </c>
      <c r="U13" s="3466"/>
      <c r="V13" s="3466"/>
      <c r="W13" s="3466"/>
      <c r="X13" s="3466"/>
      <c r="Y13" s="3466"/>
      <c r="Z13" s="3467"/>
      <c r="AA13" s="3465">
        <f t="shared" ref="AA13" si="1">SUM(AA10:AG12)</f>
        <v>0</v>
      </c>
      <c r="AB13" s="3466"/>
      <c r="AC13" s="3466"/>
      <c r="AD13" s="3466"/>
      <c r="AE13" s="3466"/>
      <c r="AF13" s="3466"/>
      <c r="AG13" s="3467"/>
      <c r="AH13" s="3465">
        <f t="shared" ref="AH13" si="2">SUM(AH10:AN12)</f>
        <v>0</v>
      </c>
      <c r="AI13" s="3466"/>
      <c r="AJ13" s="3466"/>
      <c r="AK13" s="3466"/>
      <c r="AL13" s="3466"/>
      <c r="AM13" s="3466"/>
      <c r="AN13" s="3467"/>
      <c r="AO13" s="1092"/>
      <c r="AP13" s="1093"/>
      <c r="AQ13" s="606"/>
      <c r="AR13" s="1094"/>
      <c r="AS13" s="874"/>
      <c r="AT13" s="874"/>
      <c r="AU13" s="874"/>
      <c r="BE13" s="588"/>
      <c r="BF13" s="588"/>
      <c r="BG13" s="588"/>
      <c r="BH13" s="588"/>
    </row>
    <row r="14" spans="3:60" ht="6" customHeight="1">
      <c r="C14" s="1018"/>
      <c r="D14" s="614"/>
      <c r="F14" s="1102"/>
      <c r="G14" s="1102"/>
      <c r="H14" s="1102"/>
      <c r="I14" s="1102"/>
      <c r="J14" s="1102"/>
      <c r="K14" s="1102"/>
      <c r="L14" s="1102"/>
      <c r="M14" s="1092"/>
      <c r="N14" s="1092"/>
      <c r="O14" s="1092"/>
      <c r="P14" s="1092"/>
      <c r="Q14" s="1092"/>
      <c r="R14" s="1092"/>
      <c r="S14" s="1092"/>
      <c r="T14" s="1092"/>
      <c r="U14" s="1092"/>
      <c r="V14" s="1092"/>
      <c r="W14" s="1092"/>
      <c r="X14" s="1092"/>
      <c r="Y14" s="1092"/>
      <c r="Z14" s="1092"/>
      <c r="AA14" s="1092"/>
      <c r="AB14" s="1092"/>
      <c r="AC14" s="1092"/>
      <c r="AD14" s="1092"/>
      <c r="AE14" s="1092"/>
      <c r="AF14" s="1092"/>
      <c r="AG14" s="1092"/>
      <c r="AH14" s="1092"/>
      <c r="AI14" s="1092"/>
      <c r="AJ14" s="1092"/>
      <c r="AK14" s="1092"/>
      <c r="AL14" s="1092"/>
      <c r="AM14" s="1092"/>
      <c r="AN14" s="1092"/>
      <c r="AO14" s="1092"/>
      <c r="AP14" s="1093"/>
      <c r="AQ14" s="606"/>
      <c r="AR14" s="1094"/>
      <c r="AS14" s="874"/>
      <c r="AT14" s="874"/>
      <c r="AU14" s="874"/>
      <c r="BE14" s="588"/>
      <c r="BF14" s="588"/>
      <c r="BG14" s="588"/>
      <c r="BH14" s="588"/>
    </row>
    <row r="15" spans="3:60" ht="20.5">
      <c r="D15" s="614"/>
      <c r="E15" s="1081" t="s">
        <v>152</v>
      </c>
      <c r="F15" s="1012" t="s">
        <v>860</v>
      </c>
      <c r="G15" s="1012"/>
      <c r="H15" s="1013"/>
      <c r="I15" s="1013"/>
      <c r="J15" s="1013"/>
      <c r="K15" s="1013"/>
      <c r="L15" s="1013"/>
      <c r="M15" s="1013"/>
      <c r="N15" s="1013"/>
      <c r="O15" s="1013"/>
      <c r="P15" s="1013"/>
      <c r="Q15" s="874"/>
      <c r="R15" s="588"/>
      <c r="S15" s="588"/>
      <c r="T15" s="588"/>
      <c r="U15" s="588"/>
      <c r="V15" s="588"/>
      <c r="W15" s="1014"/>
      <c r="X15" s="874"/>
      <c r="Y15" s="874"/>
      <c r="Z15" s="874"/>
      <c r="AA15" s="874"/>
      <c r="AB15" s="874"/>
      <c r="AC15" s="874"/>
      <c r="AD15" s="588"/>
      <c r="AE15" s="588"/>
      <c r="AF15" s="588"/>
      <c r="AG15" s="588"/>
      <c r="AH15" s="588"/>
      <c r="AI15" s="588"/>
      <c r="AJ15" s="588"/>
      <c r="AK15" s="588"/>
      <c r="AL15" s="588"/>
      <c r="AM15" s="588"/>
      <c r="AN15" s="588"/>
      <c r="AO15" s="588"/>
      <c r="AP15" s="812"/>
      <c r="AY15" s="588"/>
      <c r="AZ15" s="588"/>
      <c r="BA15" s="588"/>
      <c r="BB15" s="588"/>
    </row>
    <row r="16" spans="3:60" ht="1.5" customHeight="1" thickBot="1">
      <c r="D16" s="614"/>
      <c r="G16" s="1080"/>
      <c r="H16" s="629"/>
      <c r="I16" s="629"/>
      <c r="J16" s="629"/>
      <c r="K16" s="629"/>
      <c r="L16" s="629"/>
      <c r="M16" s="629"/>
      <c r="N16" s="629"/>
      <c r="O16" s="629"/>
      <c r="P16" s="629"/>
      <c r="Q16" s="874"/>
      <c r="S16" s="874"/>
      <c r="T16" s="975"/>
      <c r="U16" s="588"/>
      <c r="X16" s="874"/>
      <c r="Y16" s="975"/>
      <c r="Z16" s="588"/>
      <c r="AA16" s="588"/>
      <c r="AB16" s="588"/>
      <c r="AC16" s="588"/>
      <c r="AD16" s="588"/>
      <c r="AE16" s="588"/>
      <c r="AG16" s="874"/>
      <c r="AH16" s="874"/>
      <c r="AI16" s="874"/>
      <c r="AJ16" s="874"/>
      <c r="AK16" s="874"/>
      <c r="AL16" s="874"/>
      <c r="AM16" s="874"/>
      <c r="AN16" s="874"/>
      <c r="AO16" s="874"/>
      <c r="AP16" s="1023"/>
      <c r="AY16" s="588"/>
      <c r="AZ16" s="588"/>
      <c r="BA16" s="588"/>
      <c r="BB16" s="588"/>
    </row>
    <row r="17" spans="2:60" ht="20.5">
      <c r="C17" s="1018"/>
      <c r="D17" s="614"/>
      <c r="F17" s="3471" t="s">
        <v>812</v>
      </c>
      <c r="G17" s="3472"/>
      <c r="H17" s="3472"/>
      <c r="I17" s="3472"/>
      <c r="J17" s="3472"/>
      <c r="K17" s="3472"/>
      <c r="L17" s="3473"/>
      <c r="M17" s="3477" t="s">
        <v>861</v>
      </c>
      <c r="N17" s="3478"/>
      <c r="O17" s="3478"/>
      <c r="P17" s="3478"/>
      <c r="Q17" s="3478"/>
      <c r="R17" s="3478"/>
      <c r="S17" s="3478"/>
      <c r="T17" s="3478"/>
      <c r="U17" s="3478"/>
      <c r="V17" s="3478"/>
      <c r="W17" s="3478"/>
      <c r="X17" s="3478"/>
      <c r="Y17" s="3478"/>
      <c r="Z17" s="3478"/>
      <c r="AA17" s="3478"/>
      <c r="AB17" s="3478"/>
      <c r="AC17" s="3478"/>
      <c r="AD17" s="3478"/>
      <c r="AE17" s="3478"/>
      <c r="AF17" s="3478"/>
      <c r="AG17" s="3478"/>
      <c r="AH17" s="3478"/>
      <c r="AI17" s="3478"/>
      <c r="AJ17" s="3478"/>
      <c r="AK17" s="3478"/>
      <c r="AL17" s="3478"/>
      <c r="AM17" s="3478"/>
      <c r="AN17" s="3479"/>
      <c r="AO17" s="1103"/>
      <c r="AP17" s="1104"/>
      <c r="AQ17" s="1105"/>
      <c r="AR17" s="1094"/>
      <c r="AS17" s="874"/>
      <c r="AT17" s="874"/>
      <c r="AU17" s="874"/>
      <c r="BE17" s="588"/>
      <c r="BF17" s="588"/>
      <c r="BG17" s="588"/>
      <c r="BH17" s="588"/>
    </row>
    <row r="18" spans="2:60" ht="18" customHeight="1">
      <c r="C18" s="1018"/>
      <c r="D18" s="614"/>
      <c r="F18" s="3474"/>
      <c r="G18" s="3475"/>
      <c r="H18" s="3475"/>
      <c r="I18" s="3475"/>
      <c r="J18" s="3475"/>
      <c r="K18" s="3475"/>
      <c r="L18" s="3476"/>
      <c r="M18" s="3368" t="s">
        <v>1347</v>
      </c>
      <c r="N18" s="3369"/>
      <c r="O18" s="3369"/>
      <c r="P18" s="3369"/>
      <c r="Q18" s="3369"/>
      <c r="R18" s="3369"/>
      <c r="S18" s="3369"/>
      <c r="T18" s="3369"/>
      <c r="U18" s="3369"/>
      <c r="V18" s="3369"/>
      <c r="W18" s="3369"/>
      <c r="X18" s="3369"/>
      <c r="Y18" s="3369"/>
      <c r="Z18" s="3370"/>
      <c r="AA18" s="3480" t="s">
        <v>887</v>
      </c>
      <c r="AB18" s="3481"/>
      <c r="AC18" s="3481"/>
      <c r="AD18" s="3481"/>
      <c r="AE18" s="3481"/>
      <c r="AF18" s="3481"/>
      <c r="AG18" s="3482"/>
      <c r="AH18" s="3480" t="s">
        <v>888</v>
      </c>
      <c r="AI18" s="3481"/>
      <c r="AJ18" s="3481"/>
      <c r="AK18" s="3481"/>
      <c r="AL18" s="3481"/>
      <c r="AM18" s="3481"/>
      <c r="AN18" s="3482"/>
      <c r="AO18" s="1103"/>
      <c r="AP18" s="1104"/>
      <c r="AQ18" s="1105"/>
      <c r="AR18" s="1094"/>
      <c r="AS18" s="874"/>
      <c r="AT18" s="874"/>
      <c r="AU18" s="874"/>
      <c r="BE18" s="588"/>
      <c r="BF18" s="588"/>
      <c r="BG18" s="588"/>
      <c r="BH18" s="588"/>
    </row>
    <row r="19" spans="2:60" ht="31" customHeight="1" thickBot="1">
      <c r="C19" s="1018"/>
      <c r="D19" s="614"/>
      <c r="F19" s="3474"/>
      <c r="G19" s="3475"/>
      <c r="H19" s="3475"/>
      <c r="I19" s="3475"/>
      <c r="J19" s="3475"/>
      <c r="K19" s="3475"/>
      <c r="L19" s="3476"/>
      <c r="M19" s="3398" t="s">
        <v>1348</v>
      </c>
      <c r="N19" s="3399"/>
      <c r="O19" s="3399"/>
      <c r="P19" s="3399"/>
      <c r="Q19" s="3399"/>
      <c r="R19" s="3399"/>
      <c r="S19" s="3400"/>
      <c r="T19" s="3398" t="s">
        <v>1349</v>
      </c>
      <c r="U19" s="3399"/>
      <c r="V19" s="3399"/>
      <c r="W19" s="3399"/>
      <c r="X19" s="3399"/>
      <c r="Y19" s="3399"/>
      <c r="Z19" s="3400"/>
      <c r="AA19" s="3363"/>
      <c r="AB19" s="3353"/>
      <c r="AC19" s="3353"/>
      <c r="AD19" s="3353"/>
      <c r="AE19" s="3353"/>
      <c r="AF19" s="3353"/>
      <c r="AG19" s="3361"/>
      <c r="AH19" s="3363"/>
      <c r="AI19" s="3353"/>
      <c r="AJ19" s="3353"/>
      <c r="AK19" s="3353"/>
      <c r="AL19" s="3353"/>
      <c r="AM19" s="3353"/>
      <c r="AN19" s="3361"/>
      <c r="AO19" s="1103"/>
      <c r="AP19" s="1104"/>
      <c r="AQ19" s="1105"/>
      <c r="AR19" s="1094"/>
      <c r="AS19" s="874"/>
      <c r="AT19" s="874"/>
      <c r="AU19" s="874"/>
      <c r="BE19" s="588"/>
      <c r="BF19" s="588"/>
      <c r="BG19" s="588"/>
      <c r="BH19" s="588"/>
    </row>
    <row r="20" spans="2:60" ht="25" customHeight="1">
      <c r="C20" s="1018"/>
      <c r="D20" s="614"/>
      <c r="F20" s="3357" t="s">
        <v>816</v>
      </c>
      <c r="G20" s="3358"/>
      <c r="H20" s="3358"/>
      <c r="I20" s="3358"/>
      <c r="J20" s="3358"/>
      <c r="K20" s="3358"/>
      <c r="L20" s="3359"/>
      <c r="M20" s="3437">
        <v>0</v>
      </c>
      <c r="N20" s="3438"/>
      <c r="O20" s="3438"/>
      <c r="P20" s="3438"/>
      <c r="Q20" s="3438"/>
      <c r="R20" s="3438"/>
      <c r="S20" s="3439"/>
      <c r="T20" s="3437">
        <v>0</v>
      </c>
      <c r="U20" s="3438"/>
      <c r="V20" s="3438"/>
      <c r="W20" s="3438"/>
      <c r="X20" s="3438"/>
      <c r="Y20" s="3438"/>
      <c r="Z20" s="3439"/>
      <c r="AA20" s="3437">
        <v>0</v>
      </c>
      <c r="AB20" s="3438"/>
      <c r="AC20" s="3438"/>
      <c r="AD20" s="3438"/>
      <c r="AE20" s="3438"/>
      <c r="AF20" s="3438"/>
      <c r="AG20" s="3439"/>
      <c r="AH20" s="3437">
        <v>0</v>
      </c>
      <c r="AI20" s="3438"/>
      <c r="AJ20" s="3438"/>
      <c r="AK20" s="3438"/>
      <c r="AL20" s="3438"/>
      <c r="AM20" s="3438"/>
      <c r="AN20" s="3439"/>
      <c r="AO20" s="1100"/>
      <c r="AP20" s="1101"/>
      <c r="AQ20" s="607"/>
      <c r="AR20" s="1094"/>
      <c r="AS20" s="874"/>
      <c r="AT20" s="874"/>
      <c r="AU20" s="874"/>
      <c r="BE20" s="588"/>
      <c r="BF20" s="588"/>
      <c r="BG20" s="588"/>
      <c r="BH20" s="588"/>
    </row>
    <row r="21" spans="2:60" ht="25" customHeight="1">
      <c r="C21" s="1018"/>
      <c r="D21" s="614"/>
      <c r="F21" s="3468" t="s">
        <v>817</v>
      </c>
      <c r="G21" s="3469"/>
      <c r="H21" s="3469"/>
      <c r="I21" s="3469"/>
      <c r="J21" s="3469"/>
      <c r="K21" s="3469"/>
      <c r="L21" s="3470"/>
      <c r="M21" s="3434">
        <v>0</v>
      </c>
      <c r="N21" s="3435"/>
      <c r="O21" s="3435"/>
      <c r="P21" s="3435"/>
      <c r="Q21" s="3435"/>
      <c r="R21" s="3435"/>
      <c r="S21" s="3436"/>
      <c r="T21" s="3434">
        <v>0</v>
      </c>
      <c r="U21" s="3435"/>
      <c r="V21" s="3435"/>
      <c r="W21" s="3435"/>
      <c r="X21" s="3435"/>
      <c r="Y21" s="3435"/>
      <c r="Z21" s="3436"/>
      <c r="AA21" s="3434">
        <v>0</v>
      </c>
      <c r="AB21" s="3435"/>
      <c r="AC21" s="3435"/>
      <c r="AD21" s="3435"/>
      <c r="AE21" s="3435"/>
      <c r="AF21" s="3435"/>
      <c r="AG21" s="3436"/>
      <c r="AH21" s="3434">
        <v>0</v>
      </c>
      <c r="AI21" s="3435"/>
      <c r="AJ21" s="3435"/>
      <c r="AK21" s="3435"/>
      <c r="AL21" s="3435"/>
      <c r="AM21" s="3435"/>
      <c r="AN21" s="3436"/>
      <c r="AO21" s="1092"/>
      <c r="AP21" s="1093"/>
      <c r="AQ21" s="606"/>
      <c r="AR21" s="1094"/>
      <c r="AS21" s="874"/>
      <c r="AT21" s="874"/>
      <c r="AU21" s="874"/>
      <c r="BE21" s="588"/>
      <c r="BF21" s="588"/>
      <c r="BG21" s="588"/>
      <c r="BH21" s="588"/>
    </row>
    <row r="22" spans="2:60" ht="25" customHeight="1" thickBot="1">
      <c r="C22" s="1018"/>
      <c r="D22" s="614"/>
      <c r="F22" s="3462" t="s">
        <v>815</v>
      </c>
      <c r="G22" s="3463"/>
      <c r="H22" s="3463"/>
      <c r="I22" s="3463"/>
      <c r="J22" s="3463"/>
      <c r="K22" s="3463"/>
      <c r="L22" s="3464"/>
      <c r="M22" s="3322">
        <v>0</v>
      </c>
      <c r="N22" s="3346"/>
      <c r="O22" s="3346"/>
      <c r="P22" s="3346"/>
      <c r="Q22" s="3346"/>
      <c r="R22" s="3346"/>
      <c r="S22" s="3331"/>
      <c r="T22" s="3322">
        <v>0</v>
      </c>
      <c r="U22" s="3346"/>
      <c r="V22" s="3346"/>
      <c r="W22" s="3346"/>
      <c r="X22" s="3346"/>
      <c r="Y22" s="3346"/>
      <c r="Z22" s="3331"/>
      <c r="AA22" s="3322">
        <v>0</v>
      </c>
      <c r="AB22" s="3346"/>
      <c r="AC22" s="3346"/>
      <c r="AD22" s="3346"/>
      <c r="AE22" s="3346"/>
      <c r="AF22" s="3346"/>
      <c r="AG22" s="3331"/>
      <c r="AH22" s="3322">
        <v>0</v>
      </c>
      <c r="AI22" s="3346"/>
      <c r="AJ22" s="3346"/>
      <c r="AK22" s="3346"/>
      <c r="AL22" s="3346"/>
      <c r="AM22" s="3346"/>
      <c r="AN22" s="3331"/>
      <c r="AO22" s="1092"/>
      <c r="AP22" s="1093"/>
      <c r="AQ22" s="606"/>
      <c r="AR22" s="1094"/>
      <c r="AS22" s="874"/>
      <c r="AT22" s="874"/>
      <c r="AU22" s="874"/>
      <c r="BE22" s="588"/>
      <c r="BF22" s="588"/>
      <c r="BG22" s="588"/>
      <c r="BH22" s="588"/>
    </row>
    <row r="23" spans="2:60" ht="25" customHeight="1" thickTop="1" thickBot="1">
      <c r="C23" s="1018"/>
      <c r="D23" s="614"/>
      <c r="F23" s="3363" t="s">
        <v>29</v>
      </c>
      <c r="G23" s="3353"/>
      <c r="H23" s="3353"/>
      <c r="I23" s="3353"/>
      <c r="J23" s="3353"/>
      <c r="K23" s="3353"/>
      <c r="L23" s="3361"/>
      <c r="M23" s="3465">
        <f>SUM(M20:S22)</f>
        <v>0</v>
      </c>
      <c r="N23" s="3466"/>
      <c r="O23" s="3466"/>
      <c r="P23" s="3466"/>
      <c r="Q23" s="3466"/>
      <c r="R23" s="3466"/>
      <c r="S23" s="3467"/>
      <c r="T23" s="3465">
        <f t="shared" ref="T23" si="3">SUM(T20:Z22)</f>
        <v>0</v>
      </c>
      <c r="U23" s="3466"/>
      <c r="V23" s="3466"/>
      <c r="W23" s="3466"/>
      <c r="X23" s="3466"/>
      <c r="Y23" s="3466"/>
      <c r="Z23" s="3467"/>
      <c r="AA23" s="3465">
        <f t="shared" ref="AA23" si="4">SUM(AA20:AG22)</f>
        <v>0</v>
      </c>
      <c r="AB23" s="3466"/>
      <c r="AC23" s="3466"/>
      <c r="AD23" s="3466"/>
      <c r="AE23" s="3466"/>
      <c r="AF23" s="3466"/>
      <c r="AG23" s="3467"/>
      <c r="AH23" s="3465">
        <f t="shared" ref="AH23" si="5">SUM(AH20:AN22)</f>
        <v>0</v>
      </c>
      <c r="AI23" s="3466"/>
      <c r="AJ23" s="3466"/>
      <c r="AK23" s="3466"/>
      <c r="AL23" s="3466"/>
      <c r="AM23" s="3466"/>
      <c r="AN23" s="3467"/>
      <c r="AO23" s="1092"/>
      <c r="AP23" s="1093"/>
      <c r="AQ23" s="606"/>
      <c r="AR23" s="1094"/>
      <c r="AS23" s="874"/>
      <c r="AT23" s="874"/>
      <c r="AU23" s="874"/>
      <c r="BE23" s="588"/>
      <c r="BF23" s="588"/>
      <c r="BG23" s="588"/>
      <c r="BH23" s="588"/>
    </row>
    <row r="24" spans="2:60" ht="8.5" customHeight="1" thickBot="1">
      <c r="D24" s="612"/>
      <c r="E24" s="613"/>
      <c r="F24" s="1010"/>
      <c r="G24" s="1010"/>
      <c r="H24" s="1011"/>
      <c r="I24" s="562"/>
      <c r="J24" s="562"/>
      <c r="K24" s="562"/>
      <c r="L24" s="562"/>
      <c r="M24" s="562"/>
      <c r="N24" s="562"/>
      <c r="O24" s="562"/>
      <c r="P24" s="562"/>
      <c r="Q24" s="562"/>
      <c r="R24" s="866"/>
      <c r="S24" s="866"/>
      <c r="T24" s="866"/>
      <c r="U24" s="866"/>
      <c r="V24" s="866"/>
      <c r="W24" s="562"/>
      <c r="X24" s="866"/>
      <c r="Y24" s="866"/>
      <c r="Z24" s="866"/>
      <c r="AA24" s="866"/>
      <c r="AB24" s="866"/>
      <c r="AC24" s="866"/>
      <c r="AD24" s="562"/>
      <c r="AE24" s="562"/>
      <c r="AF24" s="562"/>
      <c r="AG24" s="562"/>
      <c r="AH24" s="562"/>
      <c r="AI24" s="562"/>
      <c r="AJ24" s="562"/>
      <c r="AK24" s="562"/>
      <c r="AL24" s="562"/>
      <c r="AM24" s="562"/>
      <c r="AN24" s="562"/>
      <c r="AO24" s="562"/>
      <c r="AP24" s="806"/>
    </row>
    <row r="25" spans="2:60" s="1036" customFormat="1" ht="21.65" customHeight="1">
      <c r="D25" s="1095" t="s">
        <v>151</v>
      </c>
      <c r="E25" s="3459" t="s">
        <v>946</v>
      </c>
      <c r="F25" s="3459"/>
      <c r="G25" s="3459"/>
      <c r="H25" s="3459"/>
      <c r="I25" s="3459"/>
      <c r="J25" s="3459"/>
      <c r="K25" s="3459"/>
      <c r="L25" s="3459"/>
      <c r="M25" s="3459"/>
      <c r="N25" s="3459"/>
      <c r="O25" s="3459"/>
      <c r="P25" s="3459"/>
      <c r="Q25" s="3459"/>
      <c r="R25" s="3459"/>
      <c r="S25" s="3459"/>
      <c r="T25" s="3459"/>
      <c r="U25" s="3459"/>
      <c r="V25" s="3459"/>
      <c r="W25" s="3459"/>
      <c r="X25" s="3459"/>
      <c r="Y25" s="3459"/>
      <c r="Z25" s="3459"/>
      <c r="AA25" s="3459"/>
      <c r="AB25" s="3459"/>
      <c r="AC25" s="3459"/>
      <c r="AD25" s="3459"/>
      <c r="AE25" s="3459"/>
      <c r="AF25" s="3459"/>
      <c r="AG25" s="3459"/>
      <c r="AH25" s="3459"/>
      <c r="AI25" s="3459"/>
      <c r="AJ25" s="3459"/>
      <c r="AK25" s="3459"/>
      <c r="AL25" s="3459"/>
      <c r="AM25" s="3459"/>
      <c r="AN25" s="3459"/>
      <c r="AO25" s="3459"/>
      <c r="AP25" s="3459"/>
      <c r="AQ25" s="1096"/>
      <c r="AR25" s="1096"/>
      <c r="AS25" s="1096"/>
      <c r="AT25" s="1096"/>
    </row>
    <row r="26" spans="2:60" s="1036" customFormat="1" ht="18" customHeight="1">
      <c r="D26" s="1097" t="s">
        <v>152</v>
      </c>
      <c r="E26" s="3460" t="s">
        <v>947</v>
      </c>
      <c r="F26" s="3460"/>
      <c r="G26" s="3460"/>
      <c r="H26" s="3460"/>
      <c r="I26" s="3460"/>
      <c r="J26" s="3460"/>
      <c r="K26" s="3460"/>
      <c r="L26" s="3460"/>
      <c r="M26" s="3460"/>
      <c r="N26" s="3460"/>
      <c r="O26" s="3460"/>
      <c r="P26" s="3460"/>
      <c r="Q26" s="3460"/>
      <c r="R26" s="3460"/>
      <c r="S26" s="3460"/>
      <c r="T26" s="3460"/>
      <c r="U26" s="3460"/>
      <c r="V26" s="3460"/>
      <c r="W26" s="3460"/>
      <c r="X26" s="3460"/>
      <c r="Y26" s="3460"/>
      <c r="Z26" s="3460"/>
      <c r="AA26" s="3460"/>
      <c r="AB26" s="3460"/>
      <c r="AC26" s="3460"/>
      <c r="AD26" s="3460"/>
      <c r="AE26" s="3460"/>
      <c r="AF26" s="3460"/>
      <c r="AG26" s="3460"/>
      <c r="AH26" s="3460"/>
      <c r="AI26" s="3460"/>
      <c r="AJ26" s="3460"/>
      <c r="AK26" s="3460"/>
      <c r="AL26" s="3460"/>
      <c r="AM26" s="3460"/>
      <c r="AN26" s="3460"/>
      <c r="AO26" s="3460"/>
      <c r="AP26" s="3460"/>
      <c r="AQ26" s="1096"/>
      <c r="AR26" s="1096"/>
      <c r="AS26" s="1096"/>
      <c r="AT26" s="1096"/>
    </row>
    <row r="27" spans="2:60" s="1098" customFormat="1" ht="14">
      <c r="D27" s="1062" t="s">
        <v>153</v>
      </c>
      <c r="E27" s="3461" t="s">
        <v>948</v>
      </c>
      <c r="F27" s="3461"/>
      <c r="G27" s="3461"/>
      <c r="H27" s="3461"/>
      <c r="I27" s="3461"/>
      <c r="J27" s="3461"/>
      <c r="K27" s="3461"/>
      <c r="L27" s="3461"/>
      <c r="M27" s="3461"/>
      <c r="N27" s="3461"/>
      <c r="O27" s="3461"/>
      <c r="P27" s="3461"/>
      <c r="Q27" s="3461"/>
      <c r="R27" s="3461"/>
      <c r="S27" s="3461"/>
      <c r="T27" s="3461"/>
      <c r="U27" s="3461"/>
      <c r="V27" s="3461"/>
      <c r="W27" s="3461"/>
      <c r="X27" s="3461"/>
      <c r="Y27" s="3461"/>
      <c r="Z27" s="3461"/>
      <c r="AA27" s="3461"/>
      <c r="AB27" s="3461"/>
      <c r="AC27" s="3461"/>
      <c r="AD27" s="3461"/>
      <c r="AE27" s="3461"/>
      <c r="AF27" s="3461"/>
      <c r="AG27" s="3461"/>
      <c r="AH27" s="3461"/>
      <c r="AI27" s="3461"/>
      <c r="AJ27" s="3461"/>
      <c r="AK27" s="3461"/>
      <c r="AL27" s="3461"/>
      <c r="AM27" s="3461"/>
      <c r="AN27" s="3461"/>
      <c r="AO27" s="3461"/>
      <c r="AP27" s="3461"/>
      <c r="AQ27" s="1099"/>
      <c r="AR27" s="1099"/>
      <c r="AS27" s="1099"/>
      <c r="AT27" s="1099"/>
    </row>
    <row r="28" spans="2:60" ht="35.15" customHeight="1"/>
    <row r="29" spans="2:60" s="168" customFormat="1" ht="14">
      <c r="B29" s="169" t="s">
        <v>847</v>
      </c>
      <c r="P29" s="169" t="s">
        <v>765</v>
      </c>
      <c r="AH29" s="169" t="s">
        <v>783</v>
      </c>
    </row>
    <row r="30" spans="2:60" s="168" customFormat="1" ht="21.75" customHeight="1">
      <c r="B30" s="169" t="s">
        <v>748</v>
      </c>
      <c r="F30" s="1959" t="str">
        <f>activesheet!E29</f>
        <v>RICO S. MISPEROS</v>
      </c>
      <c r="G30" s="1959"/>
      <c r="H30" s="1959"/>
      <c r="I30" s="1959"/>
      <c r="J30" s="1959"/>
      <c r="K30" s="1959"/>
      <c r="L30" s="1959"/>
      <c r="M30" s="1959"/>
      <c r="P30" s="1959" t="str">
        <f>activesheet!E2079</f>
        <v>RAQUEL N. ACOMPAŇADO</v>
      </c>
      <c r="Q30" s="1959"/>
      <c r="R30" s="1959"/>
      <c r="S30" s="1959"/>
      <c r="T30" s="1959"/>
      <c r="U30" s="1959"/>
      <c r="V30" s="1959"/>
      <c r="W30" s="1959"/>
      <c r="X30" s="1959"/>
      <c r="Y30" s="1959"/>
      <c r="Z30" s="1959"/>
      <c r="AA30" s="1959"/>
      <c r="AB30" s="1959"/>
      <c r="AC30" s="1959"/>
      <c r="AD30" s="1959"/>
      <c r="AE30" s="1959"/>
      <c r="AH30" s="1956" t="str">
        <f>activesheet!E31</f>
        <v>MICHAEL T. JAMIS</v>
      </c>
      <c r="AI30" s="1956"/>
      <c r="AJ30" s="1956"/>
      <c r="AK30" s="1956"/>
      <c r="AL30" s="1956"/>
      <c r="AM30" s="1956"/>
      <c r="AN30" s="1956"/>
      <c r="AO30" s="1956"/>
      <c r="AP30" s="1956"/>
      <c r="AQ30" s="1956"/>
      <c r="AR30" s="1956"/>
    </row>
    <row r="31" spans="2:60" s="156" customFormat="1" ht="13.5" customHeight="1">
      <c r="B31" s="655"/>
      <c r="F31" s="1764" t="s">
        <v>741</v>
      </c>
      <c r="G31" s="1764"/>
      <c r="H31" s="1764"/>
      <c r="I31" s="1764"/>
      <c r="J31" s="1764"/>
      <c r="K31" s="1764"/>
      <c r="L31" s="1764"/>
      <c r="M31" s="1764"/>
      <c r="N31" s="1040"/>
      <c r="O31" s="152"/>
      <c r="P31" s="1764" t="s">
        <v>741</v>
      </c>
      <c r="Q31" s="1764"/>
      <c r="R31" s="1764"/>
      <c r="S31" s="1764"/>
      <c r="T31" s="1764"/>
      <c r="U31" s="1764"/>
      <c r="V31" s="1764"/>
      <c r="W31" s="1764"/>
      <c r="X31" s="1764"/>
      <c r="Y31" s="1764"/>
      <c r="Z31" s="1764"/>
      <c r="AA31" s="1764"/>
      <c r="AB31" s="1764"/>
      <c r="AC31" s="1764"/>
      <c r="AD31" s="1764"/>
      <c r="AE31" s="1764"/>
      <c r="AH31" s="1957"/>
      <c r="AI31" s="1957"/>
      <c r="AJ31" s="1957"/>
      <c r="AK31" s="1957"/>
      <c r="AL31" s="1957"/>
      <c r="AM31" s="1957"/>
      <c r="AN31" s="1957"/>
      <c r="AO31" s="1957"/>
      <c r="AP31" s="1957"/>
      <c r="AQ31" s="1957"/>
      <c r="AR31" s="1957"/>
    </row>
    <row r="32" spans="2:60" s="168" customFormat="1" ht="21.75" customHeight="1">
      <c r="B32" s="169" t="s">
        <v>71</v>
      </c>
      <c r="F32" s="1959" t="str">
        <f>activesheet!E30</f>
        <v>SCHOOL PRINCIPAL II</v>
      </c>
      <c r="G32" s="1959"/>
      <c r="H32" s="1959"/>
      <c r="I32" s="1959"/>
      <c r="J32" s="1959"/>
      <c r="K32" s="1959"/>
      <c r="L32" s="1959"/>
      <c r="M32" s="1959"/>
      <c r="P32" s="169" t="s">
        <v>71</v>
      </c>
      <c r="T32" s="1959" t="str">
        <f>activesheet!E2080</f>
        <v>Nurse II</v>
      </c>
      <c r="U32" s="1959"/>
      <c r="V32" s="1959"/>
      <c r="W32" s="1959"/>
      <c r="X32" s="1959"/>
      <c r="Y32" s="1959"/>
      <c r="Z32" s="1959"/>
      <c r="AA32" s="1959"/>
      <c r="AB32" s="1959"/>
      <c r="AC32" s="1959"/>
      <c r="AD32" s="1959"/>
      <c r="AE32" s="1959"/>
      <c r="AH32" s="1764" t="s">
        <v>741</v>
      </c>
      <c r="AI32" s="1764"/>
      <c r="AJ32" s="1764"/>
      <c r="AK32" s="1764"/>
      <c r="AL32" s="1764"/>
      <c r="AM32" s="1764"/>
      <c r="AN32" s="1764"/>
      <c r="AO32" s="1764"/>
      <c r="AP32" s="1764"/>
      <c r="AQ32" s="1764"/>
      <c r="AR32" s="1764"/>
    </row>
  </sheetData>
  <sheetProtection algorithmName="SHA-512" hashValue="olM/nIes+31MUN5ZiOtmCTPGJplfuleX5XdwpdePsz85Aw6OH8MWa7KAqu+7nqPNem18gC8fh85Uo8dAvIkr3w==" saltValue="JBDJzmknTTvj/O1Bkd59Kg==" spinCount="100000" sheet="1" objects="1" scenarios="1" selectLockedCells="1"/>
  <mergeCells count="65">
    <mergeCell ref="F7:L9"/>
    <mergeCell ref="M7:AN7"/>
    <mergeCell ref="M8:Z8"/>
    <mergeCell ref="AA8:AG9"/>
    <mergeCell ref="AH8:AN9"/>
    <mergeCell ref="M9:S9"/>
    <mergeCell ref="T9:Z9"/>
    <mergeCell ref="F11:L11"/>
    <mergeCell ref="M11:S11"/>
    <mergeCell ref="T11:Z11"/>
    <mergeCell ref="AA11:AG11"/>
    <mergeCell ref="AH11:AN11"/>
    <mergeCell ref="F10:L10"/>
    <mergeCell ref="M10:S10"/>
    <mergeCell ref="T10:Z10"/>
    <mergeCell ref="AA10:AG10"/>
    <mergeCell ref="AH10:AN10"/>
    <mergeCell ref="F13:L13"/>
    <mergeCell ref="M13:S13"/>
    <mergeCell ref="T13:Z13"/>
    <mergeCell ref="AA13:AG13"/>
    <mergeCell ref="AH13:AN13"/>
    <mergeCell ref="F12:L12"/>
    <mergeCell ref="M12:S12"/>
    <mergeCell ref="T12:Z12"/>
    <mergeCell ref="AA12:AG12"/>
    <mergeCell ref="AH12:AN12"/>
    <mergeCell ref="F17:L19"/>
    <mergeCell ref="M17:AN17"/>
    <mergeCell ref="M18:Z18"/>
    <mergeCell ref="AA18:AG19"/>
    <mergeCell ref="AH18:AN19"/>
    <mergeCell ref="M19:S19"/>
    <mergeCell ref="T19:Z19"/>
    <mergeCell ref="F21:L21"/>
    <mergeCell ref="M21:S21"/>
    <mergeCell ref="T21:Z21"/>
    <mergeCell ref="AA21:AG21"/>
    <mergeCell ref="AH21:AN21"/>
    <mergeCell ref="F20:L20"/>
    <mergeCell ref="M20:S20"/>
    <mergeCell ref="T20:Z20"/>
    <mergeCell ref="AA20:AG20"/>
    <mergeCell ref="AH20:AN20"/>
    <mergeCell ref="F23:L23"/>
    <mergeCell ref="M23:S23"/>
    <mergeCell ref="T23:Z23"/>
    <mergeCell ref="AA23:AG23"/>
    <mergeCell ref="AH23:AN23"/>
    <mergeCell ref="F22:L22"/>
    <mergeCell ref="M22:S22"/>
    <mergeCell ref="T22:Z22"/>
    <mergeCell ref="AA22:AG22"/>
    <mergeCell ref="AH22:AN22"/>
    <mergeCell ref="F32:M32"/>
    <mergeCell ref="T32:AE32"/>
    <mergeCell ref="AH32:AR32"/>
    <mergeCell ref="E25:AP25"/>
    <mergeCell ref="E26:AP26"/>
    <mergeCell ref="E27:AP27"/>
    <mergeCell ref="F30:M30"/>
    <mergeCell ref="P30:AE30"/>
    <mergeCell ref="AH30:AR31"/>
    <mergeCell ref="F31:M31"/>
    <mergeCell ref="P31:AE31"/>
  </mergeCells>
  <dataValidations count="2">
    <dataValidation type="whole" allowBlank="1" showInputMessage="1" showErrorMessage="1" errorTitle="GESP SY 2022-2023" error="Please enter valid number between 0 - 20,000." sqref="M10:AN12" xr:uid="{00000000-0002-0000-2300-000000000000}">
      <formula1>0</formula1>
      <formula2>20000</formula2>
    </dataValidation>
    <dataValidation type="whole" allowBlank="1" showInputMessage="1" showErrorMessage="1" errorTitle="GESP SY 2022-2023" error="Please enter valid number between 0 - 999." sqref="M20:AN22" xr:uid="{00000000-0002-0000-2300-000001000000}">
      <formula1>0</formula1>
      <formula2>999</formula2>
    </dataValidation>
  </dataValidations>
  <printOptions horizontalCentered="1" verticalCentered="1"/>
  <pageMargins left="0.25" right="0.25" top="0.2" bottom="0.2" header="0" footer="0.1"/>
  <pageSetup paperSize="9" scale="47" orientation="landscape" r:id="rId1"/>
  <headerFooter alignWithMargins="0">
    <oddFooter>&amp;L&amp;10&amp;F &amp;A&amp;R&amp;11Page 32 of 60</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pageSetUpPr fitToPage="1"/>
  </sheetPr>
  <dimension ref="B1:BH45"/>
  <sheetViews>
    <sheetView showGridLines="0" zoomScaleNormal="100" workbookViewId="0">
      <selection activeCell="W38" sqref="W38:AB38"/>
    </sheetView>
  </sheetViews>
  <sheetFormatPr defaultColWidth="9" defaultRowHeight="15.5"/>
  <cols>
    <col min="1" max="1" width="2.08203125" style="602" customWidth="1"/>
    <col min="2" max="44" width="3.58203125" style="602" customWidth="1"/>
    <col min="45" max="45" width="2.08203125" style="602" customWidth="1"/>
    <col min="46" max="46" width="3.58203125" style="602" customWidth="1"/>
    <col min="47" max="47" width="2.08203125" style="602" customWidth="1"/>
    <col min="48" max="16384" width="9" style="602"/>
  </cols>
  <sheetData>
    <row r="1" spans="3:60" ht="12" customHeight="1"/>
    <row r="2" spans="3:60" ht="16.5">
      <c r="D2" s="627" t="s">
        <v>11833</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 thickBot="1">
      <c r="D3" s="582" t="s">
        <v>904</v>
      </c>
    </row>
    <row r="4" spans="3:60" ht="5.2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5.65" customHeight="1" thickBot="1">
      <c r="D5" s="614"/>
      <c r="E5" s="1081" t="s">
        <v>151</v>
      </c>
      <c r="F5" s="1012" t="s">
        <v>818</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 hidden="1"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6.5" customHeight="1">
      <c r="C7" s="1018"/>
      <c r="D7" s="614"/>
      <c r="F7" s="3471" t="s">
        <v>124</v>
      </c>
      <c r="G7" s="3472"/>
      <c r="H7" s="3472"/>
      <c r="I7" s="3472"/>
      <c r="J7" s="3473"/>
      <c r="K7" s="3392" t="s">
        <v>819</v>
      </c>
      <c r="L7" s="3393"/>
      <c r="M7" s="3393"/>
      <c r="N7" s="3393"/>
      <c r="O7" s="3393"/>
      <c r="P7" s="3394"/>
      <c r="Q7" s="3392" t="s">
        <v>820</v>
      </c>
      <c r="R7" s="3393"/>
      <c r="S7" s="3393"/>
      <c r="T7" s="3393"/>
      <c r="U7" s="3393"/>
      <c r="V7" s="3394"/>
      <c r="W7" s="3365" t="s">
        <v>823</v>
      </c>
      <c r="X7" s="3366"/>
      <c r="Y7" s="3366"/>
      <c r="Z7" s="3366"/>
      <c r="AA7" s="3366"/>
      <c r="AB7" s="3366"/>
      <c r="AC7" s="3366"/>
      <c r="AD7" s="3366"/>
      <c r="AE7" s="3366"/>
      <c r="AF7" s="3366"/>
      <c r="AG7" s="3366"/>
      <c r="AH7" s="3367"/>
      <c r="AI7" s="3392" t="s">
        <v>821</v>
      </c>
      <c r="AJ7" s="3393"/>
      <c r="AK7" s="3393"/>
      <c r="AL7" s="3393"/>
      <c r="AM7" s="3393"/>
      <c r="AN7" s="3394"/>
      <c r="AO7" s="1103"/>
      <c r="AP7" s="1104"/>
      <c r="AQ7" s="1105"/>
      <c r="AR7" s="1094"/>
      <c r="AS7" s="874"/>
      <c r="AT7" s="874"/>
      <c r="AU7" s="874"/>
      <c r="BE7" s="588"/>
      <c r="BF7" s="588"/>
      <c r="BG7" s="588"/>
      <c r="BH7" s="588"/>
    </row>
    <row r="8" spans="3:60" ht="15.65" customHeight="1" thickBot="1">
      <c r="C8" s="1018"/>
      <c r="D8" s="614"/>
      <c r="F8" s="3363"/>
      <c r="G8" s="3353"/>
      <c r="H8" s="3353"/>
      <c r="I8" s="3353"/>
      <c r="J8" s="3361"/>
      <c r="K8" s="3398"/>
      <c r="L8" s="3399"/>
      <c r="M8" s="3399"/>
      <c r="N8" s="3399"/>
      <c r="O8" s="3399"/>
      <c r="P8" s="3400"/>
      <c r="Q8" s="3398"/>
      <c r="R8" s="3399"/>
      <c r="S8" s="3399"/>
      <c r="T8" s="3399"/>
      <c r="U8" s="3399"/>
      <c r="V8" s="3400"/>
      <c r="W8" s="3377" t="s">
        <v>889</v>
      </c>
      <c r="X8" s="3378"/>
      <c r="Y8" s="3378"/>
      <c r="Z8" s="3378"/>
      <c r="AA8" s="3378"/>
      <c r="AB8" s="3379"/>
      <c r="AC8" s="3377" t="s">
        <v>890</v>
      </c>
      <c r="AD8" s="3378"/>
      <c r="AE8" s="3378"/>
      <c r="AF8" s="3378"/>
      <c r="AG8" s="3378"/>
      <c r="AH8" s="3379"/>
      <c r="AI8" s="3398"/>
      <c r="AJ8" s="3399"/>
      <c r="AK8" s="3399"/>
      <c r="AL8" s="3399"/>
      <c r="AM8" s="3399"/>
      <c r="AN8" s="3400"/>
      <c r="AO8" s="1103"/>
      <c r="AP8" s="1104"/>
      <c r="AQ8" s="1105"/>
      <c r="AR8" s="1094"/>
      <c r="AS8" s="874"/>
      <c r="AT8" s="874"/>
      <c r="AU8" s="874"/>
      <c r="BE8" s="588"/>
      <c r="BF8" s="588"/>
      <c r="BG8" s="588"/>
      <c r="BH8" s="588"/>
    </row>
    <row r="9" spans="3:60" ht="25" customHeight="1">
      <c r="C9" s="1018"/>
      <c r="D9" s="614"/>
      <c r="F9" s="3492" t="s">
        <v>22</v>
      </c>
      <c r="G9" s="3493"/>
      <c r="H9" s="3493"/>
      <c r="I9" s="3493"/>
      <c r="J9" s="3494"/>
      <c r="K9" s="3437">
        <v>0</v>
      </c>
      <c r="L9" s="3438"/>
      <c r="M9" s="3438"/>
      <c r="N9" s="3438"/>
      <c r="O9" s="3438"/>
      <c r="P9" s="3439"/>
      <c r="Q9" s="3437">
        <v>0</v>
      </c>
      <c r="R9" s="3438"/>
      <c r="S9" s="3438"/>
      <c r="T9" s="3438"/>
      <c r="U9" s="3438"/>
      <c r="V9" s="3439"/>
      <c r="W9" s="3437">
        <v>0</v>
      </c>
      <c r="X9" s="3438"/>
      <c r="Y9" s="3438"/>
      <c r="Z9" s="3438"/>
      <c r="AA9" s="3438"/>
      <c r="AB9" s="3439"/>
      <c r="AC9" s="3437">
        <v>0</v>
      </c>
      <c r="AD9" s="3438"/>
      <c r="AE9" s="3438"/>
      <c r="AF9" s="3438"/>
      <c r="AG9" s="3438"/>
      <c r="AH9" s="3439"/>
      <c r="AI9" s="3437">
        <v>0</v>
      </c>
      <c r="AJ9" s="3438"/>
      <c r="AK9" s="3438"/>
      <c r="AL9" s="3438"/>
      <c r="AM9" s="3438"/>
      <c r="AN9" s="3439"/>
      <c r="AO9" s="1100"/>
      <c r="AP9" s="1101"/>
      <c r="AQ9" s="607"/>
      <c r="AR9" s="1094"/>
      <c r="AS9" s="874"/>
      <c r="AT9" s="874"/>
      <c r="AU9" s="874"/>
      <c r="BE9" s="588"/>
      <c r="BF9" s="588"/>
      <c r="BG9" s="588"/>
      <c r="BH9" s="588"/>
    </row>
    <row r="10" spans="3:60" ht="25" customHeight="1">
      <c r="C10" s="1018"/>
      <c r="D10" s="614"/>
      <c r="F10" s="3486" t="s">
        <v>23</v>
      </c>
      <c r="G10" s="3487"/>
      <c r="H10" s="3487"/>
      <c r="I10" s="3487"/>
      <c r="J10" s="3488"/>
      <c r="K10" s="3434">
        <v>0</v>
      </c>
      <c r="L10" s="3435"/>
      <c r="M10" s="3435"/>
      <c r="N10" s="3435"/>
      <c r="O10" s="3435"/>
      <c r="P10" s="3436"/>
      <c r="Q10" s="3434">
        <v>0</v>
      </c>
      <c r="R10" s="3435"/>
      <c r="S10" s="3435"/>
      <c r="T10" s="3435"/>
      <c r="U10" s="3435"/>
      <c r="V10" s="3436"/>
      <c r="W10" s="3434">
        <v>0</v>
      </c>
      <c r="X10" s="3435"/>
      <c r="Y10" s="3435"/>
      <c r="Z10" s="3435"/>
      <c r="AA10" s="3435"/>
      <c r="AB10" s="3436"/>
      <c r="AC10" s="3434">
        <v>0</v>
      </c>
      <c r="AD10" s="3435"/>
      <c r="AE10" s="3435"/>
      <c r="AF10" s="3435"/>
      <c r="AG10" s="3435"/>
      <c r="AH10" s="3436"/>
      <c r="AI10" s="3434">
        <v>0</v>
      </c>
      <c r="AJ10" s="3435"/>
      <c r="AK10" s="3435"/>
      <c r="AL10" s="3435"/>
      <c r="AM10" s="3435"/>
      <c r="AN10" s="3436"/>
      <c r="AO10" s="1092"/>
      <c r="AP10" s="1093"/>
      <c r="AQ10" s="606"/>
      <c r="AR10" s="1094"/>
      <c r="AS10" s="874"/>
      <c r="AT10" s="874"/>
      <c r="AU10" s="874"/>
      <c r="BE10" s="588"/>
      <c r="BF10" s="588"/>
      <c r="BG10" s="588"/>
      <c r="BH10" s="588"/>
    </row>
    <row r="11" spans="3:60" ht="25" customHeight="1" thickBot="1">
      <c r="C11" s="1018"/>
      <c r="D11" s="614"/>
      <c r="F11" s="3489" t="s">
        <v>24</v>
      </c>
      <c r="G11" s="3490"/>
      <c r="H11" s="3490"/>
      <c r="I11" s="3490"/>
      <c r="J11" s="3491"/>
      <c r="K11" s="3322">
        <v>0</v>
      </c>
      <c r="L11" s="3346"/>
      <c r="M11" s="3346"/>
      <c r="N11" s="3346"/>
      <c r="O11" s="3346"/>
      <c r="P11" s="3331"/>
      <c r="Q11" s="3322">
        <v>0</v>
      </c>
      <c r="R11" s="3346"/>
      <c r="S11" s="3346"/>
      <c r="T11" s="3346"/>
      <c r="U11" s="3346"/>
      <c r="V11" s="3331"/>
      <c r="W11" s="3322">
        <v>0</v>
      </c>
      <c r="X11" s="3346"/>
      <c r="Y11" s="3346"/>
      <c r="Z11" s="3346"/>
      <c r="AA11" s="3346"/>
      <c r="AB11" s="3331"/>
      <c r="AC11" s="3322">
        <v>0</v>
      </c>
      <c r="AD11" s="3346"/>
      <c r="AE11" s="3346"/>
      <c r="AF11" s="3346"/>
      <c r="AG11" s="3346"/>
      <c r="AH11" s="3331"/>
      <c r="AI11" s="3322">
        <v>0</v>
      </c>
      <c r="AJ11" s="3346"/>
      <c r="AK11" s="3346"/>
      <c r="AL11" s="3346"/>
      <c r="AM11" s="3346"/>
      <c r="AN11" s="3331"/>
      <c r="AO11" s="1092"/>
      <c r="AP11" s="1093"/>
      <c r="AQ11" s="606"/>
      <c r="AR11" s="1094"/>
      <c r="AS11" s="874"/>
      <c r="AT11" s="874"/>
      <c r="AU11" s="874"/>
      <c r="BE11" s="588"/>
      <c r="BF11" s="588"/>
      <c r="BG11" s="588"/>
      <c r="BH11" s="588"/>
    </row>
    <row r="12" spans="3:60" ht="25" customHeight="1" thickTop="1" thickBot="1">
      <c r="C12" s="1018"/>
      <c r="D12" s="614"/>
      <c r="F12" s="3483" t="s">
        <v>29</v>
      </c>
      <c r="G12" s="3484"/>
      <c r="H12" s="3484"/>
      <c r="I12" s="3484"/>
      <c r="J12" s="3485"/>
      <c r="K12" s="3334">
        <f>SUM(K9:P11)</f>
        <v>0</v>
      </c>
      <c r="L12" s="3332"/>
      <c r="M12" s="3332"/>
      <c r="N12" s="3332"/>
      <c r="O12" s="3332"/>
      <c r="P12" s="3333"/>
      <c r="Q12" s="3334">
        <f t="shared" ref="Q12" si="0">SUM(Q9:V11)</f>
        <v>0</v>
      </c>
      <c r="R12" s="3332"/>
      <c r="S12" s="3332"/>
      <c r="T12" s="3332"/>
      <c r="U12" s="3332"/>
      <c r="V12" s="3333"/>
      <c r="W12" s="3334">
        <f t="shared" ref="W12" si="1">SUM(W9:AB11)</f>
        <v>0</v>
      </c>
      <c r="X12" s="3332"/>
      <c r="Y12" s="3332"/>
      <c r="Z12" s="3332"/>
      <c r="AA12" s="3332"/>
      <c r="AB12" s="3333"/>
      <c r="AC12" s="3334">
        <f t="shared" ref="AC12" si="2">SUM(AC9:AH11)</f>
        <v>0</v>
      </c>
      <c r="AD12" s="3332"/>
      <c r="AE12" s="3332"/>
      <c r="AF12" s="3332"/>
      <c r="AG12" s="3332"/>
      <c r="AH12" s="3333"/>
      <c r="AI12" s="3334">
        <f t="shared" ref="AI12" si="3">SUM(AI9:AN11)</f>
        <v>0</v>
      </c>
      <c r="AJ12" s="3332"/>
      <c r="AK12" s="3332"/>
      <c r="AL12" s="3332"/>
      <c r="AM12" s="3332"/>
      <c r="AN12" s="3333"/>
      <c r="AO12" s="1092"/>
      <c r="AP12" s="1093"/>
      <c r="AQ12" s="606"/>
      <c r="AR12" s="1094"/>
      <c r="AS12" s="874"/>
      <c r="AT12" s="874"/>
      <c r="AU12" s="874"/>
      <c r="BE12" s="588"/>
      <c r="BF12" s="588"/>
      <c r="BG12" s="588"/>
      <c r="BH12" s="588"/>
    </row>
    <row r="13" spans="3:60" ht="6" customHeight="1">
      <c r="C13" s="1018"/>
      <c r="D13" s="614"/>
      <c r="F13" s="1102"/>
      <c r="G13" s="1102"/>
      <c r="H13" s="1102"/>
      <c r="I13" s="1102"/>
      <c r="J13" s="1102"/>
      <c r="K13" s="1102"/>
      <c r="L13" s="1102"/>
      <c r="M13" s="1092"/>
      <c r="N13" s="1092"/>
      <c r="O13" s="1092"/>
      <c r="P13" s="1092"/>
      <c r="Q13" s="1092"/>
      <c r="R13" s="1092"/>
      <c r="S13" s="1092"/>
      <c r="T13" s="1092"/>
      <c r="U13" s="1092"/>
      <c r="V13" s="1092"/>
      <c r="W13" s="1092"/>
      <c r="X13" s="1092"/>
      <c r="Y13" s="1092"/>
      <c r="Z13" s="1092"/>
      <c r="AA13" s="1092"/>
      <c r="AB13" s="1092"/>
      <c r="AC13" s="1092"/>
      <c r="AD13" s="1092"/>
      <c r="AE13" s="1092"/>
      <c r="AF13" s="1092"/>
      <c r="AG13" s="1092"/>
      <c r="AH13" s="1092"/>
      <c r="AI13" s="1092"/>
      <c r="AJ13" s="1092"/>
      <c r="AK13" s="1092"/>
      <c r="AL13" s="1092"/>
      <c r="AM13" s="1092"/>
      <c r="AN13" s="1092"/>
      <c r="AO13" s="1092"/>
      <c r="AP13" s="1093"/>
      <c r="AQ13" s="606"/>
      <c r="AR13" s="1094"/>
      <c r="AS13" s="874"/>
      <c r="AT13" s="874"/>
      <c r="AU13" s="874"/>
      <c r="BE13" s="588"/>
      <c r="BF13" s="588"/>
      <c r="BG13" s="588"/>
      <c r="BH13" s="588"/>
    </row>
    <row r="14" spans="3:60" ht="16.5" customHeight="1">
      <c r="D14" s="614"/>
      <c r="E14" s="1081" t="s">
        <v>152</v>
      </c>
      <c r="F14" s="1012" t="s">
        <v>822</v>
      </c>
      <c r="G14" s="1012"/>
      <c r="H14" s="1013"/>
      <c r="I14" s="1013"/>
      <c r="J14" s="1013"/>
      <c r="K14" s="1013"/>
      <c r="L14" s="1013"/>
      <c r="M14" s="1013"/>
      <c r="N14" s="1013"/>
      <c r="O14" s="1013"/>
      <c r="P14" s="1013"/>
      <c r="Q14" s="874"/>
      <c r="R14" s="588"/>
      <c r="S14" s="588"/>
      <c r="T14" s="588"/>
      <c r="U14" s="588"/>
      <c r="V14" s="588"/>
      <c r="W14" s="1014"/>
      <c r="X14" s="874"/>
      <c r="Y14" s="874"/>
      <c r="Z14" s="874"/>
      <c r="AA14" s="874"/>
      <c r="AB14" s="874"/>
      <c r="AC14" s="874"/>
      <c r="AD14" s="588"/>
      <c r="AE14" s="588"/>
      <c r="AF14" s="588"/>
      <c r="AG14" s="588"/>
      <c r="AH14" s="588"/>
      <c r="AI14" s="588"/>
      <c r="AJ14" s="588"/>
      <c r="AK14" s="588"/>
      <c r="AL14" s="588"/>
      <c r="AM14" s="588"/>
      <c r="AN14" s="588"/>
      <c r="AO14" s="588"/>
      <c r="AP14" s="812"/>
      <c r="AY14" s="588"/>
      <c r="AZ14" s="588"/>
      <c r="BA14" s="588"/>
      <c r="BB14" s="588"/>
    </row>
    <row r="15" spans="3:60" ht="2.15" customHeight="1" thickBot="1">
      <c r="D15" s="614"/>
      <c r="G15" s="1080"/>
      <c r="H15" s="629"/>
      <c r="I15" s="629"/>
      <c r="J15" s="629"/>
      <c r="K15" s="629"/>
      <c r="L15" s="629"/>
      <c r="M15" s="629"/>
      <c r="N15" s="629"/>
      <c r="O15" s="629"/>
      <c r="P15" s="629"/>
      <c r="Q15" s="874"/>
      <c r="S15" s="874"/>
      <c r="T15" s="975"/>
      <c r="U15" s="588"/>
      <c r="X15" s="874"/>
      <c r="Y15" s="975"/>
      <c r="Z15" s="588"/>
      <c r="AA15" s="588"/>
      <c r="AB15" s="588"/>
      <c r="AC15" s="588"/>
      <c r="AD15" s="588"/>
      <c r="AE15" s="588"/>
      <c r="AG15" s="874"/>
      <c r="AH15" s="874"/>
      <c r="AI15" s="874"/>
      <c r="AJ15" s="874"/>
      <c r="AK15" s="874"/>
      <c r="AL15" s="874"/>
      <c r="AM15" s="874"/>
      <c r="AN15" s="874"/>
      <c r="AO15" s="874"/>
      <c r="AP15" s="1023"/>
      <c r="AY15" s="588"/>
      <c r="AZ15" s="588"/>
      <c r="BA15" s="588"/>
      <c r="BB15" s="588"/>
    </row>
    <row r="16" spans="3:60" ht="18.649999999999999" customHeight="1">
      <c r="C16" s="1018"/>
      <c r="D16" s="614"/>
      <c r="F16" s="3471" t="s">
        <v>124</v>
      </c>
      <c r="G16" s="3472"/>
      <c r="H16" s="3472"/>
      <c r="I16" s="3472"/>
      <c r="J16" s="3473"/>
      <c r="K16" s="3392" t="s">
        <v>819</v>
      </c>
      <c r="L16" s="3393"/>
      <c r="M16" s="3393"/>
      <c r="N16" s="3393"/>
      <c r="O16" s="3393"/>
      <c r="P16" s="3394"/>
      <c r="Q16" s="3392" t="s">
        <v>820</v>
      </c>
      <c r="R16" s="3393"/>
      <c r="S16" s="3393"/>
      <c r="T16" s="3393"/>
      <c r="U16" s="3393"/>
      <c r="V16" s="3394"/>
      <c r="W16" s="3365" t="s">
        <v>823</v>
      </c>
      <c r="X16" s="3366"/>
      <c r="Y16" s="3366"/>
      <c r="Z16" s="3366"/>
      <c r="AA16" s="3366"/>
      <c r="AB16" s="3366"/>
      <c r="AC16" s="3366"/>
      <c r="AD16" s="3366"/>
      <c r="AE16" s="3366"/>
      <c r="AF16" s="3366"/>
      <c r="AG16" s="3366"/>
      <c r="AH16" s="3367"/>
      <c r="AI16" s="3392" t="s">
        <v>821</v>
      </c>
      <c r="AJ16" s="3393"/>
      <c r="AK16" s="3393"/>
      <c r="AL16" s="3393"/>
      <c r="AM16" s="3393"/>
      <c r="AN16" s="3394"/>
      <c r="AO16" s="1103"/>
      <c r="AP16" s="1104"/>
      <c r="AQ16" s="1105"/>
      <c r="AR16" s="1094"/>
      <c r="AS16" s="874"/>
      <c r="AT16" s="874"/>
      <c r="AU16" s="874"/>
      <c r="BE16" s="588"/>
      <c r="BF16" s="588"/>
      <c r="BG16" s="588"/>
      <c r="BH16" s="588"/>
    </row>
    <row r="17" spans="3:60" ht="15.65" customHeight="1" thickBot="1">
      <c r="C17" s="1018"/>
      <c r="D17" s="614"/>
      <c r="F17" s="3363"/>
      <c r="G17" s="3353"/>
      <c r="H17" s="3353"/>
      <c r="I17" s="3353"/>
      <c r="J17" s="3361"/>
      <c r="K17" s="3398"/>
      <c r="L17" s="3399"/>
      <c r="M17" s="3399"/>
      <c r="N17" s="3399"/>
      <c r="O17" s="3399"/>
      <c r="P17" s="3400"/>
      <c r="Q17" s="3398"/>
      <c r="R17" s="3399"/>
      <c r="S17" s="3399"/>
      <c r="T17" s="3399"/>
      <c r="U17" s="3399"/>
      <c r="V17" s="3400"/>
      <c r="W17" s="3377" t="s">
        <v>889</v>
      </c>
      <c r="X17" s="3378"/>
      <c r="Y17" s="3378"/>
      <c r="Z17" s="3378"/>
      <c r="AA17" s="3378"/>
      <c r="AB17" s="3379"/>
      <c r="AC17" s="3377" t="s">
        <v>890</v>
      </c>
      <c r="AD17" s="3378"/>
      <c r="AE17" s="3378"/>
      <c r="AF17" s="3378"/>
      <c r="AG17" s="3378"/>
      <c r="AH17" s="3379"/>
      <c r="AI17" s="3398"/>
      <c r="AJ17" s="3399"/>
      <c r="AK17" s="3399"/>
      <c r="AL17" s="3399"/>
      <c r="AM17" s="3399"/>
      <c r="AN17" s="3400"/>
      <c r="AO17" s="1103"/>
      <c r="AP17" s="1104"/>
      <c r="AQ17" s="1105"/>
      <c r="AR17" s="1094"/>
      <c r="AS17" s="874"/>
      <c r="AT17" s="874"/>
      <c r="AU17" s="874"/>
      <c r="BE17" s="588"/>
      <c r="BF17" s="588"/>
      <c r="BG17" s="588"/>
      <c r="BH17" s="588"/>
    </row>
    <row r="18" spans="3:60" ht="25" customHeight="1">
      <c r="C18" s="1018"/>
      <c r="D18" s="614"/>
      <c r="F18" s="3492" t="s">
        <v>22</v>
      </c>
      <c r="G18" s="3493"/>
      <c r="H18" s="3493"/>
      <c r="I18" s="3493"/>
      <c r="J18" s="3494"/>
      <c r="K18" s="3437">
        <v>0</v>
      </c>
      <c r="L18" s="3438"/>
      <c r="M18" s="3438"/>
      <c r="N18" s="3438"/>
      <c r="O18" s="3438"/>
      <c r="P18" s="3439"/>
      <c r="Q18" s="3437">
        <v>0</v>
      </c>
      <c r="R18" s="3438"/>
      <c r="S18" s="3438"/>
      <c r="T18" s="3438"/>
      <c r="U18" s="3438"/>
      <c r="V18" s="3439"/>
      <c r="W18" s="3437">
        <v>0</v>
      </c>
      <c r="X18" s="3438"/>
      <c r="Y18" s="3438"/>
      <c r="Z18" s="3438"/>
      <c r="AA18" s="3438"/>
      <c r="AB18" s="3439"/>
      <c r="AC18" s="3437">
        <v>0</v>
      </c>
      <c r="AD18" s="3438"/>
      <c r="AE18" s="3438"/>
      <c r="AF18" s="3438"/>
      <c r="AG18" s="3438"/>
      <c r="AH18" s="3439"/>
      <c r="AI18" s="3495">
        <v>0</v>
      </c>
      <c r="AJ18" s="3496"/>
      <c r="AK18" s="3496"/>
      <c r="AL18" s="3496"/>
      <c r="AM18" s="3496"/>
      <c r="AN18" s="3497"/>
      <c r="AO18" s="1100"/>
      <c r="AP18" s="1101"/>
      <c r="AQ18" s="607"/>
      <c r="AR18" s="1094"/>
      <c r="AS18" s="874"/>
      <c r="AT18" s="874"/>
      <c r="AU18" s="874"/>
      <c r="BE18" s="588"/>
      <c r="BF18" s="588"/>
      <c r="BG18" s="588"/>
      <c r="BH18" s="588"/>
    </row>
    <row r="19" spans="3:60" ht="25" customHeight="1">
      <c r="C19" s="1018"/>
      <c r="D19" s="614"/>
      <c r="F19" s="3486" t="s">
        <v>23</v>
      </c>
      <c r="G19" s="3487"/>
      <c r="H19" s="3487"/>
      <c r="I19" s="3487"/>
      <c r="J19" s="3488"/>
      <c r="K19" s="3434">
        <v>0</v>
      </c>
      <c r="L19" s="3435"/>
      <c r="M19" s="3435"/>
      <c r="N19" s="3435"/>
      <c r="O19" s="3435"/>
      <c r="P19" s="3436"/>
      <c r="Q19" s="3434">
        <v>0</v>
      </c>
      <c r="R19" s="3435"/>
      <c r="S19" s="3435"/>
      <c r="T19" s="3435"/>
      <c r="U19" s="3435"/>
      <c r="V19" s="3436"/>
      <c r="W19" s="3434">
        <v>0</v>
      </c>
      <c r="X19" s="3435"/>
      <c r="Y19" s="3435"/>
      <c r="Z19" s="3435"/>
      <c r="AA19" s="3435"/>
      <c r="AB19" s="3436"/>
      <c r="AC19" s="3434">
        <v>0</v>
      </c>
      <c r="AD19" s="3435"/>
      <c r="AE19" s="3435"/>
      <c r="AF19" s="3435"/>
      <c r="AG19" s="3435"/>
      <c r="AH19" s="3436"/>
      <c r="AI19" s="3455">
        <v>0</v>
      </c>
      <c r="AJ19" s="3262"/>
      <c r="AK19" s="3262"/>
      <c r="AL19" s="3262"/>
      <c r="AM19" s="3262"/>
      <c r="AN19" s="3263"/>
      <c r="AO19" s="1092"/>
      <c r="AP19" s="1093"/>
      <c r="AQ19" s="606"/>
      <c r="AR19" s="1094"/>
      <c r="AS19" s="874"/>
      <c r="AT19" s="874"/>
      <c r="AU19" s="874"/>
      <c r="BE19" s="588"/>
      <c r="BF19" s="588"/>
      <c r="BG19" s="588"/>
      <c r="BH19" s="588"/>
    </row>
    <row r="20" spans="3:60" ht="25" customHeight="1" thickBot="1">
      <c r="C20" s="1018"/>
      <c r="D20" s="614"/>
      <c r="F20" s="3489" t="s">
        <v>24</v>
      </c>
      <c r="G20" s="3490"/>
      <c r="H20" s="3490"/>
      <c r="I20" s="3490"/>
      <c r="J20" s="3491"/>
      <c r="K20" s="3322">
        <v>0</v>
      </c>
      <c r="L20" s="3346"/>
      <c r="M20" s="3346"/>
      <c r="N20" s="3346"/>
      <c r="O20" s="3346"/>
      <c r="P20" s="3331"/>
      <c r="Q20" s="3322">
        <v>0</v>
      </c>
      <c r="R20" s="3346"/>
      <c r="S20" s="3346"/>
      <c r="T20" s="3346"/>
      <c r="U20" s="3346"/>
      <c r="V20" s="3331"/>
      <c r="W20" s="3322">
        <v>0</v>
      </c>
      <c r="X20" s="3346"/>
      <c r="Y20" s="3346"/>
      <c r="Z20" s="3346"/>
      <c r="AA20" s="3346"/>
      <c r="AB20" s="3331"/>
      <c r="AC20" s="3322">
        <v>0</v>
      </c>
      <c r="AD20" s="3346"/>
      <c r="AE20" s="3346"/>
      <c r="AF20" s="3346"/>
      <c r="AG20" s="3346"/>
      <c r="AH20" s="3331"/>
      <c r="AI20" s="3322">
        <v>0</v>
      </c>
      <c r="AJ20" s="3346"/>
      <c r="AK20" s="3346"/>
      <c r="AL20" s="3346"/>
      <c r="AM20" s="3346"/>
      <c r="AN20" s="3331"/>
      <c r="AO20" s="1092"/>
      <c r="AP20" s="1093"/>
      <c r="AQ20" s="606"/>
      <c r="AR20" s="1094"/>
      <c r="AS20" s="874"/>
      <c r="AT20" s="874"/>
      <c r="AU20" s="874"/>
      <c r="BE20" s="588"/>
      <c r="BF20" s="588"/>
      <c r="BG20" s="588"/>
      <c r="BH20" s="588"/>
    </row>
    <row r="21" spans="3:60" ht="25" customHeight="1" thickTop="1" thickBot="1">
      <c r="C21" s="1018"/>
      <c r="D21" s="614"/>
      <c r="F21" s="3483" t="s">
        <v>29</v>
      </c>
      <c r="G21" s="3484"/>
      <c r="H21" s="3484"/>
      <c r="I21" s="3484"/>
      <c r="J21" s="3485"/>
      <c r="K21" s="3483">
        <f>SUM(K18:P20)</f>
        <v>0</v>
      </c>
      <c r="L21" s="3484"/>
      <c r="M21" s="3484"/>
      <c r="N21" s="3484"/>
      <c r="O21" s="3484"/>
      <c r="P21" s="3485"/>
      <c r="Q21" s="3483">
        <f t="shared" ref="Q21" si="4">SUM(Q18:V20)</f>
        <v>0</v>
      </c>
      <c r="R21" s="3484"/>
      <c r="S21" s="3484"/>
      <c r="T21" s="3484"/>
      <c r="U21" s="3484"/>
      <c r="V21" s="3485"/>
      <c r="W21" s="3483">
        <f t="shared" ref="W21" si="5">SUM(W18:AB20)</f>
        <v>0</v>
      </c>
      <c r="X21" s="3484"/>
      <c r="Y21" s="3484"/>
      <c r="Z21" s="3484"/>
      <c r="AA21" s="3484"/>
      <c r="AB21" s="3485"/>
      <c r="AC21" s="3483">
        <f t="shared" ref="AC21" si="6">SUM(AC18:AH20)</f>
        <v>0</v>
      </c>
      <c r="AD21" s="3484"/>
      <c r="AE21" s="3484"/>
      <c r="AF21" s="3484"/>
      <c r="AG21" s="3484"/>
      <c r="AH21" s="3485"/>
      <c r="AI21" s="3334">
        <f t="shared" ref="AI21" si="7">SUM(AI18:AN20)</f>
        <v>0</v>
      </c>
      <c r="AJ21" s="3332"/>
      <c r="AK21" s="3332"/>
      <c r="AL21" s="3332"/>
      <c r="AM21" s="3332"/>
      <c r="AN21" s="3333"/>
      <c r="AO21" s="1092"/>
      <c r="AP21" s="1093"/>
      <c r="AQ21" s="606"/>
      <c r="AR21" s="1094"/>
      <c r="AS21" s="874"/>
      <c r="AT21" s="874"/>
      <c r="AU21" s="874"/>
      <c r="BE21" s="588"/>
      <c r="BF21" s="588"/>
      <c r="BG21" s="588"/>
      <c r="BH21" s="588"/>
    </row>
    <row r="22" spans="3:60" ht="6" customHeight="1">
      <c r="C22" s="1018"/>
      <c r="D22" s="614"/>
      <c r="F22" s="1102"/>
      <c r="G22" s="1102"/>
      <c r="H22" s="1102"/>
      <c r="I22" s="1102"/>
      <c r="J22" s="1102"/>
      <c r="K22" s="1102"/>
      <c r="L22" s="110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3"/>
      <c r="AQ22" s="606"/>
      <c r="AR22" s="1094"/>
      <c r="AS22" s="874"/>
      <c r="AT22" s="874"/>
      <c r="AU22" s="874"/>
      <c r="BE22" s="588"/>
      <c r="BF22" s="588"/>
      <c r="BG22" s="588"/>
      <c r="BH22" s="588"/>
    </row>
    <row r="23" spans="3:60" ht="23.15" customHeight="1">
      <c r="D23" s="614"/>
      <c r="E23" s="1081" t="s">
        <v>153</v>
      </c>
      <c r="F23" s="1012" t="s">
        <v>824</v>
      </c>
      <c r="G23" s="1012"/>
      <c r="H23" s="1013"/>
      <c r="I23" s="1013"/>
      <c r="J23" s="1013"/>
      <c r="K23" s="1013"/>
      <c r="L23" s="1013"/>
      <c r="M23" s="1013"/>
      <c r="N23" s="1013"/>
      <c r="O23" s="1013"/>
      <c r="P23" s="1013"/>
      <c r="Q23" s="874"/>
      <c r="R23" s="588"/>
      <c r="S23" s="588"/>
      <c r="T23" s="588"/>
      <c r="U23" s="588"/>
      <c r="V23" s="588"/>
      <c r="X23" s="857">
        <v>0</v>
      </c>
      <c r="Y23" s="588" t="s">
        <v>64</v>
      </c>
      <c r="Z23" s="588"/>
      <c r="AC23" s="857" t="b">
        <v>1</v>
      </c>
      <c r="AD23" s="588" t="s">
        <v>0</v>
      </c>
      <c r="AE23" s="588"/>
      <c r="AF23" s="588"/>
      <c r="AG23" s="588"/>
      <c r="AH23" s="588"/>
      <c r="AI23" s="588"/>
      <c r="AJ23" s="588"/>
      <c r="AK23" s="588"/>
      <c r="AL23" s="588"/>
      <c r="AM23" s="588"/>
      <c r="AN23" s="588"/>
      <c r="AO23" s="588"/>
      <c r="AP23" s="812"/>
      <c r="AY23" s="588"/>
      <c r="AZ23" s="588"/>
      <c r="BA23" s="588"/>
      <c r="BB23" s="588"/>
    </row>
    <row r="24" spans="3:60" ht="6" customHeight="1">
      <c r="D24" s="614"/>
      <c r="G24" s="1012"/>
      <c r="H24" s="1024"/>
      <c r="I24" s="1024"/>
      <c r="J24" s="1024"/>
      <c r="K24" s="1024"/>
      <c r="L24" s="1024"/>
      <c r="M24" s="1024"/>
      <c r="N24" s="1024"/>
      <c r="O24" s="1024"/>
      <c r="P24" s="1024"/>
      <c r="Q24" s="874"/>
      <c r="S24" s="874"/>
      <c r="T24" s="588"/>
      <c r="U24" s="588"/>
      <c r="X24" s="874"/>
      <c r="Y24" s="588"/>
      <c r="Z24" s="588"/>
      <c r="AA24" s="588"/>
      <c r="AB24" s="588"/>
      <c r="AC24" s="588"/>
      <c r="AD24" s="588"/>
      <c r="AE24" s="588"/>
      <c r="AG24" s="874"/>
      <c r="AH24" s="874"/>
      <c r="AI24" s="874"/>
      <c r="AJ24" s="874"/>
      <c r="AK24" s="874"/>
      <c r="AL24" s="874"/>
      <c r="AM24" s="874"/>
      <c r="AN24" s="874"/>
      <c r="AO24" s="874"/>
      <c r="AP24" s="1023"/>
      <c r="AY24" s="588"/>
      <c r="AZ24" s="588"/>
      <c r="BA24" s="588"/>
      <c r="BB24" s="588"/>
    </row>
    <row r="25" spans="3:60" ht="18" customHeight="1">
      <c r="D25" s="614"/>
      <c r="E25" s="1081" t="s">
        <v>154</v>
      </c>
      <c r="F25" s="1012" t="s">
        <v>891</v>
      </c>
      <c r="G25" s="1012"/>
      <c r="H25" s="1013"/>
      <c r="I25" s="1013"/>
      <c r="J25" s="1013"/>
      <c r="K25" s="1013"/>
      <c r="L25" s="1013"/>
      <c r="M25" s="1013"/>
      <c r="N25" s="1013"/>
      <c r="O25" s="1013"/>
      <c r="P25" s="1013"/>
      <c r="Q25" s="874"/>
      <c r="R25" s="588"/>
      <c r="S25" s="588"/>
      <c r="T25" s="588"/>
      <c r="U25" s="588"/>
      <c r="V25" s="588"/>
      <c r="W25" s="1014"/>
      <c r="X25" s="874"/>
      <c r="Y25" s="874"/>
      <c r="Z25" s="874"/>
      <c r="AA25" s="874"/>
      <c r="AB25" s="874"/>
      <c r="AC25" s="874"/>
      <c r="AD25" s="588"/>
      <c r="AE25" s="588"/>
      <c r="AF25" s="588"/>
      <c r="AG25" s="588"/>
      <c r="AH25" s="588"/>
      <c r="AI25" s="588"/>
      <c r="AJ25" s="588"/>
      <c r="AK25" s="588"/>
      <c r="AL25" s="588"/>
      <c r="AM25" s="588"/>
      <c r="AN25" s="588"/>
      <c r="AO25" s="588"/>
      <c r="AP25" s="812"/>
      <c r="AY25" s="588"/>
      <c r="AZ25" s="588"/>
      <c r="BA25" s="588"/>
      <c r="BB25" s="588"/>
    </row>
    <row r="26" spans="3:60" ht="2.15" customHeight="1" thickBot="1">
      <c r="D26" s="614"/>
      <c r="G26" s="1080"/>
      <c r="H26" s="629"/>
      <c r="I26" s="629"/>
      <c r="J26" s="629"/>
      <c r="K26" s="629"/>
      <c r="L26" s="629"/>
      <c r="M26" s="629"/>
      <c r="N26" s="629"/>
      <c r="O26" s="629"/>
      <c r="P26" s="629"/>
      <c r="Q26" s="874"/>
      <c r="S26" s="874"/>
      <c r="T26" s="975"/>
      <c r="U26" s="588"/>
      <c r="X26" s="874"/>
      <c r="Y26" s="975"/>
      <c r="Z26" s="588"/>
      <c r="AA26" s="588"/>
      <c r="AB26" s="588"/>
      <c r="AC26" s="588"/>
      <c r="AD26" s="588"/>
      <c r="AE26" s="588"/>
      <c r="AG26" s="874"/>
      <c r="AH26" s="874"/>
      <c r="AI26" s="874"/>
      <c r="AJ26" s="874"/>
      <c r="AK26" s="874"/>
      <c r="AL26" s="874"/>
      <c r="AM26" s="874"/>
      <c r="AN26" s="874"/>
      <c r="AO26" s="874"/>
      <c r="AP26" s="1023"/>
      <c r="AY26" s="588"/>
      <c r="AZ26" s="588"/>
      <c r="BA26" s="588"/>
      <c r="BB26" s="588"/>
    </row>
    <row r="27" spans="3:60" ht="79.5" customHeight="1" thickBot="1">
      <c r="C27" s="1018"/>
      <c r="D27" s="614"/>
      <c r="F27" s="3348" t="s">
        <v>124</v>
      </c>
      <c r="G27" s="3441"/>
      <c r="H27" s="3441"/>
      <c r="I27" s="3441"/>
      <c r="J27" s="3390"/>
      <c r="K27" s="3442" t="s">
        <v>825</v>
      </c>
      <c r="L27" s="3443"/>
      <c r="M27" s="3443"/>
      <c r="N27" s="3443"/>
      <c r="O27" s="3443"/>
      <c r="P27" s="3444"/>
      <c r="Q27" s="3442" t="s">
        <v>892</v>
      </c>
      <c r="R27" s="3443"/>
      <c r="S27" s="3443"/>
      <c r="T27" s="3443"/>
      <c r="U27" s="3443"/>
      <c r="V27" s="3444"/>
      <c r="W27" s="3442" t="s">
        <v>826</v>
      </c>
      <c r="X27" s="3443"/>
      <c r="Y27" s="3443"/>
      <c r="Z27" s="3443"/>
      <c r="AA27" s="3443"/>
      <c r="AB27" s="3444"/>
      <c r="AC27" s="3442" t="s">
        <v>827</v>
      </c>
      <c r="AD27" s="3443"/>
      <c r="AE27" s="3443"/>
      <c r="AF27" s="3443"/>
      <c r="AG27" s="3443"/>
      <c r="AH27" s="3444"/>
      <c r="AI27" s="3442" t="s">
        <v>828</v>
      </c>
      <c r="AJ27" s="3443"/>
      <c r="AK27" s="3443"/>
      <c r="AL27" s="3443"/>
      <c r="AM27" s="3443"/>
      <c r="AN27" s="3444"/>
      <c r="AO27" s="1103"/>
      <c r="AP27" s="1104"/>
      <c r="AQ27" s="1105"/>
      <c r="AR27" s="1094"/>
      <c r="AS27" s="874"/>
      <c r="AT27" s="874"/>
      <c r="AU27" s="874"/>
      <c r="BE27" s="588"/>
      <c r="BF27" s="588"/>
      <c r="BG27" s="588"/>
      <c r="BH27" s="588"/>
    </row>
    <row r="28" spans="3:60" ht="25" customHeight="1">
      <c r="C28" s="1018"/>
      <c r="D28" s="614"/>
      <c r="F28" s="3492" t="s">
        <v>22</v>
      </c>
      <c r="G28" s="3493"/>
      <c r="H28" s="3493"/>
      <c r="I28" s="3493"/>
      <c r="J28" s="3494"/>
      <c r="K28" s="3437">
        <v>0</v>
      </c>
      <c r="L28" s="3438"/>
      <c r="M28" s="3438"/>
      <c r="N28" s="3438"/>
      <c r="O28" s="3438"/>
      <c r="P28" s="3439"/>
      <c r="Q28" s="3437">
        <v>0</v>
      </c>
      <c r="R28" s="3438"/>
      <c r="S28" s="3438"/>
      <c r="T28" s="3438"/>
      <c r="U28" s="3438"/>
      <c r="V28" s="3439"/>
      <c r="W28" s="3437">
        <v>0</v>
      </c>
      <c r="X28" s="3438"/>
      <c r="Y28" s="3438"/>
      <c r="Z28" s="3438"/>
      <c r="AA28" s="3438"/>
      <c r="AB28" s="3439"/>
      <c r="AC28" s="3437">
        <v>0</v>
      </c>
      <c r="AD28" s="3438"/>
      <c r="AE28" s="3438"/>
      <c r="AF28" s="3438"/>
      <c r="AG28" s="3438"/>
      <c r="AH28" s="3439"/>
      <c r="AI28" s="3437">
        <v>0</v>
      </c>
      <c r="AJ28" s="3438"/>
      <c r="AK28" s="3438"/>
      <c r="AL28" s="3438"/>
      <c r="AM28" s="3438"/>
      <c r="AN28" s="3439"/>
      <c r="AO28" s="1100"/>
      <c r="AP28" s="1101"/>
      <c r="AQ28" s="607"/>
      <c r="AR28" s="1094"/>
      <c r="AS28" s="874"/>
      <c r="AT28" s="874"/>
      <c r="AU28" s="874"/>
      <c r="BE28" s="588"/>
      <c r="BF28" s="588"/>
      <c r="BG28" s="588"/>
      <c r="BH28" s="588"/>
    </row>
    <row r="29" spans="3:60" ht="25" customHeight="1">
      <c r="C29" s="1018"/>
      <c r="D29" s="614"/>
      <c r="F29" s="3486" t="s">
        <v>23</v>
      </c>
      <c r="G29" s="3487"/>
      <c r="H29" s="3487"/>
      <c r="I29" s="3487"/>
      <c r="J29" s="3488"/>
      <c r="K29" s="3434">
        <v>0</v>
      </c>
      <c r="L29" s="3435"/>
      <c r="M29" s="3435"/>
      <c r="N29" s="3435"/>
      <c r="O29" s="3435"/>
      <c r="P29" s="3436"/>
      <c r="Q29" s="3434">
        <v>0</v>
      </c>
      <c r="R29" s="3435"/>
      <c r="S29" s="3435"/>
      <c r="T29" s="3435"/>
      <c r="U29" s="3435"/>
      <c r="V29" s="3436"/>
      <c r="W29" s="3434">
        <v>0</v>
      </c>
      <c r="X29" s="3435"/>
      <c r="Y29" s="3435"/>
      <c r="Z29" s="3435"/>
      <c r="AA29" s="3435"/>
      <c r="AB29" s="3436"/>
      <c r="AC29" s="3434">
        <v>0</v>
      </c>
      <c r="AD29" s="3435"/>
      <c r="AE29" s="3435"/>
      <c r="AF29" s="3435"/>
      <c r="AG29" s="3435"/>
      <c r="AH29" s="3436"/>
      <c r="AI29" s="3434">
        <v>0</v>
      </c>
      <c r="AJ29" s="3435"/>
      <c r="AK29" s="3435"/>
      <c r="AL29" s="3435"/>
      <c r="AM29" s="3435"/>
      <c r="AN29" s="3436"/>
      <c r="AO29" s="1092"/>
      <c r="AP29" s="1093"/>
      <c r="AQ29" s="606"/>
      <c r="AR29" s="1094"/>
      <c r="AS29" s="874"/>
      <c r="AT29" s="874"/>
      <c r="AU29" s="874"/>
      <c r="BE29" s="588"/>
      <c r="BF29" s="588"/>
      <c r="BG29" s="588"/>
      <c r="BH29" s="588"/>
    </row>
    <row r="30" spans="3:60" ht="25" customHeight="1" thickBot="1">
      <c r="C30" s="1018"/>
      <c r="D30" s="614"/>
      <c r="F30" s="3489" t="s">
        <v>24</v>
      </c>
      <c r="G30" s="3490"/>
      <c r="H30" s="3490"/>
      <c r="I30" s="3490"/>
      <c r="J30" s="3491"/>
      <c r="K30" s="3322">
        <v>0</v>
      </c>
      <c r="L30" s="3346"/>
      <c r="M30" s="3346"/>
      <c r="N30" s="3346"/>
      <c r="O30" s="3346"/>
      <c r="P30" s="3331"/>
      <c r="Q30" s="3322">
        <v>0</v>
      </c>
      <c r="R30" s="3346"/>
      <c r="S30" s="3346"/>
      <c r="T30" s="3346"/>
      <c r="U30" s="3346"/>
      <c r="V30" s="3331"/>
      <c r="W30" s="3322">
        <v>0</v>
      </c>
      <c r="X30" s="3346"/>
      <c r="Y30" s="3346"/>
      <c r="Z30" s="3346"/>
      <c r="AA30" s="3346"/>
      <c r="AB30" s="3331"/>
      <c r="AC30" s="3322">
        <v>0</v>
      </c>
      <c r="AD30" s="3346"/>
      <c r="AE30" s="3346"/>
      <c r="AF30" s="3346"/>
      <c r="AG30" s="3346"/>
      <c r="AH30" s="3331"/>
      <c r="AI30" s="3322">
        <v>0</v>
      </c>
      <c r="AJ30" s="3346"/>
      <c r="AK30" s="3346"/>
      <c r="AL30" s="3346"/>
      <c r="AM30" s="3346"/>
      <c r="AN30" s="3331"/>
      <c r="AO30" s="1092"/>
      <c r="AP30" s="1093"/>
      <c r="AQ30" s="606"/>
      <c r="AR30" s="1094"/>
      <c r="AS30" s="874"/>
      <c r="AT30" s="874"/>
      <c r="AU30" s="874"/>
      <c r="BE30" s="588"/>
      <c r="BF30" s="588"/>
      <c r="BG30" s="588"/>
      <c r="BH30" s="588"/>
    </row>
    <row r="31" spans="3:60" ht="25" customHeight="1" thickTop="1" thickBot="1">
      <c r="C31" s="1018"/>
      <c r="D31" s="614"/>
      <c r="F31" s="3483" t="s">
        <v>29</v>
      </c>
      <c r="G31" s="3484"/>
      <c r="H31" s="3484"/>
      <c r="I31" s="3484"/>
      <c r="J31" s="3485"/>
      <c r="K31" s="3334">
        <f>SUM(K28:P30)</f>
        <v>0</v>
      </c>
      <c r="L31" s="3332"/>
      <c r="M31" s="3332"/>
      <c r="N31" s="3332"/>
      <c r="O31" s="3332"/>
      <c r="P31" s="3333"/>
      <c r="Q31" s="3334">
        <f t="shared" ref="Q31" si="8">SUM(Q28:V30)</f>
        <v>0</v>
      </c>
      <c r="R31" s="3332"/>
      <c r="S31" s="3332"/>
      <c r="T31" s="3332"/>
      <c r="U31" s="3332"/>
      <c r="V31" s="3333"/>
      <c r="W31" s="3334">
        <f t="shared" ref="W31" si="9">SUM(W28:AB30)</f>
        <v>0</v>
      </c>
      <c r="X31" s="3332"/>
      <c r="Y31" s="3332"/>
      <c r="Z31" s="3332"/>
      <c r="AA31" s="3332"/>
      <c r="AB31" s="3333"/>
      <c r="AC31" s="3334">
        <f t="shared" ref="AC31" si="10">SUM(AC28:AH30)</f>
        <v>0</v>
      </c>
      <c r="AD31" s="3332"/>
      <c r="AE31" s="3332"/>
      <c r="AF31" s="3332"/>
      <c r="AG31" s="3332"/>
      <c r="AH31" s="3333"/>
      <c r="AI31" s="3334">
        <f t="shared" ref="AI31" si="11">SUM(AI28:AN30)</f>
        <v>0</v>
      </c>
      <c r="AJ31" s="3332"/>
      <c r="AK31" s="3332"/>
      <c r="AL31" s="3332"/>
      <c r="AM31" s="3332"/>
      <c r="AN31" s="3333"/>
      <c r="AO31" s="1092"/>
      <c r="AP31" s="1093"/>
      <c r="AQ31" s="606"/>
      <c r="AR31" s="1094"/>
      <c r="AS31" s="874"/>
      <c r="AT31" s="874"/>
      <c r="AU31" s="874"/>
      <c r="BE31" s="588"/>
      <c r="BF31" s="588"/>
      <c r="BG31" s="588"/>
      <c r="BH31" s="588"/>
    </row>
    <row r="32" spans="3:60" ht="6" customHeight="1">
      <c r="C32" s="1018"/>
      <c r="D32" s="614"/>
      <c r="F32" s="1102"/>
      <c r="G32" s="1102"/>
      <c r="H32" s="1102"/>
      <c r="I32" s="1102"/>
      <c r="J32" s="1102"/>
      <c r="K32" s="1102"/>
      <c r="L32" s="110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3"/>
      <c r="AQ32" s="606"/>
      <c r="AR32" s="1094"/>
      <c r="AS32" s="874"/>
      <c r="AT32" s="874"/>
      <c r="AU32" s="874"/>
      <c r="BE32" s="588"/>
      <c r="BF32" s="588"/>
      <c r="BG32" s="588"/>
      <c r="BH32" s="588"/>
    </row>
    <row r="33" spans="2:60" ht="17.149999999999999" customHeight="1">
      <c r="D33" s="614"/>
      <c r="E33" s="1081" t="s">
        <v>155</v>
      </c>
      <c r="F33" s="1012" t="s">
        <v>1303</v>
      </c>
      <c r="G33" s="1012"/>
      <c r="H33" s="1013"/>
      <c r="I33" s="1013"/>
      <c r="J33" s="1013"/>
      <c r="K33" s="1013"/>
      <c r="L33" s="1013"/>
      <c r="M33" s="1013"/>
      <c r="N33" s="1013"/>
      <c r="O33" s="1013"/>
      <c r="P33" s="1013"/>
      <c r="Q33" s="874"/>
      <c r="R33" s="588"/>
      <c r="S33" s="588"/>
      <c r="T33" s="588"/>
      <c r="U33" s="588"/>
      <c r="V33" s="588"/>
      <c r="W33" s="1014"/>
      <c r="X33" s="874"/>
      <c r="Y33" s="874"/>
      <c r="Z33" s="874"/>
      <c r="AA33" s="874"/>
      <c r="AB33" s="874"/>
      <c r="AC33" s="874"/>
      <c r="AD33" s="588"/>
      <c r="AE33" s="588"/>
      <c r="AF33" s="588"/>
      <c r="AG33" s="588"/>
      <c r="AH33" s="588"/>
      <c r="AI33" s="588"/>
      <c r="AJ33" s="588"/>
      <c r="AK33" s="588"/>
      <c r="AL33" s="588"/>
      <c r="AM33" s="588"/>
      <c r="AN33" s="588"/>
      <c r="AO33" s="588"/>
      <c r="AP33" s="812"/>
      <c r="AY33" s="588"/>
      <c r="AZ33" s="588"/>
      <c r="BA33" s="588"/>
      <c r="BB33" s="588"/>
    </row>
    <row r="34" spans="2:60" ht="2.5" customHeight="1" thickBot="1">
      <c r="D34" s="614"/>
      <c r="G34" s="1080"/>
      <c r="H34" s="629"/>
      <c r="I34" s="629"/>
      <c r="J34" s="629"/>
      <c r="K34" s="629"/>
      <c r="L34" s="629"/>
      <c r="M34" s="629"/>
      <c r="N34" s="629"/>
      <c r="O34" s="629"/>
      <c r="P34" s="629"/>
      <c r="Q34" s="874"/>
      <c r="S34" s="874"/>
      <c r="T34" s="975"/>
      <c r="U34" s="588"/>
      <c r="X34" s="874"/>
      <c r="Y34" s="975"/>
      <c r="Z34" s="588"/>
      <c r="AA34" s="588"/>
      <c r="AB34" s="588"/>
      <c r="AC34" s="588"/>
      <c r="AD34" s="588"/>
      <c r="AE34" s="588"/>
      <c r="AG34" s="874"/>
      <c r="AH34" s="874"/>
      <c r="AI34" s="874"/>
      <c r="AJ34" s="874"/>
      <c r="AK34" s="874"/>
      <c r="AL34" s="874"/>
      <c r="AM34" s="874"/>
      <c r="AN34" s="874"/>
      <c r="AO34" s="874"/>
      <c r="AP34" s="1023"/>
      <c r="AY34" s="588"/>
      <c r="AZ34" s="588"/>
      <c r="BA34" s="588"/>
      <c r="BB34" s="588"/>
    </row>
    <row r="35" spans="2:60" ht="65.150000000000006" customHeight="1" thickBot="1">
      <c r="C35" s="1018"/>
      <c r="D35" s="614"/>
      <c r="F35" s="3348" t="s">
        <v>124</v>
      </c>
      <c r="G35" s="3441"/>
      <c r="H35" s="3441"/>
      <c r="I35" s="3441"/>
      <c r="J35" s="3390"/>
      <c r="K35" s="3442" t="s">
        <v>829</v>
      </c>
      <c r="L35" s="3443"/>
      <c r="M35" s="3443"/>
      <c r="N35" s="3443"/>
      <c r="O35" s="3443"/>
      <c r="P35" s="3444"/>
      <c r="Q35" s="3442" t="s">
        <v>830</v>
      </c>
      <c r="R35" s="3443"/>
      <c r="S35" s="3443"/>
      <c r="T35" s="3443"/>
      <c r="U35" s="3443"/>
      <c r="V35" s="3444"/>
      <c r="W35" s="3442" t="s">
        <v>831</v>
      </c>
      <c r="X35" s="3443"/>
      <c r="Y35" s="3443"/>
      <c r="Z35" s="3443"/>
      <c r="AA35" s="3443"/>
      <c r="AB35" s="3444"/>
      <c r="AC35" s="1082"/>
      <c r="AD35" s="1105"/>
      <c r="AE35" s="1105"/>
      <c r="AF35" s="1105"/>
      <c r="AG35" s="1105"/>
      <c r="AH35" s="1105"/>
      <c r="AI35" s="1105"/>
      <c r="AJ35" s="1105"/>
      <c r="AK35" s="1105"/>
      <c r="AL35" s="1105"/>
      <c r="AM35" s="1105"/>
      <c r="AN35" s="1105"/>
      <c r="AO35" s="1103"/>
      <c r="AP35" s="1104"/>
      <c r="AQ35" s="1105"/>
      <c r="AR35" s="1094"/>
      <c r="AS35" s="874"/>
      <c r="AT35" s="874"/>
      <c r="AU35" s="874"/>
      <c r="BE35" s="588"/>
      <c r="BF35" s="588"/>
      <c r="BG35" s="588"/>
      <c r="BH35" s="588"/>
    </row>
    <row r="36" spans="2:60" ht="25" customHeight="1">
      <c r="C36" s="1018"/>
      <c r="D36" s="614"/>
      <c r="F36" s="3492" t="s">
        <v>22</v>
      </c>
      <c r="G36" s="3493"/>
      <c r="H36" s="3493"/>
      <c r="I36" s="3493"/>
      <c r="J36" s="3494"/>
      <c r="K36" s="3437">
        <v>0</v>
      </c>
      <c r="L36" s="3438"/>
      <c r="M36" s="3438"/>
      <c r="N36" s="3438"/>
      <c r="O36" s="3438"/>
      <c r="P36" s="3439"/>
      <c r="Q36" s="3437">
        <v>0</v>
      </c>
      <c r="R36" s="3438"/>
      <c r="S36" s="3438"/>
      <c r="T36" s="3438"/>
      <c r="U36" s="3438"/>
      <c r="V36" s="3439"/>
      <c r="W36" s="3437">
        <v>0</v>
      </c>
      <c r="X36" s="3438"/>
      <c r="Y36" s="3438"/>
      <c r="Z36" s="3438"/>
      <c r="AA36" s="3438"/>
      <c r="AB36" s="3439"/>
      <c r="AC36" s="643"/>
      <c r="AD36" s="607"/>
      <c r="AE36" s="607"/>
      <c r="AF36" s="607"/>
      <c r="AG36" s="607"/>
      <c r="AH36" s="607"/>
      <c r="AI36" s="607"/>
      <c r="AJ36" s="607"/>
      <c r="AK36" s="607"/>
      <c r="AL36" s="607"/>
      <c r="AM36" s="607"/>
      <c r="AN36" s="607"/>
      <c r="AO36" s="1100"/>
      <c r="AP36" s="1101"/>
      <c r="AQ36" s="607"/>
      <c r="AR36" s="1094"/>
      <c r="AS36" s="874"/>
      <c r="AT36" s="874"/>
      <c r="AU36" s="874"/>
      <c r="BE36" s="588"/>
      <c r="BF36" s="588"/>
      <c r="BG36" s="588"/>
      <c r="BH36" s="588"/>
    </row>
    <row r="37" spans="2:60" ht="25" customHeight="1">
      <c r="C37" s="1018"/>
      <c r="D37" s="614"/>
      <c r="F37" s="3486" t="s">
        <v>23</v>
      </c>
      <c r="G37" s="3487"/>
      <c r="H37" s="3487"/>
      <c r="I37" s="3487"/>
      <c r="J37" s="3488"/>
      <c r="K37" s="3434">
        <v>0</v>
      </c>
      <c r="L37" s="3435"/>
      <c r="M37" s="3435"/>
      <c r="N37" s="3435"/>
      <c r="O37" s="3435"/>
      <c r="P37" s="3436"/>
      <c r="Q37" s="3434">
        <v>0</v>
      </c>
      <c r="R37" s="3435"/>
      <c r="S37" s="3435"/>
      <c r="T37" s="3435"/>
      <c r="U37" s="3435"/>
      <c r="V37" s="3436"/>
      <c r="W37" s="3434">
        <v>0</v>
      </c>
      <c r="X37" s="3435"/>
      <c r="Y37" s="3435"/>
      <c r="Z37" s="3435"/>
      <c r="AA37" s="3435"/>
      <c r="AB37" s="3436"/>
      <c r="AC37" s="1067"/>
      <c r="AD37" s="606"/>
      <c r="AE37" s="606"/>
      <c r="AF37" s="606"/>
      <c r="AG37" s="606"/>
      <c r="AH37" s="606"/>
      <c r="AI37" s="606"/>
      <c r="AJ37" s="606"/>
      <c r="AK37" s="606"/>
      <c r="AL37" s="606"/>
      <c r="AM37" s="606"/>
      <c r="AN37" s="606"/>
      <c r="AO37" s="1092"/>
      <c r="AP37" s="1093"/>
      <c r="AQ37" s="606"/>
      <c r="AR37" s="1094"/>
      <c r="AS37" s="874"/>
      <c r="AT37" s="874"/>
      <c r="AU37" s="874"/>
      <c r="BE37" s="588"/>
      <c r="BF37" s="588"/>
      <c r="BG37" s="588"/>
      <c r="BH37" s="588"/>
    </row>
    <row r="38" spans="2:60" ht="25" customHeight="1" thickBot="1">
      <c r="C38" s="1018"/>
      <c r="D38" s="614"/>
      <c r="F38" s="3489" t="s">
        <v>24</v>
      </c>
      <c r="G38" s="3490"/>
      <c r="H38" s="3490"/>
      <c r="I38" s="3490"/>
      <c r="J38" s="3491"/>
      <c r="K38" s="3322">
        <v>0</v>
      </c>
      <c r="L38" s="3346"/>
      <c r="M38" s="3346"/>
      <c r="N38" s="3346"/>
      <c r="O38" s="3346"/>
      <c r="P38" s="3331"/>
      <c r="Q38" s="3322">
        <v>0</v>
      </c>
      <c r="R38" s="3346"/>
      <c r="S38" s="3346"/>
      <c r="T38" s="3346"/>
      <c r="U38" s="3346"/>
      <c r="V38" s="3331"/>
      <c r="W38" s="3322">
        <v>0</v>
      </c>
      <c r="X38" s="3346"/>
      <c r="Y38" s="3346"/>
      <c r="Z38" s="3346"/>
      <c r="AA38" s="3346"/>
      <c r="AB38" s="3331"/>
      <c r="AC38" s="1067"/>
      <c r="AD38" s="606"/>
      <c r="AE38" s="606"/>
      <c r="AF38" s="606"/>
      <c r="AG38" s="606"/>
      <c r="AH38" s="606"/>
      <c r="AI38" s="606"/>
      <c r="AJ38" s="606"/>
      <c r="AK38" s="606"/>
      <c r="AL38" s="606"/>
      <c r="AM38" s="606"/>
      <c r="AN38" s="606"/>
      <c r="AO38" s="1092"/>
      <c r="AP38" s="1093"/>
      <c r="AQ38" s="606"/>
      <c r="AR38" s="1094"/>
      <c r="AS38" s="874"/>
      <c r="AT38" s="874"/>
      <c r="AU38" s="874"/>
      <c r="BE38" s="588"/>
      <c r="BF38" s="588"/>
      <c r="BG38" s="588"/>
      <c r="BH38" s="588"/>
    </row>
    <row r="39" spans="2:60" ht="25" customHeight="1" thickTop="1" thickBot="1">
      <c r="C39" s="1018"/>
      <c r="D39" s="614"/>
      <c r="F39" s="3483" t="s">
        <v>29</v>
      </c>
      <c r="G39" s="3484"/>
      <c r="H39" s="3484"/>
      <c r="I39" s="3484"/>
      <c r="J39" s="3485"/>
      <c r="K39" s="3465">
        <f>SUM(K36:P38)</f>
        <v>0</v>
      </c>
      <c r="L39" s="3466"/>
      <c r="M39" s="3466"/>
      <c r="N39" s="3466"/>
      <c r="O39" s="3466"/>
      <c r="P39" s="3467"/>
      <c r="Q39" s="3465">
        <f t="shared" ref="Q39" si="12">SUM(Q36:V38)</f>
        <v>0</v>
      </c>
      <c r="R39" s="3466"/>
      <c r="S39" s="3466"/>
      <c r="T39" s="3466"/>
      <c r="U39" s="3466"/>
      <c r="V39" s="3467"/>
      <c r="W39" s="3465">
        <f t="shared" ref="W39" si="13">SUM(W36:AB38)</f>
        <v>0</v>
      </c>
      <c r="X39" s="3466"/>
      <c r="Y39" s="3466"/>
      <c r="Z39" s="3466"/>
      <c r="AA39" s="3466"/>
      <c r="AB39" s="3467"/>
      <c r="AC39" s="1067"/>
      <c r="AD39" s="606"/>
      <c r="AE39" s="606"/>
      <c r="AF39" s="606"/>
      <c r="AG39" s="606"/>
      <c r="AH39" s="606"/>
      <c r="AI39" s="606"/>
      <c r="AJ39" s="606"/>
      <c r="AK39" s="606"/>
      <c r="AL39" s="606"/>
      <c r="AM39" s="606"/>
      <c r="AN39" s="606"/>
      <c r="AO39" s="1092"/>
      <c r="AP39" s="1093"/>
      <c r="AQ39" s="606"/>
      <c r="AR39" s="1094"/>
      <c r="AS39" s="874"/>
      <c r="AT39" s="874"/>
      <c r="AU39" s="874"/>
      <c r="BE39" s="588"/>
      <c r="BF39" s="588"/>
      <c r="BG39" s="588"/>
      <c r="BH39" s="588"/>
    </row>
    <row r="40" spans="2:60" ht="8.15" customHeight="1" thickBot="1">
      <c r="D40" s="612"/>
      <c r="E40" s="613"/>
      <c r="F40" s="1010"/>
      <c r="G40" s="1010"/>
      <c r="H40" s="1011"/>
      <c r="I40" s="562"/>
      <c r="J40" s="562"/>
      <c r="K40" s="562"/>
      <c r="L40" s="562"/>
      <c r="M40" s="562"/>
      <c r="N40" s="562"/>
      <c r="O40" s="562"/>
      <c r="P40" s="562"/>
      <c r="Q40" s="562"/>
      <c r="R40" s="866"/>
      <c r="S40" s="866"/>
      <c r="T40" s="866"/>
      <c r="U40" s="866"/>
      <c r="V40" s="866"/>
      <c r="W40" s="562"/>
      <c r="X40" s="866"/>
      <c r="Y40" s="866"/>
      <c r="Z40" s="866"/>
      <c r="AA40" s="866"/>
      <c r="AB40" s="866"/>
      <c r="AC40" s="866"/>
      <c r="AD40" s="562"/>
      <c r="AE40" s="562"/>
      <c r="AF40" s="562"/>
      <c r="AG40" s="562"/>
      <c r="AH40" s="562"/>
      <c r="AI40" s="562"/>
      <c r="AJ40" s="562"/>
      <c r="AK40" s="562"/>
      <c r="AL40" s="562"/>
      <c r="AM40" s="562"/>
      <c r="AN40" s="562"/>
      <c r="AO40" s="562"/>
      <c r="AP40" s="806"/>
    </row>
    <row r="41" spans="2:60" ht="35.15" customHeight="1"/>
    <row r="42" spans="2:60" s="168" customFormat="1" ht="14">
      <c r="B42" s="169" t="s">
        <v>847</v>
      </c>
      <c r="P42" s="169" t="s">
        <v>765</v>
      </c>
      <c r="AH42" s="169" t="s">
        <v>783</v>
      </c>
    </row>
    <row r="43" spans="2:60" s="168" customFormat="1" ht="21.75" customHeight="1">
      <c r="B43" s="169" t="s">
        <v>748</v>
      </c>
      <c r="F43" s="1959" t="str">
        <f>activesheet!E29</f>
        <v>RICO S. MISPEROS</v>
      </c>
      <c r="G43" s="1959"/>
      <c r="H43" s="1959"/>
      <c r="I43" s="1959"/>
      <c r="J43" s="1959"/>
      <c r="K43" s="1959"/>
      <c r="L43" s="1959"/>
      <c r="M43" s="1959"/>
      <c r="P43" s="1959" t="str">
        <f>activesheet!E2079</f>
        <v>RAQUEL N. ACOMPAŇADO</v>
      </c>
      <c r="Q43" s="1959"/>
      <c r="R43" s="1959"/>
      <c r="S43" s="1959"/>
      <c r="T43" s="1959"/>
      <c r="U43" s="1959"/>
      <c r="V43" s="1959"/>
      <c r="W43" s="1959"/>
      <c r="X43" s="1959"/>
      <c r="Y43" s="1959"/>
      <c r="Z43" s="1959"/>
      <c r="AA43" s="1959"/>
      <c r="AB43" s="1959"/>
      <c r="AC43" s="1959"/>
      <c r="AD43" s="1959"/>
      <c r="AE43" s="1959"/>
      <c r="AH43" s="1956" t="str">
        <f>activesheet!E31</f>
        <v>MICHAEL T. JAMIS</v>
      </c>
      <c r="AI43" s="1956"/>
      <c r="AJ43" s="1956"/>
      <c r="AK43" s="1956"/>
      <c r="AL43" s="1956"/>
      <c r="AM43" s="1956"/>
      <c r="AN43" s="1956"/>
      <c r="AO43" s="1956"/>
      <c r="AP43" s="1956"/>
      <c r="AQ43" s="1956"/>
      <c r="AR43" s="1956"/>
    </row>
    <row r="44" spans="2:60" s="156" customFormat="1" ht="13.5" customHeight="1">
      <c r="B44" s="655"/>
      <c r="F44" s="1764" t="s">
        <v>741</v>
      </c>
      <c r="G44" s="1764"/>
      <c r="H44" s="1764"/>
      <c r="I44" s="1764"/>
      <c r="J44" s="1764"/>
      <c r="K44" s="1764"/>
      <c r="L44" s="1764"/>
      <c r="M44" s="1764"/>
      <c r="N44" s="1040"/>
      <c r="O44" s="152"/>
      <c r="P44" s="1764" t="s">
        <v>741</v>
      </c>
      <c r="Q44" s="1764"/>
      <c r="R44" s="1764"/>
      <c r="S44" s="1764"/>
      <c r="T44" s="1764"/>
      <c r="U44" s="1764"/>
      <c r="V44" s="1764"/>
      <c r="W44" s="1764"/>
      <c r="X44" s="1764"/>
      <c r="Y44" s="1764"/>
      <c r="Z44" s="1764"/>
      <c r="AA44" s="1764"/>
      <c r="AB44" s="1764"/>
      <c r="AC44" s="1764"/>
      <c r="AD44" s="1764"/>
      <c r="AE44" s="1764"/>
      <c r="AH44" s="1957"/>
      <c r="AI44" s="1957"/>
      <c r="AJ44" s="1957"/>
      <c r="AK44" s="1957"/>
      <c r="AL44" s="1957"/>
      <c r="AM44" s="1957"/>
      <c r="AN44" s="1957"/>
      <c r="AO44" s="1957"/>
      <c r="AP44" s="1957"/>
      <c r="AQ44" s="1957"/>
      <c r="AR44" s="1957"/>
    </row>
    <row r="45" spans="2:60" s="168" customFormat="1" ht="21.75" customHeight="1">
      <c r="B45" s="169" t="s">
        <v>71</v>
      </c>
      <c r="F45" s="1959" t="str">
        <f>activesheet!E30</f>
        <v>SCHOOL PRINCIPAL II</v>
      </c>
      <c r="G45" s="1959"/>
      <c r="H45" s="1959"/>
      <c r="I45" s="1959"/>
      <c r="J45" s="1959"/>
      <c r="K45" s="1959"/>
      <c r="L45" s="1959"/>
      <c r="M45" s="1959"/>
      <c r="P45" s="169" t="s">
        <v>71</v>
      </c>
      <c r="T45" s="1959" t="str">
        <f>activesheet!E2080</f>
        <v>Nurse II</v>
      </c>
      <c r="U45" s="1959"/>
      <c r="V45" s="1959"/>
      <c r="W45" s="1959"/>
      <c r="X45" s="1959"/>
      <c r="Y45" s="1959"/>
      <c r="Z45" s="1959"/>
      <c r="AA45" s="1959"/>
      <c r="AB45" s="1959"/>
      <c r="AC45" s="1959"/>
      <c r="AD45" s="1959"/>
      <c r="AE45" s="1959"/>
      <c r="AH45" s="1764" t="s">
        <v>741</v>
      </c>
      <c r="AI45" s="1764"/>
      <c r="AJ45" s="1764"/>
      <c r="AK45" s="1764"/>
      <c r="AL45" s="1764"/>
      <c r="AM45" s="1764"/>
      <c r="AN45" s="1764"/>
      <c r="AO45" s="1764"/>
      <c r="AP45" s="1764"/>
      <c r="AQ45" s="1764"/>
      <c r="AR45" s="1764"/>
    </row>
  </sheetData>
  <sheetProtection algorithmName="SHA-512" hashValue="VKOeO/x/MarLMr/T2VYtJT9eDmLNz5DkvsBLRi9f4WB70HwfJGIz5UB9HILcxK067YTL0yS9u7hxLtp0toohOg==" saltValue="JxMjbAP1kLfJchdv62Hpdg==" spinCount="100000" sheet="1" objects="1" scenarios="1" selectLockedCells="1"/>
  <mergeCells count="120">
    <mergeCell ref="F7:J8"/>
    <mergeCell ref="K7:P8"/>
    <mergeCell ref="Q7:V8"/>
    <mergeCell ref="W7:AH7"/>
    <mergeCell ref="AI7:AN8"/>
    <mergeCell ref="W8:AB8"/>
    <mergeCell ref="AC8:AH8"/>
    <mergeCell ref="F10:J10"/>
    <mergeCell ref="K10:P10"/>
    <mergeCell ref="Q10:V10"/>
    <mergeCell ref="W10:AB10"/>
    <mergeCell ref="AC10:AH10"/>
    <mergeCell ref="AI10:AN10"/>
    <mergeCell ref="F9:J9"/>
    <mergeCell ref="K9:P9"/>
    <mergeCell ref="Q9:V9"/>
    <mergeCell ref="W9:AB9"/>
    <mergeCell ref="AC9:AH9"/>
    <mergeCell ref="AI9:AN9"/>
    <mergeCell ref="F12:J12"/>
    <mergeCell ref="K12:P12"/>
    <mergeCell ref="Q12:V12"/>
    <mergeCell ref="W12:AB12"/>
    <mergeCell ref="AC12:AH12"/>
    <mergeCell ref="AI12:AN12"/>
    <mergeCell ref="F11:J11"/>
    <mergeCell ref="K11:P11"/>
    <mergeCell ref="Q11:V11"/>
    <mergeCell ref="W11:AB11"/>
    <mergeCell ref="AC11:AH11"/>
    <mergeCell ref="AI11:AN11"/>
    <mergeCell ref="F18:J18"/>
    <mergeCell ref="K18:P18"/>
    <mergeCell ref="Q18:V18"/>
    <mergeCell ref="W18:AB18"/>
    <mergeCell ref="AC18:AH18"/>
    <mergeCell ref="AI18:AN18"/>
    <mergeCell ref="F16:J17"/>
    <mergeCell ref="K16:P17"/>
    <mergeCell ref="Q16:V17"/>
    <mergeCell ref="W16:AH16"/>
    <mergeCell ref="AI16:AN17"/>
    <mergeCell ref="W17:AB17"/>
    <mergeCell ref="AC17:AH17"/>
    <mergeCell ref="F20:J20"/>
    <mergeCell ref="K20:P20"/>
    <mergeCell ref="Q20:V20"/>
    <mergeCell ref="W20:AB20"/>
    <mergeCell ref="AC20:AH20"/>
    <mergeCell ref="AI20:AN20"/>
    <mergeCell ref="F19:J19"/>
    <mergeCell ref="K19:P19"/>
    <mergeCell ref="Q19:V19"/>
    <mergeCell ref="W19:AB19"/>
    <mergeCell ref="AC19:AH19"/>
    <mergeCell ref="AI19:AN19"/>
    <mergeCell ref="F27:J27"/>
    <mergeCell ref="K27:P27"/>
    <mergeCell ref="Q27:V27"/>
    <mergeCell ref="W27:AB27"/>
    <mergeCell ref="AC27:AH27"/>
    <mergeCell ref="AI27:AN27"/>
    <mergeCell ref="F21:J21"/>
    <mergeCell ref="K21:P21"/>
    <mergeCell ref="Q21:V21"/>
    <mergeCell ref="W21:AB21"/>
    <mergeCell ref="AC21:AH21"/>
    <mergeCell ref="AI21:AN21"/>
    <mergeCell ref="F29:J29"/>
    <mergeCell ref="K29:P29"/>
    <mergeCell ref="Q29:V29"/>
    <mergeCell ref="W29:AB29"/>
    <mergeCell ref="AC29:AH29"/>
    <mergeCell ref="AI29:AN29"/>
    <mergeCell ref="F28:J28"/>
    <mergeCell ref="K28:P28"/>
    <mergeCell ref="Q28:V28"/>
    <mergeCell ref="W28:AB28"/>
    <mergeCell ref="AC28:AH28"/>
    <mergeCell ref="AI28:AN28"/>
    <mergeCell ref="F31:J31"/>
    <mergeCell ref="K31:P31"/>
    <mergeCell ref="Q31:V31"/>
    <mergeCell ref="W31:AB31"/>
    <mergeCell ref="AC31:AH31"/>
    <mergeCell ref="AI31:AN31"/>
    <mergeCell ref="F30:J30"/>
    <mergeCell ref="K30:P30"/>
    <mergeCell ref="Q30:V30"/>
    <mergeCell ref="W30:AB30"/>
    <mergeCell ref="AC30:AH30"/>
    <mergeCell ref="AI30:AN30"/>
    <mergeCell ref="F37:J37"/>
    <mergeCell ref="K37:P37"/>
    <mergeCell ref="Q37:V37"/>
    <mergeCell ref="W37:AB37"/>
    <mergeCell ref="F38:J38"/>
    <mergeCell ref="K38:P38"/>
    <mergeCell ref="Q38:V38"/>
    <mergeCell ref="W38:AB38"/>
    <mergeCell ref="F35:J35"/>
    <mergeCell ref="K35:P35"/>
    <mergeCell ref="Q35:V35"/>
    <mergeCell ref="W35:AB35"/>
    <mergeCell ref="F36:J36"/>
    <mergeCell ref="K36:P36"/>
    <mergeCell ref="Q36:V36"/>
    <mergeCell ref="W36:AB36"/>
    <mergeCell ref="AH43:AR44"/>
    <mergeCell ref="F44:M44"/>
    <mergeCell ref="P44:AE44"/>
    <mergeCell ref="F45:M45"/>
    <mergeCell ref="T45:AE45"/>
    <mergeCell ref="AH45:AR45"/>
    <mergeCell ref="F39:J39"/>
    <mergeCell ref="K39:P39"/>
    <mergeCell ref="Q39:V39"/>
    <mergeCell ref="W39:AB39"/>
    <mergeCell ref="F43:M43"/>
    <mergeCell ref="P43:AE43"/>
  </mergeCells>
  <dataValidations count="2">
    <dataValidation type="whole" allowBlank="1" showInputMessage="1" showErrorMessage="1" errorTitle="GESP SY 2022-2023" error="Please enter valid number between 0 - 20,000." sqref="K28:AN30 K9:AN11 K18:AN20" xr:uid="{00000000-0002-0000-2400-000000000000}">
      <formula1>0</formula1>
      <formula2>20000</formula2>
    </dataValidation>
    <dataValidation type="whole" allowBlank="1" showInputMessage="1" showErrorMessage="1" errorTitle="GESP SY 2022-2023" error="Please enter valid number between 0 - 999." sqref="K36:AB38" xr:uid="{00000000-0002-0000-2400-000001000000}">
      <formula1>0</formula1>
      <formula2>999</formula2>
    </dataValidation>
  </dataValidations>
  <printOptions horizontalCentered="1" verticalCentered="1"/>
  <pageMargins left="0.25" right="0.25" top="0.2" bottom="0.2" header="0" footer="0.1"/>
  <pageSetup paperSize="9" scale="47" orientation="landscape" r:id="rId1"/>
  <headerFooter alignWithMargins="0">
    <oddFooter>&amp;L&amp;10&amp;F &amp;A&amp;R&amp;11Page 33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6977" r:id="rId4" name="Check Box 1">
              <controlPr locked="0" defaultSize="0" autoFill="0" autoLine="0" autoPict="0">
                <anchor moveWithCells="1">
                  <from>
                    <xdr:col>23</xdr:col>
                    <xdr:colOff>50800</xdr:colOff>
                    <xdr:row>22</xdr:row>
                    <xdr:rowOff>38100</xdr:rowOff>
                  </from>
                  <to>
                    <xdr:col>24</xdr:col>
                    <xdr:colOff>203200</xdr:colOff>
                    <xdr:row>22</xdr:row>
                    <xdr:rowOff>260350</xdr:rowOff>
                  </to>
                </anchor>
              </controlPr>
            </control>
          </mc:Choice>
        </mc:AlternateContent>
        <mc:AlternateContent xmlns:mc="http://schemas.openxmlformats.org/markup-compatibility/2006">
          <mc:Choice Requires="x14">
            <control shapeId="126978" r:id="rId5" name="Check Box 2">
              <controlPr locked="0" defaultSize="0" autoFill="0" autoLine="0" autoPict="0">
                <anchor moveWithCells="1">
                  <from>
                    <xdr:col>28</xdr:col>
                    <xdr:colOff>50800</xdr:colOff>
                    <xdr:row>22</xdr:row>
                    <xdr:rowOff>38100</xdr:rowOff>
                  </from>
                  <to>
                    <xdr:col>29</xdr:col>
                    <xdr:colOff>203200</xdr:colOff>
                    <xdr:row>22</xdr:row>
                    <xdr:rowOff>260350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pageSetUpPr fitToPage="1"/>
  </sheetPr>
  <dimension ref="B1:BJ62"/>
  <sheetViews>
    <sheetView showGridLines="0" zoomScaleNormal="100" workbookViewId="0">
      <selection activeCell="AO6" sqref="AO6"/>
    </sheetView>
  </sheetViews>
  <sheetFormatPr defaultColWidth="9" defaultRowHeight="15.5"/>
  <cols>
    <col min="1" max="1" width="2.08203125" style="602" customWidth="1"/>
    <col min="2" max="47" width="3.58203125" style="602" customWidth="1"/>
    <col min="48" max="49" width="2.08203125" style="602" customWidth="1"/>
    <col min="50" max="65" width="3.58203125" style="602" customWidth="1"/>
    <col min="66" max="16384" width="9" style="602"/>
  </cols>
  <sheetData>
    <row r="1" spans="4:55" ht="12" customHeight="1"/>
    <row r="2" spans="4:55" ht="16.5">
      <c r="D2" s="627" t="s">
        <v>11797</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4:55" s="568" customFormat="1" ht="16" thickBot="1">
      <c r="D3" s="582" t="s">
        <v>904</v>
      </c>
    </row>
    <row r="4" spans="4:55" ht="6" customHeight="1">
      <c r="D4" s="638"/>
      <c r="E4" s="1029"/>
      <c r="F4" s="1029"/>
      <c r="G4" s="632"/>
      <c r="H4" s="632"/>
      <c r="I4" s="632"/>
      <c r="J4" s="632"/>
      <c r="K4" s="632"/>
      <c r="L4" s="632"/>
      <c r="M4" s="632"/>
      <c r="N4" s="632"/>
      <c r="O4" s="632"/>
      <c r="P4" s="632"/>
      <c r="Q4" s="632"/>
      <c r="R4" s="632"/>
      <c r="S4" s="632"/>
      <c r="T4" s="632"/>
      <c r="U4" s="632"/>
      <c r="V4" s="632"/>
      <c r="W4" s="632"/>
      <c r="X4" s="632"/>
      <c r="Y4" s="632"/>
      <c r="Z4" s="632"/>
      <c r="AA4" s="830"/>
      <c r="AB4" s="830"/>
      <c r="AC4" s="830"/>
      <c r="AD4" s="830"/>
      <c r="AE4" s="830"/>
      <c r="AF4" s="830"/>
      <c r="AG4" s="634"/>
      <c r="AH4" s="1030"/>
      <c r="AI4" s="1030"/>
      <c r="AJ4" s="1030"/>
      <c r="AK4" s="1030"/>
      <c r="AL4" s="1030"/>
      <c r="AM4" s="1030"/>
      <c r="AN4" s="830"/>
      <c r="AO4" s="830"/>
      <c r="AP4" s="830"/>
      <c r="AQ4" s="830"/>
      <c r="AR4" s="830"/>
      <c r="AS4" s="1031"/>
      <c r="AZ4" s="588"/>
      <c r="BA4" s="588"/>
      <c r="BB4" s="588"/>
      <c r="BC4" s="588"/>
    </row>
    <row r="5" spans="4:55" ht="16" customHeight="1">
      <c r="D5" s="614"/>
      <c r="F5" s="1081" t="s">
        <v>151</v>
      </c>
      <c r="G5" s="1012" t="s">
        <v>542</v>
      </c>
      <c r="H5" s="1024"/>
      <c r="I5" s="1024"/>
      <c r="J5" s="1024"/>
      <c r="K5" s="1024"/>
      <c r="L5" s="1024"/>
      <c r="M5" s="1024"/>
      <c r="N5" s="1024"/>
      <c r="O5" s="1024"/>
      <c r="P5" s="1024"/>
      <c r="Q5" s="1024"/>
      <c r="R5" s="1024"/>
      <c r="S5" s="1024"/>
      <c r="T5" s="1024"/>
      <c r="U5" s="1024"/>
      <c r="V5" s="1024"/>
      <c r="W5" s="1024"/>
      <c r="X5" s="1024"/>
      <c r="Y5" s="1024"/>
      <c r="Z5" s="1024"/>
      <c r="AA5" s="1024"/>
      <c r="AB5" s="874"/>
      <c r="AD5" s="874"/>
      <c r="AE5" s="588"/>
      <c r="AF5" s="588"/>
      <c r="AI5" s="874"/>
      <c r="AJ5" s="588"/>
      <c r="AK5" s="588"/>
      <c r="AL5" s="588"/>
      <c r="AM5" s="588"/>
      <c r="AN5" s="588"/>
      <c r="AO5" s="588"/>
      <c r="AQ5" s="874"/>
      <c r="AR5" s="874"/>
      <c r="AS5" s="1023"/>
      <c r="AZ5" s="588"/>
      <c r="BA5" s="588"/>
      <c r="BB5" s="588"/>
      <c r="BC5" s="588"/>
    </row>
    <row r="6" spans="4:55" s="610" customFormat="1" ht="30" customHeight="1">
      <c r="D6" s="636"/>
      <c r="G6" s="605" t="s">
        <v>543</v>
      </c>
      <c r="H6" s="637" t="s">
        <v>544</v>
      </c>
      <c r="I6" s="607"/>
      <c r="J6" s="607"/>
      <c r="K6" s="607"/>
      <c r="L6" s="607"/>
      <c r="M6" s="607"/>
      <c r="N6" s="607"/>
      <c r="O6" s="607"/>
      <c r="P6" s="607"/>
      <c r="Q6" s="607"/>
      <c r="R6" s="607"/>
      <c r="S6" s="607"/>
      <c r="T6" s="607"/>
      <c r="U6" s="607"/>
      <c r="V6" s="609"/>
      <c r="W6" s="568"/>
      <c r="X6" s="568"/>
      <c r="AA6" s="609"/>
      <c r="AB6" s="568"/>
      <c r="AH6" s="609"/>
      <c r="AI6" s="568"/>
      <c r="AJ6" s="76" t="b">
        <v>1</v>
      </c>
      <c r="AK6" s="568" t="s">
        <v>64</v>
      </c>
      <c r="AL6" s="568"/>
      <c r="AO6" s="76" t="b">
        <v>0</v>
      </c>
      <c r="AP6" s="568" t="s">
        <v>0</v>
      </c>
      <c r="AS6" s="1112"/>
      <c r="AZ6" s="568"/>
      <c r="BA6" s="568"/>
      <c r="BB6" s="568"/>
      <c r="BC6" s="568"/>
    </row>
    <row r="7" spans="4:55" ht="31.5" customHeight="1">
      <c r="D7" s="614"/>
      <c r="G7" s="618" t="s">
        <v>421</v>
      </c>
      <c r="H7" s="3501" t="s">
        <v>545</v>
      </c>
      <c r="I7" s="3501"/>
      <c r="J7" s="3501"/>
      <c r="K7" s="3501"/>
      <c r="L7" s="3501"/>
      <c r="M7" s="3501"/>
      <c r="N7" s="3501"/>
      <c r="O7" s="3501"/>
      <c r="P7" s="3501"/>
      <c r="Q7" s="3501"/>
      <c r="R7" s="3501"/>
      <c r="S7" s="3501"/>
      <c r="T7" s="3501"/>
      <c r="U7" s="3501"/>
      <c r="V7" s="3501"/>
      <c r="W7" s="3501"/>
      <c r="X7" s="3501"/>
      <c r="Y7" s="3501"/>
      <c r="Z7" s="3501"/>
      <c r="AA7" s="3501"/>
      <c r="AB7" s="3501"/>
      <c r="AC7" s="3501"/>
      <c r="AD7" s="3501"/>
      <c r="AE7" s="3501"/>
      <c r="AF7" s="3501"/>
      <c r="AH7" s="609"/>
      <c r="AI7" s="568"/>
      <c r="AJ7" s="76" t="b">
        <v>1</v>
      </c>
      <c r="AK7" s="568" t="s">
        <v>64</v>
      </c>
      <c r="AL7" s="568"/>
      <c r="AM7" s="610"/>
      <c r="AN7" s="610"/>
      <c r="AO7" s="76" t="b">
        <v>0</v>
      </c>
      <c r="AP7" s="568" t="s">
        <v>0</v>
      </c>
      <c r="AS7" s="1023"/>
      <c r="AZ7" s="588"/>
      <c r="BA7" s="588"/>
      <c r="BB7" s="588"/>
      <c r="BC7" s="588"/>
    </row>
    <row r="8" spans="4:55" ht="5.15" customHeight="1">
      <c r="D8" s="614"/>
      <c r="G8" s="1081"/>
      <c r="H8" s="1012"/>
      <c r="I8" s="1024"/>
      <c r="J8" s="1024"/>
      <c r="K8" s="1024"/>
      <c r="L8" s="1024"/>
      <c r="M8" s="1024"/>
      <c r="N8" s="1024"/>
      <c r="O8" s="1024"/>
      <c r="P8" s="1024"/>
      <c r="Q8" s="1024"/>
      <c r="R8" s="1024"/>
      <c r="S8" s="1024"/>
      <c r="T8" s="1024"/>
      <c r="U8" s="1024"/>
      <c r="V8" s="1024"/>
      <c r="W8" s="1024"/>
      <c r="X8" s="1024"/>
      <c r="Y8" s="1024"/>
      <c r="Z8" s="1024"/>
      <c r="AA8" s="1024"/>
      <c r="AB8" s="874"/>
      <c r="AS8" s="1023"/>
      <c r="AZ8" s="588"/>
      <c r="BA8" s="588"/>
      <c r="BB8" s="588"/>
      <c r="BC8" s="588"/>
    </row>
    <row r="9" spans="4:55" s="610" customFormat="1" ht="16.5" customHeight="1">
      <c r="D9" s="636"/>
      <c r="F9" s="605" t="s">
        <v>152</v>
      </c>
      <c r="G9" s="637" t="s">
        <v>835</v>
      </c>
      <c r="H9" s="607"/>
      <c r="I9" s="607"/>
      <c r="J9" s="607"/>
      <c r="K9" s="607"/>
      <c r="L9" s="607"/>
      <c r="M9" s="607"/>
      <c r="N9" s="607"/>
      <c r="O9" s="607"/>
      <c r="P9" s="607"/>
      <c r="Q9" s="607"/>
      <c r="R9" s="607"/>
      <c r="S9" s="607"/>
      <c r="T9" s="607"/>
      <c r="U9" s="607"/>
      <c r="V9" s="607"/>
      <c r="W9" s="607"/>
      <c r="AH9" s="609"/>
      <c r="AI9" s="568"/>
      <c r="AJ9" s="609"/>
      <c r="AK9" s="568"/>
      <c r="AL9" s="568"/>
      <c r="AO9" s="609"/>
      <c r="AP9" s="568"/>
      <c r="AS9" s="1112"/>
      <c r="AZ9" s="568"/>
      <c r="BA9" s="568"/>
      <c r="BB9" s="568"/>
      <c r="BC9" s="568"/>
    </row>
    <row r="10" spans="4:55" s="610" customFormat="1" ht="30" customHeight="1">
      <c r="D10" s="636"/>
      <c r="G10" s="605" t="s">
        <v>546</v>
      </c>
      <c r="H10" s="2674" t="s">
        <v>836</v>
      </c>
      <c r="I10" s="2674"/>
      <c r="J10" s="2674"/>
      <c r="K10" s="2674"/>
      <c r="L10" s="2674"/>
      <c r="M10" s="2674"/>
      <c r="N10" s="2674"/>
      <c r="O10" s="2674"/>
      <c r="P10" s="2674"/>
      <c r="Q10" s="2674"/>
      <c r="R10" s="2674"/>
      <c r="S10" s="2674"/>
      <c r="T10" s="2674"/>
      <c r="U10" s="2674"/>
      <c r="V10" s="2674"/>
      <c r="W10" s="2674"/>
      <c r="X10" s="2674"/>
      <c r="Y10" s="2674"/>
      <c r="Z10" s="2674"/>
      <c r="AA10" s="2674"/>
      <c r="AB10" s="2674"/>
      <c r="AC10" s="2674"/>
      <c r="AD10" s="2674"/>
      <c r="AE10" s="2674"/>
      <c r="AF10" s="2674"/>
      <c r="AH10" s="609"/>
      <c r="AI10" s="568"/>
      <c r="AJ10" s="76" t="b">
        <v>1</v>
      </c>
      <c r="AK10" s="568" t="s">
        <v>64</v>
      </c>
      <c r="AL10" s="568"/>
      <c r="AO10" s="76" t="b">
        <v>0</v>
      </c>
      <c r="AP10" s="568" t="s">
        <v>0</v>
      </c>
      <c r="AS10" s="1112"/>
      <c r="AZ10" s="568"/>
      <c r="BA10" s="568"/>
      <c r="BB10" s="568"/>
      <c r="BC10" s="568"/>
    </row>
    <row r="11" spans="4:55" s="610" customFormat="1" ht="30" customHeight="1">
      <c r="D11" s="636"/>
      <c r="G11" s="605" t="s">
        <v>422</v>
      </c>
      <c r="H11" s="2674" t="s">
        <v>837</v>
      </c>
      <c r="I11" s="2674"/>
      <c r="J11" s="2674"/>
      <c r="K11" s="2674"/>
      <c r="L11" s="2674"/>
      <c r="M11" s="2674"/>
      <c r="N11" s="2674"/>
      <c r="O11" s="2674"/>
      <c r="P11" s="2674"/>
      <c r="Q11" s="2674"/>
      <c r="R11" s="2674"/>
      <c r="S11" s="2674"/>
      <c r="T11" s="2674"/>
      <c r="U11" s="2674"/>
      <c r="V11" s="2674"/>
      <c r="W11" s="2674"/>
      <c r="X11" s="2674"/>
      <c r="Y11" s="2674"/>
      <c r="Z11" s="2674"/>
      <c r="AA11" s="2674"/>
      <c r="AB11" s="2674"/>
      <c r="AC11" s="2674"/>
      <c r="AD11" s="2674"/>
      <c r="AE11" s="2674"/>
      <c r="AF11" s="2674"/>
      <c r="AH11" s="609"/>
      <c r="AI11" s="568"/>
      <c r="AJ11" s="76" t="b">
        <v>1</v>
      </c>
      <c r="AK11" s="568" t="s">
        <v>64</v>
      </c>
      <c r="AL11" s="568"/>
      <c r="AO11" s="76" t="b">
        <v>0</v>
      </c>
      <c r="AP11" s="568" t="s">
        <v>0</v>
      </c>
      <c r="AS11" s="1112"/>
      <c r="AZ11" s="568"/>
      <c r="BA11" s="568"/>
      <c r="BB11" s="568"/>
      <c r="BC11" s="568"/>
    </row>
    <row r="12" spans="4:55" ht="5.15" customHeight="1">
      <c r="D12" s="614"/>
      <c r="G12" s="1081"/>
      <c r="H12" s="1012"/>
      <c r="I12" s="1024"/>
      <c r="J12" s="1024"/>
      <c r="K12" s="1024"/>
      <c r="L12" s="1024"/>
      <c r="M12" s="1024"/>
      <c r="N12" s="1024"/>
      <c r="O12" s="1024"/>
      <c r="P12" s="1024"/>
      <c r="Q12" s="1024"/>
      <c r="R12" s="1024"/>
      <c r="S12" s="1024"/>
      <c r="T12" s="1024"/>
      <c r="U12" s="1024"/>
      <c r="V12" s="1024"/>
      <c r="W12" s="1024"/>
      <c r="X12" s="1024"/>
      <c r="Y12" s="1024"/>
      <c r="Z12" s="1024"/>
      <c r="AA12" s="1024"/>
      <c r="AB12" s="874"/>
      <c r="AS12" s="1023"/>
      <c r="AZ12" s="588"/>
      <c r="BA12" s="588"/>
      <c r="BB12" s="588"/>
      <c r="BC12" s="588"/>
    </row>
    <row r="13" spans="4:55" ht="16.5" customHeight="1">
      <c r="D13" s="614"/>
      <c r="F13" s="1081" t="s">
        <v>153</v>
      </c>
      <c r="G13" s="1012" t="s">
        <v>547</v>
      </c>
      <c r="H13" s="1024"/>
      <c r="I13" s="1024"/>
      <c r="J13" s="1024"/>
      <c r="K13" s="1024"/>
      <c r="L13" s="1024"/>
      <c r="M13" s="1024"/>
      <c r="N13" s="1024"/>
      <c r="O13" s="1024"/>
      <c r="P13" s="1024"/>
      <c r="Q13" s="1024"/>
      <c r="R13" s="1024"/>
      <c r="S13" s="1024"/>
      <c r="T13" s="1024"/>
      <c r="U13" s="1024"/>
      <c r="V13" s="1024"/>
      <c r="W13" s="1024"/>
      <c r="X13" s="1024"/>
      <c r="Y13" s="1024"/>
      <c r="Z13" s="1024"/>
      <c r="AA13" s="1024"/>
      <c r="AB13" s="874"/>
      <c r="AH13" s="874"/>
      <c r="AI13" s="588"/>
      <c r="AJ13" s="874"/>
      <c r="AK13" s="588"/>
      <c r="AL13" s="588"/>
      <c r="AO13" s="874"/>
      <c r="AP13" s="588"/>
      <c r="AS13" s="1023"/>
      <c r="AZ13" s="588"/>
      <c r="BA13" s="588"/>
      <c r="BB13" s="588"/>
      <c r="BC13" s="588"/>
    </row>
    <row r="14" spans="4:55" s="610" customFormat="1" ht="30" customHeight="1">
      <c r="D14" s="636"/>
      <c r="G14" s="605" t="s">
        <v>548</v>
      </c>
      <c r="H14" s="637" t="s">
        <v>1770</v>
      </c>
      <c r="I14" s="607"/>
      <c r="J14" s="607"/>
      <c r="K14" s="607"/>
      <c r="L14" s="607"/>
      <c r="M14" s="607"/>
      <c r="N14" s="607"/>
      <c r="O14" s="607"/>
      <c r="P14" s="607"/>
      <c r="Q14" s="607"/>
      <c r="R14" s="607"/>
      <c r="S14" s="607"/>
      <c r="T14" s="607"/>
      <c r="U14" s="607"/>
      <c r="V14" s="607"/>
      <c r="W14" s="607"/>
      <c r="X14" s="607"/>
      <c r="Y14" s="568"/>
      <c r="Z14" s="1120"/>
      <c r="AA14" s="1120"/>
      <c r="AB14" s="565"/>
      <c r="AC14" s="1120"/>
      <c r="AD14" s="1120"/>
      <c r="AE14" s="1120"/>
      <c r="AF14" s="1121"/>
      <c r="AG14" s="1120"/>
      <c r="AH14" s="588"/>
      <c r="AJ14" s="2672">
        <v>0</v>
      </c>
      <c r="AK14" s="2672"/>
      <c r="AL14" s="2672"/>
      <c r="AM14" s="2672"/>
      <c r="AN14" s="2672"/>
      <c r="AO14" s="2672"/>
      <c r="AP14" s="2672"/>
      <c r="AS14" s="1112"/>
      <c r="AZ14" s="568"/>
      <c r="BA14" s="568"/>
      <c r="BB14" s="568"/>
      <c r="BC14" s="568"/>
    </row>
    <row r="15" spans="4:55" ht="52" customHeight="1">
      <c r="D15" s="614"/>
      <c r="G15" s="618" t="s">
        <v>549</v>
      </c>
      <c r="H15" s="2673" t="s">
        <v>550</v>
      </c>
      <c r="I15" s="2673"/>
      <c r="J15" s="2673"/>
      <c r="K15" s="2673"/>
      <c r="L15" s="2673"/>
      <c r="M15" s="2673"/>
      <c r="N15" s="2673"/>
      <c r="O15" s="2673"/>
      <c r="P15" s="2673"/>
      <c r="Q15" s="2673"/>
      <c r="R15" s="2673"/>
      <c r="S15" s="2673"/>
      <c r="T15" s="2673"/>
      <c r="U15" s="2673"/>
      <c r="V15" s="2673"/>
      <c r="W15" s="2673"/>
      <c r="X15" s="2673"/>
      <c r="Y15" s="2673"/>
      <c r="Z15" s="2673"/>
      <c r="AA15" s="2673"/>
      <c r="AB15" s="2673"/>
      <c r="AC15" s="2673"/>
      <c r="AD15" s="2673"/>
      <c r="AE15" s="2673"/>
      <c r="AF15" s="2673"/>
      <c r="AH15" s="588"/>
      <c r="AJ15" s="2672">
        <v>0</v>
      </c>
      <c r="AK15" s="2672"/>
      <c r="AL15" s="2672"/>
      <c r="AM15" s="2672"/>
      <c r="AN15" s="2672"/>
      <c r="AO15" s="2672"/>
      <c r="AP15" s="2672"/>
      <c r="AS15" s="1023"/>
      <c r="AZ15" s="588"/>
      <c r="BA15" s="588"/>
      <c r="BB15" s="588"/>
      <c r="BC15" s="588"/>
    </row>
    <row r="16" spans="4:55" ht="50.15" customHeight="1">
      <c r="D16" s="614"/>
      <c r="G16" s="618" t="s">
        <v>551</v>
      </c>
      <c r="H16" s="2673" t="s">
        <v>552</v>
      </c>
      <c r="I16" s="2673"/>
      <c r="J16" s="2673"/>
      <c r="K16" s="2673"/>
      <c r="L16" s="2673"/>
      <c r="M16" s="2673"/>
      <c r="N16" s="2673"/>
      <c r="O16" s="2673"/>
      <c r="P16" s="2673"/>
      <c r="Q16" s="2673"/>
      <c r="R16" s="2673"/>
      <c r="S16" s="2673"/>
      <c r="T16" s="2673"/>
      <c r="U16" s="2673"/>
      <c r="V16" s="2673"/>
      <c r="W16" s="2673"/>
      <c r="X16" s="2673"/>
      <c r="Y16" s="2673"/>
      <c r="Z16" s="2673"/>
      <c r="AA16" s="2673"/>
      <c r="AB16" s="2673"/>
      <c r="AC16" s="2673"/>
      <c r="AD16" s="2673"/>
      <c r="AE16" s="2673"/>
      <c r="AF16" s="2673"/>
      <c r="AH16" s="588"/>
      <c r="AJ16" s="3130">
        <v>0</v>
      </c>
      <c r="AK16" s="3130"/>
      <c r="AL16" s="3130"/>
      <c r="AM16" s="3130"/>
      <c r="AN16" s="3130"/>
      <c r="AO16" s="3130"/>
      <c r="AP16" s="3130"/>
      <c r="AS16" s="1023"/>
      <c r="AU16" s="1113"/>
      <c r="AV16" s="1113"/>
      <c r="AW16" s="1113"/>
      <c r="AX16" s="1113"/>
      <c r="AY16" s="1113"/>
      <c r="AZ16" s="1113"/>
      <c r="BA16" s="1113"/>
      <c r="BB16" s="1113"/>
      <c r="BC16" s="1113"/>
    </row>
    <row r="17" spans="3:60" ht="5.15" customHeight="1">
      <c r="D17" s="614"/>
      <c r="G17" s="1081"/>
      <c r="H17" s="1012"/>
      <c r="I17" s="1024"/>
      <c r="J17" s="1024"/>
      <c r="K17" s="1024"/>
      <c r="L17" s="1024"/>
      <c r="M17" s="1024"/>
      <c r="N17" s="1024"/>
      <c r="O17" s="1024"/>
      <c r="P17" s="1024"/>
      <c r="Q17" s="1024"/>
      <c r="R17" s="1024"/>
      <c r="S17" s="1024"/>
      <c r="T17" s="1024"/>
      <c r="U17" s="1024"/>
      <c r="V17" s="1024"/>
      <c r="W17" s="1024"/>
      <c r="X17" s="1024"/>
      <c r="Y17" s="1024"/>
      <c r="Z17" s="1024"/>
      <c r="AA17" s="1024"/>
      <c r="AB17" s="874"/>
      <c r="AS17" s="1023"/>
      <c r="AU17" s="1113"/>
      <c r="AV17" s="1113"/>
      <c r="AW17" s="1113"/>
      <c r="AX17" s="1113"/>
      <c r="AY17" s="1113"/>
      <c r="AZ17" s="1113"/>
      <c r="BA17" s="1113"/>
      <c r="BB17" s="1113"/>
      <c r="BC17" s="1113"/>
    </row>
    <row r="18" spans="3:60" ht="16.5" customHeight="1">
      <c r="D18" s="614"/>
      <c r="F18" s="1081" t="s">
        <v>154</v>
      </c>
      <c r="G18" s="606" t="s">
        <v>862</v>
      </c>
      <c r="H18" s="606"/>
      <c r="I18" s="606"/>
      <c r="J18" s="606"/>
      <c r="K18" s="606"/>
      <c r="L18" s="606"/>
      <c r="M18" s="606"/>
      <c r="N18" s="606"/>
      <c r="O18" s="606"/>
      <c r="P18" s="606"/>
      <c r="Q18" s="606"/>
      <c r="R18" s="606"/>
      <c r="S18" s="606"/>
      <c r="T18" s="606"/>
      <c r="U18" s="606"/>
      <c r="V18" s="606"/>
      <c r="W18" s="606"/>
      <c r="X18" s="606"/>
      <c r="Y18" s="606"/>
      <c r="Z18" s="1024"/>
      <c r="AA18" s="1114"/>
      <c r="AB18" s="1114"/>
      <c r="AC18" s="1114"/>
      <c r="AD18" s="1114"/>
      <c r="AE18" s="1114"/>
      <c r="AF18" s="1114"/>
      <c r="AG18" s="1114"/>
      <c r="AH18" s="1115"/>
      <c r="AI18" s="588"/>
      <c r="AJ18" s="874"/>
      <c r="AK18" s="588"/>
      <c r="AL18" s="588"/>
      <c r="AO18" s="874"/>
      <c r="AP18" s="588"/>
      <c r="AS18" s="1023"/>
      <c r="AU18" s="1113"/>
      <c r="AV18" s="1113"/>
      <c r="AW18" s="1113"/>
      <c r="AX18" s="1113"/>
      <c r="AY18" s="1113"/>
      <c r="AZ18" s="1113"/>
      <c r="BA18" s="1113"/>
      <c r="BB18" s="1113"/>
      <c r="BC18" s="1113"/>
    </row>
    <row r="19" spans="3:60" s="610" customFormat="1" ht="26.5" customHeight="1">
      <c r="D19" s="636"/>
      <c r="G19" s="605" t="s">
        <v>838</v>
      </c>
      <c r="H19" s="637" t="s">
        <v>928</v>
      </c>
      <c r="I19" s="607"/>
      <c r="J19" s="607"/>
      <c r="K19" s="607"/>
      <c r="L19" s="607"/>
      <c r="M19" s="607"/>
      <c r="N19" s="607"/>
      <c r="O19" s="607"/>
      <c r="P19" s="607"/>
      <c r="Q19" s="607"/>
      <c r="R19" s="607"/>
      <c r="S19" s="605"/>
      <c r="T19" s="637"/>
      <c r="U19" s="607"/>
      <c r="V19" s="568"/>
      <c r="W19" s="607"/>
      <c r="X19" s="607"/>
      <c r="Y19" s="568"/>
      <c r="AB19" s="568"/>
      <c r="AC19" s="1116"/>
      <c r="AF19" s="609"/>
      <c r="AH19" s="588"/>
      <c r="AJ19" s="568"/>
      <c r="AK19" s="568"/>
      <c r="AL19" s="568"/>
      <c r="AM19" s="568"/>
      <c r="AN19" s="568"/>
      <c r="AO19" s="568"/>
      <c r="AP19" s="568"/>
      <c r="AS19" s="1112"/>
      <c r="AU19" s="1117"/>
      <c r="AV19" s="1117"/>
      <c r="AW19" s="1117"/>
      <c r="AX19" s="1117"/>
      <c r="AY19" s="1117"/>
      <c r="AZ19" s="1117"/>
      <c r="BA19" s="1117"/>
      <c r="BB19" s="1117"/>
      <c r="BC19" s="1117"/>
      <c r="BD19" s="1117"/>
      <c r="BE19" s="602"/>
      <c r="BF19" s="602"/>
      <c r="BG19" s="602"/>
      <c r="BH19" s="602"/>
    </row>
    <row r="20" spans="3:60" ht="30" customHeight="1">
      <c r="D20" s="1118"/>
      <c r="F20" s="1081"/>
      <c r="G20" s="1012"/>
      <c r="H20" s="1122" t="b">
        <v>0</v>
      </c>
      <c r="I20" s="568" t="s">
        <v>896</v>
      </c>
      <c r="J20" s="1024"/>
      <c r="K20" s="1024"/>
      <c r="L20" s="1024"/>
      <c r="M20" s="1024"/>
      <c r="N20" s="1024"/>
      <c r="O20" s="1024"/>
      <c r="P20" s="1024"/>
      <c r="Q20" s="1024"/>
      <c r="R20" s="1024"/>
      <c r="S20" s="1024"/>
      <c r="T20" s="1024"/>
      <c r="U20" s="1024"/>
      <c r="V20" s="1024"/>
      <c r="W20" s="1024"/>
      <c r="X20" s="1024"/>
      <c r="Y20" s="1024"/>
      <c r="Z20" s="1024"/>
      <c r="AA20" s="1024"/>
      <c r="AB20" s="1119"/>
      <c r="AC20" s="568"/>
      <c r="AE20" s="1024"/>
      <c r="AH20" s="874"/>
      <c r="AI20" s="588"/>
      <c r="AJ20" s="874"/>
      <c r="AK20" s="588"/>
      <c r="AL20" s="588"/>
      <c r="AO20" s="874"/>
      <c r="AP20" s="588"/>
      <c r="AS20" s="1023"/>
      <c r="AU20" s="610"/>
      <c r="AV20" s="610"/>
      <c r="AW20" s="610"/>
      <c r="AX20" s="610"/>
      <c r="AY20" s="610"/>
      <c r="AZ20" s="568"/>
      <c r="BA20" s="568"/>
      <c r="BB20" s="568"/>
      <c r="BC20" s="568"/>
      <c r="BD20" s="610"/>
      <c r="BE20" s="610"/>
      <c r="BF20" s="610"/>
      <c r="BG20" s="610"/>
      <c r="BH20" s="610"/>
    </row>
    <row r="21" spans="3:60" ht="30" customHeight="1">
      <c r="D21" s="1118"/>
      <c r="F21" s="1081"/>
      <c r="G21" s="1012"/>
      <c r="H21" s="1122" t="b">
        <v>0</v>
      </c>
      <c r="I21" s="568" t="s">
        <v>897</v>
      </c>
      <c r="J21" s="1024"/>
      <c r="K21" s="1024"/>
      <c r="L21" s="1024"/>
      <c r="M21" s="1024"/>
      <c r="N21" s="1024"/>
      <c r="O21" s="1024"/>
      <c r="P21" s="1024"/>
      <c r="Q21" s="1024"/>
      <c r="R21" s="1024"/>
      <c r="S21" s="1024"/>
      <c r="T21" s="1024"/>
      <c r="U21" s="1024"/>
      <c r="V21" s="1024"/>
      <c r="W21" s="1024"/>
      <c r="X21" s="1024"/>
      <c r="Y21" s="1024"/>
      <c r="Z21" s="1024"/>
      <c r="AA21" s="1024"/>
      <c r="AB21" s="1119"/>
      <c r="AC21" s="568"/>
      <c r="AE21" s="1024"/>
      <c r="AH21" s="874"/>
      <c r="AI21" s="588"/>
      <c r="AJ21" s="874"/>
      <c r="AK21" s="588"/>
      <c r="AL21" s="588"/>
      <c r="AO21" s="874"/>
      <c r="AP21" s="588"/>
      <c r="AS21" s="1023"/>
      <c r="BC21" s="588"/>
      <c r="BD21" s="588"/>
      <c r="BE21" s="588"/>
      <c r="BF21" s="588"/>
    </row>
    <row r="22" spans="3:60" ht="30" customHeight="1">
      <c r="D22" s="1118"/>
      <c r="F22" s="1081"/>
      <c r="G22" s="1012"/>
      <c r="H22" s="1122" t="b">
        <v>0</v>
      </c>
      <c r="I22" s="568" t="s">
        <v>898</v>
      </c>
      <c r="K22" s="1024"/>
      <c r="L22" s="1024"/>
      <c r="M22" s="1024"/>
      <c r="N22" s="1024"/>
      <c r="O22" s="1024"/>
      <c r="P22" s="1024"/>
      <c r="Q22" s="1024"/>
      <c r="R22" s="1024"/>
      <c r="S22" s="1024"/>
      <c r="T22" s="1024"/>
      <c r="U22" s="1024"/>
      <c r="V22" s="1024"/>
      <c r="W22" s="1024"/>
      <c r="X22" s="1024"/>
      <c r="Y22" s="1024"/>
      <c r="Z22" s="1024"/>
      <c r="AA22" s="1024"/>
      <c r="AH22" s="874"/>
      <c r="AI22" s="588"/>
      <c r="AJ22" s="874"/>
      <c r="AK22" s="588"/>
      <c r="AL22" s="588"/>
      <c r="AO22" s="874"/>
      <c r="AP22" s="588"/>
      <c r="AS22" s="1023"/>
      <c r="AU22" s="610"/>
      <c r="AV22" s="610"/>
      <c r="AW22" s="610"/>
      <c r="AX22" s="610"/>
      <c r="AY22" s="610"/>
      <c r="AZ22" s="568"/>
      <c r="BA22" s="568"/>
      <c r="BB22" s="568"/>
      <c r="BC22" s="568"/>
      <c r="BD22" s="610"/>
      <c r="BE22" s="610"/>
      <c r="BF22" s="610"/>
      <c r="BG22" s="610"/>
      <c r="BH22" s="610"/>
    </row>
    <row r="23" spans="3:60" ht="30" customHeight="1">
      <c r="D23" s="1118"/>
      <c r="F23" s="1081"/>
      <c r="G23" s="1012"/>
      <c r="H23" s="1122" t="b">
        <v>1</v>
      </c>
      <c r="I23" s="568" t="s">
        <v>899</v>
      </c>
      <c r="K23" s="1024"/>
      <c r="L23" s="1024"/>
      <c r="M23" s="1024"/>
      <c r="N23" s="1024"/>
      <c r="O23" s="1024"/>
      <c r="P23" s="1024"/>
      <c r="Q23" s="1024"/>
      <c r="R23" s="1024"/>
      <c r="S23" s="1024"/>
      <c r="T23" s="1024"/>
      <c r="U23" s="1024"/>
      <c r="V23" s="1024"/>
      <c r="W23" s="1024"/>
      <c r="X23" s="1024"/>
      <c r="Y23" s="1024"/>
      <c r="Z23" s="1024"/>
      <c r="AA23" s="1024"/>
      <c r="AH23" s="874"/>
      <c r="AI23" s="588"/>
      <c r="AJ23" s="874"/>
      <c r="AK23" s="588"/>
      <c r="AL23" s="588"/>
      <c r="AO23" s="874"/>
      <c r="AP23" s="588"/>
      <c r="AS23" s="1023"/>
      <c r="BC23" s="588"/>
      <c r="BD23" s="588"/>
      <c r="BE23" s="588"/>
      <c r="BF23" s="588"/>
    </row>
    <row r="24" spans="3:60" ht="5.15" customHeight="1">
      <c r="D24" s="614"/>
      <c r="G24" s="1081"/>
      <c r="H24" s="1012"/>
      <c r="I24" s="1024"/>
      <c r="J24" s="1024"/>
      <c r="K24" s="1024"/>
      <c r="L24" s="1024"/>
      <c r="M24" s="1024"/>
      <c r="N24" s="1024"/>
      <c r="O24" s="1024"/>
      <c r="P24" s="1024"/>
      <c r="Q24" s="1024"/>
      <c r="R24" s="1024"/>
      <c r="S24" s="1024"/>
      <c r="T24" s="1024"/>
      <c r="U24" s="1024"/>
      <c r="V24" s="1024"/>
      <c r="W24" s="1024"/>
      <c r="X24" s="1024"/>
      <c r="Y24" s="1024"/>
      <c r="Z24" s="1024"/>
      <c r="AA24" s="1024"/>
      <c r="AB24" s="874"/>
      <c r="AS24" s="1023"/>
      <c r="BC24" s="588"/>
      <c r="BD24" s="588"/>
      <c r="BE24" s="588"/>
      <c r="BF24" s="588"/>
    </row>
    <row r="25" spans="3:60" ht="16.5" customHeight="1">
      <c r="D25" s="614"/>
      <c r="G25" s="1081" t="s">
        <v>839</v>
      </c>
      <c r="H25" s="1012" t="s">
        <v>1176</v>
      </c>
      <c r="I25" s="1024"/>
      <c r="J25" s="1024"/>
      <c r="K25" s="1024"/>
      <c r="L25" s="1024"/>
      <c r="M25" s="1024"/>
      <c r="N25" s="1024"/>
      <c r="O25" s="1024"/>
      <c r="P25" s="1024"/>
      <c r="Q25" s="1024"/>
      <c r="R25" s="1024"/>
      <c r="S25" s="1024"/>
      <c r="T25" s="1024"/>
      <c r="U25" s="1024"/>
      <c r="V25" s="1024"/>
      <c r="W25" s="1024"/>
      <c r="X25" s="1024"/>
      <c r="Y25" s="588"/>
      <c r="AB25" s="588"/>
      <c r="AF25" s="874"/>
      <c r="AH25" s="588"/>
      <c r="AJ25" s="588"/>
      <c r="AK25" s="588"/>
      <c r="AL25" s="588"/>
      <c r="AM25" s="588"/>
      <c r="AN25" s="588"/>
      <c r="AO25" s="588"/>
      <c r="AP25" s="588"/>
      <c r="AS25" s="1023"/>
      <c r="BC25" s="588"/>
      <c r="BD25" s="588"/>
      <c r="BE25" s="588"/>
      <c r="BF25" s="588"/>
    </row>
    <row r="26" spans="3:60" s="610" customFormat="1" ht="2.15" customHeight="1" thickBot="1">
      <c r="D26" s="636"/>
      <c r="G26" s="605"/>
      <c r="H26" s="637"/>
      <c r="I26" s="607"/>
      <c r="J26" s="607"/>
      <c r="K26" s="607"/>
      <c r="L26" s="607"/>
      <c r="M26" s="607"/>
      <c r="N26" s="607"/>
      <c r="O26" s="607"/>
      <c r="P26" s="607"/>
      <c r="Q26" s="607"/>
      <c r="R26" s="607"/>
      <c r="S26" s="607"/>
      <c r="T26" s="607"/>
      <c r="U26" s="607"/>
      <c r="V26" s="607"/>
      <c r="W26" s="607"/>
      <c r="X26" s="607"/>
      <c r="Y26" s="568"/>
      <c r="AB26" s="568"/>
      <c r="AF26" s="609"/>
      <c r="AH26" s="588"/>
      <c r="AJ26" s="568"/>
      <c r="AK26" s="568"/>
      <c r="AL26" s="568"/>
      <c r="AM26" s="568"/>
      <c r="AN26" s="568"/>
      <c r="AO26" s="568"/>
      <c r="AP26" s="568"/>
      <c r="AS26" s="1112"/>
      <c r="AZ26" s="568"/>
      <c r="BA26" s="568"/>
      <c r="BB26" s="568"/>
      <c r="BC26" s="568"/>
    </row>
    <row r="27" spans="3:60" ht="20">
      <c r="C27" s="1018"/>
      <c r="D27" s="614"/>
      <c r="G27" s="1104"/>
      <c r="H27" s="3392" t="s">
        <v>124</v>
      </c>
      <c r="I27" s="3393"/>
      <c r="J27" s="3393"/>
      <c r="K27" s="3393"/>
      <c r="L27" s="3393"/>
      <c r="M27" s="3393"/>
      <c r="N27" s="3393"/>
      <c r="O27" s="3393"/>
      <c r="P27" s="3394"/>
      <c r="Q27" s="3365" t="s">
        <v>894</v>
      </c>
      <c r="R27" s="3366"/>
      <c r="S27" s="3366"/>
      <c r="T27" s="3366"/>
      <c r="U27" s="3366"/>
      <c r="V27" s="3366"/>
      <c r="W27" s="3366"/>
      <c r="X27" s="3366"/>
      <c r="Y27" s="3366"/>
      <c r="Z27" s="3366"/>
      <c r="AA27" s="3366"/>
      <c r="AB27" s="3366"/>
      <c r="AC27" s="3366"/>
      <c r="AD27" s="3366"/>
      <c r="AE27" s="3366"/>
      <c r="AF27" s="3366"/>
      <c r="AG27" s="3366"/>
      <c r="AH27" s="3366"/>
      <c r="AI27" s="3366"/>
      <c r="AJ27" s="3366"/>
      <c r="AK27" s="3366"/>
      <c r="AL27" s="3366"/>
      <c r="AM27" s="3366"/>
      <c r="AN27" s="3366"/>
      <c r="AO27" s="3366"/>
      <c r="AP27" s="3366"/>
      <c r="AQ27" s="3367"/>
      <c r="AR27" s="874"/>
      <c r="AS27" s="1023"/>
      <c r="BC27" s="588"/>
      <c r="BD27" s="588"/>
      <c r="BE27" s="588"/>
      <c r="BF27" s="588"/>
    </row>
    <row r="28" spans="3:60" ht="17.149999999999999" customHeight="1">
      <c r="C28" s="1018"/>
      <c r="D28" s="614"/>
      <c r="G28" s="1104"/>
      <c r="H28" s="3395"/>
      <c r="I28" s="3396"/>
      <c r="J28" s="3396"/>
      <c r="K28" s="3396"/>
      <c r="L28" s="3396"/>
      <c r="M28" s="3396"/>
      <c r="N28" s="3396"/>
      <c r="O28" s="3396"/>
      <c r="P28" s="3397"/>
      <c r="Q28" s="3498" t="s">
        <v>840</v>
      </c>
      <c r="R28" s="3499"/>
      <c r="S28" s="3499"/>
      <c r="T28" s="3499"/>
      <c r="U28" s="3499"/>
      <c r="V28" s="3499"/>
      <c r="W28" s="3499"/>
      <c r="X28" s="3499"/>
      <c r="Y28" s="3500"/>
      <c r="Z28" s="3498" t="s">
        <v>841</v>
      </c>
      <c r="AA28" s="3499"/>
      <c r="AB28" s="3499"/>
      <c r="AC28" s="3499"/>
      <c r="AD28" s="3499"/>
      <c r="AE28" s="3499"/>
      <c r="AF28" s="3499"/>
      <c r="AG28" s="3499"/>
      <c r="AH28" s="3500"/>
      <c r="AI28" s="3498" t="s">
        <v>842</v>
      </c>
      <c r="AJ28" s="3499"/>
      <c r="AK28" s="3499"/>
      <c r="AL28" s="3499"/>
      <c r="AM28" s="3499"/>
      <c r="AN28" s="3499"/>
      <c r="AO28" s="3499"/>
      <c r="AP28" s="3499"/>
      <c r="AQ28" s="3500"/>
      <c r="AR28" s="874"/>
      <c r="AS28" s="1023"/>
      <c r="BC28" s="588"/>
      <c r="BD28" s="588"/>
      <c r="BE28" s="588"/>
      <c r="BF28" s="588"/>
    </row>
    <row r="29" spans="3:60" ht="17.149999999999999" customHeight="1">
      <c r="C29" s="1018"/>
      <c r="D29" s="614"/>
      <c r="G29" s="1104"/>
      <c r="H29" s="3395"/>
      <c r="I29" s="3396"/>
      <c r="J29" s="3396"/>
      <c r="K29" s="3396"/>
      <c r="L29" s="3396"/>
      <c r="M29" s="3396"/>
      <c r="N29" s="3396"/>
      <c r="O29" s="3396"/>
      <c r="P29" s="3397"/>
      <c r="Q29" s="3395"/>
      <c r="R29" s="3396"/>
      <c r="S29" s="3396"/>
      <c r="T29" s="3396"/>
      <c r="U29" s="3396"/>
      <c r="V29" s="3396"/>
      <c r="W29" s="3396"/>
      <c r="X29" s="3396"/>
      <c r="Y29" s="3397"/>
      <c r="Z29" s="3395"/>
      <c r="AA29" s="3396"/>
      <c r="AB29" s="3396"/>
      <c r="AC29" s="3396"/>
      <c r="AD29" s="3396"/>
      <c r="AE29" s="3396"/>
      <c r="AF29" s="3396"/>
      <c r="AG29" s="3396"/>
      <c r="AH29" s="3397"/>
      <c r="AI29" s="3395"/>
      <c r="AJ29" s="3396"/>
      <c r="AK29" s="3396"/>
      <c r="AL29" s="3396"/>
      <c r="AM29" s="3396"/>
      <c r="AN29" s="3396"/>
      <c r="AO29" s="3396"/>
      <c r="AP29" s="3396"/>
      <c r="AQ29" s="3397"/>
      <c r="AR29" s="874"/>
      <c r="AS29" s="1023"/>
      <c r="BC29" s="588"/>
      <c r="BD29" s="588"/>
      <c r="BE29" s="588"/>
      <c r="BF29" s="588"/>
    </row>
    <row r="30" spans="3:60" ht="17.149999999999999" customHeight="1" thickBot="1">
      <c r="C30" s="1018"/>
      <c r="D30" s="614"/>
      <c r="G30" s="1104"/>
      <c r="H30" s="3398"/>
      <c r="I30" s="3399"/>
      <c r="J30" s="3399"/>
      <c r="K30" s="3399"/>
      <c r="L30" s="3399"/>
      <c r="M30" s="3399"/>
      <c r="N30" s="3399"/>
      <c r="O30" s="3399"/>
      <c r="P30" s="3400"/>
      <c r="Q30" s="3398"/>
      <c r="R30" s="3399"/>
      <c r="S30" s="3399"/>
      <c r="T30" s="3399"/>
      <c r="U30" s="3399"/>
      <c r="V30" s="3399"/>
      <c r="W30" s="3399"/>
      <c r="X30" s="3399"/>
      <c r="Y30" s="3400"/>
      <c r="Z30" s="3398"/>
      <c r="AA30" s="3399"/>
      <c r="AB30" s="3399"/>
      <c r="AC30" s="3399"/>
      <c r="AD30" s="3399"/>
      <c r="AE30" s="3399"/>
      <c r="AF30" s="3399"/>
      <c r="AG30" s="3399"/>
      <c r="AH30" s="3400"/>
      <c r="AI30" s="3398"/>
      <c r="AJ30" s="3399"/>
      <c r="AK30" s="3399"/>
      <c r="AL30" s="3399"/>
      <c r="AM30" s="3399"/>
      <c r="AN30" s="3399"/>
      <c r="AO30" s="3399"/>
      <c r="AP30" s="3399"/>
      <c r="AQ30" s="3400"/>
      <c r="AR30" s="874"/>
      <c r="AS30" s="1023"/>
      <c r="BC30" s="588"/>
      <c r="BD30" s="588"/>
      <c r="BE30" s="588"/>
      <c r="BF30" s="588"/>
    </row>
    <row r="31" spans="3:60" ht="30" customHeight="1">
      <c r="C31" s="1018"/>
      <c r="D31" s="614"/>
      <c r="G31" s="1101"/>
      <c r="H31" s="1071"/>
      <c r="I31" s="1108"/>
      <c r="J31" s="1108"/>
      <c r="K31" s="1072" t="s">
        <v>57</v>
      </c>
      <c r="L31" s="1108"/>
      <c r="M31" s="1108"/>
      <c r="N31" s="1108"/>
      <c r="O31" s="1108"/>
      <c r="P31" s="1109"/>
      <c r="Q31" s="3347">
        <v>0</v>
      </c>
      <c r="R31" s="3344"/>
      <c r="S31" s="3344"/>
      <c r="T31" s="3344"/>
      <c r="U31" s="3344"/>
      <c r="V31" s="3344"/>
      <c r="W31" s="3344"/>
      <c r="X31" s="3344"/>
      <c r="Y31" s="3345"/>
      <c r="Z31" s="3347">
        <v>0</v>
      </c>
      <c r="AA31" s="3344"/>
      <c r="AB31" s="3344"/>
      <c r="AC31" s="3344"/>
      <c r="AD31" s="3344"/>
      <c r="AE31" s="3344"/>
      <c r="AF31" s="3344"/>
      <c r="AG31" s="3344"/>
      <c r="AH31" s="3345"/>
      <c r="AI31" s="3347">
        <v>0</v>
      </c>
      <c r="AJ31" s="3344"/>
      <c r="AK31" s="3344"/>
      <c r="AL31" s="3344"/>
      <c r="AM31" s="3344"/>
      <c r="AN31" s="3344"/>
      <c r="AO31" s="3344"/>
      <c r="AP31" s="3344"/>
      <c r="AQ31" s="3345"/>
      <c r="AR31" s="874"/>
      <c r="AS31" s="1023"/>
      <c r="BC31" s="588"/>
      <c r="BD31" s="588"/>
      <c r="BE31" s="588"/>
      <c r="BF31" s="588"/>
    </row>
    <row r="32" spans="3:60" ht="30" customHeight="1">
      <c r="C32" s="1018"/>
      <c r="D32" s="614"/>
      <c r="G32" s="1093"/>
      <c r="H32" s="1074"/>
      <c r="I32" s="1075"/>
      <c r="J32" s="1075"/>
      <c r="K32" s="1075" t="s">
        <v>19</v>
      </c>
      <c r="L32" s="1075"/>
      <c r="M32" s="1075"/>
      <c r="N32" s="1075"/>
      <c r="O32" s="1075"/>
      <c r="P32" s="1076"/>
      <c r="Q32" s="3434">
        <v>0</v>
      </c>
      <c r="R32" s="3435"/>
      <c r="S32" s="3435"/>
      <c r="T32" s="3435"/>
      <c r="U32" s="3435"/>
      <c r="V32" s="3435"/>
      <c r="W32" s="3435"/>
      <c r="X32" s="3435"/>
      <c r="Y32" s="3436"/>
      <c r="Z32" s="3434">
        <v>0</v>
      </c>
      <c r="AA32" s="3435"/>
      <c r="AB32" s="3435"/>
      <c r="AC32" s="3435"/>
      <c r="AD32" s="3435"/>
      <c r="AE32" s="3435"/>
      <c r="AF32" s="3435"/>
      <c r="AG32" s="3435"/>
      <c r="AH32" s="3436"/>
      <c r="AI32" s="3434">
        <v>0</v>
      </c>
      <c r="AJ32" s="3435"/>
      <c r="AK32" s="3435"/>
      <c r="AL32" s="3435"/>
      <c r="AM32" s="3435"/>
      <c r="AN32" s="3435"/>
      <c r="AO32" s="3435"/>
      <c r="AP32" s="3435"/>
      <c r="AQ32" s="3436"/>
      <c r="AR32" s="874"/>
      <c r="AS32" s="1023"/>
      <c r="BC32" s="588"/>
      <c r="BD32" s="588"/>
      <c r="BE32" s="588"/>
      <c r="BF32" s="588"/>
    </row>
    <row r="33" spans="3:58" ht="30" customHeight="1">
      <c r="C33" s="1018"/>
      <c r="D33" s="614"/>
      <c r="G33" s="1093"/>
      <c r="H33" s="1074"/>
      <c r="I33" s="1075"/>
      <c r="J33" s="1075"/>
      <c r="K33" s="1075" t="s">
        <v>20</v>
      </c>
      <c r="L33" s="1075"/>
      <c r="M33" s="1075"/>
      <c r="N33" s="1075"/>
      <c r="O33" s="1075"/>
      <c r="P33" s="1076"/>
      <c r="Q33" s="3434">
        <v>0</v>
      </c>
      <c r="R33" s="3435"/>
      <c r="S33" s="3435"/>
      <c r="T33" s="3435"/>
      <c r="U33" s="3435"/>
      <c r="V33" s="3435"/>
      <c r="W33" s="3435"/>
      <c r="X33" s="3435"/>
      <c r="Y33" s="3436"/>
      <c r="Z33" s="3434">
        <v>0</v>
      </c>
      <c r="AA33" s="3435"/>
      <c r="AB33" s="3435"/>
      <c r="AC33" s="3435"/>
      <c r="AD33" s="3435"/>
      <c r="AE33" s="3435"/>
      <c r="AF33" s="3435"/>
      <c r="AG33" s="3435"/>
      <c r="AH33" s="3436"/>
      <c r="AI33" s="3434">
        <v>0</v>
      </c>
      <c r="AJ33" s="3435"/>
      <c r="AK33" s="3435"/>
      <c r="AL33" s="3435"/>
      <c r="AM33" s="3435"/>
      <c r="AN33" s="3435"/>
      <c r="AO33" s="3435"/>
      <c r="AP33" s="3435"/>
      <c r="AQ33" s="3436"/>
      <c r="AR33" s="874"/>
      <c r="AS33" s="1023"/>
      <c r="BC33" s="588"/>
      <c r="BD33" s="588"/>
      <c r="BE33" s="588"/>
      <c r="BF33" s="588"/>
    </row>
    <row r="34" spans="3:58" ht="30" customHeight="1">
      <c r="C34" s="1018"/>
      <c r="D34" s="614"/>
      <c r="G34" s="1093"/>
      <c r="H34" s="1074"/>
      <c r="I34" s="1075"/>
      <c r="J34" s="1075"/>
      <c r="K34" s="1075" t="s">
        <v>21</v>
      </c>
      <c r="L34" s="1075"/>
      <c r="M34" s="1075"/>
      <c r="N34" s="1075"/>
      <c r="O34" s="1075"/>
      <c r="P34" s="1076"/>
      <c r="Q34" s="3434">
        <v>0</v>
      </c>
      <c r="R34" s="3435"/>
      <c r="S34" s="3435"/>
      <c r="T34" s="3435"/>
      <c r="U34" s="3435"/>
      <c r="V34" s="3435"/>
      <c r="W34" s="3435"/>
      <c r="X34" s="3435"/>
      <c r="Y34" s="3436"/>
      <c r="Z34" s="3434">
        <v>0</v>
      </c>
      <c r="AA34" s="3435"/>
      <c r="AB34" s="3435"/>
      <c r="AC34" s="3435"/>
      <c r="AD34" s="3435"/>
      <c r="AE34" s="3435"/>
      <c r="AF34" s="3435"/>
      <c r="AG34" s="3435"/>
      <c r="AH34" s="3436"/>
      <c r="AI34" s="3434">
        <v>0</v>
      </c>
      <c r="AJ34" s="3435"/>
      <c r="AK34" s="3435"/>
      <c r="AL34" s="3435"/>
      <c r="AM34" s="3435"/>
      <c r="AN34" s="3435"/>
      <c r="AO34" s="3435"/>
      <c r="AP34" s="3435"/>
      <c r="AQ34" s="3436"/>
      <c r="AR34" s="874"/>
      <c r="AS34" s="1023"/>
      <c r="BC34" s="588"/>
      <c r="BD34" s="588"/>
      <c r="BE34" s="588"/>
      <c r="BF34" s="588"/>
    </row>
    <row r="35" spans="3:58" ht="30" customHeight="1">
      <c r="C35" s="1018"/>
      <c r="D35" s="614"/>
      <c r="G35" s="1093"/>
      <c r="H35" s="1074"/>
      <c r="I35" s="1075"/>
      <c r="J35" s="1075"/>
      <c r="K35" s="1075" t="s">
        <v>22</v>
      </c>
      <c r="L35" s="1075"/>
      <c r="M35" s="1075"/>
      <c r="N35" s="1075"/>
      <c r="O35" s="1075"/>
      <c r="P35" s="1076"/>
      <c r="Q35" s="3434">
        <v>0</v>
      </c>
      <c r="R35" s="3435"/>
      <c r="S35" s="3435"/>
      <c r="T35" s="3435"/>
      <c r="U35" s="3435"/>
      <c r="V35" s="3435"/>
      <c r="W35" s="3435"/>
      <c r="X35" s="3435"/>
      <c r="Y35" s="3436"/>
      <c r="Z35" s="3434">
        <v>0</v>
      </c>
      <c r="AA35" s="3435"/>
      <c r="AB35" s="3435"/>
      <c r="AC35" s="3435"/>
      <c r="AD35" s="3435"/>
      <c r="AE35" s="3435"/>
      <c r="AF35" s="3435"/>
      <c r="AG35" s="3435"/>
      <c r="AH35" s="3436"/>
      <c r="AI35" s="3434">
        <v>0</v>
      </c>
      <c r="AJ35" s="3435"/>
      <c r="AK35" s="3435"/>
      <c r="AL35" s="3435"/>
      <c r="AM35" s="3435"/>
      <c r="AN35" s="3435"/>
      <c r="AO35" s="3435"/>
      <c r="AP35" s="3435"/>
      <c r="AQ35" s="3436"/>
      <c r="AR35" s="874"/>
      <c r="AS35" s="1023"/>
      <c r="BC35" s="588"/>
      <c r="BD35" s="588"/>
      <c r="BE35" s="588"/>
      <c r="BF35" s="588"/>
    </row>
    <row r="36" spans="3:58" ht="30" customHeight="1">
      <c r="C36" s="1018"/>
      <c r="D36" s="614"/>
      <c r="G36" s="1093"/>
      <c r="H36" s="1074"/>
      <c r="I36" s="1075"/>
      <c r="J36" s="1075"/>
      <c r="K36" s="1075" t="s">
        <v>23</v>
      </c>
      <c r="L36" s="1075"/>
      <c r="M36" s="1075"/>
      <c r="N36" s="1075"/>
      <c r="O36" s="1075"/>
      <c r="P36" s="1076"/>
      <c r="Q36" s="3434">
        <v>0</v>
      </c>
      <c r="R36" s="3435"/>
      <c r="S36" s="3435"/>
      <c r="T36" s="3435"/>
      <c r="U36" s="3435"/>
      <c r="V36" s="3435"/>
      <c r="W36" s="3435"/>
      <c r="X36" s="3435"/>
      <c r="Y36" s="3436"/>
      <c r="Z36" s="3434">
        <v>0</v>
      </c>
      <c r="AA36" s="3435"/>
      <c r="AB36" s="3435"/>
      <c r="AC36" s="3435"/>
      <c r="AD36" s="3435"/>
      <c r="AE36" s="3435"/>
      <c r="AF36" s="3435"/>
      <c r="AG36" s="3435"/>
      <c r="AH36" s="3436"/>
      <c r="AI36" s="3434">
        <v>0</v>
      </c>
      <c r="AJ36" s="3435"/>
      <c r="AK36" s="3435"/>
      <c r="AL36" s="3435"/>
      <c r="AM36" s="3435"/>
      <c r="AN36" s="3435"/>
      <c r="AO36" s="3435"/>
      <c r="AP36" s="3435"/>
      <c r="AQ36" s="3436"/>
      <c r="AR36" s="874"/>
      <c r="AS36" s="1023"/>
      <c r="BC36" s="588"/>
      <c r="BD36" s="588"/>
      <c r="BE36" s="588"/>
      <c r="BF36" s="588"/>
    </row>
    <row r="37" spans="3:58" ht="30" customHeight="1" thickBot="1">
      <c r="C37" s="1018"/>
      <c r="D37" s="614"/>
      <c r="G37" s="1093"/>
      <c r="H37" s="1110"/>
      <c r="I37" s="1089"/>
      <c r="J37" s="1089"/>
      <c r="K37" s="1089" t="s">
        <v>24</v>
      </c>
      <c r="L37" s="1089"/>
      <c r="M37" s="1089"/>
      <c r="N37" s="1089"/>
      <c r="O37" s="1089"/>
      <c r="P37" s="1090"/>
      <c r="Q37" s="3322">
        <v>0</v>
      </c>
      <c r="R37" s="3346"/>
      <c r="S37" s="3346"/>
      <c r="T37" s="3346"/>
      <c r="U37" s="3346"/>
      <c r="V37" s="3346"/>
      <c r="W37" s="3346"/>
      <c r="X37" s="3346"/>
      <c r="Y37" s="3331"/>
      <c r="Z37" s="3322">
        <v>0</v>
      </c>
      <c r="AA37" s="3346"/>
      <c r="AB37" s="3346"/>
      <c r="AC37" s="3346"/>
      <c r="AD37" s="3346"/>
      <c r="AE37" s="3346"/>
      <c r="AF37" s="3346"/>
      <c r="AG37" s="3346"/>
      <c r="AH37" s="3331"/>
      <c r="AI37" s="3322">
        <v>0</v>
      </c>
      <c r="AJ37" s="3346"/>
      <c r="AK37" s="3346"/>
      <c r="AL37" s="3346"/>
      <c r="AM37" s="3346"/>
      <c r="AN37" s="3346"/>
      <c r="AO37" s="3346"/>
      <c r="AP37" s="3346"/>
      <c r="AQ37" s="3331"/>
      <c r="AR37" s="874"/>
      <c r="AS37" s="1023"/>
      <c r="BC37" s="588"/>
      <c r="BD37" s="588"/>
      <c r="BE37" s="588"/>
      <c r="BF37" s="588"/>
    </row>
    <row r="38" spans="3:58" ht="30" customHeight="1" thickTop="1" thickBot="1">
      <c r="C38" s="1018"/>
      <c r="D38" s="614"/>
      <c r="G38" s="1093"/>
      <c r="H38" s="1064"/>
      <c r="I38" s="1065"/>
      <c r="J38" s="1065"/>
      <c r="K38" s="1065" t="s">
        <v>29</v>
      </c>
      <c r="L38" s="1065"/>
      <c r="M38" s="1065"/>
      <c r="N38" s="1065"/>
      <c r="O38" s="1065"/>
      <c r="P38" s="1066"/>
      <c r="Q38" s="3334">
        <f>SUM(Q31:Y37)</f>
        <v>0</v>
      </c>
      <c r="R38" s="3332"/>
      <c r="S38" s="3332"/>
      <c r="T38" s="3332"/>
      <c r="U38" s="3332"/>
      <c r="V38" s="3332"/>
      <c r="W38" s="3332"/>
      <c r="X38" s="3332"/>
      <c r="Y38" s="3333"/>
      <c r="Z38" s="3334">
        <f t="shared" ref="Z38" si="0">SUM(Z31:AH37)</f>
        <v>0</v>
      </c>
      <c r="AA38" s="3332"/>
      <c r="AB38" s="3332"/>
      <c r="AC38" s="3332"/>
      <c r="AD38" s="3332"/>
      <c r="AE38" s="3332"/>
      <c r="AF38" s="3332"/>
      <c r="AG38" s="3332"/>
      <c r="AH38" s="3333"/>
      <c r="AI38" s="3334">
        <f t="shared" ref="AI38" si="1">SUM(AI31:AQ37)</f>
        <v>0</v>
      </c>
      <c r="AJ38" s="3332"/>
      <c r="AK38" s="3332"/>
      <c r="AL38" s="3332"/>
      <c r="AM38" s="3332"/>
      <c r="AN38" s="3332"/>
      <c r="AO38" s="3332"/>
      <c r="AP38" s="3332"/>
      <c r="AQ38" s="3333"/>
      <c r="AR38" s="874"/>
      <c r="AS38" s="1023"/>
      <c r="BC38" s="588"/>
      <c r="BD38" s="588"/>
      <c r="BE38" s="588"/>
      <c r="BF38" s="588"/>
    </row>
    <row r="39" spans="3:58" ht="11.5" customHeight="1">
      <c r="D39" s="614"/>
      <c r="G39" s="1081"/>
      <c r="H39" s="1012"/>
      <c r="I39" s="1024"/>
      <c r="J39" s="1024"/>
      <c r="K39" s="1024"/>
      <c r="L39" s="1024"/>
      <c r="M39" s="1024"/>
      <c r="N39" s="1024"/>
      <c r="O39" s="1024"/>
      <c r="P39" s="1024"/>
      <c r="Q39" s="1024"/>
      <c r="R39" s="1024"/>
      <c r="S39" s="1024"/>
      <c r="T39" s="1024"/>
      <c r="U39" s="1024"/>
      <c r="V39" s="1024"/>
      <c r="W39" s="1024"/>
      <c r="X39" s="1024"/>
      <c r="Y39" s="1024"/>
      <c r="Z39" s="1024"/>
      <c r="AA39" s="1024"/>
      <c r="AB39" s="874"/>
      <c r="AS39" s="1023"/>
      <c r="AZ39" s="588"/>
      <c r="BA39" s="588"/>
      <c r="BB39" s="588"/>
      <c r="BC39" s="588"/>
    </row>
    <row r="40" spans="3:58" ht="21.65" customHeight="1">
      <c r="D40" s="614"/>
      <c r="G40" s="1081" t="s">
        <v>843</v>
      </c>
      <c r="H40" s="1012" t="s">
        <v>1177</v>
      </c>
      <c r="I40" s="1024"/>
      <c r="J40" s="1024"/>
      <c r="K40" s="1024"/>
      <c r="L40" s="1024"/>
      <c r="M40" s="1024"/>
      <c r="N40" s="1024"/>
      <c r="O40" s="1024"/>
      <c r="P40" s="1024"/>
      <c r="Q40" s="1024"/>
      <c r="R40" s="1024"/>
      <c r="S40" s="1024"/>
      <c r="T40" s="1024"/>
      <c r="U40" s="1024"/>
      <c r="V40" s="1024"/>
      <c r="W40" s="1024"/>
      <c r="X40" s="1024"/>
      <c r="Y40" s="588"/>
      <c r="AB40" s="588"/>
      <c r="AF40" s="874"/>
      <c r="AH40" s="588"/>
      <c r="AJ40" s="588"/>
      <c r="AK40" s="588"/>
      <c r="AL40" s="1009"/>
      <c r="AM40" s="1009"/>
      <c r="AN40" s="1009"/>
      <c r="AO40" s="1009"/>
      <c r="AP40" s="1009"/>
      <c r="AQ40" s="1009"/>
      <c r="AR40" s="1009"/>
      <c r="AS40" s="1111"/>
      <c r="AZ40" s="588"/>
      <c r="BA40" s="588"/>
      <c r="BB40" s="588"/>
      <c r="BC40" s="588"/>
    </row>
    <row r="41" spans="3:58" s="610" customFormat="1" ht="2.15" customHeight="1" thickBot="1">
      <c r="D41" s="636"/>
      <c r="G41" s="605"/>
      <c r="H41" s="637"/>
      <c r="I41" s="607"/>
      <c r="J41" s="607"/>
      <c r="K41" s="607"/>
      <c r="L41" s="607"/>
      <c r="M41" s="607"/>
      <c r="N41" s="607"/>
      <c r="O41" s="607"/>
      <c r="P41" s="607"/>
      <c r="Q41" s="607"/>
      <c r="R41" s="607"/>
      <c r="S41" s="607"/>
      <c r="T41" s="607"/>
      <c r="U41" s="607"/>
      <c r="V41" s="607"/>
      <c r="W41" s="607"/>
      <c r="X41" s="607"/>
      <c r="Y41" s="568"/>
      <c r="AB41" s="568"/>
      <c r="AF41" s="609"/>
      <c r="AH41" s="588"/>
      <c r="AJ41" s="568"/>
      <c r="AK41" s="568"/>
      <c r="AL41" s="568"/>
      <c r="AM41" s="568"/>
      <c r="AN41" s="568"/>
      <c r="AO41" s="568"/>
      <c r="AP41" s="568"/>
      <c r="AS41" s="1112"/>
      <c r="AZ41" s="568"/>
      <c r="BA41" s="568"/>
      <c r="BB41" s="568"/>
      <c r="BC41" s="568"/>
    </row>
    <row r="42" spans="3:58" ht="17.149999999999999" customHeight="1">
      <c r="C42" s="1018"/>
      <c r="D42" s="614"/>
      <c r="G42" s="1104"/>
      <c r="H42" s="3392" t="s">
        <v>124</v>
      </c>
      <c r="I42" s="3393"/>
      <c r="J42" s="3393"/>
      <c r="K42" s="3393"/>
      <c r="L42" s="3393"/>
      <c r="M42" s="3393"/>
      <c r="N42" s="3393"/>
      <c r="O42" s="3393"/>
      <c r="P42" s="3394"/>
      <c r="Q42" s="3365" t="s">
        <v>895</v>
      </c>
      <c r="R42" s="3366"/>
      <c r="S42" s="3366"/>
      <c r="T42" s="3366"/>
      <c r="U42" s="3366"/>
      <c r="V42" s="3366"/>
      <c r="W42" s="3366"/>
      <c r="X42" s="3366"/>
      <c r="Y42" s="3366"/>
      <c r="Z42" s="3366"/>
      <c r="AA42" s="3366"/>
      <c r="AB42" s="3366"/>
      <c r="AC42" s="3366"/>
      <c r="AD42" s="3366"/>
      <c r="AE42" s="3366"/>
      <c r="AF42" s="3366"/>
      <c r="AG42" s="3366"/>
      <c r="AH42" s="3366"/>
      <c r="AI42" s="3366"/>
      <c r="AJ42" s="3366"/>
      <c r="AK42" s="3366"/>
      <c r="AL42" s="3366"/>
      <c r="AM42" s="3366"/>
      <c r="AN42" s="3366"/>
      <c r="AO42" s="3366"/>
      <c r="AP42" s="3366"/>
      <c r="AQ42" s="3367"/>
      <c r="AR42" s="874"/>
      <c r="AS42" s="1023"/>
      <c r="BC42" s="588"/>
      <c r="BD42" s="588"/>
      <c r="BE42" s="588"/>
      <c r="BF42" s="588"/>
    </row>
    <row r="43" spans="3:58" ht="17.149999999999999" customHeight="1">
      <c r="C43" s="1018"/>
      <c r="D43" s="614"/>
      <c r="G43" s="1104"/>
      <c r="H43" s="3395"/>
      <c r="I43" s="3396"/>
      <c r="J43" s="3396"/>
      <c r="K43" s="3396"/>
      <c r="L43" s="3396"/>
      <c r="M43" s="3396"/>
      <c r="N43" s="3396"/>
      <c r="O43" s="3396"/>
      <c r="P43" s="3397"/>
      <c r="Q43" s="3498" t="s">
        <v>844</v>
      </c>
      <c r="R43" s="3499"/>
      <c r="S43" s="3499"/>
      <c r="T43" s="3499"/>
      <c r="U43" s="3499"/>
      <c r="V43" s="3499"/>
      <c r="W43" s="3499"/>
      <c r="X43" s="3499"/>
      <c r="Y43" s="3500"/>
      <c r="Z43" s="3498" t="s">
        <v>845</v>
      </c>
      <c r="AA43" s="3499"/>
      <c r="AB43" s="3499"/>
      <c r="AC43" s="3499"/>
      <c r="AD43" s="3499"/>
      <c r="AE43" s="3499"/>
      <c r="AF43" s="3499"/>
      <c r="AG43" s="3499"/>
      <c r="AH43" s="3500"/>
      <c r="AI43" s="3498" t="s">
        <v>846</v>
      </c>
      <c r="AJ43" s="3499"/>
      <c r="AK43" s="3499"/>
      <c r="AL43" s="3499"/>
      <c r="AM43" s="3499"/>
      <c r="AN43" s="3499"/>
      <c r="AO43" s="3499"/>
      <c r="AP43" s="3499"/>
      <c r="AQ43" s="3500"/>
      <c r="AR43" s="874"/>
      <c r="AS43" s="1023"/>
      <c r="BC43" s="588"/>
      <c r="BD43" s="588"/>
      <c r="BE43" s="588"/>
      <c r="BF43" s="588"/>
    </row>
    <row r="44" spans="3:58" ht="17.149999999999999" customHeight="1">
      <c r="C44" s="1018"/>
      <c r="D44" s="614"/>
      <c r="G44" s="1104"/>
      <c r="H44" s="3395"/>
      <c r="I44" s="3396"/>
      <c r="J44" s="3396"/>
      <c r="K44" s="3396"/>
      <c r="L44" s="3396"/>
      <c r="M44" s="3396"/>
      <c r="N44" s="3396"/>
      <c r="O44" s="3396"/>
      <c r="P44" s="3397"/>
      <c r="Q44" s="3395"/>
      <c r="R44" s="3396"/>
      <c r="S44" s="3396"/>
      <c r="T44" s="3396"/>
      <c r="U44" s="3396"/>
      <c r="V44" s="3396"/>
      <c r="W44" s="3396"/>
      <c r="X44" s="3396"/>
      <c r="Y44" s="3397"/>
      <c r="Z44" s="3395"/>
      <c r="AA44" s="3396"/>
      <c r="AB44" s="3396"/>
      <c r="AC44" s="3396"/>
      <c r="AD44" s="3396"/>
      <c r="AE44" s="3396"/>
      <c r="AF44" s="3396"/>
      <c r="AG44" s="3396"/>
      <c r="AH44" s="3397"/>
      <c r="AI44" s="3395"/>
      <c r="AJ44" s="3396"/>
      <c r="AK44" s="3396"/>
      <c r="AL44" s="3396"/>
      <c r="AM44" s="3396"/>
      <c r="AN44" s="3396"/>
      <c r="AO44" s="3396"/>
      <c r="AP44" s="3396"/>
      <c r="AQ44" s="3397"/>
      <c r="AR44" s="874"/>
      <c r="AS44" s="1023"/>
      <c r="BC44" s="588"/>
      <c r="BD44" s="588"/>
      <c r="BE44" s="588"/>
      <c r="BF44" s="588"/>
    </row>
    <row r="45" spans="3:58" ht="17.149999999999999" customHeight="1" thickBot="1">
      <c r="C45" s="1018"/>
      <c r="D45" s="614"/>
      <c r="G45" s="1104"/>
      <c r="H45" s="3398"/>
      <c r="I45" s="3399"/>
      <c r="J45" s="3399"/>
      <c r="K45" s="3399"/>
      <c r="L45" s="3399"/>
      <c r="M45" s="3399"/>
      <c r="N45" s="3399"/>
      <c r="O45" s="3399"/>
      <c r="P45" s="3400"/>
      <c r="Q45" s="3398"/>
      <c r="R45" s="3399"/>
      <c r="S45" s="3399"/>
      <c r="T45" s="3399"/>
      <c r="U45" s="3399"/>
      <c r="V45" s="3399"/>
      <c r="W45" s="3399"/>
      <c r="X45" s="3399"/>
      <c r="Y45" s="3400"/>
      <c r="Z45" s="3398"/>
      <c r="AA45" s="3399"/>
      <c r="AB45" s="3399"/>
      <c r="AC45" s="3399"/>
      <c r="AD45" s="3399"/>
      <c r="AE45" s="3399"/>
      <c r="AF45" s="3399"/>
      <c r="AG45" s="3399"/>
      <c r="AH45" s="3400"/>
      <c r="AI45" s="3398"/>
      <c r="AJ45" s="3399"/>
      <c r="AK45" s="3399"/>
      <c r="AL45" s="3399"/>
      <c r="AM45" s="3399"/>
      <c r="AN45" s="3399"/>
      <c r="AO45" s="3399"/>
      <c r="AP45" s="3399"/>
      <c r="AQ45" s="3400"/>
      <c r="AR45" s="874"/>
      <c r="AS45" s="1023"/>
      <c r="BC45" s="588"/>
      <c r="BD45" s="588"/>
      <c r="BE45" s="588"/>
      <c r="BF45" s="588"/>
    </row>
    <row r="46" spans="3:58" ht="30" customHeight="1">
      <c r="C46" s="1018"/>
      <c r="D46" s="614"/>
      <c r="G46" s="1101"/>
      <c r="H46" s="1071"/>
      <c r="I46" s="1108"/>
      <c r="J46" s="1108"/>
      <c r="K46" s="1072" t="s">
        <v>57</v>
      </c>
      <c r="L46" s="1108"/>
      <c r="M46" s="1108"/>
      <c r="N46" s="1108"/>
      <c r="O46" s="1108"/>
      <c r="P46" s="1109"/>
      <c r="Q46" s="3347">
        <v>0</v>
      </c>
      <c r="R46" s="3344"/>
      <c r="S46" s="3344"/>
      <c r="T46" s="3344"/>
      <c r="U46" s="3344"/>
      <c r="V46" s="3344"/>
      <c r="W46" s="3344"/>
      <c r="X46" s="3344"/>
      <c r="Y46" s="3345"/>
      <c r="Z46" s="3347">
        <v>0</v>
      </c>
      <c r="AA46" s="3344"/>
      <c r="AB46" s="3344"/>
      <c r="AC46" s="3344"/>
      <c r="AD46" s="3344"/>
      <c r="AE46" s="3344"/>
      <c r="AF46" s="3344"/>
      <c r="AG46" s="3344"/>
      <c r="AH46" s="3345"/>
      <c r="AI46" s="3347">
        <v>0</v>
      </c>
      <c r="AJ46" s="3344"/>
      <c r="AK46" s="3344"/>
      <c r="AL46" s="3344"/>
      <c r="AM46" s="3344"/>
      <c r="AN46" s="3344"/>
      <c r="AO46" s="3344"/>
      <c r="AP46" s="3344"/>
      <c r="AQ46" s="3345"/>
      <c r="AR46" s="874"/>
      <c r="AS46" s="1023"/>
      <c r="BC46" s="588"/>
      <c r="BD46" s="588"/>
      <c r="BE46" s="588"/>
      <c r="BF46" s="588"/>
    </row>
    <row r="47" spans="3:58" ht="30" customHeight="1">
      <c r="C47" s="1018"/>
      <c r="D47" s="614"/>
      <c r="G47" s="1101"/>
      <c r="H47" s="1074"/>
      <c r="I47" s="1075"/>
      <c r="J47" s="1075"/>
      <c r="K47" s="1075" t="s">
        <v>19</v>
      </c>
      <c r="L47" s="1075"/>
      <c r="M47" s="1075"/>
      <c r="N47" s="1075"/>
      <c r="O47" s="1075"/>
      <c r="P47" s="1076"/>
      <c r="Q47" s="3434">
        <v>0</v>
      </c>
      <c r="R47" s="3435"/>
      <c r="S47" s="3435"/>
      <c r="T47" s="3435"/>
      <c r="U47" s="3435"/>
      <c r="V47" s="3435"/>
      <c r="W47" s="3435"/>
      <c r="X47" s="3435"/>
      <c r="Y47" s="3436"/>
      <c r="Z47" s="3434">
        <v>0</v>
      </c>
      <c r="AA47" s="3435"/>
      <c r="AB47" s="3435"/>
      <c r="AC47" s="3435"/>
      <c r="AD47" s="3435"/>
      <c r="AE47" s="3435"/>
      <c r="AF47" s="3435"/>
      <c r="AG47" s="3435"/>
      <c r="AH47" s="3436"/>
      <c r="AI47" s="3434">
        <v>0</v>
      </c>
      <c r="AJ47" s="3435"/>
      <c r="AK47" s="3435"/>
      <c r="AL47" s="3435"/>
      <c r="AM47" s="3435"/>
      <c r="AN47" s="3435"/>
      <c r="AO47" s="3435"/>
      <c r="AP47" s="3435"/>
      <c r="AQ47" s="3436"/>
      <c r="AR47" s="874"/>
      <c r="AS47" s="1023"/>
      <c r="BC47" s="588"/>
      <c r="BD47" s="588"/>
      <c r="BE47" s="588"/>
      <c r="BF47" s="588"/>
    </row>
    <row r="48" spans="3:58" ht="30" customHeight="1">
      <c r="C48" s="1018"/>
      <c r="D48" s="614"/>
      <c r="G48" s="1101"/>
      <c r="H48" s="1074"/>
      <c r="I48" s="1075"/>
      <c r="J48" s="1075"/>
      <c r="K48" s="1075" t="s">
        <v>20</v>
      </c>
      <c r="L48" s="1075"/>
      <c r="M48" s="1075"/>
      <c r="N48" s="1075"/>
      <c r="O48" s="1075"/>
      <c r="P48" s="1076"/>
      <c r="Q48" s="3434">
        <v>0</v>
      </c>
      <c r="R48" s="3435"/>
      <c r="S48" s="3435"/>
      <c r="T48" s="3435"/>
      <c r="U48" s="3435"/>
      <c r="V48" s="3435"/>
      <c r="W48" s="3435"/>
      <c r="X48" s="3435"/>
      <c r="Y48" s="3436"/>
      <c r="Z48" s="3434">
        <v>0</v>
      </c>
      <c r="AA48" s="3435"/>
      <c r="AB48" s="3435"/>
      <c r="AC48" s="3435"/>
      <c r="AD48" s="3435"/>
      <c r="AE48" s="3435"/>
      <c r="AF48" s="3435"/>
      <c r="AG48" s="3435"/>
      <c r="AH48" s="3436"/>
      <c r="AI48" s="3434">
        <v>0</v>
      </c>
      <c r="AJ48" s="3435"/>
      <c r="AK48" s="3435"/>
      <c r="AL48" s="3435"/>
      <c r="AM48" s="3435"/>
      <c r="AN48" s="3435"/>
      <c r="AO48" s="3435"/>
      <c r="AP48" s="3435"/>
      <c r="AQ48" s="3436"/>
      <c r="AR48" s="874"/>
      <c r="AS48" s="1023"/>
      <c r="BC48" s="588"/>
      <c r="BD48" s="588"/>
      <c r="BE48" s="588"/>
      <c r="BF48" s="588"/>
    </row>
    <row r="49" spans="2:62" ht="30" customHeight="1">
      <c r="C49" s="1018"/>
      <c r="D49" s="614"/>
      <c r="G49" s="1101"/>
      <c r="H49" s="1074"/>
      <c r="I49" s="1075"/>
      <c r="J49" s="1075"/>
      <c r="K49" s="1075" t="s">
        <v>21</v>
      </c>
      <c r="L49" s="1075"/>
      <c r="M49" s="1075"/>
      <c r="N49" s="1075"/>
      <c r="O49" s="1075"/>
      <c r="P49" s="1076"/>
      <c r="Q49" s="3434">
        <v>0</v>
      </c>
      <c r="R49" s="3435"/>
      <c r="S49" s="3435"/>
      <c r="T49" s="3435"/>
      <c r="U49" s="3435"/>
      <c r="V49" s="3435"/>
      <c r="W49" s="3435"/>
      <c r="X49" s="3435"/>
      <c r="Y49" s="3436"/>
      <c r="Z49" s="3434">
        <v>0</v>
      </c>
      <c r="AA49" s="3435"/>
      <c r="AB49" s="3435"/>
      <c r="AC49" s="3435"/>
      <c r="AD49" s="3435"/>
      <c r="AE49" s="3435"/>
      <c r="AF49" s="3435"/>
      <c r="AG49" s="3435"/>
      <c r="AH49" s="3436"/>
      <c r="AI49" s="3434">
        <v>0</v>
      </c>
      <c r="AJ49" s="3435"/>
      <c r="AK49" s="3435"/>
      <c r="AL49" s="3435"/>
      <c r="AM49" s="3435"/>
      <c r="AN49" s="3435"/>
      <c r="AO49" s="3435"/>
      <c r="AP49" s="3435"/>
      <c r="AQ49" s="3436"/>
      <c r="AR49" s="874"/>
      <c r="AS49" s="1023"/>
      <c r="BC49" s="588"/>
      <c r="BD49" s="588"/>
      <c r="BE49" s="588"/>
      <c r="BF49" s="588"/>
    </row>
    <row r="50" spans="2:62" ht="30" customHeight="1">
      <c r="C50" s="1018"/>
      <c r="D50" s="614"/>
      <c r="G50" s="1101"/>
      <c r="H50" s="1074"/>
      <c r="I50" s="1075"/>
      <c r="J50" s="1075"/>
      <c r="K50" s="1075" t="s">
        <v>22</v>
      </c>
      <c r="L50" s="1075"/>
      <c r="M50" s="1075"/>
      <c r="N50" s="1075"/>
      <c r="O50" s="1075"/>
      <c r="P50" s="1076"/>
      <c r="Q50" s="3434">
        <v>0</v>
      </c>
      <c r="R50" s="3435"/>
      <c r="S50" s="3435"/>
      <c r="T50" s="3435"/>
      <c r="U50" s="3435"/>
      <c r="V50" s="3435"/>
      <c r="W50" s="3435"/>
      <c r="X50" s="3435"/>
      <c r="Y50" s="3436"/>
      <c r="Z50" s="3434">
        <v>0</v>
      </c>
      <c r="AA50" s="3435"/>
      <c r="AB50" s="3435"/>
      <c r="AC50" s="3435"/>
      <c r="AD50" s="3435"/>
      <c r="AE50" s="3435"/>
      <c r="AF50" s="3435"/>
      <c r="AG50" s="3435"/>
      <c r="AH50" s="3436"/>
      <c r="AI50" s="3434">
        <v>0</v>
      </c>
      <c r="AJ50" s="3435"/>
      <c r="AK50" s="3435"/>
      <c r="AL50" s="3435"/>
      <c r="AM50" s="3435"/>
      <c r="AN50" s="3435"/>
      <c r="AO50" s="3435"/>
      <c r="AP50" s="3435"/>
      <c r="AQ50" s="3436"/>
      <c r="AR50" s="874"/>
      <c r="AS50" s="1023"/>
      <c r="BC50" s="588"/>
      <c r="BD50" s="588"/>
      <c r="BE50" s="588"/>
      <c r="BF50" s="588"/>
    </row>
    <row r="51" spans="2:62" ht="30" customHeight="1">
      <c r="C51" s="1018"/>
      <c r="D51" s="614"/>
      <c r="G51" s="1101"/>
      <c r="H51" s="1074"/>
      <c r="I51" s="1075"/>
      <c r="J51" s="1075"/>
      <c r="K51" s="1075" t="s">
        <v>23</v>
      </c>
      <c r="L51" s="1075"/>
      <c r="M51" s="1075"/>
      <c r="N51" s="1075"/>
      <c r="O51" s="1075"/>
      <c r="P51" s="1076"/>
      <c r="Q51" s="3434">
        <v>0</v>
      </c>
      <c r="R51" s="3435"/>
      <c r="S51" s="3435"/>
      <c r="T51" s="3435"/>
      <c r="U51" s="3435"/>
      <c r="V51" s="3435"/>
      <c r="W51" s="3435"/>
      <c r="X51" s="3435"/>
      <c r="Y51" s="3436"/>
      <c r="Z51" s="3434">
        <v>0</v>
      </c>
      <c r="AA51" s="3435"/>
      <c r="AB51" s="3435"/>
      <c r="AC51" s="3435"/>
      <c r="AD51" s="3435"/>
      <c r="AE51" s="3435"/>
      <c r="AF51" s="3435"/>
      <c r="AG51" s="3435"/>
      <c r="AH51" s="3436"/>
      <c r="AI51" s="3434">
        <v>0</v>
      </c>
      <c r="AJ51" s="3435"/>
      <c r="AK51" s="3435"/>
      <c r="AL51" s="3435"/>
      <c r="AM51" s="3435"/>
      <c r="AN51" s="3435"/>
      <c r="AO51" s="3435"/>
      <c r="AP51" s="3435"/>
      <c r="AQ51" s="3436"/>
      <c r="AR51" s="874"/>
      <c r="AS51" s="1023"/>
      <c r="BC51" s="588"/>
      <c r="BD51" s="588"/>
      <c r="BE51" s="588"/>
      <c r="BF51" s="588"/>
    </row>
    <row r="52" spans="2:62" ht="30" customHeight="1" thickBot="1">
      <c r="C52" s="1018"/>
      <c r="D52" s="614"/>
      <c r="G52" s="1093"/>
      <c r="H52" s="1110"/>
      <c r="I52" s="1089"/>
      <c r="J52" s="1089"/>
      <c r="K52" s="1089" t="s">
        <v>24</v>
      </c>
      <c r="L52" s="1089"/>
      <c r="M52" s="1089"/>
      <c r="N52" s="1089"/>
      <c r="O52" s="1089"/>
      <c r="P52" s="1090"/>
      <c r="Q52" s="3322">
        <v>0</v>
      </c>
      <c r="R52" s="3346"/>
      <c r="S52" s="3346"/>
      <c r="T52" s="3346"/>
      <c r="U52" s="3346"/>
      <c r="V52" s="3346"/>
      <c r="W52" s="3346"/>
      <c r="X52" s="3346"/>
      <c r="Y52" s="3331"/>
      <c r="Z52" s="3322">
        <v>0</v>
      </c>
      <c r="AA52" s="3346"/>
      <c r="AB52" s="3346"/>
      <c r="AC52" s="3346"/>
      <c r="AD52" s="3346"/>
      <c r="AE52" s="3346"/>
      <c r="AF52" s="3346"/>
      <c r="AG52" s="3346"/>
      <c r="AH52" s="3331"/>
      <c r="AI52" s="3322">
        <v>0</v>
      </c>
      <c r="AJ52" s="3346"/>
      <c r="AK52" s="3346"/>
      <c r="AL52" s="3346"/>
      <c r="AM52" s="3346"/>
      <c r="AN52" s="3346"/>
      <c r="AO52" s="3346"/>
      <c r="AP52" s="3346"/>
      <c r="AQ52" s="3331"/>
      <c r="AR52" s="874"/>
      <c r="AS52" s="1023"/>
      <c r="BC52" s="588"/>
      <c r="BD52" s="588"/>
      <c r="BE52" s="588"/>
      <c r="BF52" s="588"/>
    </row>
    <row r="53" spans="2:62" ht="30" customHeight="1" thickTop="1" thickBot="1">
      <c r="C53" s="1018"/>
      <c r="D53" s="614"/>
      <c r="G53" s="1093"/>
      <c r="H53" s="1064"/>
      <c r="I53" s="1065"/>
      <c r="J53" s="1065"/>
      <c r="K53" s="1065" t="s">
        <v>29</v>
      </c>
      <c r="L53" s="1065"/>
      <c r="M53" s="1065"/>
      <c r="N53" s="1065"/>
      <c r="O53" s="1065"/>
      <c r="P53" s="1066"/>
      <c r="Q53" s="3334">
        <f>SUM(Q46:Y52)</f>
        <v>0</v>
      </c>
      <c r="R53" s="3332"/>
      <c r="S53" s="3332"/>
      <c r="T53" s="3332"/>
      <c r="U53" s="3332"/>
      <c r="V53" s="3332"/>
      <c r="W53" s="3332"/>
      <c r="X53" s="3332"/>
      <c r="Y53" s="3333"/>
      <c r="Z53" s="3334">
        <f t="shared" ref="Z53" si="2">SUM(Z46:AH52)</f>
        <v>0</v>
      </c>
      <c r="AA53" s="3332"/>
      <c r="AB53" s="3332"/>
      <c r="AC53" s="3332"/>
      <c r="AD53" s="3332"/>
      <c r="AE53" s="3332"/>
      <c r="AF53" s="3332"/>
      <c r="AG53" s="3332"/>
      <c r="AH53" s="3333"/>
      <c r="AI53" s="3334">
        <f t="shared" ref="AI53" si="3">SUM(AI46:AQ52)</f>
        <v>0</v>
      </c>
      <c r="AJ53" s="3332"/>
      <c r="AK53" s="3332"/>
      <c r="AL53" s="3332"/>
      <c r="AM53" s="3332"/>
      <c r="AN53" s="3332"/>
      <c r="AO53" s="3332"/>
      <c r="AP53" s="3332"/>
      <c r="AQ53" s="3333"/>
      <c r="AR53" s="874"/>
      <c r="AS53" s="1023"/>
      <c r="BC53" s="588"/>
      <c r="BD53" s="588"/>
      <c r="BE53" s="588"/>
      <c r="BF53" s="588"/>
    </row>
    <row r="54" spans="2:62" ht="6" customHeight="1" thickBot="1">
      <c r="D54" s="612"/>
      <c r="E54" s="1010"/>
      <c r="F54" s="1010"/>
      <c r="G54" s="1010"/>
      <c r="H54" s="1011"/>
      <c r="I54" s="562"/>
      <c r="J54" s="562"/>
      <c r="K54" s="562"/>
      <c r="L54" s="562"/>
      <c r="M54" s="562"/>
      <c r="N54" s="562"/>
      <c r="O54" s="562"/>
      <c r="P54" s="562"/>
      <c r="Q54" s="562"/>
      <c r="R54" s="562"/>
      <c r="S54" s="562"/>
      <c r="T54" s="562"/>
      <c r="U54" s="562"/>
      <c r="V54" s="562"/>
      <c r="W54" s="562"/>
      <c r="X54" s="562"/>
      <c r="Y54" s="562"/>
      <c r="Z54" s="562"/>
      <c r="AA54" s="562"/>
      <c r="AB54" s="866"/>
      <c r="AC54" s="866"/>
      <c r="AD54" s="866"/>
      <c r="AE54" s="866"/>
      <c r="AF54" s="866"/>
      <c r="AG54" s="562"/>
      <c r="AH54" s="866"/>
      <c r="AI54" s="866"/>
      <c r="AJ54" s="866"/>
      <c r="AK54" s="866"/>
      <c r="AL54" s="866"/>
      <c r="AM54" s="866"/>
      <c r="AN54" s="562"/>
      <c r="AO54" s="562"/>
      <c r="AP54" s="562"/>
      <c r="AQ54" s="562"/>
      <c r="AR54" s="562"/>
      <c r="AS54" s="806"/>
    </row>
    <row r="55" spans="2:62" ht="6" customHeight="1">
      <c r="F55" s="1080"/>
      <c r="G55" s="629"/>
      <c r="H55" s="629"/>
      <c r="I55" s="629"/>
      <c r="J55" s="629"/>
      <c r="K55" s="629"/>
      <c r="L55" s="629"/>
      <c r="M55" s="629"/>
      <c r="N55" s="629"/>
      <c r="O55" s="629"/>
      <c r="P55" s="874"/>
      <c r="R55" s="874"/>
      <c r="S55" s="975"/>
      <c r="T55" s="588"/>
      <c r="W55" s="874"/>
      <c r="X55" s="975"/>
      <c r="Y55" s="588"/>
      <c r="Z55" s="588"/>
      <c r="AA55" s="588"/>
      <c r="AB55" s="588"/>
      <c r="AC55" s="588"/>
      <c r="AE55" s="874"/>
      <c r="AF55" s="874"/>
      <c r="AG55" s="874"/>
      <c r="AH55" s="874"/>
      <c r="AI55" s="874"/>
      <c r="AJ55" s="874"/>
      <c r="AK55" s="874"/>
      <c r="AL55" s="874"/>
      <c r="AM55" s="874"/>
      <c r="AN55" s="874"/>
      <c r="AO55" s="874"/>
      <c r="AP55" s="874"/>
      <c r="AQ55" s="874"/>
      <c r="AR55" s="874"/>
      <c r="AS55" s="874"/>
      <c r="AT55" s="874"/>
      <c r="AU55" s="874"/>
      <c r="AV55" s="874"/>
      <c r="AW55" s="874"/>
      <c r="BG55" s="588"/>
      <c r="BH55" s="588"/>
      <c r="BI55" s="588"/>
      <c r="BJ55" s="588"/>
    </row>
    <row r="56" spans="2:62" ht="15.75" customHeight="1">
      <c r="D56" s="1106" t="s">
        <v>1519</v>
      </c>
      <c r="E56" s="1036"/>
      <c r="G56" s="1107"/>
      <c r="H56" s="1107"/>
      <c r="I56" s="1107"/>
      <c r="J56" s="1107"/>
      <c r="K56" s="1107"/>
      <c r="L56" s="1107"/>
      <c r="M56" s="1107"/>
      <c r="N56" s="1107"/>
      <c r="O56" s="1107"/>
      <c r="P56" s="1107"/>
      <c r="Q56" s="1107"/>
      <c r="R56" s="1107"/>
      <c r="S56" s="1107"/>
      <c r="T56" s="1107"/>
      <c r="U56" s="1107"/>
      <c r="V56" s="1107"/>
      <c r="W56" s="1107"/>
      <c r="X56" s="1107"/>
      <c r="Y56" s="1107"/>
      <c r="Z56" s="1107"/>
      <c r="AA56" s="1107"/>
      <c r="AB56" s="1107"/>
      <c r="AC56" s="1107"/>
      <c r="AD56" s="1107"/>
      <c r="AE56" s="1107"/>
      <c r="AF56" s="1107"/>
      <c r="AG56" s="1107"/>
      <c r="AH56" s="1107"/>
      <c r="AI56" s="1107"/>
      <c r="AJ56" s="1107"/>
      <c r="AK56" s="1107"/>
      <c r="AL56" s="1107"/>
      <c r="AM56" s="1107"/>
      <c r="AN56" s="1107"/>
      <c r="AO56" s="1107"/>
      <c r="AP56" s="1107"/>
      <c r="AQ56" s="1107"/>
      <c r="AR56" s="1107"/>
      <c r="AS56" s="1107"/>
      <c r="AT56" s="1107"/>
    </row>
    <row r="57" spans="2:62" s="128" customFormat="1" ht="30.75" customHeight="1">
      <c r="AJ57" s="187"/>
    </row>
    <row r="58" spans="2:62" s="168" customFormat="1" ht="14">
      <c r="B58" s="169" t="s">
        <v>847</v>
      </c>
      <c r="Q58" s="169" t="s">
        <v>765</v>
      </c>
      <c r="AI58" s="169" t="s">
        <v>783</v>
      </c>
    </row>
    <row r="59" spans="2:62" s="168" customFormat="1" ht="21.75" customHeight="1">
      <c r="B59" s="169" t="s">
        <v>748</v>
      </c>
      <c r="F59" s="1959" t="str">
        <f>activesheet!E29</f>
        <v>RICO S. MISPEROS</v>
      </c>
      <c r="G59" s="1959"/>
      <c r="H59" s="1959"/>
      <c r="I59" s="1959"/>
      <c r="J59" s="1959"/>
      <c r="K59" s="1959"/>
      <c r="L59" s="1959"/>
      <c r="M59" s="1959"/>
      <c r="N59" s="1959"/>
      <c r="Q59" s="1959" t="str">
        <f>activesheet!E2079</f>
        <v>RAQUEL N. ACOMPAŇADO</v>
      </c>
      <c r="R59" s="1959"/>
      <c r="S59" s="1959"/>
      <c r="T59" s="1959"/>
      <c r="U59" s="1959"/>
      <c r="V59" s="1959"/>
      <c r="W59" s="1959"/>
      <c r="X59" s="1959"/>
      <c r="Y59" s="1959"/>
      <c r="Z59" s="1959"/>
      <c r="AA59" s="1959"/>
      <c r="AB59" s="1959"/>
      <c r="AC59" s="1959"/>
      <c r="AD59" s="1959"/>
      <c r="AE59" s="1959"/>
      <c r="AF59" s="1959"/>
      <c r="AI59" s="1956" t="str">
        <f>activesheet!E31</f>
        <v>MICHAEL T. JAMIS</v>
      </c>
      <c r="AJ59" s="1956"/>
      <c r="AK59" s="1956"/>
      <c r="AL59" s="1956"/>
      <c r="AM59" s="1956"/>
      <c r="AN59" s="1956"/>
      <c r="AO59" s="1956"/>
      <c r="AP59" s="1956"/>
      <c r="AQ59" s="1956"/>
      <c r="AR59" s="1956"/>
      <c r="AS59" s="1956"/>
      <c r="AT59" s="1956"/>
      <c r="AU59" s="1956"/>
      <c r="AV59" s="169"/>
      <c r="AW59" s="169"/>
      <c r="AX59" s="169"/>
    </row>
    <row r="60" spans="2:62" s="156" customFormat="1" ht="14">
      <c r="B60" s="655"/>
      <c r="F60" s="1764" t="s">
        <v>741</v>
      </c>
      <c r="G60" s="1764"/>
      <c r="H60" s="1764"/>
      <c r="I60" s="1764"/>
      <c r="J60" s="1764"/>
      <c r="K60" s="1764"/>
      <c r="L60" s="1764"/>
      <c r="M60" s="1764"/>
      <c r="N60" s="1764"/>
      <c r="O60" s="152"/>
      <c r="P60" s="152"/>
      <c r="Q60" s="1764" t="s">
        <v>741</v>
      </c>
      <c r="R60" s="1764"/>
      <c r="S60" s="1764"/>
      <c r="T60" s="1764"/>
      <c r="U60" s="1764"/>
      <c r="V60" s="1764"/>
      <c r="W60" s="1764"/>
      <c r="X60" s="1764"/>
      <c r="Y60" s="1764"/>
      <c r="Z60" s="1764"/>
      <c r="AA60" s="1764"/>
      <c r="AB60" s="1764"/>
      <c r="AC60" s="1764"/>
      <c r="AD60" s="1764"/>
      <c r="AE60" s="1764"/>
      <c r="AF60" s="1764"/>
      <c r="AI60" s="1957"/>
      <c r="AJ60" s="1957"/>
      <c r="AK60" s="1957"/>
      <c r="AL60" s="1957"/>
      <c r="AM60" s="1957"/>
      <c r="AN60" s="1957"/>
      <c r="AO60" s="1957"/>
      <c r="AP60" s="1957"/>
      <c r="AQ60" s="1957"/>
      <c r="AR60" s="1957"/>
      <c r="AS60" s="1957"/>
      <c r="AT60" s="1957"/>
      <c r="AU60" s="1957"/>
      <c r="AV60" s="169"/>
      <c r="AW60" s="169"/>
      <c r="AX60" s="169"/>
    </row>
    <row r="61" spans="2:62" s="168" customFormat="1" ht="21.75" customHeight="1">
      <c r="B61" s="169" t="s">
        <v>71</v>
      </c>
      <c r="F61" s="1959" t="str">
        <f>activesheet!E30</f>
        <v>SCHOOL PRINCIPAL II</v>
      </c>
      <c r="G61" s="1959"/>
      <c r="H61" s="1959"/>
      <c r="I61" s="1959"/>
      <c r="J61" s="1959"/>
      <c r="K61" s="1959"/>
      <c r="L61" s="1959"/>
      <c r="M61" s="1959"/>
      <c r="N61" s="1959"/>
      <c r="Q61" s="169" t="s">
        <v>71</v>
      </c>
      <c r="U61" s="1959" t="str">
        <f>activesheet!E2080</f>
        <v>Nurse II</v>
      </c>
      <c r="V61" s="1959"/>
      <c r="W61" s="1959"/>
      <c r="X61" s="1959"/>
      <c r="Y61" s="1959"/>
      <c r="Z61" s="1959"/>
      <c r="AA61" s="1959"/>
      <c r="AB61" s="1959"/>
      <c r="AC61" s="1959"/>
      <c r="AD61" s="1959"/>
      <c r="AE61" s="1959"/>
      <c r="AF61" s="1959"/>
      <c r="AI61" s="1764" t="s">
        <v>741</v>
      </c>
      <c r="AJ61" s="1764"/>
      <c r="AK61" s="1764"/>
      <c r="AL61" s="1764"/>
      <c r="AM61" s="1764"/>
      <c r="AN61" s="1764"/>
      <c r="AO61" s="1764"/>
      <c r="AP61" s="1764"/>
      <c r="AQ61" s="1764"/>
      <c r="AR61" s="1764"/>
      <c r="AS61" s="1764"/>
      <c r="AT61" s="1764"/>
      <c r="AU61" s="1764"/>
      <c r="AV61" s="1040"/>
      <c r="AW61" s="1040"/>
      <c r="AX61" s="1040"/>
    </row>
    <row r="62" spans="2:62">
      <c r="B62" s="652"/>
      <c r="C62" s="652"/>
      <c r="D62" s="652"/>
      <c r="E62" s="652"/>
      <c r="F62" s="652"/>
      <c r="G62" s="652"/>
      <c r="H62" s="652"/>
      <c r="I62" s="652"/>
      <c r="J62" s="652"/>
      <c r="K62" s="652"/>
      <c r="L62" s="652"/>
      <c r="M62" s="652"/>
      <c r="N62" s="652"/>
      <c r="O62" s="652"/>
      <c r="P62" s="652"/>
      <c r="Q62" s="652"/>
      <c r="R62" s="652"/>
      <c r="S62" s="652"/>
      <c r="T62" s="652"/>
      <c r="U62" s="652"/>
      <c r="AF62" s="652"/>
      <c r="AG62" s="652"/>
      <c r="AH62" s="652"/>
      <c r="AI62" s="652"/>
      <c r="AJ62" s="652"/>
    </row>
  </sheetData>
  <sheetProtection algorithmName="SHA-512" hashValue="P4a3ESbqs43MdXqtwt5P/zbwfMwqmj+cSpvHWPdK2APjv5fBRQbuJwh1Cyxluqe/OiDpXMyEFieYuimPInUsCg==" saltValue="wsHAQyCGqAjOAC6ofnjScw==" spinCount="100000" sheet="1" objects="1" scenarios="1" selectLockedCells="1"/>
  <mergeCells count="74">
    <mergeCell ref="H7:AF7"/>
    <mergeCell ref="H10:AF10"/>
    <mergeCell ref="H11:AF11"/>
    <mergeCell ref="AJ14:AP14"/>
    <mergeCell ref="H15:AF15"/>
    <mergeCell ref="AJ15:AP15"/>
    <mergeCell ref="H16:AF16"/>
    <mergeCell ref="AJ16:AP16"/>
    <mergeCell ref="H27:P30"/>
    <mergeCell ref="Q27:AQ27"/>
    <mergeCell ref="Q28:Y30"/>
    <mergeCell ref="Z28:AH30"/>
    <mergeCell ref="AI28:AQ30"/>
    <mergeCell ref="Q31:Y31"/>
    <mergeCell ref="Z31:AH31"/>
    <mergeCell ref="AI31:AQ31"/>
    <mergeCell ref="Q32:Y32"/>
    <mergeCell ref="Z32:AH32"/>
    <mergeCell ref="AI32:AQ32"/>
    <mergeCell ref="Q33:Y33"/>
    <mergeCell ref="Z33:AH33"/>
    <mergeCell ref="AI33:AQ33"/>
    <mergeCell ref="Q34:Y34"/>
    <mergeCell ref="Z34:AH34"/>
    <mergeCell ref="AI34:AQ34"/>
    <mergeCell ref="Q35:Y35"/>
    <mergeCell ref="Z35:AH35"/>
    <mergeCell ref="AI35:AQ35"/>
    <mergeCell ref="Q36:Y36"/>
    <mergeCell ref="Z36:AH36"/>
    <mergeCell ref="AI36:AQ36"/>
    <mergeCell ref="Q46:Y46"/>
    <mergeCell ref="Z46:AH46"/>
    <mergeCell ref="AI46:AQ46"/>
    <mergeCell ref="Q37:Y37"/>
    <mergeCell ref="Z37:AH37"/>
    <mergeCell ref="AI37:AQ37"/>
    <mergeCell ref="Q38:Y38"/>
    <mergeCell ref="Z38:AH38"/>
    <mergeCell ref="AI38:AQ38"/>
    <mergeCell ref="H42:P45"/>
    <mergeCell ref="Q42:AQ42"/>
    <mergeCell ref="Q43:Y45"/>
    <mergeCell ref="Z43:AH45"/>
    <mergeCell ref="AI43:AQ45"/>
    <mergeCell ref="Q47:Y47"/>
    <mergeCell ref="Z47:AH47"/>
    <mergeCell ref="AI47:AQ47"/>
    <mergeCell ref="Q48:Y48"/>
    <mergeCell ref="Z48:AH48"/>
    <mergeCell ref="AI48:AQ48"/>
    <mergeCell ref="Q49:Y49"/>
    <mergeCell ref="Z49:AH49"/>
    <mergeCell ref="AI49:AQ49"/>
    <mergeCell ref="Q50:Y50"/>
    <mergeCell ref="Z50:AH50"/>
    <mergeCell ref="AI50:AQ50"/>
    <mergeCell ref="Q51:Y51"/>
    <mergeCell ref="Z51:AH51"/>
    <mergeCell ref="AI51:AQ51"/>
    <mergeCell ref="Q52:Y52"/>
    <mergeCell ref="Z52:AH52"/>
    <mergeCell ref="AI52:AQ52"/>
    <mergeCell ref="F61:N61"/>
    <mergeCell ref="U61:AF61"/>
    <mergeCell ref="AI61:AU61"/>
    <mergeCell ref="Q53:Y53"/>
    <mergeCell ref="Z53:AH53"/>
    <mergeCell ref="AI53:AQ53"/>
    <mergeCell ref="F59:N59"/>
    <mergeCell ref="Q59:AF59"/>
    <mergeCell ref="AI59:AU60"/>
    <mergeCell ref="F60:N60"/>
    <mergeCell ref="Q60:AF60"/>
  </mergeCells>
  <dataValidations count="2">
    <dataValidation type="whole" allowBlank="1" showInputMessage="1" showErrorMessage="1" errorTitle="GESP SY 2022-2023" error="Please enter valid number between 0 - 999." sqref="Q31:AQ37 AJ14:AP16" xr:uid="{00000000-0002-0000-2500-000000000000}">
      <formula1>0</formula1>
      <formula2>999</formula2>
    </dataValidation>
    <dataValidation type="whole" allowBlank="1" showInputMessage="1" showErrorMessage="1" errorTitle="GESP SY 2022-2023" error="Please enter valid number between 0 - 20,000." sqref="Q46:AQ52" xr:uid="{00000000-0002-0000-2500-000001000000}">
      <formula1>0</formula1>
      <formula2>20000</formula2>
    </dataValidation>
  </dataValidations>
  <printOptions horizontalCentered="1" verticalCentered="1"/>
  <pageMargins left="0.25" right="0.25" top="0.2" bottom="0.2" header="0" footer="0.1"/>
  <pageSetup paperSize="9" scale="42" orientation="portrait" r:id="rId1"/>
  <headerFooter alignWithMargins="0">
    <oddFooter>&amp;L&amp;10&amp;F &amp;A&amp;R&amp;11Page 34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8001" r:id="rId4" name="Check Box 1">
              <controlPr locked="0" defaultSize="0" autoFill="0" autoLine="0" autoPict="0">
                <anchor moveWithCells="1">
                  <from>
                    <xdr:col>35</xdr:col>
                    <xdr:colOff>38100</xdr:colOff>
                    <xdr:row>5</xdr:row>
                    <xdr:rowOff>69850</xdr:rowOff>
                  </from>
                  <to>
                    <xdr:col>36</xdr:col>
                    <xdr:colOff>69850</xdr:colOff>
                    <xdr:row>5</xdr:row>
                    <xdr:rowOff>298450</xdr:rowOff>
                  </to>
                </anchor>
              </controlPr>
            </control>
          </mc:Choice>
        </mc:AlternateContent>
        <mc:AlternateContent xmlns:mc="http://schemas.openxmlformats.org/markup-compatibility/2006">
          <mc:Choice Requires="x14">
            <control shapeId="128002" r:id="rId5" name="Check Box 2">
              <controlPr locked="0" defaultSize="0" autoFill="0" autoLine="0" autoPict="0">
                <anchor moveWithCells="1">
                  <from>
                    <xdr:col>35</xdr:col>
                    <xdr:colOff>38100</xdr:colOff>
                    <xdr:row>6</xdr:row>
                    <xdr:rowOff>69850</xdr:rowOff>
                  </from>
                  <to>
                    <xdr:col>36</xdr:col>
                    <xdr:colOff>69850</xdr:colOff>
                    <xdr:row>6</xdr:row>
                    <xdr:rowOff>298450</xdr:rowOff>
                  </to>
                </anchor>
              </controlPr>
            </control>
          </mc:Choice>
        </mc:AlternateContent>
        <mc:AlternateContent xmlns:mc="http://schemas.openxmlformats.org/markup-compatibility/2006">
          <mc:Choice Requires="x14">
            <control shapeId="128003" r:id="rId6" name="Check Box 3">
              <controlPr locked="0" defaultSize="0" autoFill="0" autoLine="0" autoPict="0">
                <anchor moveWithCells="1">
                  <from>
                    <xdr:col>40</xdr:col>
                    <xdr:colOff>38100</xdr:colOff>
                    <xdr:row>5</xdr:row>
                    <xdr:rowOff>69850</xdr:rowOff>
                  </from>
                  <to>
                    <xdr:col>41</xdr:col>
                    <xdr:colOff>69850</xdr:colOff>
                    <xdr:row>5</xdr:row>
                    <xdr:rowOff>298450</xdr:rowOff>
                  </to>
                </anchor>
              </controlPr>
            </control>
          </mc:Choice>
        </mc:AlternateContent>
        <mc:AlternateContent xmlns:mc="http://schemas.openxmlformats.org/markup-compatibility/2006">
          <mc:Choice Requires="x14">
            <control shapeId="128004" r:id="rId7" name="Check Box 4">
              <controlPr locked="0" defaultSize="0" autoFill="0" autoLine="0" autoPict="0">
                <anchor moveWithCells="1">
                  <from>
                    <xdr:col>40</xdr:col>
                    <xdr:colOff>38100</xdr:colOff>
                    <xdr:row>6</xdr:row>
                    <xdr:rowOff>69850</xdr:rowOff>
                  </from>
                  <to>
                    <xdr:col>41</xdr:col>
                    <xdr:colOff>69850</xdr:colOff>
                    <xdr:row>6</xdr:row>
                    <xdr:rowOff>298450</xdr:rowOff>
                  </to>
                </anchor>
              </controlPr>
            </control>
          </mc:Choice>
        </mc:AlternateContent>
        <mc:AlternateContent xmlns:mc="http://schemas.openxmlformats.org/markup-compatibility/2006">
          <mc:Choice Requires="x14">
            <control shapeId="128005" r:id="rId8" name="Check Box 5">
              <controlPr locked="0" defaultSize="0" autoFill="0" autoLine="0" autoPict="0">
                <anchor moveWithCells="1">
                  <from>
                    <xdr:col>35</xdr:col>
                    <xdr:colOff>38100</xdr:colOff>
                    <xdr:row>9</xdr:row>
                    <xdr:rowOff>69850</xdr:rowOff>
                  </from>
                  <to>
                    <xdr:col>36</xdr:col>
                    <xdr:colOff>69850</xdr:colOff>
                    <xdr:row>9</xdr:row>
                    <xdr:rowOff>298450</xdr:rowOff>
                  </to>
                </anchor>
              </controlPr>
            </control>
          </mc:Choice>
        </mc:AlternateContent>
        <mc:AlternateContent xmlns:mc="http://schemas.openxmlformats.org/markup-compatibility/2006">
          <mc:Choice Requires="x14">
            <control shapeId="128006" r:id="rId9" name="Check Box 6">
              <controlPr locked="0" defaultSize="0" autoFill="0" autoLine="0" autoPict="0">
                <anchor moveWithCells="1">
                  <from>
                    <xdr:col>35</xdr:col>
                    <xdr:colOff>38100</xdr:colOff>
                    <xdr:row>10</xdr:row>
                    <xdr:rowOff>69850</xdr:rowOff>
                  </from>
                  <to>
                    <xdr:col>36</xdr:col>
                    <xdr:colOff>69850</xdr:colOff>
                    <xdr:row>10</xdr:row>
                    <xdr:rowOff>298450</xdr:rowOff>
                  </to>
                </anchor>
              </controlPr>
            </control>
          </mc:Choice>
        </mc:AlternateContent>
        <mc:AlternateContent xmlns:mc="http://schemas.openxmlformats.org/markup-compatibility/2006">
          <mc:Choice Requires="x14">
            <control shapeId="128007" r:id="rId10" name="Check Box 7">
              <controlPr locked="0" defaultSize="0" autoFill="0" autoLine="0" autoPict="0">
                <anchor moveWithCells="1">
                  <from>
                    <xdr:col>40</xdr:col>
                    <xdr:colOff>38100</xdr:colOff>
                    <xdr:row>9</xdr:row>
                    <xdr:rowOff>69850</xdr:rowOff>
                  </from>
                  <to>
                    <xdr:col>41</xdr:col>
                    <xdr:colOff>69850</xdr:colOff>
                    <xdr:row>9</xdr:row>
                    <xdr:rowOff>298450</xdr:rowOff>
                  </to>
                </anchor>
              </controlPr>
            </control>
          </mc:Choice>
        </mc:AlternateContent>
        <mc:AlternateContent xmlns:mc="http://schemas.openxmlformats.org/markup-compatibility/2006">
          <mc:Choice Requires="x14">
            <control shapeId="128008" r:id="rId11" name="Check Box 8">
              <controlPr locked="0" defaultSize="0" autoFill="0" autoLine="0" autoPict="0">
                <anchor moveWithCells="1">
                  <from>
                    <xdr:col>40</xdr:col>
                    <xdr:colOff>38100</xdr:colOff>
                    <xdr:row>10</xdr:row>
                    <xdr:rowOff>69850</xdr:rowOff>
                  </from>
                  <to>
                    <xdr:col>41</xdr:col>
                    <xdr:colOff>69850</xdr:colOff>
                    <xdr:row>10</xdr:row>
                    <xdr:rowOff>298450</xdr:rowOff>
                  </to>
                </anchor>
              </controlPr>
            </control>
          </mc:Choice>
        </mc:AlternateContent>
        <mc:AlternateContent xmlns:mc="http://schemas.openxmlformats.org/markup-compatibility/2006">
          <mc:Choice Requires="x14">
            <control shapeId="128009" r:id="rId12" name="Check Box 9">
              <controlPr locked="0" defaultSize="0" autoFill="0" autoLine="0" autoPict="0">
                <anchor moveWithCells="1">
                  <from>
                    <xdr:col>7</xdr:col>
                    <xdr:colOff>38100</xdr:colOff>
                    <xdr:row>19</xdr:row>
                    <xdr:rowOff>69850</xdr:rowOff>
                  </from>
                  <to>
                    <xdr:col>8</xdr:col>
                    <xdr:colOff>69850</xdr:colOff>
                    <xdr:row>19</xdr:row>
                    <xdr:rowOff>298450</xdr:rowOff>
                  </to>
                </anchor>
              </controlPr>
            </control>
          </mc:Choice>
        </mc:AlternateContent>
        <mc:AlternateContent xmlns:mc="http://schemas.openxmlformats.org/markup-compatibility/2006">
          <mc:Choice Requires="x14">
            <control shapeId="128010" r:id="rId13" name="Check Box 10">
              <controlPr locked="0" defaultSize="0" autoFill="0" autoLine="0" autoPict="0">
                <anchor moveWithCells="1">
                  <from>
                    <xdr:col>7</xdr:col>
                    <xdr:colOff>38100</xdr:colOff>
                    <xdr:row>20</xdr:row>
                    <xdr:rowOff>69850</xdr:rowOff>
                  </from>
                  <to>
                    <xdr:col>8</xdr:col>
                    <xdr:colOff>69850</xdr:colOff>
                    <xdr:row>20</xdr:row>
                    <xdr:rowOff>298450</xdr:rowOff>
                  </to>
                </anchor>
              </controlPr>
            </control>
          </mc:Choice>
        </mc:AlternateContent>
        <mc:AlternateContent xmlns:mc="http://schemas.openxmlformats.org/markup-compatibility/2006">
          <mc:Choice Requires="x14">
            <control shapeId="128011" r:id="rId14" name="Check Box 11">
              <controlPr locked="0" defaultSize="0" autoFill="0" autoLine="0" autoPict="0">
                <anchor moveWithCells="1">
                  <from>
                    <xdr:col>7</xdr:col>
                    <xdr:colOff>38100</xdr:colOff>
                    <xdr:row>21</xdr:row>
                    <xdr:rowOff>69850</xdr:rowOff>
                  </from>
                  <to>
                    <xdr:col>8</xdr:col>
                    <xdr:colOff>69850</xdr:colOff>
                    <xdr:row>21</xdr:row>
                    <xdr:rowOff>298450</xdr:rowOff>
                  </to>
                </anchor>
              </controlPr>
            </control>
          </mc:Choice>
        </mc:AlternateContent>
        <mc:AlternateContent xmlns:mc="http://schemas.openxmlformats.org/markup-compatibility/2006">
          <mc:Choice Requires="x14">
            <control shapeId="128012" r:id="rId15" name="Check Box 12">
              <controlPr locked="0" defaultSize="0" autoFill="0" autoLine="0" autoPict="0">
                <anchor moveWithCells="1">
                  <from>
                    <xdr:col>7</xdr:col>
                    <xdr:colOff>38100</xdr:colOff>
                    <xdr:row>22</xdr:row>
                    <xdr:rowOff>69850</xdr:rowOff>
                  </from>
                  <to>
                    <xdr:col>8</xdr:col>
                    <xdr:colOff>69850</xdr:colOff>
                    <xdr:row>22</xdr:row>
                    <xdr:rowOff>298450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pageSetUpPr fitToPage="1"/>
  </sheetPr>
  <dimension ref="B1:AZ75"/>
  <sheetViews>
    <sheetView showGridLines="0" topLeftCell="A2" zoomScaleNormal="100" workbookViewId="0">
      <selection activeCell="N55" sqref="N55:S55"/>
    </sheetView>
  </sheetViews>
  <sheetFormatPr defaultColWidth="9" defaultRowHeight="15.5"/>
  <cols>
    <col min="1" max="1" width="2.08203125" style="602" customWidth="1"/>
    <col min="2" max="38" width="3.58203125" style="602" customWidth="1"/>
    <col min="39" max="39" width="10.58203125" style="602" customWidth="1"/>
    <col min="40" max="40" width="2.08203125" style="602" customWidth="1"/>
    <col min="41" max="43" width="3.58203125" style="602" customWidth="1"/>
    <col min="44" max="45" width="2.08203125" style="602" customWidth="1"/>
    <col min="46" max="50" width="3.58203125" style="602" customWidth="1"/>
    <col min="51" max="16384" width="9" style="602"/>
  </cols>
  <sheetData>
    <row r="1" spans="2:52" ht="12" customHeight="1"/>
    <row r="2" spans="2:52" ht="16.5">
      <c r="B2" s="627" t="s">
        <v>11798</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52" s="568" customFormat="1" ht="15" customHeight="1" thickBot="1">
      <c r="B3" s="582" t="s">
        <v>904</v>
      </c>
    </row>
    <row r="4" spans="2:52" ht="5.25" customHeight="1">
      <c r="B4" s="638"/>
      <c r="C4" s="632"/>
      <c r="D4" s="632"/>
      <c r="E4" s="632"/>
      <c r="F4" s="632"/>
      <c r="G4" s="632"/>
      <c r="H4" s="632"/>
      <c r="I4" s="632"/>
      <c r="J4" s="632"/>
      <c r="K4" s="632"/>
      <c r="L4" s="632"/>
      <c r="M4" s="830"/>
      <c r="N4" s="830"/>
      <c r="O4" s="830"/>
      <c r="P4" s="830"/>
      <c r="Q4" s="830"/>
      <c r="R4" s="830"/>
      <c r="S4" s="634"/>
      <c r="T4" s="1030"/>
      <c r="U4" s="1030"/>
      <c r="V4" s="1030"/>
      <c r="W4" s="1030"/>
      <c r="X4" s="1030"/>
      <c r="Y4" s="830"/>
      <c r="Z4" s="830"/>
      <c r="AA4" s="830"/>
      <c r="AB4" s="830"/>
      <c r="AC4" s="830"/>
      <c r="AD4" s="830"/>
      <c r="AE4" s="830"/>
      <c r="AF4" s="830"/>
      <c r="AG4" s="830"/>
      <c r="AH4" s="830"/>
      <c r="AI4" s="830"/>
      <c r="AJ4" s="830"/>
      <c r="AK4" s="830"/>
      <c r="AL4" s="830"/>
      <c r="AM4" s="1031"/>
      <c r="AW4" s="588"/>
      <c r="AX4" s="588"/>
      <c r="AY4" s="588"/>
      <c r="AZ4" s="588"/>
    </row>
    <row r="5" spans="2:52" ht="20.149999999999999" customHeight="1">
      <c r="B5" s="614"/>
      <c r="C5" s="1012" t="s">
        <v>553</v>
      </c>
      <c r="D5" s="1024"/>
      <c r="E5" s="1024"/>
      <c r="F5" s="1024"/>
      <c r="G5" s="1024"/>
      <c r="H5" s="1024"/>
      <c r="I5" s="1024"/>
      <c r="J5" s="1024"/>
      <c r="K5" s="1024"/>
      <c r="L5" s="1024"/>
      <c r="M5" s="1024"/>
      <c r="N5" s="874"/>
      <c r="S5" s="874"/>
      <c r="AD5" s="857" t="b">
        <v>1</v>
      </c>
      <c r="AE5" s="588" t="s">
        <v>64</v>
      </c>
      <c r="AF5" s="588"/>
      <c r="AI5" s="857" t="b">
        <v>0</v>
      </c>
      <c r="AJ5" s="588" t="s">
        <v>0</v>
      </c>
      <c r="AK5" s="874"/>
      <c r="AL5" s="874"/>
      <c r="AM5" s="1023"/>
      <c r="AW5" s="588"/>
      <c r="AX5" s="588"/>
      <c r="AY5" s="588"/>
      <c r="AZ5" s="588"/>
    </row>
    <row r="6" spans="2:52" ht="20.149999999999999" customHeight="1">
      <c r="B6" s="614"/>
      <c r="C6" s="1012" t="s">
        <v>1178</v>
      </c>
      <c r="D6" s="649"/>
      <c r="E6" s="649"/>
      <c r="F6" s="649"/>
      <c r="G6" s="649"/>
      <c r="H6" s="649"/>
      <c r="I6" s="649"/>
      <c r="J6" s="649"/>
      <c r="K6" s="649"/>
      <c r="L6" s="649"/>
      <c r="M6" s="609"/>
      <c r="N6" s="568"/>
      <c r="O6" s="568"/>
      <c r="P6" s="568"/>
      <c r="Q6" s="568"/>
      <c r="R6" s="568"/>
      <c r="S6" s="1025"/>
      <c r="T6" s="609"/>
      <c r="U6" s="609"/>
      <c r="V6" s="609"/>
      <c r="W6" s="609"/>
      <c r="X6" s="609"/>
      <c r="Y6" s="568"/>
      <c r="Z6" s="568"/>
      <c r="AA6" s="568"/>
      <c r="AB6" s="568"/>
      <c r="AC6" s="568"/>
      <c r="AD6" s="568"/>
      <c r="AE6" s="568"/>
      <c r="AF6" s="568"/>
      <c r="AG6" s="568"/>
      <c r="AH6" s="568"/>
      <c r="AI6" s="568"/>
      <c r="AJ6" s="568"/>
      <c r="AK6" s="568"/>
      <c r="AL6" s="568"/>
      <c r="AM6" s="574"/>
      <c r="AW6" s="588"/>
      <c r="AX6" s="588"/>
      <c r="AY6" s="588"/>
      <c r="AZ6" s="588"/>
    </row>
    <row r="7" spans="2:52" ht="20.149999999999999" customHeight="1">
      <c r="B7" s="614"/>
      <c r="C7" s="1015"/>
      <c r="D7" s="1015"/>
      <c r="E7" s="1015"/>
      <c r="F7" s="76" t="b">
        <v>1</v>
      </c>
      <c r="G7" s="568" t="s">
        <v>554</v>
      </c>
      <c r="H7" s="681"/>
      <c r="I7" s="681"/>
      <c r="J7" s="681"/>
      <c r="K7" s="681"/>
      <c r="L7" s="681"/>
      <c r="M7" s="681"/>
      <c r="U7" s="76" t="b">
        <v>1</v>
      </c>
      <c r="V7" s="568" t="s">
        <v>423</v>
      </c>
      <c r="W7" s="681"/>
      <c r="X7" s="681"/>
      <c r="Y7" s="681"/>
      <c r="Z7" s="681"/>
      <c r="AA7" s="681"/>
      <c r="AD7" s="609"/>
      <c r="AF7" s="568"/>
      <c r="AI7" s="681"/>
      <c r="AJ7" s="681"/>
      <c r="AK7" s="609"/>
      <c r="AL7" s="609"/>
      <c r="AM7" s="1018"/>
      <c r="AW7" s="588"/>
      <c r="AX7" s="588"/>
      <c r="AY7" s="588"/>
      <c r="AZ7" s="588"/>
    </row>
    <row r="8" spans="2:52" ht="20.149999999999999" customHeight="1">
      <c r="B8" s="614"/>
      <c r="C8" s="1015"/>
      <c r="D8" s="1015"/>
      <c r="E8" s="1015"/>
      <c r="F8" s="76" t="b">
        <v>0</v>
      </c>
      <c r="G8" s="568" t="s">
        <v>238</v>
      </c>
      <c r="H8" s="681"/>
      <c r="I8" s="681"/>
      <c r="J8" s="681"/>
      <c r="K8" s="681"/>
      <c r="L8" s="681"/>
      <c r="M8" s="681"/>
      <c r="U8" s="76" t="b">
        <v>0</v>
      </c>
      <c r="V8" s="735" t="s">
        <v>908</v>
      </c>
      <c r="W8" s="681"/>
      <c r="X8" s="681"/>
      <c r="Y8" s="681"/>
      <c r="Z8" s="2773"/>
      <c r="AA8" s="2773"/>
      <c r="AB8" s="2773"/>
      <c r="AC8" s="2773"/>
      <c r="AD8" s="2773"/>
      <c r="AE8" s="2773"/>
      <c r="AF8" s="2773"/>
      <c r="AG8" s="1166" t="str">
        <f>IF(AND(sch_natpdruged_compart_otherspec=TRUE,ISBLANK(sch_natpdruged_compart_otherspec_specify)),"Please specify.",IF(AND(sch_natpdruged_compart_otherspec=FALSE,(sch_natpdruged_compart_otherspec_specify&gt;0)),"Please check Others if you have entries.",""))</f>
        <v/>
      </c>
      <c r="AI8" s="681"/>
      <c r="AJ8" s="681"/>
      <c r="AK8" s="609"/>
      <c r="AL8" s="609"/>
      <c r="AM8" s="711"/>
      <c r="AW8" s="588"/>
      <c r="AX8" s="588"/>
      <c r="AY8" s="588"/>
      <c r="AZ8" s="588"/>
    </row>
    <row r="9" spans="2:52" ht="20.149999999999999" customHeight="1">
      <c r="B9" s="614"/>
      <c r="C9" s="1012" t="s">
        <v>555</v>
      </c>
      <c r="D9" s="1024"/>
      <c r="E9" s="1024"/>
      <c r="F9" s="1024"/>
      <c r="G9" s="1024"/>
      <c r="H9" s="1024"/>
      <c r="I9" s="1024"/>
      <c r="J9" s="1024"/>
      <c r="K9" s="1024"/>
      <c r="L9" s="1024"/>
      <c r="M9" s="1024"/>
      <c r="N9" s="874"/>
      <c r="AD9" s="857" t="b">
        <v>1</v>
      </c>
      <c r="AE9" s="588" t="s">
        <v>64</v>
      </c>
      <c r="AF9" s="588"/>
      <c r="AI9" s="857" t="b">
        <v>0</v>
      </c>
      <c r="AJ9" s="588" t="s">
        <v>0</v>
      </c>
      <c r="AK9" s="874"/>
      <c r="AL9" s="874"/>
      <c r="AM9" s="1023"/>
      <c r="AW9" s="588"/>
      <c r="AX9" s="588"/>
      <c r="AY9" s="588"/>
      <c r="AZ9" s="588"/>
    </row>
    <row r="10" spans="2:52" ht="20.149999999999999" customHeight="1">
      <c r="B10" s="614"/>
      <c r="C10" s="1012" t="s">
        <v>556</v>
      </c>
      <c r="D10" s="1024"/>
      <c r="E10" s="1024"/>
      <c r="F10" s="1024"/>
      <c r="G10" s="1024"/>
      <c r="H10" s="1024"/>
      <c r="I10" s="1024"/>
      <c r="J10" s="1024"/>
      <c r="K10" s="1024"/>
      <c r="L10" s="1024"/>
      <c r="M10" s="1024"/>
      <c r="U10" s="588"/>
      <c r="AD10" s="2672">
        <v>21</v>
      </c>
      <c r="AE10" s="2672"/>
      <c r="AF10" s="2672"/>
      <c r="AG10" s="2672"/>
      <c r="AH10" s="2672"/>
      <c r="AI10" s="2672"/>
      <c r="AJ10" s="2672"/>
      <c r="AK10" s="874"/>
      <c r="AL10" s="874"/>
      <c r="AM10" s="1023"/>
      <c r="AW10" s="588"/>
      <c r="AX10" s="588"/>
      <c r="AY10" s="588"/>
      <c r="AZ10" s="588"/>
    </row>
    <row r="11" spans="2:52" ht="5.25" customHeight="1" thickBot="1">
      <c r="B11" s="612"/>
      <c r="C11" s="1010"/>
      <c r="D11" s="1011"/>
      <c r="E11" s="562"/>
      <c r="F11" s="562"/>
      <c r="G11" s="562"/>
      <c r="H11" s="562"/>
      <c r="I11" s="562"/>
      <c r="J11" s="562"/>
      <c r="K11" s="562"/>
      <c r="L11" s="562"/>
      <c r="M11" s="562"/>
      <c r="N11" s="866"/>
      <c r="O11" s="866"/>
      <c r="P11" s="866"/>
      <c r="Q11" s="866"/>
      <c r="R11" s="866"/>
      <c r="S11" s="562"/>
      <c r="T11" s="866"/>
      <c r="U11" s="866"/>
      <c r="V11" s="866"/>
      <c r="W11" s="866"/>
      <c r="X11" s="866"/>
      <c r="Y11" s="562"/>
      <c r="Z11" s="562"/>
      <c r="AA11" s="562"/>
      <c r="AB11" s="562"/>
      <c r="AC11" s="562"/>
      <c r="AD11" s="562"/>
      <c r="AE11" s="562"/>
      <c r="AF11" s="562"/>
      <c r="AG11" s="562"/>
      <c r="AH11" s="562"/>
      <c r="AI11" s="562"/>
      <c r="AJ11" s="562"/>
      <c r="AK11" s="562"/>
      <c r="AL11" s="562"/>
      <c r="AM11" s="806"/>
    </row>
    <row r="12" spans="2:52" s="128" customFormat="1" ht="25" customHeight="1">
      <c r="AH12" s="187"/>
    </row>
    <row r="13" spans="2:52" ht="16.5">
      <c r="B13" s="627" t="s">
        <v>11799</v>
      </c>
      <c r="C13" s="628"/>
      <c r="D13" s="628"/>
      <c r="E13" s="628"/>
      <c r="F13" s="628"/>
      <c r="G13" s="628"/>
      <c r="H13" s="628"/>
      <c r="I13" s="628"/>
      <c r="J13" s="628"/>
      <c r="K13" s="628"/>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8"/>
    </row>
    <row r="14" spans="2:52" s="568" customFormat="1" ht="16" thickBot="1">
      <c r="B14" s="582" t="s">
        <v>904</v>
      </c>
    </row>
    <row r="15" spans="2:52" ht="5.25" customHeight="1">
      <c r="B15" s="638"/>
      <c r="C15" s="1029"/>
      <c r="D15" s="632"/>
      <c r="E15" s="632"/>
      <c r="F15" s="632"/>
      <c r="G15" s="632"/>
      <c r="H15" s="632"/>
      <c r="I15" s="632"/>
      <c r="J15" s="632"/>
      <c r="K15" s="632"/>
      <c r="L15" s="632"/>
      <c r="M15" s="632"/>
      <c r="N15" s="830"/>
      <c r="O15" s="830"/>
      <c r="P15" s="830"/>
      <c r="Q15" s="830"/>
      <c r="R15" s="830"/>
      <c r="S15" s="830"/>
      <c r="T15" s="634"/>
      <c r="U15" s="1030"/>
      <c r="V15" s="1030"/>
      <c r="W15" s="1030"/>
      <c r="X15" s="1030"/>
      <c r="Y15" s="1030"/>
      <c r="Z15" s="1030"/>
      <c r="AA15" s="1030"/>
      <c r="AB15" s="1030"/>
      <c r="AC15" s="1030"/>
      <c r="AD15" s="1030"/>
      <c r="AE15" s="1030"/>
      <c r="AF15" s="830"/>
      <c r="AG15" s="830"/>
      <c r="AH15" s="830"/>
      <c r="AI15" s="830"/>
      <c r="AJ15" s="830"/>
      <c r="AK15" s="830"/>
      <c r="AL15" s="830"/>
      <c r="AM15" s="1056"/>
      <c r="AU15" s="588"/>
      <c r="AV15" s="588"/>
      <c r="AW15" s="588"/>
      <c r="AX15" s="588"/>
    </row>
    <row r="16" spans="2:52" ht="20.149999999999999" customHeight="1">
      <c r="B16" s="614"/>
      <c r="C16" s="1081" t="s">
        <v>151</v>
      </c>
      <c r="D16" s="1012" t="s">
        <v>832</v>
      </c>
      <c r="E16" s="1024"/>
      <c r="F16" s="1024"/>
      <c r="G16" s="1024"/>
      <c r="H16" s="1024"/>
      <c r="I16" s="1024"/>
      <c r="J16" s="1024"/>
      <c r="K16" s="1024"/>
      <c r="L16" s="1024"/>
      <c r="M16" s="1024"/>
      <c r="N16" s="1024"/>
      <c r="O16" s="874"/>
      <c r="T16" s="874"/>
      <c r="AD16" s="857" t="b">
        <v>1</v>
      </c>
      <c r="AE16" s="588" t="s">
        <v>64</v>
      </c>
      <c r="AF16" s="588"/>
      <c r="AI16" s="857" t="b">
        <v>0</v>
      </c>
      <c r="AJ16" s="588" t="s">
        <v>0</v>
      </c>
      <c r="AK16" s="874"/>
      <c r="AL16" s="874"/>
      <c r="AM16" s="1018"/>
      <c r="AU16" s="588"/>
      <c r="AV16" s="588"/>
      <c r="AW16" s="588"/>
      <c r="AX16" s="588"/>
    </row>
    <row r="17" spans="2:52" ht="20.149999999999999" customHeight="1">
      <c r="B17" s="614"/>
      <c r="C17" s="1081" t="s">
        <v>152</v>
      </c>
      <c r="D17" s="1012" t="s">
        <v>893</v>
      </c>
      <c r="E17" s="1024"/>
      <c r="F17" s="1024"/>
      <c r="G17" s="1024"/>
      <c r="H17" s="1024"/>
      <c r="I17" s="1024"/>
      <c r="J17" s="1024"/>
      <c r="K17" s="1024"/>
      <c r="L17" s="1024"/>
      <c r="M17" s="1024"/>
      <c r="N17" s="1024"/>
      <c r="O17" s="874"/>
      <c r="T17" s="874"/>
      <c r="X17" s="1081"/>
      <c r="Y17" s="1012"/>
      <c r="Z17" s="1024"/>
      <c r="AA17" s="1024"/>
      <c r="AD17" s="76" t="b">
        <v>1</v>
      </c>
      <c r="AE17" s="568" t="s">
        <v>64</v>
      </c>
      <c r="AF17" s="568"/>
      <c r="AG17" s="610"/>
      <c r="AH17" s="610"/>
      <c r="AI17" s="76" t="b">
        <v>0</v>
      </c>
      <c r="AJ17" s="568" t="s">
        <v>0</v>
      </c>
      <c r="AK17" s="874"/>
      <c r="AL17" s="874"/>
      <c r="AM17" s="1018"/>
      <c r="AU17" s="588"/>
      <c r="AV17" s="588"/>
      <c r="AW17" s="588"/>
      <c r="AX17" s="588"/>
    </row>
    <row r="18" spans="2:52" ht="20.149999999999999" customHeight="1">
      <c r="B18" s="614"/>
      <c r="C18" s="1081" t="s">
        <v>153</v>
      </c>
      <c r="D18" s="1012" t="s">
        <v>833</v>
      </c>
      <c r="E18" s="1024"/>
      <c r="F18" s="1024"/>
      <c r="G18" s="1024"/>
      <c r="H18" s="1024"/>
      <c r="I18" s="1024"/>
      <c r="J18" s="1024"/>
      <c r="K18" s="1024"/>
      <c r="L18" s="1024"/>
      <c r="M18" s="1024"/>
      <c r="N18" s="1024"/>
      <c r="O18" s="874"/>
      <c r="AD18" s="857" t="b">
        <v>0</v>
      </c>
      <c r="AE18" s="588" t="s">
        <v>64</v>
      </c>
      <c r="AF18" s="588"/>
      <c r="AI18" s="857" t="b">
        <v>1</v>
      </c>
      <c r="AJ18" s="588" t="s">
        <v>0</v>
      </c>
      <c r="AK18" s="874"/>
      <c r="AL18" s="874"/>
      <c r="AM18" s="1018"/>
      <c r="AU18" s="588"/>
      <c r="AV18" s="588"/>
      <c r="AW18" s="588"/>
      <c r="AX18" s="588"/>
    </row>
    <row r="19" spans="2:52" ht="20">
      <c r="B19" s="614"/>
      <c r="C19" s="1164"/>
      <c r="D19" s="1165" t="s">
        <v>548</v>
      </c>
      <c r="E19" s="969" t="s">
        <v>834</v>
      </c>
      <c r="F19" s="1024"/>
      <c r="G19" s="1024"/>
      <c r="H19" s="1024"/>
      <c r="I19" s="1024"/>
      <c r="J19" s="1024"/>
      <c r="K19" s="1024"/>
      <c r="L19" s="1024"/>
      <c r="M19" s="1024"/>
      <c r="N19" s="1024"/>
      <c r="V19" s="588"/>
      <c r="W19" s="588"/>
      <c r="X19" s="588"/>
      <c r="Y19" s="588"/>
      <c r="Z19" s="588"/>
      <c r="AA19" s="588"/>
      <c r="AB19" s="588"/>
      <c r="AD19" s="2672"/>
      <c r="AE19" s="2672"/>
      <c r="AF19" s="2672"/>
      <c r="AG19" s="2672"/>
      <c r="AH19" s="2672"/>
      <c r="AI19" s="2672"/>
      <c r="AJ19" s="2672"/>
      <c r="AK19" s="874"/>
      <c r="AL19" s="874"/>
      <c r="AM19" s="1018"/>
      <c r="AU19" s="588"/>
      <c r="AV19" s="588"/>
      <c r="AW19" s="588"/>
      <c r="AX19" s="588"/>
    </row>
    <row r="20" spans="2:52" ht="15" customHeight="1" thickBot="1">
      <c r="B20" s="612"/>
      <c r="C20" s="1010"/>
      <c r="D20" s="1010"/>
      <c r="E20" s="1011"/>
      <c r="F20" s="562"/>
      <c r="G20" s="562"/>
      <c r="H20" s="562"/>
      <c r="I20" s="562"/>
      <c r="J20" s="562"/>
      <c r="K20" s="562"/>
      <c r="L20" s="562"/>
      <c r="M20" s="562"/>
      <c r="N20" s="562"/>
      <c r="O20" s="866"/>
      <c r="P20" s="866"/>
      <c r="Q20" s="866"/>
      <c r="R20" s="866"/>
      <c r="S20" s="866"/>
      <c r="T20" s="562"/>
      <c r="U20" s="866"/>
      <c r="V20" s="866"/>
      <c r="W20" s="866"/>
      <c r="X20" s="866"/>
      <c r="Y20" s="866"/>
      <c r="Z20" s="866"/>
      <c r="AA20" s="866"/>
      <c r="AB20" s="866"/>
      <c r="AC20" s="866"/>
      <c r="AD20" s="1124" t="str">
        <f>IF(AND(sch_officially_manage_FBpage_ifyes=TRUE,ISBLANK(sch_officially_manage_FBpage_address)),"Please specify.",IF(AND(sch_officially_manage_FBpage_ifyes=FALSE,(sch_officially_manage_FBpage_address&gt;0)),"Please check Yes if you have entries.",""))</f>
        <v/>
      </c>
      <c r="AE20" s="866"/>
      <c r="AF20" s="562"/>
      <c r="AG20" s="562"/>
      <c r="AH20" s="562"/>
      <c r="AI20" s="562"/>
      <c r="AJ20" s="562"/>
      <c r="AK20" s="562"/>
      <c r="AL20" s="562"/>
      <c r="AM20" s="1069"/>
    </row>
    <row r="21" spans="2:52" ht="25" customHeight="1">
      <c r="C21" s="1015"/>
      <c r="D21" s="1015"/>
      <c r="E21" s="1119"/>
      <c r="F21" s="568"/>
      <c r="G21" s="568"/>
      <c r="H21" s="568"/>
      <c r="I21" s="568"/>
      <c r="J21" s="568"/>
      <c r="K21" s="568"/>
      <c r="L21" s="568"/>
      <c r="M21" s="568"/>
      <c r="N21" s="568"/>
      <c r="O21" s="609"/>
      <c r="P21" s="609"/>
      <c r="Q21" s="609"/>
      <c r="R21" s="609"/>
      <c r="S21" s="609"/>
      <c r="T21" s="568"/>
      <c r="U21" s="609"/>
      <c r="V21" s="609"/>
      <c r="W21" s="609"/>
      <c r="X21" s="609"/>
      <c r="Y21" s="609"/>
      <c r="Z21" s="609"/>
      <c r="AA21" s="609"/>
      <c r="AB21" s="609"/>
      <c r="AC21" s="609"/>
      <c r="AD21" s="609"/>
      <c r="AE21" s="609"/>
      <c r="AF21" s="609"/>
      <c r="AG21" s="568"/>
      <c r="AH21" s="568"/>
      <c r="AI21" s="568"/>
      <c r="AJ21" s="568"/>
      <c r="AK21" s="568"/>
      <c r="AL21" s="568"/>
      <c r="AM21" s="568"/>
      <c r="AN21" s="568"/>
    </row>
    <row r="22" spans="2:52" ht="16.5">
      <c r="B22" s="627" t="s">
        <v>11800</v>
      </c>
      <c r="C22" s="628"/>
      <c r="D22" s="628"/>
      <c r="E22" s="628"/>
      <c r="F22" s="628"/>
      <c r="G22" s="628"/>
      <c r="H22" s="628"/>
      <c r="I22" s="628"/>
      <c r="J22" s="628"/>
      <c r="K22" s="628"/>
      <c r="L22" s="629"/>
      <c r="M22" s="629"/>
      <c r="N22" s="629"/>
      <c r="O22" s="629"/>
      <c r="P22" s="629"/>
      <c r="Q22" s="629"/>
      <c r="R22" s="629"/>
      <c r="S22" s="629"/>
      <c r="T22" s="629"/>
      <c r="U22" s="629"/>
      <c r="V22" s="629"/>
      <c r="W22" s="629"/>
      <c r="X22" s="629"/>
      <c r="Y22" s="629"/>
      <c r="Z22" s="629"/>
      <c r="AA22" s="629"/>
      <c r="AB22" s="629"/>
      <c r="AC22" s="629"/>
      <c r="AD22" s="629"/>
      <c r="AE22" s="629"/>
      <c r="AF22" s="629"/>
      <c r="AG22" s="629"/>
      <c r="AH22" s="629"/>
      <c r="AI22" s="629"/>
      <c r="AJ22" s="629"/>
      <c r="AK22" s="629"/>
      <c r="AL22" s="628"/>
    </row>
    <row r="23" spans="2:52" s="568" customFormat="1" ht="16" thickBot="1">
      <c r="B23" s="582" t="s">
        <v>904</v>
      </c>
    </row>
    <row r="24" spans="2:52" ht="5.25" customHeight="1">
      <c r="B24" s="631"/>
      <c r="C24" s="632"/>
      <c r="D24" s="632"/>
      <c r="E24" s="632"/>
      <c r="F24" s="632"/>
      <c r="G24" s="632"/>
      <c r="H24" s="632"/>
      <c r="I24" s="632"/>
      <c r="J24" s="632"/>
      <c r="K24" s="632"/>
      <c r="L24" s="632"/>
      <c r="M24" s="830"/>
      <c r="N24" s="830"/>
      <c r="O24" s="830"/>
      <c r="P24" s="830"/>
      <c r="Q24" s="830"/>
      <c r="R24" s="830"/>
      <c r="S24" s="634"/>
      <c r="T24" s="1030"/>
      <c r="U24" s="1030"/>
      <c r="V24" s="1030"/>
      <c r="W24" s="1030"/>
      <c r="X24" s="1030"/>
      <c r="Y24" s="1030"/>
      <c r="Z24" s="830"/>
      <c r="AA24" s="830"/>
      <c r="AB24" s="830"/>
      <c r="AC24" s="830"/>
      <c r="AD24" s="830"/>
      <c r="AE24" s="830"/>
      <c r="AF24" s="830"/>
      <c r="AG24" s="830"/>
      <c r="AH24" s="830"/>
      <c r="AI24" s="830"/>
      <c r="AJ24" s="830"/>
      <c r="AK24" s="830"/>
      <c r="AL24" s="830"/>
      <c r="AM24" s="1031"/>
      <c r="AW24" s="588"/>
      <c r="AX24" s="588"/>
      <c r="AY24" s="588"/>
      <c r="AZ24" s="588"/>
    </row>
    <row r="25" spans="2:52" ht="20.149999999999999" customHeight="1">
      <c r="B25" s="1151"/>
      <c r="C25" s="1012" t="s">
        <v>567</v>
      </c>
      <c r="D25" s="1024"/>
      <c r="E25" s="1024"/>
      <c r="F25" s="1024"/>
      <c r="G25" s="1024"/>
      <c r="H25" s="1024"/>
      <c r="I25" s="1024"/>
      <c r="J25" s="1024"/>
      <c r="K25" s="1024"/>
      <c r="L25" s="1024"/>
      <c r="M25" s="1024"/>
      <c r="N25" s="874"/>
      <c r="P25" s="857" t="b">
        <v>1</v>
      </c>
      <c r="Q25" s="588" t="s">
        <v>64</v>
      </c>
      <c r="R25" s="588"/>
      <c r="U25" s="857" t="b">
        <v>0</v>
      </c>
      <c r="V25" s="588" t="s">
        <v>0</v>
      </c>
      <c r="W25" s="588"/>
      <c r="X25" s="588"/>
      <c r="Y25" s="588"/>
      <c r="Z25" s="588"/>
      <c r="AB25" s="874"/>
      <c r="AC25" s="874"/>
      <c r="AD25" s="874"/>
      <c r="AE25" s="874"/>
      <c r="AF25" s="874"/>
      <c r="AI25" s="874"/>
      <c r="AJ25" s="874"/>
      <c r="AK25" s="874"/>
      <c r="AL25" s="874"/>
      <c r="AM25" s="1023"/>
      <c r="AW25" s="588"/>
      <c r="AX25" s="588"/>
      <c r="AY25" s="588"/>
      <c r="AZ25" s="588"/>
    </row>
    <row r="26" spans="2:52" ht="20.149999999999999" customHeight="1">
      <c r="B26" s="1151"/>
      <c r="D26" s="637" t="s">
        <v>357</v>
      </c>
      <c r="E26" s="649"/>
      <c r="F26" s="649"/>
      <c r="G26" s="649"/>
      <c r="H26" s="649"/>
      <c r="I26" s="649"/>
      <c r="J26" s="649"/>
      <c r="K26" s="649"/>
      <c r="L26" s="649"/>
      <c r="M26" s="649"/>
      <c r="N26" s="609"/>
      <c r="O26" s="609"/>
      <c r="P26" s="609"/>
      <c r="Q26" s="609"/>
      <c r="R26" s="609"/>
      <c r="S26" s="568"/>
      <c r="T26" s="1025"/>
      <c r="U26" s="1025"/>
      <c r="V26" s="1025"/>
      <c r="W26" s="1025"/>
      <c r="X26" s="1025"/>
      <c r="Y26" s="1025"/>
      <c r="Z26" s="609"/>
      <c r="AA26" s="568"/>
      <c r="AB26" s="568"/>
      <c r="AC26" s="568"/>
      <c r="AD26" s="568"/>
      <c r="AE26" s="568"/>
      <c r="AF26" s="568"/>
      <c r="AG26" s="568"/>
      <c r="AH26" s="568"/>
      <c r="AI26" s="568"/>
      <c r="AJ26" s="568"/>
      <c r="AK26" s="568"/>
      <c r="AL26" s="568"/>
      <c r="AM26" s="574"/>
      <c r="AW26" s="215"/>
      <c r="AX26" s="215"/>
      <c r="AY26" s="215"/>
      <c r="AZ26" s="215"/>
    </row>
    <row r="27" spans="2:52" ht="20.149999999999999" customHeight="1">
      <c r="B27" s="1151"/>
      <c r="C27" s="1015"/>
      <c r="D27" s="1015"/>
      <c r="E27" s="1015"/>
      <c r="F27" s="76" t="b">
        <v>0</v>
      </c>
      <c r="G27" s="568" t="s">
        <v>65</v>
      </c>
      <c r="H27" s="681"/>
      <c r="I27" s="681"/>
      <c r="J27" s="681"/>
      <c r="K27" s="681"/>
      <c r="L27" s="681"/>
      <c r="M27" s="681"/>
      <c r="N27" s="609"/>
      <c r="O27" s="568"/>
      <c r="P27" s="681"/>
      <c r="Q27" s="681"/>
      <c r="R27" s="681"/>
      <c r="S27" s="681"/>
      <c r="T27" s="681"/>
      <c r="U27" s="76" t="b">
        <v>0</v>
      </c>
      <c r="V27" s="568" t="s">
        <v>177</v>
      </c>
      <c r="W27" s="568"/>
      <c r="X27" s="568"/>
      <c r="Y27" s="568"/>
      <c r="Z27" s="568"/>
      <c r="AA27" s="568"/>
      <c r="AB27" s="681"/>
      <c r="AC27" s="681"/>
      <c r="AD27" s="609"/>
      <c r="AE27" s="568"/>
      <c r="AF27" s="681"/>
      <c r="AG27" s="681"/>
      <c r="AH27" s="681"/>
      <c r="AI27" s="681"/>
      <c r="AJ27" s="609"/>
      <c r="AK27" s="568"/>
      <c r="AL27" s="568"/>
      <c r="AM27" s="1018"/>
      <c r="AW27" s="588"/>
      <c r="AX27" s="588"/>
      <c r="AY27" s="588"/>
      <c r="AZ27" s="588"/>
    </row>
    <row r="28" spans="2:52" ht="20.149999999999999" customHeight="1">
      <c r="B28" s="1151"/>
      <c r="C28" s="1015"/>
      <c r="D28" s="1015"/>
      <c r="E28" s="1015"/>
      <c r="F28" s="76" t="b">
        <v>0</v>
      </c>
      <c r="G28" s="568" t="s">
        <v>69</v>
      </c>
      <c r="H28" s="681"/>
      <c r="I28" s="681"/>
      <c r="J28" s="681"/>
      <c r="K28" s="681"/>
      <c r="L28" s="681"/>
      <c r="M28" s="681"/>
      <c r="N28" s="609"/>
      <c r="O28" s="568"/>
      <c r="P28" s="681"/>
      <c r="Q28" s="681"/>
      <c r="R28" s="681"/>
      <c r="S28" s="681"/>
      <c r="T28" s="681"/>
      <c r="U28" s="76" t="b">
        <v>0</v>
      </c>
      <c r="V28" s="568" t="s">
        <v>181</v>
      </c>
      <c r="W28" s="568"/>
      <c r="X28" s="568"/>
      <c r="Y28" s="568"/>
      <c r="Z28" s="568"/>
      <c r="AA28" s="568"/>
      <c r="AB28" s="681"/>
      <c r="AC28" s="681"/>
      <c r="AD28" s="609"/>
      <c r="AE28" s="735"/>
      <c r="AF28" s="681"/>
      <c r="AG28" s="681"/>
      <c r="AH28" s="681"/>
      <c r="AM28" s="711"/>
      <c r="AV28" s="588"/>
      <c r="AW28" s="588"/>
      <c r="AX28" s="588"/>
      <c r="AY28" s="588"/>
    </row>
    <row r="29" spans="2:52" ht="2.25" customHeight="1">
      <c r="B29" s="621"/>
      <c r="C29" s="1015"/>
      <c r="D29" s="1119"/>
      <c r="E29" s="568"/>
      <c r="F29" s="1167"/>
      <c r="G29" s="568"/>
      <c r="H29" s="568"/>
      <c r="I29" s="568"/>
      <c r="J29" s="568"/>
      <c r="K29" s="568"/>
      <c r="L29" s="568"/>
      <c r="M29" s="568"/>
      <c r="N29" s="609"/>
      <c r="O29" s="609"/>
      <c r="P29" s="609"/>
      <c r="Q29" s="609"/>
      <c r="R29" s="609"/>
      <c r="S29" s="568"/>
      <c r="T29" s="609"/>
      <c r="U29" s="76"/>
      <c r="V29" s="609"/>
      <c r="W29" s="609"/>
      <c r="X29" s="609"/>
      <c r="Y29" s="609"/>
      <c r="Z29" s="568"/>
      <c r="AA29" s="568"/>
      <c r="AB29" s="568"/>
      <c r="AC29" s="568"/>
      <c r="AD29" s="568"/>
      <c r="AE29" s="568"/>
      <c r="AF29" s="568"/>
      <c r="AG29" s="568"/>
      <c r="AH29" s="568"/>
      <c r="AI29" s="568"/>
      <c r="AJ29" s="568"/>
      <c r="AK29" s="568"/>
      <c r="AL29" s="568"/>
      <c r="AM29" s="574"/>
      <c r="AW29" s="588"/>
      <c r="AX29" s="588"/>
      <c r="AY29" s="588"/>
      <c r="AZ29" s="588"/>
    </row>
    <row r="30" spans="2:52" ht="20.149999999999999" customHeight="1">
      <c r="B30" s="1151"/>
      <c r="C30" s="1015"/>
      <c r="D30" s="1015"/>
      <c r="E30" s="1015"/>
      <c r="F30" s="76" t="b">
        <v>0</v>
      </c>
      <c r="G30" s="568" t="s">
        <v>175</v>
      </c>
      <c r="H30" s="681"/>
      <c r="I30" s="681"/>
      <c r="J30" s="681"/>
      <c r="K30" s="681"/>
      <c r="L30" s="681"/>
      <c r="M30" s="681"/>
      <c r="N30" s="609"/>
      <c r="O30" s="568"/>
      <c r="P30" s="681"/>
      <c r="Q30" s="681"/>
      <c r="R30" s="681"/>
      <c r="S30" s="681"/>
      <c r="T30" s="681"/>
      <c r="U30" s="76" t="b">
        <v>1</v>
      </c>
      <c r="V30" s="568" t="s">
        <v>358</v>
      </c>
      <c r="W30" s="681"/>
      <c r="X30" s="681"/>
      <c r="Y30" s="681"/>
      <c r="Z30" s="681"/>
      <c r="AA30" s="609"/>
      <c r="AB30" s="568"/>
      <c r="AC30" s="568"/>
      <c r="AD30" s="568"/>
      <c r="AE30" s="568"/>
      <c r="AF30" s="568"/>
      <c r="AG30" s="681"/>
      <c r="AH30" s="681"/>
      <c r="AI30" s="681"/>
      <c r="AJ30" s="609"/>
      <c r="AK30" s="568"/>
      <c r="AL30" s="568"/>
      <c r="AM30" s="1018"/>
      <c r="AW30" s="588"/>
      <c r="AX30" s="588"/>
      <c r="AY30" s="588"/>
      <c r="AZ30" s="588"/>
    </row>
    <row r="31" spans="2:52" ht="20.149999999999999" customHeight="1">
      <c r="B31" s="1151"/>
      <c r="C31" s="1015"/>
      <c r="D31" s="1015"/>
      <c r="E31" s="1015"/>
      <c r="F31" s="76" t="b">
        <v>0</v>
      </c>
      <c r="G31" s="568" t="s">
        <v>176</v>
      </c>
      <c r="H31" s="681"/>
      <c r="I31" s="681"/>
      <c r="J31" s="681"/>
      <c r="K31" s="681"/>
      <c r="L31" s="681"/>
      <c r="M31" s="681"/>
      <c r="N31" s="609"/>
      <c r="O31" s="568"/>
      <c r="P31" s="681"/>
      <c r="Q31" s="681"/>
      <c r="R31" s="681"/>
      <c r="S31" s="681"/>
      <c r="T31" s="681"/>
      <c r="U31" s="76" t="b">
        <v>0</v>
      </c>
      <c r="V31" s="735" t="s">
        <v>908</v>
      </c>
      <c r="W31" s="681"/>
      <c r="X31" s="681"/>
      <c r="Y31" s="681"/>
      <c r="Z31" s="2773"/>
      <c r="AA31" s="2773"/>
      <c r="AB31" s="2773"/>
      <c r="AC31" s="2773"/>
      <c r="AD31" s="2773"/>
      <c r="AE31" s="2773"/>
      <c r="AF31" s="2773"/>
      <c r="AG31" s="681"/>
      <c r="AH31" s="681"/>
      <c r="AM31" s="711"/>
      <c r="AV31" s="588"/>
      <c r="AW31" s="588"/>
      <c r="AX31" s="588"/>
      <c r="AY31" s="588"/>
    </row>
    <row r="32" spans="2:52" ht="20.5">
      <c r="B32" s="1151"/>
      <c r="C32" s="1163" t="s">
        <v>568</v>
      </c>
      <c r="D32" s="649"/>
      <c r="E32" s="649"/>
      <c r="F32" s="649"/>
      <c r="G32" s="649"/>
      <c r="H32" s="649"/>
      <c r="I32" s="649"/>
      <c r="J32" s="649"/>
      <c r="K32" s="649"/>
      <c r="L32" s="649"/>
      <c r="M32" s="609"/>
      <c r="N32" s="568"/>
      <c r="O32" s="568"/>
      <c r="P32" s="568"/>
      <c r="Q32" s="568"/>
      <c r="R32" s="568"/>
      <c r="S32" s="1025"/>
      <c r="T32" s="609"/>
      <c r="U32" s="609"/>
      <c r="V32" s="609"/>
      <c r="W32" s="609"/>
      <c r="X32" s="609"/>
      <c r="Y32" s="609"/>
      <c r="Z32" s="1152" t="str">
        <f>IF(AND(feeding_school_fund_others=TRUE,ISBLANK(feeding_school_fund_others_value)),"Please specify.",IF(AND(feeding_school_fund_others=FALSE,(feeding_school_fund_others_value&gt;0)),"Please check Others if you have entries.",""))</f>
        <v/>
      </c>
      <c r="AA32" s="568"/>
      <c r="AB32" s="568"/>
      <c r="AC32" s="568"/>
      <c r="AD32" s="568"/>
      <c r="AE32" s="568"/>
      <c r="AF32" s="568"/>
      <c r="AG32" s="568"/>
      <c r="AH32" s="568"/>
      <c r="AI32" s="568"/>
      <c r="AJ32" s="568"/>
      <c r="AK32" s="568"/>
      <c r="AL32" s="568"/>
      <c r="AM32" s="574"/>
      <c r="AW32" s="588"/>
      <c r="AX32" s="588"/>
      <c r="AY32" s="588"/>
      <c r="AZ32" s="588"/>
    </row>
    <row r="33" spans="2:52" ht="20.149999999999999" customHeight="1">
      <c r="B33" s="621"/>
      <c r="C33" s="681"/>
      <c r="D33" s="681"/>
      <c r="E33" s="681"/>
      <c r="F33" s="76" t="b">
        <v>1</v>
      </c>
      <c r="G33" s="568" t="s">
        <v>1263</v>
      </c>
      <c r="H33" s="681"/>
      <c r="I33" s="681"/>
      <c r="J33" s="681"/>
      <c r="K33" s="681"/>
      <c r="L33" s="681"/>
      <c r="M33" s="681"/>
      <c r="P33" s="681"/>
      <c r="Q33" s="681"/>
      <c r="R33" s="681"/>
      <c r="S33" s="681"/>
      <c r="T33" s="681"/>
      <c r="Y33" s="568"/>
      <c r="Z33" s="568"/>
      <c r="AC33" s="568"/>
      <c r="AM33" s="1018"/>
      <c r="AR33" s="588"/>
      <c r="AS33" s="588"/>
      <c r="AT33" s="588"/>
      <c r="AU33" s="588"/>
    </row>
    <row r="34" spans="2:52" ht="20.149999999999999" customHeight="1">
      <c r="B34" s="621"/>
      <c r="C34" s="681"/>
      <c r="D34" s="681"/>
      <c r="E34" s="681"/>
      <c r="F34" s="609"/>
      <c r="I34" s="76" t="b">
        <v>0</v>
      </c>
      <c r="J34" s="568" t="s">
        <v>415</v>
      </c>
      <c r="K34" s="681"/>
      <c r="L34" s="681"/>
      <c r="M34" s="681"/>
      <c r="N34" s="76" t="b">
        <v>1</v>
      </c>
      <c r="O34" s="568" t="s">
        <v>569</v>
      </c>
      <c r="U34" s="76" t="b">
        <v>1</v>
      </c>
      <c r="V34" s="568" t="s">
        <v>416</v>
      </c>
      <c r="W34" s="568"/>
      <c r="X34" s="568"/>
      <c r="Y34" s="568"/>
      <c r="Z34" s="568"/>
      <c r="AA34" s="76" t="b">
        <v>0</v>
      </c>
      <c r="AB34" s="568" t="s">
        <v>417</v>
      </c>
      <c r="AC34" s="568"/>
      <c r="AH34" s="681"/>
      <c r="AK34" s="681"/>
      <c r="AL34" s="681"/>
      <c r="AM34" s="1018"/>
      <c r="AR34" s="588"/>
      <c r="AS34" s="588"/>
      <c r="AT34" s="588"/>
      <c r="AU34" s="588"/>
    </row>
    <row r="35" spans="2:52" ht="20.149999999999999" customHeight="1">
      <c r="B35" s="621"/>
      <c r="C35" s="681"/>
      <c r="D35" s="681"/>
      <c r="E35" s="681"/>
      <c r="F35" s="76" t="b">
        <v>1</v>
      </c>
      <c r="G35" s="568" t="s">
        <v>180</v>
      </c>
      <c r="H35" s="568"/>
      <c r="I35" s="568"/>
      <c r="M35" s="681"/>
      <c r="O35" s="609"/>
      <c r="P35" s="568"/>
      <c r="R35" s="681"/>
      <c r="S35" s="681"/>
      <c r="T35" s="681"/>
      <c r="W35" s="568"/>
      <c r="AB35" s="681"/>
      <c r="AC35" s="681"/>
      <c r="AK35" s="681"/>
      <c r="AL35" s="681"/>
      <c r="AM35" s="1018"/>
      <c r="AR35" s="588"/>
      <c r="AS35" s="588"/>
      <c r="AT35" s="588"/>
      <c r="AU35" s="588"/>
    </row>
    <row r="36" spans="2:52" ht="20.149999999999999" customHeight="1">
      <c r="B36" s="621"/>
      <c r="C36" s="681"/>
      <c r="D36" s="681"/>
      <c r="E36" s="681"/>
      <c r="F36" s="76" t="b">
        <v>0</v>
      </c>
      <c r="G36" s="568" t="s">
        <v>127</v>
      </c>
      <c r="H36" s="568"/>
      <c r="M36" s="681"/>
      <c r="O36" s="609"/>
      <c r="P36" s="568"/>
      <c r="R36" s="681"/>
      <c r="S36" s="681"/>
      <c r="T36" s="681"/>
      <c r="W36" s="568"/>
      <c r="AB36" s="681"/>
      <c r="AC36" s="681"/>
      <c r="AD36" s="609"/>
      <c r="AE36" s="568"/>
      <c r="AK36" s="681"/>
      <c r="AL36" s="681"/>
      <c r="AM36" s="1018"/>
      <c r="AR36" s="588"/>
      <c r="AS36" s="588"/>
      <c r="AT36" s="588"/>
      <c r="AU36" s="588"/>
    </row>
    <row r="37" spans="2:52" ht="20.149999999999999" customHeight="1">
      <c r="B37" s="621"/>
      <c r="C37" s="681"/>
      <c r="D37" s="681"/>
      <c r="E37" s="681"/>
      <c r="F37" s="76" t="b">
        <v>0</v>
      </c>
      <c r="G37" s="568" t="s">
        <v>95</v>
      </c>
      <c r="M37" s="681"/>
      <c r="O37" s="609"/>
      <c r="P37" s="568"/>
      <c r="R37" s="681"/>
      <c r="S37" s="681"/>
      <c r="T37" s="681"/>
      <c r="W37" s="568"/>
      <c r="AB37" s="681"/>
      <c r="AC37" s="681"/>
      <c r="AD37" s="609"/>
      <c r="AE37" s="568"/>
      <c r="AK37" s="681"/>
      <c r="AL37" s="681"/>
      <c r="AM37" s="1018"/>
      <c r="AR37" s="588"/>
      <c r="AS37" s="588"/>
      <c r="AT37" s="588"/>
      <c r="AU37" s="588"/>
    </row>
    <row r="38" spans="2:52" ht="20.149999999999999" customHeight="1">
      <c r="B38" s="621"/>
      <c r="C38" s="681"/>
      <c r="D38" s="681"/>
      <c r="E38" s="681"/>
      <c r="F38" s="76" t="b">
        <v>0</v>
      </c>
      <c r="G38" s="735" t="s">
        <v>908</v>
      </c>
      <c r="H38" s="681"/>
      <c r="I38" s="681"/>
      <c r="J38" s="681"/>
      <c r="K38" s="2773"/>
      <c r="L38" s="2773"/>
      <c r="M38" s="2773"/>
      <c r="N38" s="2773"/>
      <c r="O38" s="2773"/>
      <c r="P38" s="2773"/>
      <c r="Q38" s="2773"/>
      <c r="R38" s="878" t="str">
        <f>IF(AND(feeding_agriculture_others=TRUE,ISBLANK(feeding_agriculture_others_values)),"Please specify.",IF(AND(feeding_agriculture_others=FALSE,(feeding_agriculture_others_values&gt;0)),"Please check Others if you have entries.",""))</f>
        <v/>
      </c>
      <c r="S38" s="681"/>
      <c r="T38" s="681"/>
      <c r="W38" s="568"/>
      <c r="AB38" s="681"/>
      <c r="AC38" s="681"/>
      <c r="AD38" s="609"/>
      <c r="AE38" s="568"/>
      <c r="AK38" s="681"/>
      <c r="AL38" s="681"/>
      <c r="AM38" s="1018"/>
      <c r="AQ38" s="588"/>
      <c r="AR38" s="588"/>
      <c r="AS38" s="588"/>
      <c r="AT38" s="588"/>
    </row>
    <row r="39" spans="2:52" ht="20.149999999999999" customHeight="1">
      <c r="B39" s="621"/>
      <c r="C39" s="681"/>
      <c r="D39" s="681"/>
      <c r="E39" s="681"/>
      <c r="F39" s="76" t="b">
        <v>0</v>
      </c>
      <c r="G39" s="568" t="s">
        <v>111</v>
      </c>
      <c r="M39" s="681"/>
      <c r="O39" s="609"/>
      <c r="P39" s="568"/>
      <c r="R39" s="681"/>
      <c r="S39" s="681"/>
      <c r="T39" s="681"/>
      <c r="W39" s="568"/>
      <c r="AB39" s="681"/>
      <c r="AC39" s="681"/>
      <c r="AD39" s="609"/>
      <c r="AE39" s="568"/>
      <c r="AK39" s="681"/>
      <c r="AL39" s="681"/>
      <c r="AM39" s="1018"/>
      <c r="AR39" s="588"/>
      <c r="AS39" s="588"/>
      <c r="AT39" s="588"/>
      <c r="AU39" s="588"/>
    </row>
    <row r="40" spans="2:52" ht="20.149999999999999" customHeight="1">
      <c r="B40" s="1151"/>
      <c r="C40" s="1012" t="s">
        <v>570</v>
      </c>
      <c r="D40" s="1162"/>
      <c r="E40" s="1162"/>
      <c r="F40" s="1162"/>
      <c r="G40" s="1162"/>
      <c r="H40" s="1162"/>
      <c r="I40" s="1162"/>
      <c r="J40" s="1162"/>
      <c r="K40" s="1162"/>
      <c r="L40" s="1162"/>
      <c r="M40" s="1162"/>
      <c r="N40" s="1162"/>
      <c r="O40" s="1162"/>
      <c r="P40" s="1162"/>
      <c r="Q40" s="1162"/>
      <c r="R40" s="874"/>
      <c r="S40" s="588"/>
      <c r="U40" s="857" t="b">
        <v>0</v>
      </c>
      <c r="V40" s="588" t="s">
        <v>64</v>
      </c>
      <c r="W40" s="588"/>
      <c r="Z40" s="857" t="b">
        <v>1</v>
      </c>
      <c r="AA40" s="588" t="s">
        <v>0</v>
      </c>
      <c r="AC40" s="588"/>
      <c r="AD40" s="874"/>
      <c r="AE40" s="874"/>
      <c r="AF40" s="874"/>
      <c r="AG40" s="588"/>
      <c r="AM40" s="711"/>
      <c r="AW40" s="588"/>
      <c r="AX40" s="588"/>
      <c r="AY40" s="588"/>
      <c r="AZ40" s="588"/>
    </row>
    <row r="41" spans="2:52" ht="20.149999999999999" customHeight="1">
      <c r="B41" s="1151"/>
      <c r="C41" s="681"/>
      <c r="D41" s="637" t="s">
        <v>359</v>
      </c>
      <c r="E41" s="637"/>
      <c r="F41" s="649"/>
      <c r="G41" s="649"/>
      <c r="H41" s="649"/>
      <c r="I41" s="649"/>
      <c r="J41" s="649"/>
      <c r="K41" s="649"/>
      <c r="L41" s="649"/>
      <c r="M41" s="649"/>
      <c r="N41" s="649"/>
      <c r="O41" s="649"/>
      <c r="P41" s="649"/>
      <c r="Q41" s="649"/>
      <c r="R41" s="649"/>
      <c r="S41" s="609"/>
      <c r="T41" s="568"/>
      <c r="U41" s="568"/>
      <c r="V41" s="568"/>
      <c r="W41" s="568"/>
      <c r="X41" s="568"/>
      <c r="Y41" s="568"/>
      <c r="Z41" s="1025"/>
      <c r="AA41" s="609"/>
      <c r="AB41" s="609"/>
      <c r="AC41" s="609"/>
      <c r="AD41" s="609"/>
      <c r="AE41" s="609"/>
      <c r="AF41" s="609"/>
      <c r="AG41" s="568"/>
      <c r="AH41" s="568"/>
      <c r="AI41" s="568"/>
      <c r="AJ41" s="568"/>
      <c r="AK41" s="568"/>
      <c r="AL41" s="568"/>
      <c r="AM41" s="574"/>
    </row>
    <row r="42" spans="2:52" ht="20.149999999999999" customHeight="1">
      <c r="B42" s="1151"/>
      <c r="C42" s="1015"/>
      <c r="D42" s="1015"/>
      <c r="E42" s="1015"/>
      <c r="F42" s="76" t="b">
        <v>0</v>
      </c>
      <c r="G42" s="568" t="s">
        <v>65</v>
      </c>
      <c r="H42" s="681"/>
      <c r="I42" s="681"/>
      <c r="J42" s="681"/>
      <c r="K42" s="681"/>
      <c r="L42" s="681"/>
      <c r="M42" s="681"/>
      <c r="N42" s="609"/>
      <c r="O42" s="568"/>
      <c r="P42" s="681"/>
      <c r="Q42" s="681"/>
      <c r="R42" s="681"/>
      <c r="S42" s="681"/>
      <c r="T42" s="681"/>
      <c r="U42" s="76" t="b">
        <v>0</v>
      </c>
      <c r="V42" s="568" t="s">
        <v>177</v>
      </c>
      <c r="W42" s="568"/>
      <c r="X42" s="568"/>
      <c r="Y42" s="568"/>
      <c r="Z42" s="568"/>
      <c r="AA42" s="568"/>
      <c r="AB42" s="681"/>
      <c r="AC42" s="681"/>
      <c r="AD42" s="609"/>
      <c r="AE42" s="568"/>
      <c r="AF42" s="681"/>
      <c r="AG42" s="681"/>
      <c r="AH42" s="681"/>
      <c r="AI42" s="681"/>
      <c r="AJ42" s="609"/>
      <c r="AK42" s="568"/>
      <c r="AL42" s="568"/>
      <c r="AM42" s="1018"/>
      <c r="AW42" s="588"/>
      <c r="AX42" s="588"/>
      <c r="AY42" s="588"/>
      <c r="AZ42" s="588"/>
    </row>
    <row r="43" spans="2:52" ht="20.149999999999999" customHeight="1">
      <c r="B43" s="1151"/>
      <c r="C43" s="1015"/>
      <c r="D43" s="1015"/>
      <c r="E43" s="1015"/>
      <c r="F43" s="76" t="b">
        <v>0</v>
      </c>
      <c r="G43" s="568" t="s">
        <v>69</v>
      </c>
      <c r="H43" s="681"/>
      <c r="I43" s="681"/>
      <c r="J43" s="681"/>
      <c r="K43" s="681"/>
      <c r="L43" s="681"/>
      <c r="M43" s="681"/>
      <c r="N43" s="609"/>
      <c r="O43" s="568"/>
      <c r="P43" s="681"/>
      <c r="Q43" s="681"/>
      <c r="R43" s="681"/>
      <c r="S43" s="681"/>
      <c r="T43" s="681"/>
      <c r="U43" s="76" t="b">
        <v>0</v>
      </c>
      <c r="V43" s="568" t="s">
        <v>181</v>
      </c>
      <c r="W43" s="568"/>
      <c r="X43" s="568"/>
      <c r="Y43" s="568"/>
      <c r="Z43" s="568"/>
      <c r="AA43" s="568"/>
      <c r="AB43" s="681"/>
      <c r="AC43" s="681"/>
      <c r="AD43" s="609"/>
      <c r="AE43" s="735"/>
      <c r="AF43" s="681"/>
      <c r="AG43" s="681"/>
      <c r="AH43" s="681"/>
      <c r="AM43" s="711"/>
      <c r="AV43" s="588"/>
      <c r="AW43" s="588"/>
      <c r="AX43" s="588"/>
      <c r="AY43" s="588"/>
    </row>
    <row r="44" spans="2:52" ht="2.25" customHeight="1">
      <c r="B44" s="621"/>
      <c r="C44" s="1015"/>
      <c r="D44" s="1119"/>
      <c r="E44" s="568"/>
      <c r="F44" s="1167"/>
      <c r="G44" s="568"/>
      <c r="H44" s="568"/>
      <c r="I44" s="568"/>
      <c r="J44" s="568"/>
      <c r="K44" s="568"/>
      <c r="L44" s="568"/>
      <c r="M44" s="568"/>
      <c r="N44" s="609"/>
      <c r="O44" s="609"/>
      <c r="P44" s="609"/>
      <c r="Q44" s="609"/>
      <c r="R44" s="609"/>
      <c r="S44" s="568"/>
      <c r="T44" s="609"/>
      <c r="U44" s="76"/>
      <c r="V44" s="609"/>
      <c r="W44" s="609"/>
      <c r="X44" s="609"/>
      <c r="Y44" s="609"/>
      <c r="Z44" s="568"/>
      <c r="AA44" s="568"/>
      <c r="AB44" s="568"/>
      <c r="AC44" s="568"/>
      <c r="AD44" s="568"/>
      <c r="AE44" s="568"/>
      <c r="AF44" s="568"/>
      <c r="AG44" s="568"/>
      <c r="AH44" s="568"/>
      <c r="AI44" s="568"/>
      <c r="AJ44" s="568"/>
      <c r="AK44" s="568"/>
      <c r="AL44" s="568"/>
      <c r="AM44" s="574"/>
      <c r="AW44" s="588"/>
      <c r="AX44" s="588"/>
      <c r="AY44" s="588"/>
      <c r="AZ44" s="588"/>
    </row>
    <row r="45" spans="2:52" ht="20.149999999999999" customHeight="1">
      <c r="B45" s="1151"/>
      <c r="C45" s="1015"/>
      <c r="D45" s="1015"/>
      <c r="E45" s="1015"/>
      <c r="F45" s="76" t="b">
        <v>0</v>
      </c>
      <c r="G45" s="568" t="s">
        <v>175</v>
      </c>
      <c r="H45" s="681"/>
      <c r="I45" s="681"/>
      <c r="J45" s="681"/>
      <c r="K45" s="681"/>
      <c r="L45" s="681"/>
      <c r="M45" s="681"/>
      <c r="N45" s="609"/>
      <c r="O45" s="568"/>
      <c r="P45" s="681"/>
      <c r="Q45" s="681"/>
      <c r="R45" s="681"/>
      <c r="S45" s="681"/>
      <c r="T45" s="681"/>
      <c r="U45" s="76" t="b">
        <v>0</v>
      </c>
      <c r="V45" s="735" t="s">
        <v>908</v>
      </c>
      <c r="W45" s="681"/>
      <c r="X45" s="681"/>
      <c r="Y45" s="681"/>
      <c r="Z45" s="2773"/>
      <c r="AA45" s="2773"/>
      <c r="AB45" s="2773"/>
      <c r="AC45" s="2773"/>
      <c r="AD45" s="2773"/>
      <c r="AE45" s="2773"/>
      <c r="AF45" s="2773"/>
      <c r="AG45" s="681"/>
      <c r="AH45" s="681"/>
      <c r="AI45" s="681"/>
      <c r="AJ45" s="609"/>
      <c r="AK45" s="568"/>
      <c r="AL45" s="568"/>
      <c r="AM45" s="1018"/>
      <c r="AW45" s="588"/>
      <c r="AX45" s="588"/>
      <c r="AY45" s="588"/>
      <c r="AZ45" s="588"/>
    </row>
    <row r="46" spans="2:52" ht="20.149999999999999" customHeight="1">
      <c r="B46" s="1151"/>
      <c r="C46" s="1015"/>
      <c r="D46" s="1015"/>
      <c r="E46" s="1015"/>
      <c r="F46" s="76" t="b">
        <v>0</v>
      </c>
      <c r="G46" s="568" t="s">
        <v>176</v>
      </c>
      <c r="H46" s="681"/>
      <c r="I46" s="681"/>
      <c r="J46" s="681"/>
      <c r="K46" s="681"/>
      <c r="L46" s="681"/>
      <c r="M46" s="681"/>
      <c r="N46" s="609"/>
      <c r="O46" s="568"/>
      <c r="P46" s="681"/>
      <c r="Q46" s="681"/>
      <c r="R46" s="681"/>
      <c r="S46" s="681"/>
      <c r="T46" s="681"/>
      <c r="U46" s="609"/>
      <c r="V46" s="735"/>
      <c r="W46" s="681"/>
      <c r="X46" s="681"/>
      <c r="Y46" s="681"/>
      <c r="Z46" s="1152" t="str">
        <f>IF(AND(feeding_agriculture_used_fund_others=TRUE,ISBLANK(feeding_agriculture_used_fund_others_value)),"Please specify.",IF(AND(feeding_agriculture_used_fund_others=FALSE,(feeding_agriculture_used_fund_others_value&gt;0)),"Please check Others if you have entries.",""))</f>
        <v/>
      </c>
      <c r="AA46" s="568"/>
      <c r="AB46" s="681"/>
      <c r="AC46" s="681"/>
      <c r="AD46" s="609"/>
      <c r="AE46" s="735"/>
      <c r="AF46" s="681"/>
      <c r="AG46" s="681"/>
      <c r="AH46" s="681"/>
      <c r="AM46" s="711"/>
      <c r="AV46" s="588"/>
      <c r="AW46" s="588"/>
      <c r="AX46" s="588"/>
      <c r="AY46" s="588"/>
    </row>
    <row r="47" spans="2:52" ht="3" customHeight="1" thickBot="1">
      <c r="B47" s="622"/>
      <c r="C47" s="1010"/>
      <c r="D47" s="1011"/>
      <c r="E47" s="562"/>
      <c r="F47" s="562"/>
      <c r="G47" s="562"/>
      <c r="H47" s="562"/>
      <c r="I47" s="562"/>
      <c r="J47" s="562"/>
      <c r="K47" s="562"/>
      <c r="L47" s="562"/>
      <c r="M47" s="562"/>
      <c r="N47" s="866"/>
      <c r="O47" s="866"/>
      <c r="P47" s="866"/>
      <c r="Q47" s="866"/>
      <c r="R47" s="866"/>
      <c r="S47" s="562"/>
      <c r="T47" s="866"/>
      <c r="U47" s="866"/>
      <c r="V47" s="866"/>
      <c r="W47" s="866"/>
      <c r="X47" s="866"/>
      <c r="Y47" s="866"/>
      <c r="Z47" s="562"/>
      <c r="AA47" s="562"/>
      <c r="AB47" s="562"/>
      <c r="AC47" s="562"/>
      <c r="AD47" s="562"/>
      <c r="AE47" s="562"/>
      <c r="AF47" s="562"/>
      <c r="AG47" s="562"/>
      <c r="AH47" s="562"/>
      <c r="AI47" s="562"/>
      <c r="AJ47" s="562"/>
      <c r="AK47" s="562"/>
      <c r="AL47" s="562"/>
      <c r="AM47" s="806"/>
    </row>
    <row r="48" spans="2:52" s="588" customFormat="1" ht="25" customHeight="1">
      <c r="B48" s="624"/>
      <c r="C48" s="625"/>
      <c r="D48" s="625"/>
      <c r="E48" s="625"/>
      <c r="F48" s="625"/>
      <c r="G48" s="625"/>
      <c r="H48" s="568"/>
      <c r="I48" s="568"/>
      <c r="J48" s="568"/>
      <c r="K48" s="568"/>
      <c r="L48" s="626"/>
      <c r="M48" s="626"/>
      <c r="N48" s="626"/>
      <c r="O48" s="626"/>
      <c r="P48" s="568"/>
      <c r="Q48" s="626"/>
      <c r="R48" s="626"/>
      <c r="S48" s="626"/>
      <c r="T48" s="626"/>
      <c r="U48" s="568"/>
      <c r="V48" s="626"/>
      <c r="W48" s="626"/>
      <c r="X48" s="626"/>
      <c r="Y48" s="626"/>
    </row>
    <row r="49" spans="2:51" ht="16.5">
      <c r="B49" s="627" t="s">
        <v>11801</v>
      </c>
    </row>
    <row r="50" spans="2:51" s="568" customFormat="1" ht="16" thickBot="1">
      <c r="B50" s="582" t="s">
        <v>904</v>
      </c>
    </row>
    <row r="51" spans="2:51" ht="8.15" customHeight="1">
      <c r="B51" s="1153"/>
      <c r="C51" s="1154"/>
      <c r="D51" s="1154"/>
      <c r="E51" s="1154"/>
      <c r="F51" s="1154"/>
      <c r="G51" s="640"/>
      <c r="H51" s="640"/>
      <c r="I51" s="640"/>
      <c r="J51" s="640"/>
      <c r="K51" s="640"/>
      <c r="L51" s="640"/>
      <c r="M51" s="640"/>
      <c r="N51" s="640"/>
      <c r="O51" s="640"/>
      <c r="P51" s="640"/>
      <c r="Q51" s="640"/>
      <c r="R51" s="640"/>
      <c r="S51" s="640"/>
      <c r="T51" s="640"/>
      <c r="U51" s="640"/>
      <c r="V51" s="640"/>
      <c r="W51" s="640"/>
      <c r="X51" s="729"/>
      <c r="Y51" s="1155"/>
      <c r="Z51" s="1155"/>
      <c r="AA51" s="1155"/>
      <c r="AB51" s="1155"/>
      <c r="AC51" s="1156"/>
      <c r="AD51" s="640"/>
      <c r="AE51" s="640"/>
      <c r="AF51" s="640"/>
      <c r="AG51" s="640"/>
      <c r="AH51" s="640"/>
      <c r="AI51" s="640"/>
      <c r="AJ51" s="640"/>
      <c r="AK51" s="640"/>
      <c r="AL51" s="640"/>
      <c r="AM51" s="1056"/>
    </row>
    <row r="52" spans="2:51" s="610" customFormat="1" ht="19.5" customHeight="1">
      <c r="B52" s="1157" t="s">
        <v>151</v>
      </c>
      <c r="C52" s="610" t="s">
        <v>1179</v>
      </c>
      <c r="D52" s="1158"/>
      <c r="E52" s="1158"/>
      <c r="F52" s="1158"/>
      <c r="G52" s="1158"/>
      <c r="H52" s="1158"/>
      <c r="I52" s="1158"/>
      <c r="J52" s="1158"/>
      <c r="M52" s="76" t="b">
        <v>1</v>
      </c>
      <c r="N52" s="568" t="s">
        <v>64</v>
      </c>
      <c r="O52" s="568"/>
      <c r="R52" s="76" t="b">
        <v>0</v>
      </c>
      <c r="S52" s="568" t="s">
        <v>0</v>
      </c>
      <c r="V52" s="1158"/>
      <c r="W52" s="1158"/>
      <c r="X52" s="567"/>
      <c r="Y52" s="1158"/>
      <c r="Z52" s="1158"/>
      <c r="AA52" s="1158"/>
      <c r="AB52" s="1158"/>
      <c r="AC52" s="645"/>
      <c r="AM52" s="1159"/>
    </row>
    <row r="53" spans="2:51" ht="19.5" customHeight="1" thickBot="1">
      <c r="B53" s="1160"/>
      <c r="C53" s="1161" t="s">
        <v>339</v>
      </c>
      <c r="E53" s="874"/>
      <c r="F53" s="681"/>
      <c r="I53" s="874"/>
      <c r="J53" s="874"/>
      <c r="K53" s="874"/>
      <c r="L53" s="874"/>
      <c r="M53" s="874"/>
      <c r="N53" s="874"/>
      <c r="O53" s="874"/>
      <c r="P53" s="874"/>
      <c r="Q53" s="874"/>
      <c r="R53" s="588"/>
      <c r="S53" s="588"/>
      <c r="U53" s="874"/>
      <c r="V53" s="975"/>
      <c r="X53" s="681"/>
      <c r="Z53" s="874"/>
      <c r="AA53" s="874"/>
      <c r="AB53" s="681"/>
      <c r="AM53" s="1018"/>
    </row>
    <row r="54" spans="2:51" ht="33" customHeight="1" thickBot="1">
      <c r="B54" s="614"/>
      <c r="D54" s="3504" t="s">
        <v>571</v>
      </c>
      <c r="E54" s="3505"/>
      <c r="F54" s="3505"/>
      <c r="G54" s="3505"/>
      <c r="H54" s="3505"/>
      <c r="I54" s="3505"/>
      <c r="J54" s="3505"/>
      <c r="K54" s="3505"/>
      <c r="L54" s="3506"/>
      <c r="M54" s="3504" t="s">
        <v>572</v>
      </c>
      <c r="N54" s="3505"/>
      <c r="O54" s="3505"/>
      <c r="P54" s="3505"/>
      <c r="Q54" s="3505"/>
      <c r="R54" s="3505"/>
      <c r="S54" s="3505"/>
      <c r="T54" s="3506"/>
      <c r="U54" s="3504" t="s">
        <v>573</v>
      </c>
      <c r="V54" s="3505"/>
      <c r="W54" s="3505"/>
      <c r="X54" s="3505"/>
      <c r="Y54" s="3505"/>
      <c r="Z54" s="3505"/>
      <c r="AA54" s="3505"/>
      <c r="AB54" s="3506"/>
      <c r="AC54" s="3442" t="s">
        <v>574</v>
      </c>
      <c r="AD54" s="3443"/>
      <c r="AE54" s="3443"/>
      <c r="AF54" s="3443"/>
      <c r="AG54" s="3443"/>
      <c r="AH54" s="3443"/>
      <c r="AI54" s="3443"/>
      <c r="AJ54" s="3443"/>
      <c r="AK54" s="3443"/>
      <c r="AL54" s="3444"/>
      <c r="AM54" s="1023"/>
      <c r="AV54" s="588"/>
      <c r="AW54" s="588"/>
      <c r="AX54" s="588"/>
      <c r="AY54" s="588"/>
    </row>
    <row r="55" spans="2:51" ht="35.15" customHeight="1">
      <c r="B55" s="614"/>
      <c r="D55" s="1149"/>
      <c r="E55" s="1168" t="b">
        <v>1</v>
      </c>
      <c r="F55" s="634" t="s">
        <v>575</v>
      </c>
      <c r="G55" s="640"/>
      <c r="H55" s="1145"/>
      <c r="I55" s="1145"/>
      <c r="J55" s="1145"/>
      <c r="K55" s="1145"/>
      <c r="L55" s="1144"/>
      <c r="M55" s="1150"/>
      <c r="N55" s="3252"/>
      <c r="O55" s="3252"/>
      <c r="P55" s="3252"/>
      <c r="Q55" s="3252"/>
      <c r="R55" s="3252"/>
      <c r="S55" s="3252"/>
      <c r="T55" s="1144"/>
      <c r="U55" s="1145"/>
      <c r="V55" s="3502"/>
      <c r="W55" s="3252"/>
      <c r="X55" s="3252"/>
      <c r="Y55" s="3252"/>
      <c r="Z55" s="3252"/>
      <c r="AA55" s="3252"/>
      <c r="AB55" s="1144"/>
      <c r="AC55" s="1145"/>
      <c r="AD55" s="1168" t="b">
        <v>0</v>
      </c>
      <c r="AE55" s="634" t="s">
        <v>64</v>
      </c>
      <c r="AF55" s="1146"/>
      <c r="AG55" s="1147"/>
      <c r="AH55" s="1147"/>
      <c r="AI55" s="1168" t="b">
        <v>1</v>
      </c>
      <c r="AJ55" s="634" t="s">
        <v>0</v>
      </c>
      <c r="AK55" s="634"/>
      <c r="AL55" s="1148"/>
      <c r="AM55" s="1023"/>
      <c r="AV55" s="588"/>
      <c r="AW55" s="588"/>
      <c r="AX55" s="588"/>
      <c r="AY55" s="588"/>
    </row>
    <row r="56" spans="2:51" ht="5.15" customHeight="1" thickBot="1">
      <c r="B56" s="614"/>
      <c r="D56" s="1133"/>
      <c r="E56" s="1134"/>
      <c r="F56" s="925"/>
      <c r="G56" s="1135"/>
      <c r="H56" s="1136"/>
      <c r="I56" s="1136"/>
      <c r="J56" s="1136"/>
      <c r="K56" s="1136"/>
      <c r="L56" s="1137"/>
      <c r="M56" s="1138"/>
      <c r="N56" s="1139"/>
      <c r="O56" s="1136"/>
      <c r="P56" s="1136"/>
      <c r="Q56" s="1136"/>
      <c r="R56" s="1136"/>
      <c r="S56" s="1136"/>
      <c r="T56" s="1137"/>
      <c r="U56" s="1136"/>
      <c r="V56" s="1139"/>
      <c r="W56" s="1136"/>
      <c r="X56" s="1136"/>
      <c r="Y56" s="1136"/>
      <c r="Z56" s="1136"/>
      <c r="AA56" s="1136"/>
      <c r="AB56" s="1137"/>
      <c r="AC56" s="1136"/>
      <c r="AD56" s="1134"/>
      <c r="AE56" s="925"/>
      <c r="AF56" s="1140"/>
      <c r="AG56" s="1141"/>
      <c r="AH56" s="1141"/>
      <c r="AI56" s="1134"/>
      <c r="AJ56" s="925"/>
      <c r="AK56" s="925"/>
      <c r="AL56" s="1142"/>
      <c r="AM56" s="1023"/>
      <c r="AV56" s="588"/>
      <c r="AW56" s="588"/>
      <c r="AX56" s="588"/>
      <c r="AY56" s="588"/>
    </row>
    <row r="57" spans="2:51" ht="35.15" customHeight="1">
      <c r="B57" s="614"/>
      <c r="D57" s="1067"/>
      <c r="E57" s="76" t="b">
        <v>0</v>
      </c>
      <c r="F57" s="568" t="s">
        <v>576</v>
      </c>
      <c r="H57" s="606"/>
      <c r="I57" s="606"/>
      <c r="J57" s="606"/>
      <c r="K57" s="606"/>
      <c r="L57" s="1093"/>
      <c r="M57" s="607"/>
      <c r="N57" s="3258"/>
      <c r="O57" s="3258"/>
      <c r="P57" s="3258"/>
      <c r="Q57" s="3258"/>
      <c r="R57" s="3258"/>
      <c r="S57" s="3258"/>
      <c r="T57" s="1093"/>
      <c r="U57" s="607"/>
      <c r="V57" s="3502"/>
      <c r="W57" s="3252"/>
      <c r="X57" s="3252"/>
      <c r="Y57" s="3252"/>
      <c r="Z57" s="3252"/>
      <c r="AA57" s="3252"/>
      <c r="AB57" s="1093"/>
      <c r="AC57" s="607"/>
      <c r="AD57" s="76" t="b">
        <v>0</v>
      </c>
      <c r="AE57" s="568" t="s">
        <v>64</v>
      </c>
      <c r="AF57" s="1131"/>
      <c r="AG57" s="1132"/>
      <c r="AH57" s="1132"/>
      <c r="AI57" s="76" t="b">
        <v>0</v>
      </c>
      <c r="AJ57" s="568" t="s">
        <v>0</v>
      </c>
      <c r="AK57" s="568"/>
      <c r="AL57" s="1023"/>
      <c r="AM57" s="1023"/>
      <c r="AV57" s="588"/>
      <c r="AW57" s="588"/>
      <c r="AX57" s="588"/>
      <c r="AY57" s="588"/>
    </row>
    <row r="58" spans="2:51" ht="5.15" customHeight="1">
      <c r="B58" s="614"/>
      <c r="D58" s="1133"/>
      <c r="E58" s="1134"/>
      <c r="F58" s="925"/>
      <c r="G58" s="1135"/>
      <c r="H58" s="1136"/>
      <c r="I58" s="1136"/>
      <c r="J58" s="1136"/>
      <c r="K58" s="1136"/>
      <c r="L58" s="1137"/>
      <c r="M58" s="1138"/>
      <c r="N58" s="1139"/>
      <c r="O58" s="1136"/>
      <c r="P58" s="1136"/>
      <c r="Q58" s="1136"/>
      <c r="R58" s="1136"/>
      <c r="S58" s="1136"/>
      <c r="T58" s="1137"/>
      <c r="U58" s="1136"/>
      <c r="V58" s="1139"/>
      <c r="W58" s="1136"/>
      <c r="X58" s="1136"/>
      <c r="Y58" s="1136"/>
      <c r="Z58" s="1136"/>
      <c r="AA58" s="1136"/>
      <c r="AB58" s="1137"/>
      <c r="AC58" s="1136"/>
      <c r="AD58" s="1134"/>
      <c r="AE58" s="925"/>
      <c r="AF58" s="1140"/>
      <c r="AG58" s="1141"/>
      <c r="AH58" s="1141"/>
      <c r="AI58" s="1134"/>
      <c r="AJ58" s="925"/>
      <c r="AK58" s="925"/>
      <c r="AL58" s="1142"/>
      <c r="AM58" s="1023"/>
      <c r="AV58" s="588"/>
      <c r="AW58" s="588"/>
      <c r="AX58" s="588"/>
      <c r="AY58" s="588"/>
    </row>
    <row r="59" spans="2:51" ht="23.15" customHeight="1">
      <c r="B59" s="614"/>
      <c r="D59" s="1143"/>
      <c r="E59" s="857" t="b">
        <v>0</v>
      </c>
      <c r="F59" s="726" t="s">
        <v>908</v>
      </c>
      <c r="H59" s="681"/>
      <c r="L59" s="1018"/>
      <c r="M59" s="1024"/>
      <c r="N59" s="588"/>
      <c r="O59" s="1024"/>
      <c r="P59" s="1024"/>
      <c r="Q59" s="1024"/>
      <c r="R59" s="1024"/>
      <c r="S59" s="1024"/>
      <c r="T59" s="1018"/>
      <c r="U59" s="1024"/>
      <c r="V59" s="588"/>
      <c r="W59" s="1024"/>
      <c r="X59" s="1024"/>
      <c r="Y59" s="1024"/>
      <c r="Z59" s="1024"/>
      <c r="AA59" s="1024"/>
      <c r="AB59" s="1018"/>
      <c r="AC59" s="1024"/>
      <c r="AD59" s="1131"/>
      <c r="AE59" s="1015"/>
      <c r="AF59" s="1015"/>
      <c r="AG59" s="1015"/>
      <c r="AH59" s="1015"/>
      <c r="AI59" s="1015"/>
      <c r="AJ59" s="1132"/>
      <c r="AK59" s="1132"/>
      <c r="AL59" s="1023"/>
      <c r="AM59" s="1023"/>
      <c r="AV59" s="588"/>
      <c r="AW59" s="588"/>
      <c r="AX59" s="588"/>
      <c r="AY59" s="588"/>
    </row>
    <row r="60" spans="2:51" ht="24" customHeight="1">
      <c r="B60" s="614"/>
      <c r="D60" s="1067"/>
      <c r="E60" s="609"/>
      <c r="F60" s="3130"/>
      <c r="G60" s="3130"/>
      <c r="H60" s="3130"/>
      <c r="I60" s="3130"/>
      <c r="J60" s="3130"/>
      <c r="K60" s="3130"/>
      <c r="L60" s="1018"/>
      <c r="N60" s="2672"/>
      <c r="O60" s="2672"/>
      <c r="P60" s="2672"/>
      <c r="Q60" s="2672"/>
      <c r="R60" s="2672"/>
      <c r="S60" s="2672"/>
      <c r="T60" s="1018"/>
      <c r="U60" s="607"/>
      <c r="V60" s="3503"/>
      <c r="W60" s="2672"/>
      <c r="X60" s="2672"/>
      <c r="Y60" s="2672"/>
      <c r="Z60" s="2672"/>
      <c r="AA60" s="2672"/>
      <c r="AB60" s="1018"/>
      <c r="AC60" s="607"/>
      <c r="AD60" s="76" t="b">
        <v>0</v>
      </c>
      <c r="AE60" s="568" t="s">
        <v>64</v>
      </c>
      <c r="AF60" s="1131"/>
      <c r="AG60" s="1132"/>
      <c r="AH60" s="1132"/>
      <c r="AI60" s="76" t="b">
        <v>0</v>
      </c>
      <c r="AJ60" s="568" t="s">
        <v>0</v>
      </c>
      <c r="AK60" s="568"/>
      <c r="AL60" s="1023"/>
      <c r="AM60" s="1023"/>
      <c r="AV60" s="588"/>
      <c r="AW60" s="588"/>
      <c r="AX60" s="588"/>
      <c r="AY60" s="588"/>
    </row>
    <row r="61" spans="2:51" ht="16" customHeight="1" thickBot="1">
      <c r="B61" s="614"/>
      <c r="D61" s="1123"/>
      <c r="E61" s="866"/>
      <c r="F61" s="1124" t="str">
        <f>IF(AND(handling_school_canteen_managed_others=TRUE,ISBLANK(handling_school_canteen_managed_others_value)),"Please specify.",IF(AND(handling_school_canteen_managed_others=FALSE,(handling_school_canteen_managed_others_value&gt;0)),"Please check Others if you have entries.",""))</f>
        <v/>
      </c>
      <c r="G61" s="613"/>
      <c r="H61" s="706"/>
      <c r="I61" s="613"/>
      <c r="J61" s="613"/>
      <c r="K61" s="613"/>
      <c r="L61" s="1069"/>
      <c r="M61" s="613"/>
      <c r="N61" s="836"/>
      <c r="O61" s="1125"/>
      <c r="P61" s="1125"/>
      <c r="Q61" s="1125"/>
      <c r="R61" s="1125"/>
      <c r="S61" s="1125"/>
      <c r="T61" s="1069"/>
      <c r="U61" s="1126"/>
      <c r="V61" s="836"/>
      <c r="W61" s="1125"/>
      <c r="X61" s="1125"/>
      <c r="Y61" s="1125"/>
      <c r="Z61" s="1125"/>
      <c r="AA61" s="1125"/>
      <c r="AB61" s="1069"/>
      <c r="AC61" s="1126"/>
      <c r="AD61" s="613"/>
      <c r="AE61" s="866"/>
      <c r="AF61" s="563"/>
      <c r="AG61" s="1127"/>
      <c r="AH61" s="1128"/>
      <c r="AI61" s="1128"/>
      <c r="AJ61" s="866"/>
      <c r="AK61" s="563"/>
      <c r="AL61" s="1129"/>
      <c r="AM61" s="1023"/>
      <c r="AV61" s="588"/>
      <c r="AW61" s="588"/>
      <c r="AX61" s="588"/>
      <c r="AY61" s="588"/>
    </row>
    <row r="62" spans="2:51" ht="9.75" customHeight="1" thickBot="1">
      <c r="B62" s="612"/>
      <c r="C62" s="613"/>
      <c r="D62" s="613"/>
      <c r="E62" s="613"/>
      <c r="F62" s="613"/>
      <c r="G62" s="613"/>
      <c r="H62" s="613"/>
      <c r="I62" s="613"/>
      <c r="J62" s="613"/>
      <c r="K62" s="613"/>
      <c r="L62" s="613"/>
      <c r="M62" s="613"/>
      <c r="N62" s="613"/>
      <c r="O62" s="613"/>
      <c r="P62" s="613"/>
      <c r="Q62" s="613"/>
      <c r="R62" s="613"/>
      <c r="S62" s="613"/>
      <c r="T62" s="613"/>
      <c r="U62" s="613"/>
      <c r="V62" s="613"/>
      <c r="W62" s="613"/>
      <c r="X62" s="562"/>
      <c r="Y62" s="1130"/>
      <c r="Z62" s="1130"/>
      <c r="AA62" s="1130"/>
      <c r="AB62" s="613"/>
      <c r="AC62" s="613"/>
      <c r="AD62" s="613"/>
      <c r="AE62" s="613"/>
      <c r="AF62" s="613"/>
      <c r="AG62" s="613"/>
      <c r="AH62" s="613"/>
      <c r="AI62" s="613"/>
      <c r="AJ62" s="613"/>
      <c r="AK62" s="613"/>
      <c r="AL62" s="613"/>
      <c r="AM62" s="1069"/>
    </row>
    <row r="63" spans="2:51" ht="22.75" customHeight="1">
      <c r="B63" s="1114" t="s">
        <v>1520</v>
      </c>
      <c r="C63" s="1114"/>
      <c r="D63" s="1114"/>
      <c r="E63" s="1114"/>
      <c r="F63" s="1114"/>
      <c r="G63" s="1114"/>
      <c r="H63" s="1114"/>
      <c r="I63" s="1114"/>
      <c r="J63" s="1114"/>
      <c r="K63" s="1114"/>
      <c r="L63" s="1114"/>
      <c r="M63" s="1114"/>
      <c r="N63" s="1114"/>
      <c r="O63" s="1114"/>
      <c r="P63" s="1114"/>
      <c r="Q63" s="1114"/>
      <c r="R63" s="1114"/>
      <c r="S63" s="1114"/>
      <c r="T63" s="1114"/>
      <c r="U63" s="1114"/>
      <c r="V63" s="1114"/>
      <c r="W63" s="1114"/>
      <c r="X63" s="1114"/>
      <c r="Y63" s="1114"/>
      <c r="Z63" s="1114"/>
      <c r="AA63" s="1114"/>
      <c r="AB63" s="1114"/>
      <c r="AC63" s="1114"/>
      <c r="AD63" s="1114"/>
      <c r="AE63" s="1114"/>
      <c r="AF63" s="1114"/>
      <c r="AG63" s="1114"/>
      <c r="AH63" s="1114"/>
      <c r="AI63" s="1114"/>
      <c r="AJ63" s="1114"/>
      <c r="AK63" s="1114"/>
      <c r="AL63" s="1114"/>
      <c r="AM63" s="1114"/>
      <c r="AN63" s="1114"/>
      <c r="AO63" s="1114"/>
    </row>
    <row r="64" spans="2:51" ht="16.5" customHeight="1">
      <c r="B64" s="1114"/>
      <c r="C64" s="1114"/>
      <c r="D64" s="1114"/>
      <c r="E64" s="1114"/>
      <c r="F64" s="1114"/>
      <c r="G64" s="1114"/>
      <c r="H64" s="1114"/>
      <c r="I64" s="1114"/>
      <c r="J64" s="1114"/>
      <c r="K64" s="1114"/>
      <c r="L64" s="1114"/>
      <c r="M64" s="1114"/>
      <c r="N64" s="1114"/>
      <c r="O64" s="1114"/>
      <c r="P64" s="1114"/>
      <c r="Q64" s="1114"/>
      <c r="R64" s="1114"/>
      <c r="S64" s="1114"/>
      <c r="T64" s="1114"/>
      <c r="U64" s="1114"/>
      <c r="V64" s="1114"/>
      <c r="W64" s="1114"/>
      <c r="X64" s="1114"/>
      <c r="Y64" s="1114"/>
      <c r="Z64" s="1114"/>
      <c r="AA64" s="1114"/>
      <c r="AB64" s="1114"/>
      <c r="AC64" s="1114"/>
      <c r="AD64" s="1114"/>
      <c r="AE64" s="1114"/>
      <c r="AF64" s="1114"/>
      <c r="AG64" s="1114"/>
      <c r="AH64" s="1114"/>
      <c r="AI64" s="1114"/>
      <c r="AJ64" s="1114"/>
      <c r="AK64" s="1114"/>
      <c r="AL64" s="1114"/>
      <c r="AM64" s="1114"/>
      <c r="AN64" s="1114"/>
      <c r="AO64" s="1114"/>
    </row>
    <row r="65" spans="2:43" s="128" customFormat="1" ht="25" customHeight="1">
      <c r="B65" s="187"/>
      <c r="D65" s="187"/>
      <c r="F65" s="187"/>
      <c r="H65" s="187"/>
      <c r="J65" s="187"/>
      <c r="L65" s="187"/>
      <c r="N65" s="187"/>
      <c r="P65" s="187"/>
      <c r="R65" s="187"/>
      <c r="T65" s="187"/>
      <c r="V65" s="187"/>
      <c r="X65" s="187"/>
      <c r="Z65" s="187"/>
      <c r="AB65" s="187"/>
      <c r="AD65" s="187"/>
      <c r="AF65" s="187"/>
      <c r="AH65" s="187"/>
      <c r="AJ65" s="187"/>
      <c r="AL65" s="187"/>
    </row>
    <row r="66" spans="2:43" s="168" customFormat="1" ht="14">
      <c r="B66" s="169" t="s">
        <v>17</v>
      </c>
      <c r="X66" s="169" t="s">
        <v>765</v>
      </c>
    </row>
    <row r="67" spans="2:43" s="168" customFormat="1" ht="21.75" customHeight="1">
      <c r="B67" s="169" t="s">
        <v>748</v>
      </c>
      <c r="F67" s="1959" t="str">
        <f>activesheet!E29</f>
        <v>RICO S. MISPEROS</v>
      </c>
      <c r="G67" s="1959"/>
      <c r="H67" s="1959"/>
      <c r="I67" s="1959"/>
      <c r="J67" s="1959"/>
      <c r="K67" s="1959"/>
      <c r="L67" s="1959"/>
      <c r="M67" s="1959"/>
      <c r="N67" s="1959"/>
      <c r="O67" s="1959"/>
      <c r="P67" s="1959"/>
      <c r="Q67" s="1959"/>
      <c r="R67" s="172"/>
      <c r="S67" s="172"/>
      <c r="T67" s="172"/>
      <c r="U67" s="172"/>
      <c r="V67" s="172"/>
      <c r="X67" s="1959" t="str">
        <f>activesheet!E2079</f>
        <v>RAQUEL N. ACOMPAŇADO</v>
      </c>
      <c r="Y67" s="1959"/>
      <c r="Z67" s="1959"/>
      <c r="AA67" s="1959"/>
      <c r="AB67" s="1959"/>
      <c r="AC67" s="1959"/>
      <c r="AD67" s="1959"/>
      <c r="AE67" s="1959"/>
      <c r="AF67" s="1959"/>
      <c r="AG67" s="1959"/>
      <c r="AH67" s="1959"/>
      <c r="AI67" s="1959"/>
      <c r="AJ67" s="1959"/>
      <c r="AK67" s="1959"/>
      <c r="AL67" s="1959"/>
      <c r="AM67" s="1959"/>
    </row>
    <row r="68" spans="2:43" s="156" customFormat="1" ht="13.5">
      <c r="B68" s="655"/>
      <c r="F68" s="1764" t="s">
        <v>741</v>
      </c>
      <c r="G68" s="1764"/>
      <c r="H68" s="1764"/>
      <c r="I68" s="1764"/>
      <c r="J68" s="1764"/>
      <c r="K68" s="1764"/>
      <c r="L68" s="1764"/>
      <c r="M68" s="1764"/>
      <c r="N68" s="1764"/>
      <c r="O68" s="1764"/>
      <c r="P68" s="1764"/>
      <c r="Q68" s="1764"/>
      <c r="R68" s="184"/>
      <c r="S68" s="184"/>
      <c r="T68" s="184"/>
      <c r="U68" s="184"/>
      <c r="V68" s="184"/>
      <c r="W68" s="152"/>
      <c r="X68" s="1764" t="s">
        <v>741</v>
      </c>
      <c r="Y68" s="1764"/>
      <c r="Z68" s="1764"/>
      <c r="AA68" s="1764"/>
      <c r="AB68" s="1764"/>
      <c r="AC68" s="1764"/>
      <c r="AD68" s="1764"/>
      <c r="AE68" s="1764"/>
      <c r="AF68" s="1764"/>
      <c r="AG68" s="1764"/>
      <c r="AH68" s="1764"/>
      <c r="AI68" s="1764"/>
      <c r="AJ68" s="1764"/>
      <c r="AK68" s="1764"/>
      <c r="AL68" s="1764"/>
      <c r="AM68" s="1764"/>
    </row>
    <row r="69" spans="2:43" s="168" customFormat="1" ht="21.75" customHeight="1">
      <c r="B69" s="169" t="s">
        <v>71</v>
      </c>
      <c r="F69" s="1959" t="str">
        <f>activesheet!E30</f>
        <v>SCHOOL PRINCIPAL II</v>
      </c>
      <c r="G69" s="1959"/>
      <c r="H69" s="1959"/>
      <c r="I69" s="1959"/>
      <c r="J69" s="1959"/>
      <c r="K69" s="1959"/>
      <c r="L69" s="1959"/>
      <c r="M69" s="1959"/>
      <c r="N69" s="1959"/>
      <c r="O69" s="1959"/>
      <c r="P69" s="1959"/>
      <c r="Q69" s="1959"/>
      <c r="R69" s="172"/>
      <c r="S69" s="172"/>
      <c r="T69" s="172"/>
      <c r="U69" s="172"/>
      <c r="V69" s="172"/>
      <c r="X69" s="169" t="s">
        <v>71</v>
      </c>
      <c r="AB69" s="1959" t="str">
        <f>activesheet!E2080</f>
        <v>Nurse II</v>
      </c>
      <c r="AC69" s="1959"/>
      <c r="AD69" s="1959"/>
      <c r="AE69" s="1959"/>
      <c r="AF69" s="1959"/>
      <c r="AG69" s="1959"/>
      <c r="AH69" s="1959"/>
      <c r="AI69" s="1959"/>
      <c r="AJ69" s="1959"/>
      <c r="AK69" s="1959"/>
      <c r="AL69" s="1959"/>
      <c r="AM69" s="1959"/>
    </row>
    <row r="70" spans="2:43" s="661" customFormat="1" ht="25" customHeight="1">
      <c r="B70" s="501"/>
      <c r="D70" s="501"/>
      <c r="F70" s="501"/>
      <c r="H70" s="501"/>
      <c r="J70" s="501"/>
      <c r="L70" s="128"/>
      <c r="M70" s="187"/>
      <c r="N70" s="128"/>
      <c r="O70" s="187"/>
      <c r="P70" s="128"/>
      <c r="Q70" s="187"/>
      <c r="R70" s="187"/>
      <c r="S70" s="187"/>
      <c r="T70" s="187"/>
      <c r="U70" s="187"/>
      <c r="V70" s="128"/>
      <c r="W70" s="128"/>
      <c r="X70" s="187"/>
      <c r="Y70" s="128"/>
      <c r="Z70" s="187"/>
      <c r="AA70" s="128"/>
      <c r="AB70" s="187"/>
      <c r="AC70" s="128"/>
      <c r="AD70" s="187"/>
      <c r="AE70" s="128"/>
      <c r="AF70" s="187"/>
      <c r="AG70" s="128"/>
      <c r="AH70" s="187"/>
      <c r="AI70" s="128"/>
      <c r="AJ70" s="187"/>
      <c r="AK70" s="128"/>
      <c r="AL70" s="187"/>
      <c r="AM70" s="128"/>
      <c r="AN70" s="187"/>
      <c r="AO70" s="128"/>
      <c r="AP70" s="187"/>
      <c r="AQ70" s="128"/>
    </row>
    <row r="71" spans="2:43" s="168" customFormat="1" ht="14">
      <c r="M71" s="169" t="s">
        <v>783</v>
      </c>
    </row>
    <row r="72" spans="2:43" s="168" customFormat="1" ht="21.75" customHeight="1">
      <c r="M72" s="1956" t="str">
        <f>activesheet!E31</f>
        <v>MICHAEL T. JAMIS</v>
      </c>
      <c r="N72" s="1956"/>
      <c r="O72" s="1956"/>
      <c r="P72" s="1956"/>
      <c r="Q72" s="1956"/>
      <c r="R72" s="1956"/>
      <c r="S72" s="1956"/>
      <c r="T72" s="1956"/>
      <c r="U72" s="1956"/>
      <c r="V72" s="1956"/>
      <c r="W72" s="1956"/>
      <c r="X72" s="1956"/>
      <c r="Y72" s="1956"/>
      <c r="Z72" s="1956"/>
      <c r="AA72" s="1956"/>
      <c r="AB72" s="1956"/>
    </row>
    <row r="73" spans="2:43" s="156" customFormat="1" ht="15" customHeight="1">
      <c r="M73" s="1957"/>
      <c r="N73" s="1957"/>
      <c r="O73" s="1957"/>
      <c r="P73" s="1957"/>
      <c r="Q73" s="1957"/>
      <c r="R73" s="1957"/>
      <c r="S73" s="1957"/>
      <c r="T73" s="1957"/>
      <c r="U73" s="1957"/>
      <c r="V73" s="1957"/>
      <c r="W73" s="1957"/>
      <c r="X73" s="1957"/>
      <c r="Y73" s="1957"/>
      <c r="Z73" s="1957"/>
      <c r="AA73" s="1957"/>
      <c r="AB73" s="1957"/>
    </row>
    <row r="74" spans="2:43">
      <c r="M74" s="1764" t="s">
        <v>741</v>
      </c>
      <c r="N74" s="1764"/>
      <c r="O74" s="1764"/>
      <c r="P74" s="1764"/>
      <c r="Q74" s="1764"/>
      <c r="R74" s="1764"/>
      <c r="S74" s="1764"/>
      <c r="T74" s="1764"/>
      <c r="U74" s="1764"/>
      <c r="V74" s="1764"/>
      <c r="W74" s="1764"/>
      <c r="X74" s="1764"/>
      <c r="Y74" s="1764"/>
      <c r="Z74" s="1764"/>
      <c r="AA74" s="1764"/>
      <c r="AB74" s="1764"/>
    </row>
    <row r="75" spans="2:43">
      <c r="M75" s="187"/>
      <c r="N75" s="128"/>
      <c r="O75" s="187"/>
      <c r="P75" s="128"/>
      <c r="Q75" s="187"/>
      <c r="R75" s="128"/>
      <c r="S75" s="187"/>
      <c r="T75" s="128"/>
      <c r="U75" s="187"/>
      <c r="V75" s="128"/>
      <c r="W75" s="187"/>
      <c r="X75" s="128"/>
      <c r="Y75" s="187"/>
      <c r="Z75" s="128"/>
      <c r="AA75" s="187"/>
      <c r="AB75" s="128"/>
    </row>
  </sheetData>
  <sheetProtection algorithmName="SHA-512" hashValue="xfvFd7LwVKtVjXcrK+bFs+oImCELTG/ocKhaRhm9yPzVwyLHV/U8Wh1dbEmNu4GO3sBPYgPHRi0i9ah+b/7Fow==" saltValue="ELEOIlJ5QsjbPYvG/FJ0HA==" spinCount="100000" sheet="1" objects="1" scenarios="1" selectLockedCells="1"/>
  <mergeCells count="25">
    <mergeCell ref="Z8:AF8"/>
    <mergeCell ref="AD10:AJ10"/>
    <mergeCell ref="AD19:AJ19"/>
    <mergeCell ref="Z31:AF31"/>
    <mergeCell ref="K38:Q38"/>
    <mergeCell ref="Z45:AF45"/>
    <mergeCell ref="D54:L54"/>
    <mergeCell ref="M54:T54"/>
    <mergeCell ref="U54:AB54"/>
    <mergeCell ref="AC54:AL54"/>
    <mergeCell ref="N55:S55"/>
    <mergeCell ref="V55:AA55"/>
    <mergeCell ref="N57:S57"/>
    <mergeCell ref="V57:AA57"/>
    <mergeCell ref="F60:K60"/>
    <mergeCell ref="N60:S60"/>
    <mergeCell ref="V60:AA60"/>
    <mergeCell ref="M72:AB73"/>
    <mergeCell ref="M74:AB74"/>
    <mergeCell ref="F67:Q67"/>
    <mergeCell ref="X67:AM67"/>
    <mergeCell ref="F68:Q68"/>
    <mergeCell ref="X68:AM68"/>
    <mergeCell ref="F69:Q69"/>
    <mergeCell ref="AB69:AM69"/>
  </mergeCells>
  <conditionalFormatting sqref="D19">
    <cfRule type="expression" dxfId="10" priority="5">
      <formula>AND(AD18=TRUE, AD19=0)</formula>
    </cfRule>
  </conditionalFormatting>
  <conditionalFormatting sqref="E19">
    <cfRule type="expression" dxfId="9" priority="4">
      <formula>AND(AD18=TRUE, AD19=0)</formula>
    </cfRule>
  </conditionalFormatting>
  <conditionalFormatting sqref="D26">
    <cfRule type="expression" dxfId="8" priority="3">
      <formula>AND(P25=TRUE, AND(F27=FALSE, F28=FALSE, F30=FALSE,F31=FALSE, U27=FALSE, U28=FALSE, U30=FALSE, U31=FALSE))</formula>
    </cfRule>
  </conditionalFormatting>
  <conditionalFormatting sqref="D41">
    <cfRule type="expression" dxfId="7" priority="2">
      <formula>AND(U40=TRUE, AND(F42=FALSE, F43=FALSE, F45=FALSE,F46=FALSE, U42=FALSE, U43=FALSE, U45=FALSE))</formula>
    </cfRule>
  </conditionalFormatting>
  <conditionalFormatting sqref="C53">
    <cfRule type="expression" dxfId="6" priority="1">
      <formula>AND(M52=TRUE, AND(E55=FALSE, E57=FALSE, E59=FALSE))</formula>
    </cfRule>
  </conditionalFormatting>
  <dataValidations count="2">
    <dataValidation type="whole" allowBlank="1" showInputMessage="1" showErrorMessage="1" errorTitle="GESP SY 2022-2023" error="Please enter valid number between 0 - 999." sqref="AD10:AJ10" xr:uid="{00000000-0002-0000-2600-000000000000}">
      <formula1>0</formula1>
      <formula2>999</formula2>
    </dataValidation>
    <dataValidation type="date" allowBlank="1" showInputMessage="1" showErrorMessage="1" errorTitle="GESP SY 2022-2023" error="Please enter date between January 1, 2022_x000a_ and December 31, 2022 in M/D/YYYY or D/M/YYYY format (depend on your computer’s date)." sqref="V55:AA55 V57:AA57 V60:AA60" xr:uid="{00000000-0002-0000-2600-000001000000}">
      <formula1>44562</formula1>
      <formula2>44926</formula2>
    </dataValidation>
  </dataValidations>
  <printOptions horizontalCentered="1" verticalCentered="1"/>
  <pageMargins left="0.25" right="0.25" top="0.2" bottom="0.2" header="0" footer="0.1"/>
  <pageSetup paperSize="9" scale="46" orientation="portrait" horizontalDpi="360" verticalDpi="360" r:id="rId1"/>
  <headerFooter alignWithMargins="0">
    <oddFooter>&amp;L&amp;10&amp;F &amp;A&amp;R&amp;11Page 35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1553" r:id="rId4" name="Check Box 1">
              <controlPr locked="0" defaultSize="0" autoFill="0" autoLine="0" autoPict="0">
                <anchor moveWithCells="1">
                  <from>
                    <xdr:col>29</xdr:col>
                    <xdr:colOff>50800</xdr:colOff>
                    <xdr:row>4</xdr:row>
                    <xdr:rowOff>31750</xdr:rowOff>
                  </from>
                  <to>
                    <xdr:col>31</xdr:col>
                    <xdr:colOff>266700</xdr:colOff>
                    <xdr:row>4</xdr:row>
                    <xdr:rowOff>241300</xdr:rowOff>
                  </to>
                </anchor>
              </controlPr>
            </control>
          </mc:Choice>
        </mc:AlternateContent>
        <mc:AlternateContent xmlns:mc="http://schemas.openxmlformats.org/markup-compatibility/2006">
          <mc:Choice Requires="x14">
            <control shapeId="151554" r:id="rId5" name="Check Box 2">
              <controlPr locked="0" defaultSize="0" autoFill="0" autoLine="0" autoPict="0">
                <anchor moveWithCells="1">
                  <from>
                    <xdr:col>34</xdr:col>
                    <xdr:colOff>50800</xdr:colOff>
                    <xdr:row>4</xdr:row>
                    <xdr:rowOff>31750</xdr:rowOff>
                  </from>
                  <to>
                    <xdr:col>36</xdr:col>
                    <xdr:colOff>266700</xdr:colOff>
                    <xdr:row>4</xdr:row>
                    <xdr:rowOff>241300</xdr:rowOff>
                  </to>
                </anchor>
              </controlPr>
            </control>
          </mc:Choice>
        </mc:AlternateContent>
        <mc:AlternateContent xmlns:mc="http://schemas.openxmlformats.org/markup-compatibility/2006">
          <mc:Choice Requires="x14">
            <control shapeId="151555" r:id="rId6" name="Check Box 3">
              <controlPr locked="0" defaultSize="0" autoFill="0" autoLine="0" autoPict="0">
                <anchor moveWithCells="1">
                  <from>
                    <xdr:col>29</xdr:col>
                    <xdr:colOff>50800</xdr:colOff>
                    <xdr:row>8</xdr:row>
                    <xdr:rowOff>31750</xdr:rowOff>
                  </from>
                  <to>
                    <xdr:col>31</xdr:col>
                    <xdr:colOff>266700</xdr:colOff>
                    <xdr:row>8</xdr:row>
                    <xdr:rowOff>241300</xdr:rowOff>
                  </to>
                </anchor>
              </controlPr>
            </control>
          </mc:Choice>
        </mc:AlternateContent>
        <mc:AlternateContent xmlns:mc="http://schemas.openxmlformats.org/markup-compatibility/2006">
          <mc:Choice Requires="x14">
            <control shapeId="151556" r:id="rId7" name="Check Box 4">
              <controlPr locked="0" defaultSize="0" autoFill="0" autoLine="0" autoPict="0">
                <anchor moveWithCells="1">
                  <from>
                    <xdr:col>34</xdr:col>
                    <xdr:colOff>50800</xdr:colOff>
                    <xdr:row>8</xdr:row>
                    <xdr:rowOff>31750</xdr:rowOff>
                  </from>
                  <to>
                    <xdr:col>36</xdr:col>
                    <xdr:colOff>266700</xdr:colOff>
                    <xdr:row>8</xdr:row>
                    <xdr:rowOff>241300</xdr:rowOff>
                  </to>
                </anchor>
              </controlPr>
            </control>
          </mc:Choice>
        </mc:AlternateContent>
        <mc:AlternateContent xmlns:mc="http://schemas.openxmlformats.org/markup-compatibility/2006">
          <mc:Choice Requires="x14">
            <control shapeId="151557" r:id="rId8" name="Check Box 5">
              <controlPr locked="0" defaultSize="0" autoFill="0" autoLine="0" autoPict="0">
                <anchor moveWithCells="1">
                  <from>
                    <xdr:col>29</xdr:col>
                    <xdr:colOff>50800</xdr:colOff>
                    <xdr:row>15</xdr:row>
                    <xdr:rowOff>31750</xdr:rowOff>
                  </from>
                  <to>
                    <xdr:col>31</xdr:col>
                    <xdr:colOff>266700</xdr:colOff>
                    <xdr:row>15</xdr:row>
                    <xdr:rowOff>241300</xdr:rowOff>
                  </to>
                </anchor>
              </controlPr>
            </control>
          </mc:Choice>
        </mc:AlternateContent>
        <mc:AlternateContent xmlns:mc="http://schemas.openxmlformats.org/markup-compatibility/2006">
          <mc:Choice Requires="x14">
            <control shapeId="151558" r:id="rId9" name="Check Box 6">
              <controlPr locked="0" defaultSize="0" autoFill="0" autoLine="0" autoPict="0">
                <anchor moveWithCells="1">
                  <from>
                    <xdr:col>29</xdr:col>
                    <xdr:colOff>50800</xdr:colOff>
                    <xdr:row>16</xdr:row>
                    <xdr:rowOff>31750</xdr:rowOff>
                  </from>
                  <to>
                    <xdr:col>31</xdr:col>
                    <xdr:colOff>266700</xdr:colOff>
                    <xdr:row>16</xdr:row>
                    <xdr:rowOff>241300</xdr:rowOff>
                  </to>
                </anchor>
              </controlPr>
            </control>
          </mc:Choice>
        </mc:AlternateContent>
        <mc:AlternateContent xmlns:mc="http://schemas.openxmlformats.org/markup-compatibility/2006">
          <mc:Choice Requires="x14">
            <control shapeId="151559" r:id="rId10" name="Check Box 7">
              <controlPr locked="0" defaultSize="0" autoFill="0" autoLine="0" autoPict="0">
                <anchor moveWithCells="1">
                  <from>
                    <xdr:col>29</xdr:col>
                    <xdr:colOff>50800</xdr:colOff>
                    <xdr:row>17</xdr:row>
                    <xdr:rowOff>31750</xdr:rowOff>
                  </from>
                  <to>
                    <xdr:col>31</xdr:col>
                    <xdr:colOff>266700</xdr:colOff>
                    <xdr:row>17</xdr:row>
                    <xdr:rowOff>241300</xdr:rowOff>
                  </to>
                </anchor>
              </controlPr>
            </control>
          </mc:Choice>
        </mc:AlternateContent>
        <mc:AlternateContent xmlns:mc="http://schemas.openxmlformats.org/markup-compatibility/2006">
          <mc:Choice Requires="x14">
            <control shapeId="151560" r:id="rId11" name="Check Box 8">
              <controlPr locked="0" defaultSize="0" autoFill="0" autoLine="0" autoPict="0">
                <anchor moveWithCells="1">
                  <from>
                    <xdr:col>34</xdr:col>
                    <xdr:colOff>50800</xdr:colOff>
                    <xdr:row>15</xdr:row>
                    <xdr:rowOff>31750</xdr:rowOff>
                  </from>
                  <to>
                    <xdr:col>36</xdr:col>
                    <xdr:colOff>266700</xdr:colOff>
                    <xdr:row>15</xdr:row>
                    <xdr:rowOff>241300</xdr:rowOff>
                  </to>
                </anchor>
              </controlPr>
            </control>
          </mc:Choice>
        </mc:AlternateContent>
        <mc:AlternateContent xmlns:mc="http://schemas.openxmlformats.org/markup-compatibility/2006">
          <mc:Choice Requires="x14">
            <control shapeId="151561" r:id="rId12" name="Check Box 9">
              <controlPr locked="0" defaultSize="0" autoFill="0" autoLine="0" autoPict="0">
                <anchor moveWithCells="1">
                  <from>
                    <xdr:col>34</xdr:col>
                    <xdr:colOff>50800</xdr:colOff>
                    <xdr:row>16</xdr:row>
                    <xdr:rowOff>31750</xdr:rowOff>
                  </from>
                  <to>
                    <xdr:col>36</xdr:col>
                    <xdr:colOff>266700</xdr:colOff>
                    <xdr:row>16</xdr:row>
                    <xdr:rowOff>241300</xdr:rowOff>
                  </to>
                </anchor>
              </controlPr>
            </control>
          </mc:Choice>
        </mc:AlternateContent>
        <mc:AlternateContent xmlns:mc="http://schemas.openxmlformats.org/markup-compatibility/2006">
          <mc:Choice Requires="x14">
            <control shapeId="151562" r:id="rId13" name="Check Box 10">
              <controlPr locked="0" defaultSize="0" autoFill="0" autoLine="0" autoPict="0">
                <anchor moveWithCells="1">
                  <from>
                    <xdr:col>34</xdr:col>
                    <xdr:colOff>50800</xdr:colOff>
                    <xdr:row>17</xdr:row>
                    <xdr:rowOff>31750</xdr:rowOff>
                  </from>
                  <to>
                    <xdr:col>36</xdr:col>
                    <xdr:colOff>266700</xdr:colOff>
                    <xdr:row>17</xdr:row>
                    <xdr:rowOff>241300</xdr:rowOff>
                  </to>
                </anchor>
              </controlPr>
            </control>
          </mc:Choice>
        </mc:AlternateContent>
        <mc:AlternateContent xmlns:mc="http://schemas.openxmlformats.org/markup-compatibility/2006">
          <mc:Choice Requires="x14">
            <control shapeId="151563" r:id="rId14" name="Check Box 11">
              <controlPr locked="0" defaultSize="0" autoFill="0" autoLine="0" autoPict="0">
                <anchor moveWithCells="1">
                  <from>
                    <xdr:col>15</xdr:col>
                    <xdr:colOff>50800</xdr:colOff>
                    <xdr:row>24</xdr:row>
                    <xdr:rowOff>31750</xdr:rowOff>
                  </from>
                  <to>
                    <xdr:col>17</xdr:col>
                    <xdr:colOff>266700</xdr:colOff>
                    <xdr:row>24</xdr:row>
                    <xdr:rowOff>241300</xdr:rowOff>
                  </to>
                </anchor>
              </controlPr>
            </control>
          </mc:Choice>
        </mc:AlternateContent>
        <mc:AlternateContent xmlns:mc="http://schemas.openxmlformats.org/markup-compatibility/2006">
          <mc:Choice Requires="x14">
            <control shapeId="151564" r:id="rId15" name="Check Box 12">
              <controlPr locked="0" defaultSize="0" autoFill="0" autoLine="0" autoPict="0">
                <anchor moveWithCells="1">
                  <from>
                    <xdr:col>20</xdr:col>
                    <xdr:colOff>50800</xdr:colOff>
                    <xdr:row>24</xdr:row>
                    <xdr:rowOff>31750</xdr:rowOff>
                  </from>
                  <to>
                    <xdr:col>22</xdr:col>
                    <xdr:colOff>266700</xdr:colOff>
                    <xdr:row>24</xdr:row>
                    <xdr:rowOff>241300</xdr:rowOff>
                  </to>
                </anchor>
              </controlPr>
            </control>
          </mc:Choice>
        </mc:AlternateContent>
        <mc:AlternateContent xmlns:mc="http://schemas.openxmlformats.org/markup-compatibility/2006">
          <mc:Choice Requires="x14">
            <control shapeId="151565" r:id="rId16" name="Check Box 13">
              <controlPr locked="0" defaultSize="0" autoFill="0" autoLine="0" autoPict="0">
                <anchor moveWithCells="1">
                  <from>
                    <xdr:col>5</xdr:col>
                    <xdr:colOff>50800</xdr:colOff>
                    <xdr:row>26</xdr:row>
                    <xdr:rowOff>31750</xdr:rowOff>
                  </from>
                  <to>
                    <xdr:col>7</xdr:col>
                    <xdr:colOff>266700</xdr:colOff>
                    <xdr:row>26</xdr:row>
                    <xdr:rowOff>241300</xdr:rowOff>
                  </to>
                </anchor>
              </controlPr>
            </control>
          </mc:Choice>
        </mc:AlternateContent>
        <mc:AlternateContent xmlns:mc="http://schemas.openxmlformats.org/markup-compatibility/2006">
          <mc:Choice Requires="x14">
            <control shapeId="151566" r:id="rId17" name="Check Box 14">
              <controlPr locked="0" defaultSize="0" autoFill="0" autoLine="0" autoPict="0">
                <anchor moveWithCells="1">
                  <from>
                    <xdr:col>5</xdr:col>
                    <xdr:colOff>50800</xdr:colOff>
                    <xdr:row>27</xdr:row>
                    <xdr:rowOff>31750</xdr:rowOff>
                  </from>
                  <to>
                    <xdr:col>7</xdr:col>
                    <xdr:colOff>266700</xdr:colOff>
                    <xdr:row>27</xdr:row>
                    <xdr:rowOff>241300</xdr:rowOff>
                  </to>
                </anchor>
              </controlPr>
            </control>
          </mc:Choice>
        </mc:AlternateContent>
        <mc:AlternateContent xmlns:mc="http://schemas.openxmlformats.org/markup-compatibility/2006">
          <mc:Choice Requires="x14">
            <control shapeId="151567" r:id="rId18" name="Check Box 15">
              <controlPr locked="0" defaultSize="0" autoFill="0" autoLine="0" autoPict="0">
                <anchor moveWithCells="1">
                  <from>
                    <xdr:col>5</xdr:col>
                    <xdr:colOff>50800</xdr:colOff>
                    <xdr:row>29</xdr:row>
                    <xdr:rowOff>31750</xdr:rowOff>
                  </from>
                  <to>
                    <xdr:col>7</xdr:col>
                    <xdr:colOff>266700</xdr:colOff>
                    <xdr:row>29</xdr:row>
                    <xdr:rowOff>241300</xdr:rowOff>
                  </to>
                </anchor>
              </controlPr>
            </control>
          </mc:Choice>
        </mc:AlternateContent>
        <mc:AlternateContent xmlns:mc="http://schemas.openxmlformats.org/markup-compatibility/2006">
          <mc:Choice Requires="x14">
            <control shapeId="151568" r:id="rId19" name="Check Box 16">
              <controlPr locked="0" defaultSize="0" autoFill="0" autoLine="0" autoPict="0">
                <anchor moveWithCells="1">
                  <from>
                    <xdr:col>5</xdr:col>
                    <xdr:colOff>50800</xdr:colOff>
                    <xdr:row>30</xdr:row>
                    <xdr:rowOff>31750</xdr:rowOff>
                  </from>
                  <to>
                    <xdr:col>7</xdr:col>
                    <xdr:colOff>266700</xdr:colOff>
                    <xdr:row>30</xdr:row>
                    <xdr:rowOff>241300</xdr:rowOff>
                  </to>
                </anchor>
              </controlPr>
            </control>
          </mc:Choice>
        </mc:AlternateContent>
        <mc:AlternateContent xmlns:mc="http://schemas.openxmlformats.org/markup-compatibility/2006">
          <mc:Choice Requires="x14">
            <control shapeId="151569" r:id="rId20" name="Check Box 17">
              <controlPr locked="0" defaultSize="0" autoFill="0" autoLine="0" autoPict="0">
                <anchor moveWithCells="1">
                  <from>
                    <xdr:col>20</xdr:col>
                    <xdr:colOff>50800</xdr:colOff>
                    <xdr:row>26</xdr:row>
                    <xdr:rowOff>31750</xdr:rowOff>
                  </from>
                  <to>
                    <xdr:col>22</xdr:col>
                    <xdr:colOff>266700</xdr:colOff>
                    <xdr:row>26</xdr:row>
                    <xdr:rowOff>241300</xdr:rowOff>
                  </to>
                </anchor>
              </controlPr>
            </control>
          </mc:Choice>
        </mc:AlternateContent>
        <mc:AlternateContent xmlns:mc="http://schemas.openxmlformats.org/markup-compatibility/2006">
          <mc:Choice Requires="x14">
            <control shapeId="151570" r:id="rId21" name="Check Box 18">
              <controlPr locked="0" defaultSize="0" autoFill="0" autoLine="0" autoPict="0">
                <anchor moveWithCells="1">
                  <from>
                    <xdr:col>20</xdr:col>
                    <xdr:colOff>50800</xdr:colOff>
                    <xdr:row>27</xdr:row>
                    <xdr:rowOff>31750</xdr:rowOff>
                  </from>
                  <to>
                    <xdr:col>22</xdr:col>
                    <xdr:colOff>266700</xdr:colOff>
                    <xdr:row>27</xdr:row>
                    <xdr:rowOff>241300</xdr:rowOff>
                  </to>
                </anchor>
              </controlPr>
            </control>
          </mc:Choice>
        </mc:AlternateContent>
        <mc:AlternateContent xmlns:mc="http://schemas.openxmlformats.org/markup-compatibility/2006">
          <mc:Choice Requires="x14">
            <control shapeId="151571" r:id="rId22" name="Check Box 19">
              <controlPr locked="0" defaultSize="0" autoFill="0" autoLine="0" autoPict="0">
                <anchor moveWithCells="1">
                  <from>
                    <xdr:col>20</xdr:col>
                    <xdr:colOff>50800</xdr:colOff>
                    <xdr:row>29</xdr:row>
                    <xdr:rowOff>31750</xdr:rowOff>
                  </from>
                  <to>
                    <xdr:col>22</xdr:col>
                    <xdr:colOff>266700</xdr:colOff>
                    <xdr:row>29</xdr:row>
                    <xdr:rowOff>241300</xdr:rowOff>
                  </to>
                </anchor>
              </controlPr>
            </control>
          </mc:Choice>
        </mc:AlternateContent>
        <mc:AlternateContent xmlns:mc="http://schemas.openxmlformats.org/markup-compatibility/2006">
          <mc:Choice Requires="x14">
            <control shapeId="151572" r:id="rId23" name="Check Box 20">
              <controlPr locked="0" defaultSize="0" autoFill="0" autoLine="0" autoPict="0">
                <anchor moveWithCells="1">
                  <from>
                    <xdr:col>20</xdr:col>
                    <xdr:colOff>50800</xdr:colOff>
                    <xdr:row>30</xdr:row>
                    <xdr:rowOff>31750</xdr:rowOff>
                  </from>
                  <to>
                    <xdr:col>22</xdr:col>
                    <xdr:colOff>266700</xdr:colOff>
                    <xdr:row>30</xdr:row>
                    <xdr:rowOff>241300</xdr:rowOff>
                  </to>
                </anchor>
              </controlPr>
            </control>
          </mc:Choice>
        </mc:AlternateContent>
        <mc:AlternateContent xmlns:mc="http://schemas.openxmlformats.org/markup-compatibility/2006">
          <mc:Choice Requires="x14">
            <control shapeId="151573" r:id="rId24" name="Check Box 21">
              <controlPr locked="0" defaultSize="0" autoFill="0" autoLine="0" autoPict="0">
                <anchor moveWithCells="1">
                  <from>
                    <xdr:col>20</xdr:col>
                    <xdr:colOff>50800</xdr:colOff>
                    <xdr:row>33</xdr:row>
                    <xdr:rowOff>31750</xdr:rowOff>
                  </from>
                  <to>
                    <xdr:col>22</xdr:col>
                    <xdr:colOff>266700</xdr:colOff>
                    <xdr:row>33</xdr:row>
                    <xdr:rowOff>241300</xdr:rowOff>
                  </to>
                </anchor>
              </controlPr>
            </control>
          </mc:Choice>
        </mc:AlternateContent>
        <mc:AlternateContent xmlns:mc="http://schemas.openxmlformats.org/markup-compatibility/2006">
          <mc:Choice Requires="x14">
            <control shapeId="151574" r:id="rId25" name="Check Box 22">
              <controlPr locked="0" defaultSize="0" autoFill="0" autoLine="0" autoPict="0">
                <anchor moveWithCells="1">
                  <from>
                    <xdr:col>5</xdr:col>
                    <xdr:colOff>50800</xdr:colOff>
                    <xdr:row>32</xdr:row>
                    <xdr:rowOff>31750</xdr:rowOff>
                  </from>
                  <to>
                    <xdr:col>7</xdr:col>
                    <xdr:colOff>266700</xdr:colOff>
                    <xdr:row>32</xdr:row>
                    <xdr:rowOff>241300</xdr:rowOff>
                  </to>
                </anchor>
              </controlPr>
            </control>
          </mc:Choice>
        </mc:AlternateContent>
        <mc:AlternateContent xmlns:mc="http://schemas.openxmlformats.org/markup-compatibility/2006">
          <mc:Choice Requires="x14">
            <control shapeId="151575" r:id="rId26" name="Check Box 23">
              <controlPr locked="0" defaultSize="0" autoFill="0" autoLine="0" autoPict="0">
                <anchor moveWithCells="1">
                  <from>
                    <xdr:col>8</xdr:col>
                    <xdr:colOff>50800</xdr:colOff>
                    <xdr:row>33</xdr:row>
                    <xdr:rowOff>31750</xdr:rowOff>
                  </from>
                  <to>
                    <xdr:col>10</xdr:col>
                    <xdr:colOff>266700</xdr:colOff>
                    <xdr:row>33</xdr:row>
                    <xdr:rowOff>241300</xdr:rowOff>
                  </to>
                </anchor>
              </controlPr>
            </control>
          </mc:Choice>
        </mc:AlternateContent>
        <mc:AlternateContent xmlns:mc="http://schemas.openxmlformats.org/markup-compatibility/2006">
          <mc:Choice Requires="x14">
            <control shapeId="151576" r:id="rId27" name="Check Box 24">
              <controlPr locked="0" defaultSize="0" autoFill="0" autoLine="0" autoPict="0">
                <anchor moveWithCells="1">
                  <from>
                    <xdr:col>13</xdr:col>
                    <xdr:colOff>50800</xdr:colOff>
                    <xdr:row>33</xdr:row>
                    <xdr:rowOff>31750</xdr:rowOff>
                  </from>
                  <to>
                    <xdr:col>15</xdr:col>
                    <xdr:colOff>266700</xdr:colOff>
                    <xdr:row>33</xdr:row>
                    <xdr:rowOff>241300</xdr:rowOff>
                  </to>
                </anchor>
              </controlPr>
            </control>
          </mc:Choice>
        </mc:AlternateContent>
        <mc:AlternateContent xmlns:mc="http://schemas.openxmlformats.org/markup-compatibility/2006">
          <mc:Choice Requires="x14">
            <control shapeId="151577" r:id="rId28" name="Check Box 25">
              <controlPr locked="0" defaultSize="0" autoFill="0" autoLine="0" autoPict="0">
                <anchor moveWithCells="1">
                  <from>
                    <xdr:col>26</xdr:col>
                    <xdr:colOff>50800</xdr:colOff>
                    <xdr:row>33</xdr:row>
                    <xdr:rowOff>31750</xdr:rowOff>
                  </from>
                  <to>
                    <xdr:col>28</xdr:col>
                    <xdr:colOff>266700</xdr:colOff>
                    <xdr:row>33</xdr:row>
                    <xdr:rowOff>241300</xdr:rowOff>
                  </to>
                </anchor>
              </controlPr>
            </control>
          </mc:Choice>
        </mc:AlternateContent>
        <mc:AlternateContent xmlns:mc="http://schemas.openxmlformats.org/markup-compatibility/2006">
          <mc:Choice Requires="x14">
            <control shapeId="151578" r:id="rId29" name="Check Box 26">
              <controlPr locked="0" defaultSize="0" autoFill="0" autoLine="0" autoPict="0">
                <anchor moveWithCells="1">
                  <from>
                    <xdr:col>5</xdr:col>
                    <xdr:colOff>50800</xdr:colOff>
                    <xdr:row>6</xdr:row>
                    <xdr:rowOff>31750</xdr:rowOff>
                  </from>
                  <to>
                    <xdr:col>7</xdr:col>
                    <xdr:colOff>266700</xdr:colOff>
                    <xdr:row>6</xdr:row>
                    <xdr:rowOff>241300</xdr:rowOff>
                  </to>
                </anchor>
              </controlPr>
            </control>
          </mc:Choice>
        </mc:AlternateContent>
        <mc:AlternateContent xmlns:mc="http://schemas.openxmlformats.org/markup-compatibility/2006">
          <mc:Choice Requires="x14">
            <control shapeId="151579" r:id="rId30" name="Check Box 27">
              <controlPr locked="0" defaultSize="0" autoFill="0" autoLine="0" autoPict="0">
                <anchor moveWithCells="1">
                  <from>
                    <xdr:col>5</xdr:col>
                    <xdr:colOff>50800</xdr:colOff>
                    <xdr:row>7</xdr:row>
                    <xdr:rowOff>31750</xdr:rowOff>
                  </from>
                  <to>
                    <xdr:col>7</xdr:col>
                    <xdr:colOff>266700</xdr:colOff>
                    <xdr:row>7</xdr:row>
                    <xdr:rowOff>241300</xdr:rowOff>
                  </to>
                </anchor>
              </controlPr>
            </control>
          </mc:Choice>
        </mc:AlternateContent>
        <mc:AlternateContent xmlns:mc="http://schemas.openxmlformats.org/markup-compatibility/2006">
          <mc:Choice Requires="x14">
            <control shapeId="151580" r:id="rId31" name="Check Box 28">
              <controlPr locked="0" defaultSize="0" autoFill="0" autoLine="0" autoPict="0">
                <anchor moveWithCells="1">
                  <from>
                    <xdr:col>20</xdr:col>
                    <xdr:colOff>50800</xdr:colOff>
                    <xdr:row>6</xdr:row>
                    <xdr:rowOff>31750</xdr:rowOff>
                  </from>
                  <to>
                    <xdr:col>22</xdr:col>
                    <xdr:colOff>266700</xdr:colOff>
                    <xdr:row>6</xdr:row>
                    <xdr:rowOff>241300</xdr:rowOff>
                  </to>
                </anchor>
              </controlPr>
            </control>
          </mc:Choice>
        </mc:AlternateContent>
        <mc:AlternateContent xmlns:mc="http://schemas.openxmlformats.org/markup-compatibility/2006">
          <mc:Choice Requires="x14">
            <control shapeId="151581" r:id="rId32" name="Check Box 29">
              <controlPr locked="0" defaultSize="0" autoFill="0" autoLine="0" autoPict="0">
                <anchor moveWithCells="1">
                  <from>
                    <xdr:col>20</xdr:col>
                    <xdr:colOff>50800</xdr:colOff>
                    <xdr:row>7</xdr:row>
                    <xdr:rowOff>31750</xdr:rowOff>
                  </from>
                  <to>
                    <xdr:col>22</xdr:col>
                    <xdr:colOff>266700</xdr:colOff>
                    <xdr:row>7</xdr:row>
                    <xdr:rowOff>241300</xdr:rowOff>
                  </to>
                </anchor>
              </controlPr>
            </control>
          </mc:Choice>
        </mc:AlternateContent>
        <mc:AlternateContent xmlns:mc="http://schemas.openxmlformats.org/markup-compatibility/2006">
          <mc:Choice Requires="x14">
            <control shapeId="151582" r:id="rId33" name="Check Box 30">
              <controlPr locked="0" defaultSize="0" autoFill="0" autoLine="0" autoPict="0">
                <anchor moveWithCells="1">
                  <from>
                    <xdr:col>5</xdr:col>
                    <xdr:colOff>50800</xdr:colOff>
                    <xdr:row>34</xdr:row>
                    <xdr:rowOff>31750</xdr:rowOff>
                  </from>
                  <to>
                    <xdr:col>7</xdr:col>
                    <xdr:colOff>266700</xdr:colOff>
                    <xdr:row>34</xdr:row>
                    <xdr:rowOff>241300</xdr:rowOff>
                  </to>
                </anchor>
              </controlPr>
            </control>
          </mc:Choice>
        </mc:AlternateContent>
        <mc:AlternateContent xmlns:mc="http://schemas.openxmlformats.org/markup-compatibility/2006">
          <mc:Choice Requires="x14">
            <control shapeId="151583" r:id="rId34" name="Check Box 31">
              <controlPr locked="0" defaultSize="0" autoFill="0" autoLine="0" autoPict="0">
                <anchor moveWithCells="1">
                  <from>
                    <xdr:col>5</xdr:col>
                    <xdr:colOff>50800</xdr:colOff>
                    <xdr:row>35</xdr:row>
                    <xdr:rowOff>31750</xdr:rowOff>
                  </from>
                  <to>
                    <xdr:col>7</xdr:col>
                    <xdr:colOff>266700</xdr:colOff>
                    <xdr:row>35</xdr:row>
                    <xdr:rowOff>241300</xdr:rowOff>
                  </to>
                </anchor>
              </controlPr>
            </control>
          </mc:Choice>
        </mc:AlternateContent>
        <mc:AlternateContent xmlns:mc="http://schemas.openxmlformats.org/markup-compatibility/2006">
          <mc:Choice Requires="x14">
            <control shapeId="151584" r:id="rId35" name="Check Box 32">
              <controlPr locked="0" defaultSize="0" autoFill="0" autoLine="0" autoPict="0">
                <anchor moveWithCells="1">
                  <from>
                    <xdr:col>5</xdr:col>
                    <xdr:colOff>50800</xdr:colOff>
                    <xdr:row>36</xdr:row>
                    <xdr:rowOff>31750</xdr:rowOff>
                  </from>
                  <to>
                    <xdr:col>7</xdr:col>
                    <xdr:colOff>266700</xdr:colOff>
                    <xdr:row>36</xdr:row>
                    <xdr:rowOff>241300</xdr:rowOff>
                  </to>
                </anchor>
              </controlPr>
            </control>
          </mc:Choice>
        </mc:AlternateContent>
        <mc:AlternateContent xmlns:mc="http://schemas.openxmlformats.org/markup-compatibility/2006">
          <mc:Choice Requires="x14">
            <control shapeId="151585" r:id="rId36" name="Check Box 33">
              <controlPr locked="0" defaultSize="0" autoFill="0" autoLine="0" autoPict="0">
                <anchor moveWithCells="1">
                  <from>
                    <xdr:col>5</xdr:col>
                    <xdr:colOff>50800</xdr:colOff>
                    <xdr:row>37</xdr:row>
                    <xdr:rowOff>31750</xdr:rowOff>
                  </from>
                  <to>
                    <xdr:col>7</xdr:col>
                    <xdr:colOff>266700</xdr:colOff>
                    <xdr:row>37</xdr:row>
                    <xdr:rowOff>241300</xdr:rowOff>
                  </to>
                </anchor>
              </controlPr>
            </control>
          </mc:Choice>
        </mc:AlternateContent>
        <mc:AlternateContent xmlns:mc="http://schemas.openxmlformats.org/markup-compatibility/2006">
          <mc:Choice Requires="x14">
            <control shapeId="151586" r:id="rId37" name="Check Box 34">
              <controlPr locked="0" defaultSize="0" autoFill="0" autoLine="0" autoPict="0">
                <anchor moveWithCells="1">
                  <from>
                    <xdr:col>5</xdr:col>
                    <xdr:colOff>50800</xdr:colOff>
                    <xdr:row>38</xdr:row>
                    <xdr:rowOff>31750</xdr:rowOff>
                  </from>
                  <to>
                    <xdr:col>7</xdr:col>
                    <xdr:colOff>266700</xdr:colOff>
                    <xdr:row>38</xdr:row>
                    <xdr:rowOff>241300</xdr:rowOff>
                  </to>
                </anchor>
              </controlPr>
            </control>
          </mc:Choice>
        </mc:AlternateContent>
        <mc:AlternateContent xmlns:mc="http://schemas.openxmlformats.org/markup-compatibility/2006">
          <mc:Choice Requires="x14">
            <control shapeId="151587" r:id="rId38" name="Check Box 35">
              <controlPr locked="0" defaultSize="0" autoFill="0" autoLine="0" autoPict="0">
                <anchor moveWithCells="1">
                  <from>
                    <xdr:col>20</xdr:col>
                    <xdr:colOff>50800</xdr:colOff>
                    <xdr:row>39</xdr:row>
                    <xdr:rowOff>31750</xdr:rowOff>
                  </from>
                  <to>
                    <xdr:col>22</xdr:col>
                    <xdr:colOff>266700</xdr:colOff>
                    <xdr:row>39</xdr:row>
                    <xdr:rowOff>241300</xdr:rowOff>
                  </to>
                </anchor>
              </controlPr>
            </control>
          </mc:Choice>
        </mc:AlternateContent>
        <mc:AlternateContent xmlns:mc="http://schemas.openxmlformats.org/markup-compatibility/2006">
          <mc:Choice Requires="x14">
            <control shapeId="151588" r:id="rId39" name="Check Box 36">
              <controlPr locked="0" defaultSize="0" autoFill="0" autoLine="0" autoPict="0">
                <anchor moveWithCells="1">
                  <from>
                    <xdr:col>25</xdr:col>
                    <xdr:colOff>50800</xdr:colOff>
                    <xdr:row>39</xdr:row>
                    <xdr:rowOff>31750</xdr:rowOff>
                  </from>
                  <to>
                    <xdr:col>27</xdr:col>
                    <xdr:colOff>266700</xdr:colOff>
                    <xdr:row>39</xdr:row>
                    <xdr:rowOff>241300</xdr:rowOff>
                  </to>
                </anchor>
              </controlPr>
            </control>
          </mc:Choice>
        </mc:AlternateContent>
        <mc:AlternateContent xmlns:mc="http://schemas.openxmlformats.org/markup-compatibility/2006">
          <mc:Choice Requires="x14">
            <control shapeId="151589" r:id="rId40" name="Check Box 37">
              <controlPr locked="0" defaultSize="0" autoFill="0" autoLine="0" autoPict="0">
                <anchor moveWithCells="1">
                  <from>
                    <xdr:col>5</xdr:col>
                    <xdr:colOff>50800</xdr:colOff>
                    <xdr:row>41</xdr:row>
                    <xdr:rowOff>31750</xdr:rowOff>
                  </from>
                  <to>
                    <xdr:col>7</xdr:col>
                    <xdr:colOff>266700</xdr:colOff>
                    <xdr:row>41</xdr:row>
                    <xdr:rowOff>241300</xdr:rowOff>
                  </to>
                </anchor>
              </controlPr>
            </control>
          </mc:Choice>
        </mc:AlternateContent>
        <mc:AlternateContent xmlns:mc="http://schemas.openxmlformats.org/markup-compatibility/2006">
          <mc:Choice Requires="x14">
            <control shapeId="151590" r:id="rId41" name="Check Box 38">
              <controlPr locked="0" defaultSize="0" autoFill="0" autoLine="0" autoPict="0">
                <anchor moveWithCells="1">
                  <from>
                    <xdr:col>5</xdr:col>
                    <xdr:colOff>50800</xdr:colOff>
                    <xdr:row>42</xdr:row>
                    <xdr:rowOff>31750</xdr:rowOff>
                  </from>
                  <to>
                    <xdr:col>7</xdr:col>
                    <xdr:colOff>266700</xdr:colOff>
                    <xdr:row>42</xdr:row>
                    <xdr:rowOff>241300</xdr:rowOff>
                  </to>
                </anchor>
              </controlPr>
            </control>
          </mc:Choice>
        </mc:AlternateContent>
        <mc:AlternateContent xmlns:mc="http://schemas.openxmlformats.org/markup-compatibility/2006">
          <mc:Choice Requires="x14">
            <control shapeId="151591" r:id="rId42" name="Check Box 39">
              <controlPr locked="0" defaultSize="0" autoFill="0" autoLine="0" autoPict="0">
                <anchor moveWithCells="1">
                  <from>
                    <xdr:col>5</xdr:col>
                    <xdr:colOff>50800</xdr:colOff>
                    <xdr:row>44</xdr:row>
                    <xdr:rowOff>31750</xdr:rowOff>
                  </from>
                  <to>
                    <xdr:col>7</xdr:col>
                    <xdr:colOff>266700</xdr:colOff>
                    <xdr:row>44</xdr:row>
                    <xdr:rowOff>241300</xdr:rowOff>
                  </to>
                </anchor>
              </controlPr>
            </control>
          </mc:Choice>
        </mc:AlternateContent>
        <mc:AlternateContent xmlns:mc="http://schemas.openxmlformats.org/markup-compatibility/2006">
          <mc:Choice Requires="x14">
            <control shapeId="151592" r:id="rId43" name="Check Box 40">
              <controlPr locked="0" defaultSize="0" autoFill="0" autoLine="0" autoPict="0">
                <anchor moveWithCells="1">
                  <from>
                    <xdr:col>5</xdr:col>
                    <xdr:colOff>50800</xdr:colOff>
                    <xdr:row>45</xdr:row>
                    <xdr:rowOff>31750</xdr:rowOff>
                  </from>
                  <to>
                    <xdr:col>7</xdr:col>
                    <xdr:colOff>266700</xdr:colOff>
                    <xdr:row>45</xdr:row>
                    <xdr:rowOff>241300</xdr:rowOff>
                  </to>
                </anchor>
              </controlPr>
            </control>
          </mc:Choice>
        </mc:AlternateContent>
        <mc:AlternateContent xmlns:mc="http://schemas.openxmlformats.org/markup-compatibility/2006">
          <mc:Choice Requires="x14">
            <control shapeId="151593" r:id="rId44" name="Check Box 41">
              <controlPr locked="0" defaultSize="0" autoFill="0" autoLine="0" autoPict="0">
                <anchor moveWithCells="1">
                  <from>
                    <xdr:col>20</xdr:col>
                    <xdr:colOff>50800</xdr:colOff>
                    <xdr:row>41</xdr:row>
                    <xdr:rowOff>31750</xdr:rowOff>
                  </from>
                  <to>
                    <xdr:col>22</xdr:col>
                    <xdr:colOff>266700</xdr:colOff>
                    <xdr:row>41</xdr:row>
                    <xdr:rowOff>241300</xdr:rowOff>
                  </to>
                </anchor>
              </controlPr>
            </control>
          </mc:Choice>
        </mc:AlternateContent>
        <mc:AlternateContent xmlns:mc="http://schemas.openxmlformats.org/markup-compatibility/2006">
          <mc:Choice Requires="x14">
            <control shapeId="151594" r:id="rId45" name="Check Box 42">
              <controlPr locked="0" defaultSize="0" autoFill="0" autoLine="0" autoPict="0">
                <anchor moveWithCells="1">
                  <from>
                    <xdr:col>20</xdr:col>
                    <xdr:colOff>50800</xdr:colOff>
                    <xdr:row>42</xdr:row>
                    <xdr:rowOff>31750</xdr:rowOff>
                  </from>
                  <to>
                    <xdr:col>22</xdr:col>
                    <xdr:colOff>266700</xdr:colOff>
                    <xdr:row>42</xdr:row>
                    <xdr:rowOff>241300</xdr:rowOff>
                  </to>
                </anchor>
              </controlPr>
            </control>
          </mc:Choice>
        </mc:AlternateContent>
        <mc:AlternateContent xmlns:mc="http://schemas.openxmlformats.org/markup-compatibility/2006">
          <mc:Choice Requires="x14">
            <control shapeId="151595" r:id="rId46" name="Check Box 43">
              <controlPr locked="0" defaultSize="0" autoFill="0" autoLine="0" autoPict="0">
                <anchor moveWithCells="1">
                  <from>
                    <xdr:col>20</xdr:col>
                    <xdr:colOff>50800</xdr:colOff>
                    <xdr:row>44</xdr:row>
                    <xdr:rowOff>31750</xdr:rowOff>
                  </from>
                  <to>
                    <xdr:col>22</xdr:col>
                    <xdr:colOff>266700</xdr:colOff>
                    <xdr:row>44</xdr:row>
                    <xdr:rowOff>241300</xdr:rowOff>
                  </to>
                </anchor>
              </controlPr>
            </control>
          </mc:Choice>
        </mc:AlternateContent>
        <mc:AlternateContent xmlns:mc="http://schemas.openxmlformats.org/markup-compatibility/2006">
          <mc:Choice Requires="x14">
            <control shapeId="151596" r:id="rId47" name="Check Box 44">
              <controlPr locked="0" defaultSize="0" autoFill="0" autoLine="0" autoPict="0">
                <anchor moveWithCells="1">
                  <from>
                    <xdr:col>12</xdr:col>
                    <xdr:colOff>50800</xdr:colOff>
                    <xdr:row>51</xdr:row>
                    <xdr:rowOff>31750</xdr:rowOff>
                  </from>
                  <to>
                    <xdr:col>14</xdr:col>
                    <xdr:colOff>266700</xdr:colOff>
                    <xdr:row>51</xdr:row>
                    <xdr:rowOff>241300</xdr:rowOff>
                  </to>
                </anchor>
              </controlPr>
            </control>
          </mc:Choice>
        </mc:AlternateContent>
        <mc:AlternateContent xmlns:mc="http://schemas.openxmlformats.org/markup-compatibility/2006">
          <mc:Choice Requires="x14">
            <control shapeId="151597" r:id="rId48" name="Check Box 45">
              <controlPr locked="0" defaultSize="0" autoFill="0" autoLine="0" autoPict="0">
                <anchor moveWithCells="1">
                  <from>
                    <xdr:col>17</xdr:col>
                    <xdr:colOff>50800</xdr:colOff>
                    <xdr:row>51</xdr:row>
                    <xdr:rowOff>31750</xdr:rowOff>
                  </from>
                  <to>
                    <xdr:col>19</xdr:col>
                    <xdr:colOff>266700</xdr:colOff>
                    <xdr:row>51</xdr:row>
                    <xdr:rowOff>241300</xdr:rowOff>
                  </to>
                </anchor>
              </controlPr>
            </control>
          </mc:Choice>
        </mc:AlternateContent>
        <mc:AlternateContent xmlns:mc="http://schemas.openxmlformats.org/markup-compatibility/2006">
          <mc:Choice Requires="x14">
            <control shapeId="151598" r:id="rId49" name="Check Box 46">
              <controlPr locked="0" defaultSize="0" autoFill="0" autoLine="0" autoPict="0">
                <anchor moveWithCells="1">
                  <from>
                    <xdr:col>4</xdr:col>
                    <xdr:colOff>50800</xdr:colOff>
                    <xdr:row>54</xdr:row>
                    <xdr:rowOff>107950</xdr:rowOff>
                  </from>
                  <to>
                    <xdr:col>6</xdr:col>
                    <xdr:colOff>266700</xdr:colOff>
                    <xdr:row>54</xdr:row>
                    <xdr:rowOff>317500</xdr:rowOff>
                  </to>
                </anchor>
              </controlPr>
            </control>
          </mc:Choice>
        </mc:AlternateContent>
        <mc:AlternateContent xmlns:mc="http://schemas.openxmlformats.org/markup-compatibility/2006">
          <mc:Choice Requires="x14">
            <control shapeId="151599" r:id="rId50" name="Check Box 47">
              <controlPr locked="0" defaultSize="0" autoFill="0" autoLine="0" autoPict="0">
                <anchor moveWithCells="1">
                  <from>
                    <xdr:col>4</xdr:col>
                    <xdr:colOff>50800</xdr:colOff>
                    <xdr:row>56</xdr:row>
                    <xdr:rowOff>127000</xdr:rowOff>
                  </from>
                  <to>
                    <xdr:col>6</xdr:col>
                    <xdr:colOff>266700</xdr:colOff>
                    <xdr:row>56</xdr:row>
                    <xdr:rowOff>336550</xdr:rowOff>
                  </to>
                </anchor>
              </controlPr>
            </control>
          </mc:Choice>
        </mc:AlternateContent>
        <mc:AlternateContent xmlns:mc="http://schemas.openxmlformats.org/markup-compatibility/2006">
          <mc:Choice Requires="x14">
            <control shapeId="151600" r:id="rId51" name="Check Box 48">
              <controlPr locked="0" defaultSize="0" autoFill="0" autoLine="0" autoPict="0">
                <anchor moveWithCells="1">
                  <from>
                    <xdr:col>4</xdr:col>
                    <xdr:colOff>50800</xdr:colOff>
                    <xdr:row>58</xdr:row>
                    <xdr:rowOff>88900</xdr:rowOff>
                  </from>
                  <to>
                    <xdr:col>7</xdr:col>
                    <xdr:colOff>0</xdr:colOff>
                    <xdr:row>59</xdr:row>
                    <xdr:rowOff>12700</xdr:rowOff>
                  </to>
                </anchor>
              </controlPr>
            </control>
          </mc:Choice>
        </mc:AlternateContent>
        <mc:AlternateContent xmlns:mc="http://schemas.openxmlformats.org/markup-compatibility/2006">
          <mc:Choice Requires="x14">
            <control shapeId="151601" r:id="rId52" name="Check Box 49">
              <controlPr locked="0" defaultSize="0" autoFill="0" autoLine="0" autoPict="0">
                <anchor moveWithCells="1">
                  <from>
                    <xdr:col>29</xdr:col>
                    <xdr:colOff>50800</xdr:colOff>
                    <xdr:row>54</xdr:row>
                    <xdr:rowOff>127000</xdr:rowOff>
                  </from>
                  <to>
                    <xdr:col>31</xdr:col>
                    <xdr:colOff>266700</xdr:colOff>
                    <xdr:row>54</xdr:row>
                    <xdr:rowOff>336550</xdr:rowOff>
                  </to>
                </anchor>
              </controlPr>
            </control>
          </mc:Choice>
        </mc:AlternateContent>
        <mc:AlternateContent xmlns:mc="http://schemas.openxmlformats.org/markup-compatibility/2006">
          <mc:Choice Requires="x14">
            <control shapeId="151602" r:id="rId53" name="Check Box 50">
              <controlPr locked="0" defaultSize="0" autoFill="0" autoLine="0" autoPict="0">
                <anchor moveWithCells="1">
                  <from>
                    <xdr:col>29</xdr:col>
                    <xdr:colOff>50800</xdr:colOff>
                    <xdr:row>56</xdr:row>
                    <xdr:rowOff>127000</xdr:rowOff>
                  </from>
                  <to>
                    <xdr:col>31</xdr:col>
                    <xdr:colOff>266700</xdr:colOff>
                    <xdr:row>56</xdr:row>
                    <xdr:rowOff>342900</xdr:rowOff>
                  </to>
                </anchor>
              </controlPr>
            </control>
          </mc:Choice>
        </mc:AlternateContent>
        <mc:AlternateContent xmlns:mc="http://schemas.openxmlformats.org/markup-compatibility/2006">
          <mc:Choice Requires="x14">
            <control shapeId="151603" r:id="rId54" name="Check Box 51">
              <controlPr locked="0" defaultSize="0" autoFill="0" autoLine="0" autoPict="0">
                <anchor moveWithCells="1">
                  <from>
                    <xdr:col>29</xdr:col>
                    <xdr:colOff>50800</xdr:colOff>
                    <xdr:row>59</xdr:row>
                    <xdr:rowOff>50800</xdr:rowOff>
                  </from>
                  <to>
                    <xdr:col>32</xdr:col>
                    <xdr:colOff>0</xdr:colOff>
                    <xdr:row>59</xdr:row>
                    <xdr:rowOff>266700</xdr:rowOff>
                  </to>
                </anchor>
              </controlPr>
            </control>
          </mc:Choice>
        </mc:AlternateContent>
        <mc:AlternateContent xmlns:mc="http://schemas.openxmlformats.org/markup-compatibility/2006">
          <mc:Choice Requires="x14">
            <control shapeId="151604" r:id="rId55" name="Check Box 52">
              <controlPr locked="0" defaultSize="0" autoFill="0" autoLine="0" autoPict="0">
                <anchor moveWithCells="1">
                  <from>
                    <xdr:col>34</xdr:col>
                    <xdr:colOff>50800</xdr:colOff>
                    <xdr:row>54</xdr:row>
                    <xdr:rowOff>127000</xdr:rowOff>
                  </from>
                  <to>
                    <xdr:col>36</xdr:col>
                    <xdr:colOff>266700</xdr:colOff>
                    <xdr:row>54</xdr:row>
                    <xdr:rowOff>336550</xdr:rowOff>
                  </to>
                </anchor>
              </controlPr>
            </control>
          </mc:Choice>
        </mc:AlternateContent>
        <mc:AlternateContent xmlns:mc="http://schemas.openxmlformats.org/markup-compatibility/2006">
          <mc:Choice Requires="x14">
            <control shapeId="151605" r:id="rId56" name="Check Box 53">
              <controlPr locked="0" defaultSize="0" autoFill="0" autoLine="0" autoPict="0">
                <anchor moveWithCells="1">
                  <from>
                    <xdr:col>34</xdr:col>
                    <xdr:colOff>50800</xdr:colOff>
                    <xdr:row>56</xdr:row>
                    <xdr:rowOff>127000</xdr:rowOff>
                  </from>
                  <to>
                    <xdr:col>36</xdr:col>
                    <xdr:colOff>266700</xdr:colOff>
                    <xdr:row>56</xdr:row>
                    <xdr:rowOff>336550</xdr:rowOff>
                  </to>
                </anchor>
              </controlPr>
            </control>
          </mc:Choice>
        </mc:AlternateContent>
        <mc:AlternateContent xmlns:mc="http://schemas.openxmlformats.org/markup-compatibility/2006">
          <mc:Choice Requires="x14">
            <control shapeId="151606" r:id="rId57" name="Check Box 54">
              <controlPr locked="0" defaultSize="0" autoFill="0" autoLine="0" autoPict="0">
                <anchor moveWithCells="1">
                  <from>
                    <xdr:col>34</xdr:col>
                    <xdr:colOff>50800</xdr:colOff>
                    <xdr:row>59</xdr:row>
                    <xdr:rowOff>50800</xdr:rowOff>
                  </from>
                  <to>
                    <xdr:col>37</xdr:col>
                    <xdr:colOff>0</xdr:colOff>
                    <xdr:row>59</xdr:row>
                    <xdr:rowOff>266700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pageSetUpPr fitToPage="1"/>
  </sheetPr>
  <dimension ref="B1:AX44"/>
  <sheetViews>
    <sheetView showGridLines="0" topLeftCell="A31" zoomScaleNormal="100" workbookViewId="0">
      <selection activeCell="Z24" sqref="Z24:AF24"/>
    </sheetView>
  </sheetViews>
  <sheetFormatPr defaultColWidth="9" defaultRowHeight="15.5"/>
  <cols>
    <col min="1" max="1" width="2.08203125" style="602" customWidth="1"/>
    <col min="2" max="47" width="3.58203125" style="602" customWidth="1"/>
    <col min="48" max="48" width="2.08203125" style="602" customWidth="1"/>
    <col min="49" max="52" width="3.58203125" style="602" customWidth="1"/>
    <col min="53" max="16384" width="9" style="602"/>
  </cols>
  <sheetData>
    <row r="1" spans="5:44" ht="12" customHeight="1"/>
    <row r="2" spans="5:44" ht="16.5">
      <c r="E2" s="1174" t="s">
        <v>11802</v>
      </c>
      <c r="F2" s="628"/>
      <c r="G2" s="628"/>
      <c r="H2" s="628"/>
      <c r="I2" s="628"/>
      <c r="J2" s="628"/>
      <c r="K2" s="629"/>
      <c r="L2" s="629"/>
      <c r="M2" s="629"/>
      <c r="N2" s="629"/>
      <c r="O2" s="629"/>
      <c r="P2" s="629"/>
      <c r="Q2" s="629"/>
      <c r="R2" s="629"/>
      <c r="S2" s="629"/>
      <c r="T2" s="629"/>
      <c r="U2" s="629"/>
      <c r="V2" s="629"/>
      <c r="W2" s="629"/>
      <c r="X2" s="629"/>
      <c r="Y2" s="629"/>
      <c r="Z2" s="1175"/>
      <c r="AA2" s="1175"/>
      <c r="AB2" s="1175"/>
      <c r="AC2" s="1175"/>
      <c r="AD2" s="1175"/>
      <c r="AE2" s="629"/>
      <c r="AF2" s="629"/>
      <c r="AG2" s="629"/>
      <c r="AH2" s="629"/>
      <c r="AI2" s="629"/>
      <c r="AJ2" s="629"/>
      <c r="AK2" s="629"/>
      <c r="AL2" s="628"/>
      <c r="AM2" s="628"/>
      <c r="AN2" s="969"/>
      <c r="AO2" s="969"/>
      <c r="AP2" s="681"/>
    </row>
    <row r="3" spans="5:44" ht="16" thickBot="1">
      <c r="E3" s="582" t="s">
        <v>135</v>
      </c>
      <c r="F3" s="628"/>
      <c r="G3" s="628"/>
      <c r="H3" s="628"/>
      <c r="I3" s="628"/>
      <c r="J3" s="628"/>
      <c r="K3" s="629"/>
      <c r="L3" s="629"/>
      <c r="M3" s="629"/>
      <c r="N3" s="629"/>
      <c r="O3" s="629"/>
      <c r="P3" s="629"/>
      <c r="Q3" s="629"/>
      <c r="R3" s="629"/>
      <c r="S3" s="629"/>
      <c r="T3" s="629"/>
      <c r="U3" s="629"/>
      <c r="V3" s="629"/>
      <c r="W3" s="629"/>
      <c r="X3" s="629"/>
      <c r="Y3" s="629"/>
      <c r="Z3" s="1175"/>
      <c r="AA3" s="1175"/>
      <c r="AB3" s="1175"/>
      <c r="AC3" s="1175"/>
      <c r="AD3" s="1175"/>
      <c r="AE3" s="629"/>
      <c r="AF3" s="629"/>
      <c r="AG3" s="629"/>
      <c r="AH3" s="629"/>
      <c r="AI3" s="629"/>
      <c r="AJ3" s="629"/>
      <c r="AK3" s="629"/>
      <c r="AL3" s="628"/>
      <c r="AM3" s="628"/>
      <c r="AN3" s="969"/>
      <c r="AO3" s="969"/>
      <c r="AP3" s="681"/>
    </row>
    <row r="4" spans="5:44" ht="6.65" customHeight="1">
      <c r="E4" s="631"/>
      <c r="F4" s="632"/>
      <c r="G4" s="632"/>
      <c r="H4" s="632"/>
      <c r="I4" s="632"/>
      <c r="J4" s="632"/>
      <c r="K4" s="1030"/>
      <c r="L4" s="830"/>
      <c r="M4" s="830"/>
      <c r="N4" s="830"/>
      <c r="O4" s="830"/>
      <c r="P4" s="830"/>
      <c r="Q4" s="830"/>
      <c r="R4" s="830"/>
      <c r="S4" s="830"/>
      <c r="T4" s="830"/>
      <c r="U4" s="830"/>
      <c r="V4" s="830"/>
      <c r="W4" s="830"/>
      <c r="X4" s="830"/>
      <c r="Y4" s="830"/>
      <c r="Z4" s="830"/>
      <c r="AA4" s="830"/>
      <c r="AB4" s="830"/>
      <c r="AC4" s="830"/>
      <c r="AD4" s="830"/>
      <c r="AE4" s="830"/>
      <c r="AF4" s="830"/>
      <c r="AG4" s="830"/>
      <c r="AH4" s="830"/>
      <c r="AI4" s="830"/>
      <c r="AJ4" s="830"/>
      <c r="AK4" s="830"/>
      <c r="AL4" s="830"/>
      <c r="AM4" s="830"/>
      <c r="AN4" s="830"/>
      <c r="AO4" s="830"/>
      <c r="AP4" s="830"/>
      <c r="AQ4" s="830"/>
      <c r="AR4" s="1056"/>
    </row>
    <row r="5" spans="5:44" ht="20">
      <c r="E5" s="1176" t="s">
        <v>259</v>
      </c>
      <c r="F5" s="969" t="s">
        <v>260</v>
      </c>
      <c r="G5" s="1024"/>
      <c r="H5" s="1024"/>
      <c r="I5" s="1024"/>
      <c r="J5" s="1024"/>
      <c r="K5" s="588"/>
      <c r="L5" s="681"/>
      <c r="M5" s="681"/>
      <c r="N5" s="681"/>
      <c r="O5" s="681"/>
      <c r="P5" s="681"/>
      <c r="Q5" s="681"/>
      <c r="R5" s="874"/>
      <c r="S5" s="588"/>
      <c r="T5" s="681"/>
      <c r="X5" s="874"/>
      <c r="Y5" s="874"/>
      <c r="Z5" s="874"/>
      <c r="AA5" s="874"/>
      <c r="AB5" s="857" t="b">
        <v>1</v>
      </c>
      <c r="AC5" s="588" t="s">
        <v>64</v>
      </c>
      <c r="AD5" s="588"/>
      <c r="AG5" s="857" t="b">
        <v>0</v>
      </c>
      <c r="AH5" s="588" t="s">
        <v>0</v>
      </c>
      <c r="AI5" s="588"/>
      <c r="AJ5" s="874"/>
      <c r="AK5" s="874"/>
      <c r="AL5" s="588"/>
      <c r="AR5" s="1018"/>
    </row>
    <row r="6" spans="5:44" ht="7" customHeight="1">
      <c r="E6" s="604"/>
      <c r="F6" s="606"/>
      <c r="G6" s="607"/>
      <c r="H6" s="607"/>
      <c r="I6" s="607"/>
      <c r="J6" s="607"/>
      <c r="K6" s="568"/>
      <c r="L6" s="681"/>
      <c r="M6" s="681"/>
      <c r="N6" s="681"/>
      <c r="O6" s="681"/>
      <c r="P6" s="681"/>
      <c r="Q6" s="681"/>
      <c r="R6" s="609"/>
      <c r="S6" s="568"/>
      <c r="T6" s="681"/>
      <c r="X6" s="609"/>
      <c r="Y6" s="609"/>
      <c r="Z6" s="609"/>
      <c r="AA6" s="609"/>
      <c r="AB6" s="609"/>
      <c r="AC6" s="568"/>
      <c r="AD6" s="568"/>
      <c r="AG6" s="609"/>
      <c r="AH6" s="568"/>
      <c r="AI6" s="568"/>
      <c r="AJ6" s="609"/>
      <c r="AK6" s="609"/>
      <c r="AL6" s="568"/>
      <c r="AR6" s="1018"/>
    </row>
    <row r="7" spans="5:44" ht="17.149999999999999" customHeight="1">
      <c r="E7" s="604" t="s">
        <v>113</v>
      </c>
      <c r="F7" s="637" t="s">
        <v>914</v>
      </c>
      <c r="G7" s="649"/>
      <c r="H7" s="649"/>
      <c r="I7" s="649"/>
      <c r="J7" s="649"/>
      <c r="K7" s="609"/>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1018"/>
    </row>
    <row r="8" spans="5:44" ht="20">
      <c r="E8" s="621"/>
      <c r="F8" s="681"/>
      <c r="I8" s="76" t="b">
        <v>1</v>
      </c>
      <c r="J8" s="568" t="s">
        <v>194</v>
      </c>
      <c r="K8" s="609"/>
      <c r="L8" s="681"/>
      <c r="M8" s="609"/>
      <c r="N8" s="568"/>
      <c r="O8" s="568"/>
      <c r="P8" s="568"/>
      <c r="Q8" s="568"/>
      <c r="R8" s="568"/>
      <c r="S8" s="568"/>
      <c r="U8" s="76" t="b">
        <v>1</v>
      </c>
      <c r="V8" s="568" t="s">
        <v>195</v>
      </c>
      <c r="W8" s="681"/>
      <c r="X8" s="681"/>
      <c r="Y8" s="681"/>
      <c r="Z8" s="681"/>
      <c r="AA8" s="681"/>
      <c r="AB8" s="681"/>
      <c r="AC8" s="681"/>
      <c r="AD8" s="681"/>
      <c r="AE8" s="681"/>
      <c r="AF8" s="681"/>
      <c r="AG8" s="76" t="b">
        <v>0</v>
      </c>
      <c r="AH8" s="568" t="s">
        <v>196</v>
      </c>
      <c r="AI8" s="681"/>
      <c r="AJ8" s="681"/>
      <c r="AK8" s="681"/>
      <c r="AN8" s="681"/>
      <c r="AO8" s="681"/>
      <c r="AP8" s="681"/>
      <c r="AQ8" s="681"/>
      <c r="AR8" s="1018"/>
    </row>
    <row r="9" spans="5:44" ht="20">
      <c r="E9" s="621"/>
      <c r="F9" s="681"/>
      <c r="I9" s="76" t="b">
        <v>1</v>
      </c>
      <c r="J9" s="568" t="s">
        <v>197</v>
      </c>
      <c r="K9" s="609"/>
      <c r="L9" s="681"/>
      <c r="M9" s="609"/>
      <c r="N9" s="568"/>
      <c r="O9" s="568"/>
      <c r="P9" s="568"/>
      <c r="Q9" s="568"/>
      <c r="R9" s="568"/>
      <c r="S9" s="568"/>
      <c r="U9" s="76" t="b">
        <v>0</v>
      </c>
      <c r="V9" s="568" t="s">
        <v>198</v>
      </c>
      <c r="W9" s="681"/>
      <c r="X9" s="681"/>
      <c r="Y9" s="681"/>
      <c r="Z9" s="681"/>
      <c r="AA9" s="681"/>
      <c r="AB9" s="681"/>
      <c r="AC9" s="681"/>
      <c r="AD9" s="681"/>
      <c r="AE9" s="681"/>
      <c r="AF9" s="681"/>
      <c r="AG9" s="76" t="b">
        <v>0</v>
      </c>
      <c r="AH9" s="568" t="s">
        <v>199</v>
      </c>
      <c r="AI9" s="681"/>
      <c r="AJ9" s="681"/>
      <c r="AK9" s="681"/>
      <c r="AN9" s="681"/>
      <c r="AO9" s="681"/>
      <c r="AP9" s="681"/>
      <c r="AQ9" s="681"/>
      <c r="AR9" s="1018"/>
    </row>
    <row r="10" spans="5:44" ht="20">
      <c r="E10" s="621"/>
      <c r="F10" s="681"/>
      <c r="I10" s="76" t="b">
        <v>0</v>
      </c>
      <c r="J10" s="568" t="s">
        <v>200</v>
      </c>
      <c r="K10" s="609"/>
      <c r="L10" s="681"/>
      <c r="M10" s="609"/>
      <c r="N10" s="568"/>
      <c r="O10" s="568"/>
      <c r="P10" s="568"/>
      <c r="Q10" s="568"/>
      <c r="R10" s="568"/>
      <c r="S10" s="568"/>
      <c r="U10" s="76" t="b">
        <v>0</v>
      </c>
      <c r="V10" s="568" t="s">
        <v>201</v>
      </c>
      <c r="W10" s="681"/>
      <c r="X10" s="681"/>
      <c r="Y10" s="681"/>
      <c r="Z10" s="681"/>
      <c r="AA10" s="681"/>
      <c r="AB10" s="681"/>
      <c r="AC10" s="681"/>
      <c r="AD10" s="681"/>
      <c r="AE10" s="681"/>
      <c r="AF10" s="681"/>
      <c r="AG10" s="76" t="b">
        <v>0</v>
      </c>
      <c r="AH10" s="568" t="s">
        <v>202</v>
      </c>
      <c r="AI10" s="681"/>
      <c r="AJ10" s="681"/>
      <c r="AK10" s="681"/>
      <c r="AN10" s="681"/>
      <c r="AO10" s="681"/>
      <c r="AP10" s="681"/>
      <c r="AQ10" s="681"/>
      <c r="AR10" s="1018"/>
    </row>
    <row r="11" spans="5:44" ht="20">
      <c r="E11" s="621"/>
      <c r="F11" s="681"/>
      <c r="I11" s="609"/>
      <c r="J11" s="681"/>
      <c r="K11" s="609"/>
      <c r="L11" s="681"/>
      <c r="M11" s="609"/>
      <c r="N11" s="568"/>
      <c r="O11" s="568"/>
      <c r="P11" s="568"/>
      <c r="Q11" s="568"/>
      <c r="R11" s="568"/>
      <c r="S11" s="568"/>
      <c r="U11" s="609"/>
      <c r="V11" s="568" t="s">
        <v>203</v>
      </c>
      <c r="W11" s="681"/>
      <c r="X11" s="681"/>
      <c r="Y11" s="681"/>
      <c r="Z11" s="681"/>
      <c r="AA11" s="681"/>
      <c r="AB11" s="681"/>
      <c r="AC11" s="681"/>
      <c r="AD11" s="681"/>
      <c r="AE11" s="681"/>
      <c r="AF11" s="681"/>
      <c r="AG11" s="76" t="b">
        <v>1</v>
      </c>
      <c r="AH11" s="568" t="s">
        <v>204</v>
      </c>
      <c r="AI11" s="681"/>
      <c r="AJ11" s="681"/>
      <c r="AK11" s="681"/>
      <c r="AN11" s="681"/>
      <c r="AO11" s="681"/>
      <c r="AP11" s="681"/>
      <c r="AQ11" s="681"/>
      <c r="AR11" s="1018"/>
    </row>
    <row r="12" spans="5:44" ht="8.5" customHeight="1">
      <c r="E12" s="621"/>
      <c r="F12" s="681"/>
      <c r="I12" s="609"/>
      <c r="J12" s="681"/>
      <c r="K12" s="609"/>
      <c r="L12" s="681"/>
      <c r="M12" s="609"/>
      <c r="N12" s="568"/>
      <c r="O12" s="568"/>
      <c r="P12" s="568"/>
      <c r="Q12" s="568"/>
      <c r="R12" s="568"/>
      <c r="S12" s="568"/>
      <c r="U12" s="609"/>
      <c r="V12" s="568"/>
      <c r="W12" s="681"/>
      <c r="X12" s="681"/>
      <c r="Y12" s="681"/>
      <c r="Z12" s="681"/>
      <c r="AA12" s="681"/>
      <c r="AB12" s="681"/>
      <c r="AC12" s="681"/>
      <c r="AD12" s="681"/>
      <c r="AE12" s="681"/>
      <c r="AF12" s="681"/>
      <c r="AG12" s="609"/>
      <c r="AH12" s="568"/>
      <c r="AI12" s="681"/>
      <c r="AJ12" s="681"/>
      <c r="AK12" s="681"/>
      <c r="AN12" s="681"/>
      <c r="AO12" s="681"/>
      <c r="AP12" s="681"/>
      <c r="AQ12" s="681"/>
      <c r="AR12" s="1018"/>
    </row>
    <row r="13" spans="5:44" ht="20">
      <c r="E13" s="604" t="s">
        <v>113</v>
      </c>
      <c r="F13" s="637" t="s">
        <v>915</v>
      </c>
      <c r="G13" s="649"/>
      <c r="H13" s="649"/>
      <c r="I13" s="649"/>
      <c r="J13" s="649"/>
      <c r="K13" s="609"/>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1018"/>
    </row>
    <row r="14" spans="5:44" ht="20">
      <c r="E14" s="621"/>
      <c r="F14" s="681"/>
      <c r="I14" s="76" t="b">
        <v>1</v>
      </c>
      <c r="J14" s="568" t="s">
        <v>9</v>
      </c>
      <c r="K14" s="609"/>
      <c r="L14" s="568"/>
      <c r="M14" s="568"/>
      <c r="N14" s="568"/>
      <c r="O14" s="568"/>
      <c r="P14" s="568"/>
      <c r="Q14" s="568"/>
      <c r="T14" s="681"/>
      <c r="U14" s="76" t="b">
        <v>0</v>
      </c>
      <c r="V14" s="568" t="s">
        <v>205</v>
      </c>
      <c r="AG14" s="76" t="b">
        <v>1</v>
      </c>
      <c r="AH14" s="568" t="s">
        <v>206</v>
      </c>
      <c r="AN14" s="681"/>
      <c r="AO14" s="681"/>
      <c r="AP14" s="681"/>
      <c r="AQ14" s="681"/>
      <c r="AR14" s="1018"/>
    </row>
    <row r="15" spans="5:44" ht="20">
      <c r="E15" s="621"/>
      <c r="F15" s="681"/>
      <c r="I15" s="76" t="b">
        <v>1</v>
      </c>
      <c r="J15" s="568" t="s">
        <v>207</v>
      </c>
      <c r="K15" s="609"/>
      <c r="L15" s="568"/>
      <c r="M15" s="568"/>
      <c r="N15" s="568"/>
      <c r="O15" s="568"/>
      <c r="P15" s="568"/>
      <c r="Q15" s="568"/>
      <c r="T15" s="681"/>
      <c r="U15" s="76" t="b">
        <v>1</v>
      </c>
      <c r="V15" s="568" t="s">
        <v>208</v>
      </c>
      <c r="AL15" s="681"/>
      <c r="AM15" s="681"/>
      <c r="AN15" s="681"/>
      <c r="AO15" s="681"/>
      <c r="AP15" s="681"/>
      <c r="AQ15" s="681"/>
      <c r="AR15" s="1018"/>
    </row>
    <row r="16" spans="5:44" ht="2.15" customHeight="1" thickBot="1">
      <c r="E16" s="622"/>
      <c r="F16" s="1010"/>
      <c r="G16" s="1011"/>
      <c r="H16" s="1011"/>
      <c r="I16" s="1011"/>
      <c r="J16" s="562"/>
      <c r="K16" s="866"/>
      <c r="L16" s="562"/>
      <c r="M16" s="562"/>
      <c r="N16" s="562"/>
      <c r="O16" s="562"/>
      <c r="P16" s="562"/>
      <c r="Q16" s="562"/>
      <c r="R16" s="562"/>
      <c r="S16" s="562"/>
      <c r="T16" s="562"/>
      <c r="U16" s="562"/>
      <c r="V16" s="562"/>
      <c r="W16" s="562"/>
      <c r="X16" s="562"/>
      <c r="Y16" s="562"/>
      <c r="Z16" s="562"/>
      <c r="AA16" s="562"/>
      <c r="AB16" s="613"/>
      <c r="AC16" s="613"/>
      <c r="AD16" s="613"/>
      <c r="AE16" s="613"/>
      <c r="AF16" s="613"/>
      <c r="AG16" s="613"/>
      <c r="AH16" s="613"/>
      <c r="AI16" s="613"/>
      <c r="AJ16" s="613"/>
      <c r="AK16" s="613"/>
      <c r="AL16" s="613"/>
      <c r="AM16" s="613"/>
      <c r="AN16" s="613"/>
      <c r="AO16" s="613"/>
      <c r="AP16" s="613"/>
      <c r="AQ16" s="613"/>
      <c r="AR16" s="1069"/>
    </row>
    <row r="17" spans="5:43" ht="21" customHeight="1"/>
    <row r="18" spans="5:43" ht="16.5">
      <c r="E18" s="3507" t="s">
        <v>11803</v>
      </c>
      <c r="F18" s="3507"/>
      <c r="G18" s="3507"/>
      <c r="H18" s="3507"/>
      <c r="I18" s="3507"/>
      <c r="J18" s="3507"/>
      <c r="K18" s="3507"/>
      <c r="L18" s="3507"/>
      <c r="M18" s="3507"/>
      <c r="N18" s="3507"/>
      <c r="O18" s="3507"/>
      <c r="P18" s="3507"/>
      <c r="Q18" s="3507"/>
      <c r="R18" s="3507"/>
      <c r="S18" s="3507"/>
      <c r="T18" s="3507"/>
      <c r="U18" s="3507"/>
      <c r="V18" s="3507"/>
      <c r="W18" s="3507"/>
      <c r="X18" s="3507"/>
      <c r="Y18" s="3507"/>
      <c r="Z18" s="3507"/>
      <c r="AA18" s="3507"/>
      <c r="AB18" s="3507"/>
      <c r="AC18" s="3507"/>
      <c r="AD18" s="3507"/>
      <c r="AE18" s="3507"/>
      <c r="AF18" s="3507"/>
      <c r="AG18" s="3507"/>
      <c r="AH18" s="3507"/>
      <c r="AI18" s="3507"/>
      <c r="AJ18" s="3507"/>
      <c r="AK18" s="3507"/>
      <c r="AL18" s="3507"/>
      <c r="AM18" s="3507"/>
      <c r="AN18" s="3507"/>
    </row>
    <row r="19" spans="5:43" ht="18" thickBot="1">
      <c r="E19" s="582" t="s">
        <v>904</v>
      </c>
      <c r="F19" s="1177"/>
      <c r="G19" s="1177"/>
      <c r="H19" s="1177"/>
      <c r="I19" s="1177"/>
      <c r="J19" s="1177"/>
      <c r="K19" s="1177"/>
      <c r="L19" s="1177"/>
      <c r="M19" s="1177"/>
      <c r="N19" s="1177"/>
      <c r="O19" s="1177"/>
      <c r="P19" s="1177"/>
      <c r="Q19" s="1177"/>
      <c r="R19" s="1177"/>
      <c r="S19" s="1177"/>
      <c r="T19" s="1177"/>
      <c r="U19" s="1177"/>
      <c r="V19" s="1177"/>
      <c r="W19" s="1177"/>
      <c r="X19" s="1177"/>
      <c r="Y19" s="1177"/>
      <c r="Z19" s="1177"/>
      <c r="AA19" s="1177"/>
      <c r="AB19" s="1177"/>
      <c r="AC19" s="1177"/>
      <c r="AD19" s="1177"/>
      <c r="AE19" s="1177"/>
      <c r="AF19" s="1177"/>
      <c r="AG19" s="1177"/>
      <c r="AH19" s="1177"/>
      <c r="AI19" s="1177"/>
      <c r="AJ19" s="1177"/>
      <c r="AK19" s="1177"/>
      <c r="AL19" s="1177"/>
      <c r="AM19" s="1177"/>
      <c r="AN19" s="1177"/>
    </row>
    <row r="20" spans="5:43" ht="8.15" customHeight="1">
      <c r="E20" s="1178"/>
      <c r="F20" s="640"/>
      <c r="G20" s="1179"/>
      <c r="H20" s="1180"/>
      <c r="I20" s="1181"/>
      <c r="J20" s="1181"/>
      <c r="K20" s="1181"/>
      <c r="L20" s="1181"/>
      <c r="M20" s="1181"/>
      <c r="N20" s="1181"/>
      <c r="O20" s="1181"/>
      <c r="P20" s="1181"/>
      <c r="Q20" s="1181"/>
      <c r="R20" s="1181"/>
      <c r="S20" s="1181"/>
      <c r="T20" s="1181"/>
      <c r="U20" s="1181"/>
      <c r="V20" s="1181"/>
      <c r="W20" s="1181"/>
      <c r="X20" s="1181"/>
      <c r="Y20" s="1181"/>
      <c r="Z20" s="1181"/>
      <c r="AA20" s="1181"/>
      <c r="AB20" s="1181"/>
      <c r="AC20" s="1181"/>
      <c r="AD20" s="1181"/>
      <c r="AE20" s="1181"/>
      <c r="AF20" s="1181"/>
      <c r="AG20" s="640"/>
      <c r="AH20" s="1056"/>
    </row>
    <row r="21" spans="5:43" ht="19.5" customHeight="1">
      <c r="E21" s="1182"/>
      <c r="F21" s="602" t="s">
        <v>1180</v>
      </c>
      <c r="G21" s="647"/>
      <c r="H21" s="1183"/>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5"/>
      <c r="AF21" s="215"/>
      <c r="AH21" s="1018"/>
    </row>
    <row r="22" spans="5:43" ht="19.5" customHeight="1">
      <c r="E22" s="614"/>
      <c r="F22" s="215"/>
      <c r="G22" s="619"/>
      <c r="H22" s="1184"/>
      <c r="I22" s="76" t="b">
        <v>1</v>
      </c>
      <c r="J22" s="568" t="s">
        <v>228</v>
      </c>
      <c r="K22" s="215"/>
      <c r="L22" s="215"/>
      <c r="M22" s="215"/>
      <c r="N22" s="215"/>
      <c r="O22" s="215"/>
      <c r="P22" s="215"/>
      <c r="Q22" s="215"/>
      <c r="R22" s="215"/>
      <c r="S22" s="215"/>
      <c r="T22" s="215"/>
      <c r="U22" s="76" t="b">
        <v>0</v>
      </c>
      <c r="V22" s="568" t="s">
        <v>229</v>
      </c>
      <c r="W22" s="215"/>
      <c r="X22" s="215"/>
      <c r="Y22" s="215"/>
      <c r="Z22" s="215"/>
      <c r="AA22" s="215"/>
      <c r="AB22" s="215"/>
      <c r="AC22" s="619"/>
      <c r="AH22" s="1018"/>
    </row>
    <row r="23" spans="5:43" ht="19.5" customHeight="1">
      <c r="E23" s="614"/>
      <c r="F23" s="215"/>
      <c r="G23" s="619"/>
      <c r="H23" s="1184"/>
      <c r="I23" s="76" t="b">
        <v>0</v>
      </c>
      <c r="J23" s="568" t="s">
        <v>230</v>
      </c>
      <c r="K23" s="215"/>
      <c r="L23" s="215"/>
      <c r="M23" s="215"/>
      <c r="N23" s="215"/>
      <c r="O23" s="215"/>
      <c r="P23" s="215"/>
      <c r="Q23" s="215"/>
      <c r="R23" s="215"/>
      <c r="S23" s="215"/>
      <c r="T23" s="215"/>
      <c r="U23" s="76" t="b">
        <v>0</v>
      </c>
      <c r="V23" s="568" t="s">
        <v>231</v>
      </c>
      <c r="W23" s="215"/>
      <c r="X23" s="215"/>
      <c r="Y23" s="215"/>
      <c r="Z23" s="215"/>
      <c r="AA23" s="215"/>
      <c r="AB23" s="215"/>
      <c r="AC23" s="619"/>
      <c r="AH23" s="1018"/>
    </row>
    <row r="24" spans="5:43" ht="19.5" customHeight="1">
      <c r="E24" s="1173" t="s">
        <v>259</v>
      </c>
      <c r="G24" s="602" t="s">
        <v>1182</v>
      </c>
      <c r="H24" s="651"/>
      <c r="I24" s="610"/>
      <c r="J24" s="610"/>
      <c r="K24" s="610"/>
      <c r="L24" s="610"/>
      <c r="M24" s="610"/>
      <c r="N24" s="610"/>
      <c r="O24" s="610"/>
      <c r="P24" s="610"/>
      <c r="Q24" s="610"/>
      <c r="R24" s="610"/>
      <c r="S24" s="610"/>
      <c r="T24" s="610"/>
      <c r="U24" s="610"/>
      <c r="V24" s="610"/>
      <c r="W24" s="610"/>
      <c r="X24" s="610"/>
      <c r="Y24" s="610"/>
      <c r="Z24" s="2775">
        <v>450</v>
      </c>
      <c r="AA24" s="2775"/>
      <c r="AB24" s="2775"/>
      <c r="AC24" s="2775"/>
      <c r="AD24" s="2775"/>
      <c r="AE24" s="2775"/>
      <c r="AF24" s="2775"/>
      <c r="AG24" s="647"/>
      <c r="AH24" s="1018"/>
      <c r="AQ24" s="1114"/>
    </row>
    <row r="25" spans="5:43" ht="19.5" customHeight="1">
      <c r="E25" s="1046" t="s">
        <v>113</v>
      </c>
      <c r="G25" s="602" t="s">
        <v>1181</v>
      </c>
      <c r="H25" s="651"/>
      <c r="I25" s="610"/>
      <c r="J25" s="610"/>
      <c r="K25" s="610"/>
      <c r="L25" s="610"/>
      <c r="M25" s="610"/>
      <c r="N25" s="610"/>
      <c r="O25" s="610"/>
      <c r="P25" s="610"/>
      <c r="Q25" s="610"/>
      <c r="R25" s="610"/>
      <c r="S25" s="610"/>
      <c r="T25" s="610"/>
      <c r="U25" s="610"/>
      <c r="V25" s="610"/>
      <c r="W25" s="610"/>
      <c r="X25" s="610"/>
      <c r="Y25" s="610"/>
      <c r="Z25" s="610"/>
      <c r="AA25" s="610"/>
      <c r="AB25" s="610"/>
      <c r="AC25" s="568"/>
      <c r="AD25" s="568"/>
      <c r="AE25" s="568"/>
      <c r="AF25" s="568"/>
      <c r="AG25" s="647"/>
      <c r="AH25" s="1018"/>
    </row>
    <row r="26" spans="5:43" ht="19.5" customHeight="1">
      <c r="E26" s="1172"/>
      <c r="F26" s="1057"/>
      <c r="G26" s="619"/>
      <c r="I26" s="76" t="b">
        <v>1</v>
      </c>
      <c r="J26" s="568" t="s">
        <v>65</v>
      </c>
      <c r="U26" s="76" t="b">
        <v>1</v>
      </c>
      <c r="V26" s="568" t="s">
        <v>69</v>
      </c>
      <c r="AC26" s="619"/>
      <c r="AD26" s="568"/>
      <c r="AE26" s="619"/>
      <c r="AF26" s="568"/>
      <c r="AG26" s="619"/>
      <c r="AH26" s="1018"/>
    </row>
    <row r="27" spans="5:43" ht="19.5" customHeight="1">
      <c r="E27" s="1172"/>
      <c r="F27" s="1057"/>
      <c r="G27" s="619"/>
      <c r="I27" s="76" t="b">
        <v>0</v>
      </c>
      <c r="J27" s="568" t="s">
        <v>66</v>
      </c>
      <c r="U27" s="76" t="b">
        <v>0</v>
      </c>
      <c r="V27" s="568" t="s">
        <v>68</v>
      </c>
      <c r="AC27" s="619"/>
      <c r="AD27" s="568"/>
      <c r="AE27" s="568"/>
      <c r="AF27" s="568"/>
      <c r="AG27" s="568"/>
      <c r="AH27" s="1018"/>
    </row>
    <row r="28" spans="5:43" ht="19.5" customHeight="1">
      <c r="E28" s="1172"/>
      <c r="F28" s="1057"/>
      <c r="G28" s="619"/>
      <c r="I28" s="76" t="b">
        <v>0</v>
      </c>
      <c r="J28" s="568" t="s">
        <v>67</v>
      </c>
      <c r="U28" s="76" t="b">
        <v>0</v>
      </c>
      <c r="V28" s="735" t="s">
        <v>908</v>
      </c>
      <c r="W28" s="681"/>
      <c r="X28" s="681"/>
      <c r="Y28" s="681"/>
      <c r="Z28" s="2773"/>
      <c r="AA28" s="2773"/>
      <c r="AB28" s="2773"/>
      <c r="AC28" s="2773"/>
      <c r="AD28" s="2773"/>
      <c r="AE28" s="2773"/>
      <c r="AF28" s="2773"/>
      <c r="AG28" s="568"/>
      <c r="AH28" s="1018"/>
    </row>
    <row r="29" spans="5:43" ht="17.5" customHeight="1" thickBot="1">
      <c r="E29" s="612"/>
      <c r="F29" s="613"/>
      <c r="G29" s="613"/>
      <c r="H29" s="613"/>
      <c r="I29" s="613"/>
      <c r="J29" s="613"/>
      <c r="K29" s="613"/>
      <c r="L29" s="613"/>
      <c r="M29" s="613"/>
      <c r="N29" s="613"/>
      <c r="O29" s="613"/>
      <c r="P29" s="613"/>
      <c r="Q29" s="613"/>
      <c r="R29" s="613"/>
      <c r="S29" s="613"/>
      <c r="T29" s="613"/>
      <c r="U29" s="613"/>
      <c r="V29" s="613"/>
      <c r="W29" s="613"/>
      <c r="X29" s="613"/>
      <c r="Y29" s="613"/>
      <c r="Z29" s="1170" t="str">
        <f>IF(AND(opmainsanf_sanfclean_payavecos_monbm_others=TRUE,ISBLANK(opmainsanf_sanfclean_payavecos_monbm_other_specify)),"Please specify.",IF(AND(opmainsanf_sanfclean_payavecos_monbm_others=FALSE,(opmainsanf_sanfclean_payavecos_monbm_other_specify&gt;0)),"Please check Others if you have entries.",""))</f>
        <v/>
      </c>
      <c r="AA29" s="613"/>
      <c r="AB29" s="613"/>
      <c r="AC29" s="613"/>
      <c r="AD29" s="613"/>
      <c r="AE29" s="613"/>
      <c r="AF29" s="613"/>
      <c r="AG29" s="613"/>
      <c r="AH29" s="1069"/>
    </row>
    <row r="30" spans="5:43" ht="21" customHeight="1"/>
    <row r="31" spans="5:43" ht="20.5">
      <c r="E31" s="1171" t="s">
        <v>11804</v>
      </c>
      <c r="F31" s="645"/>
      <c r="G31" s="567"/>
      <c r="H31" s="1036"/>
      <c r="I31" s="1036"/>
      <c r="J31" s="1036"/>
      <c r="K31" s="645"/>
      <c r="L31" s="645"/>
      <c r="M31" s="645"/>
      <c r="N31" s="645"/>
      <c r="O31" s="645"/>
    </row>
    <row r="32" spans="5:43" s="568" customFormat="1" ht="16" thickBot="1">
      <c r="E32" s="582" t="s">
        <v>904</v>
      </c>
      <c r="AJ32" s="602"/>
      <c r="AK32" s="602"/>
      <c r="AL32" s="602"/>
      <c r="AM32" s="602"/>
      <c r="AN32" s="602"/>
      <c r="AO32" s="602"/>
    </row>
    <row r="33" spans="2:50" ht="5.15" customHeight="1">
      <c r="E33" s="638"/>
      <c r="F33" s="1156"/>
      <c r="G33" s="729"/>
      <c r="H33" s="1155"/>
      <c r="I33" s="1155"/>
      <c r="J33" s="1155"/>
      <c r="K33" s="1156"/>
      <c r="L33" s="1156"/>
      <c r="M33" s="1156"/>
      <c r="N33" s="1156"/>
      <c r="O33" s="1156"/>
      <c r="P33" s="640"/>
      <c r="Q33" s="640"/>
      <c r="R33" s="640"/>
      <c r="S33" s="640"/>
      <c r="T33" s="640"/>
      <c r="U33" s="640"/>
      <c r="V33" s="640"/>
      <c r="W33" s="640"/>
      <c r="X33" s="640"/>
      <c r="Y33" s="640"/>
      <c r="Z33" s="640"/>
      <c r="AA33" s="640"/>
      <c r="AB33" s="640"/>
      <c r="AC33" s="640"/>
      <c r="AD33" s="640"/>
      <c r="AE33" s="640"/>
      <c r="AF33" s="640"/>
      <c r="AG33" s="640"/>
      <c r="AH33" s="1056"/>
    </row>
    <row r="34" spans="2:50" ht="22.5" customHeight="1">
      <c r="E34" s="614"/>
      <c r="F34" s="602" t="s">
        <v>360</v>
      </c>
      <c r="G34" s="681"/>
      <c r="H34" s="1036"/>
      <c r="I34" s="1036"/>
      <c r="J34" s="1036"/>
      <c r="K34" s="1094"/>
      <c r="L34" s="1094"/>
      <c r="M34" s="1094"/>
      <c r="N34" s="1094"/>
      <c r="O34" s="1094"/>
      <c r="V34" s="1036"/>
      <c r="W34" s="1036"/>
      <c r="X34" s="857" t="b">
        <v>0</v>
      </c>
      <c r="Y34" s="588" t="s">
        <v>64</v>
      </c>
      <c r="Z34" s="588"/>
      <c r="AC34" s="857" t="b">
        <v>1</v>
      </c>
      <c r="AD34" s="588" t="s">
        <v>0</v>
      </c>
      <c r="AE34" s="874"/>
      <c r="AF34" s="588"/>
      <c r="AH34" s="1018"/>
    </row>
    <row r="35" spans="2:50" ht="19.5" customHeight="1">
      <c r="E35" s="1160"/>
      <c r="G35" s="602" t="s">
        <v>261</v>
      </c>
      <c r="H35" s="1036"/>
      <c r="I35" s="1036"/>
      <c r="J35" s="1036"/>
      <c r="K35" s="645"/>
      <c r="L35" s="645"/>
      <c r="M35" s="645"/>
      <c r="N35" s="645"/>
      <c r="O35" s="645"/>
      <c r="AH35" s="1018"/>
    </row>
    <row r="36" spans="2:50" ht="19.5" customHeight="1">
      <c r="E36" s="1160"/>
      <c r="H36" s="567"/>
      <c r="I36" s="76" t="b">
        <v>0</v>
      </c>
      <c r="J36" s="568" t="s">
        <v>241</v>
      </c>
      <c r="U36" s="76" t="b">
        <v>0</v>
      </c>
      <c r="V36" s="568" t="s">
        <v>233</v>
      </c>
      <c r="AH36" s="1018"/>
    </row>
    <row r="37" spans="2:50" ht="19.5" customHeight="1">
      <c r="E37" s="1160"/>
      <c r="H37" s="567"/>
      <c r="I37" s="76" t="b">
        <v>0</v>
      </c>
      <c r="J37" s="568" t="s">
        <v>232</v>
      </c>
      <c r="U37" s="76" t="b">
        <v>0</v>
      </c>
      <c r="V37" s="735" t="s">
        <v>908</v>
      </c>
      <c r="W37" s="681"/>
      <c r="X37" s="681"/>
      <c r="Y37" s="681"/>
      <c r="Z37" s="2773"/>
      <c r="AA37" s="2773"/>
      <c r="AB37" s="2773"/>
      <c r="AC37" s="2773"/>
      <c r="AD37" s="2773"/>
      <c r="AE37" s="2773"/>
      <c r="AF37" s="2773"/>
      <c r="AH37" s="1018"/>
    </row>
    <row r="38" spans="2:50" ht="19" customHeight="1" thickBot="1">
      <c r="E38" s="1169"/>
      <c r="F38" s="866"/>
      <c r="G38" s="562"/>
      <c r="H38" s="1130"/>
      <c r="I38" s="1130"/>
      <c r="J38" s="613"/>
      <c r="K38" s="613"/>
      <c r="L38" s="613"/>
      <c r="M38" s="613"/>
      <c r="N38" s="613"/>
      <c r="O38" s="613"/>
      <c r="P38" s="613"/>
      <c r="Q38" s="613"/>
      <c r="R38" s="613"/>
      <c r="S38" s="613"/>
      <c r="T38" s="613"/>
      <c r="U38" s="613"/>
      <c r="V38" s="613"/>
      <c r="W38" s="613"/>
      <c r="X38" s="613"/>
      <c r="Y38" s="613"/>
      <c r="Z38" s="1170" t="str">
        <f>IF(AND(mestrualh_avail_sanpads_yes_others=TRUE,ISBLANK(mestrualh_avail_sanpads_yes_others_specify)),"Please specify.",IF(AND(mestrualh_avail_sanpads_yes_others=FALSE,(mestrualh_avail_sanpads_yes_others_specify&gt;0)),"Please check Others if you have entries.",""))</f>
        <v/>
      </c>
      <c r="AA38" s="613"/>
      <c r="AB38" s="613"/>
      <c r="AC38" s="613"/>
      <c r="AD38" s="613"/>
      <c r="AE38" s="613"/>
      <c r="AF38" s="613"/>
      <c r="AG38" s="613"/>
      <c r="AH38" s="1069"/>
    </row>
    <row r="39" spans="2:50" s="128" customFormat="1" ht="30.75" customHeight="1">
      <c r="AI39" s="187"/>
    </row>
    <row r="40" spans="2:50" s="168" customFormat="1" ht="14">
      <c r="B40" s="169" t="s">
        <v>847</v>
      </c>
      <c r="Q40" s="169" t="s">
        <v>765</v>
      </c>
      <c r="AI40" s="169" t="s">
        <v>783</v>
      </c>
    </row>
    <row r="41" spans="2:50" s="168" customFormat="1" ht="21.75" customHeight="1">
      <c r="B41" s="169" t="s">
        <v>748</v>
      </c>
      <c r="F41" s="1959" t="str">
        <f>activesheet!E29</f>
        <v>RICO S. MISPEROS</v>
      </c>
      <c r="G41" s="1959"/>
      <c r="H41" s="1959"/>
      <c r="I41" s="1959"/>
      <c r="J41" s="1959"/>
      <c r="K41" s="1959"/>
      <c r="L41" s="1959"/>
      <c r="M41" s="1959"/>
      <c r="N41" s="1959"/>
      <c r="Q41" s="1959" t="str">
        <f>activesheet!E2079</f>
        <v>RAQUEL N. ACOMPAŇADO</v>
      </c>
      <c r="R41" s="1959"/>
      <c r="S41" s="1959"/>
      <c r="T41" s="1959"/>
      <c r="U41" s="1959"/>
      <c r="V41" s="1959"/>
      <c r="W41" s="1959"/>
      <c r="X41" s="1959"/>
      <c r="Y41" s="1959"/>
      <c r="Z41" s="1959"/>
      <c r="AA41" s="1959"/>
      <c r="AB41" s="1959"/>
      <c r="AC41" s="1959"/>
      <c r="AD41" s="1959"/>
      <c r="AE41" s="1959"/>
      <c r="AF41" s="1959"/>
      <c r="AI41" s="1956" t="str">
        <f>activesheet!E31</f>
        <v>MICHAEL T. JAMIS</v>
      </c>
      <c r="AJ41" s="1956"/>
      <c r="AK41" s="1956"/>
      <c r="AL41" s="1956"/>
      <c r="AM41" s="1956"/>
      <c r="AN41" s="1956"/>
      <c r="AO41" s="1956"/>
      <c r="AP41" s="1956"/>
      <c r="AQ41" s="1956"/>
      <c r="AR41" s="1956"/>
      <c r="AS41" s="1956"/>
      <c r="AT41" s="1956"/>
      <c r="AU41" s="1956"/>
      <c r="AV41" s="169"/>
      <c r="AW41" s="169"/>
      <c r="AX41" s="169"/>
    </row>
    <row r="42" spans="2:50" s="156" customFormat="1" ht="14">
      <c r="B42" s="655"/>
      <c r="F42" s="1764" t="s">
        <v>741</v>
      </c>
      <c r="G42" s="1764"/>
      <c r="H42" s="1764"/>
      <c r="I42" s="1764"/>
      <c r="J42" s="1764"/>
      <c r="K42" s="1764"/>
      <c r="L42" s="1764"/>
      <c r="M42" s="1764"/>
      <c r="N42" s="1764"/>
      <c r="O42" s="152"/>
      <c r="P42" s="152"/>
      <c r="Q42" s="1764" t="s">
        <v>741</v>
      </c>
      <c r="R42" s="1764"/>
      <c r="S42" s="1764"/>
      <c r="T42" s="1764"/>
      <c r="U42" s="1764"/>
      <c r="V42" s="1764"/>
      <c r="W42" s="1764"/>
      <c r="X42" s="1764"/>
      <c r="Y42" s="1764"/>
      <c r="Z42" s="1764"/>
      <c r="AA42" s="1764"/>
      <c r="AB42" s="1764"/>
      <c r="AC42" s="1764"/>
      <c r="AD42" s="1764"/>
      <c r="AE42" s="1764"/>
      <c r="AF42" s="1764"/>
      <c r="AI42" s="1957"/>
      <c r="AJ42" s="1957"/>
      <c r="AK42" s="1957"/>
      <c r="AL42" s="1957"/>
      <c r="AM42" s="1957"/>
      <c r="AN42" s="1957"/>
      <c r="AO42" s="1957"/>
      <c r="AP42" s="1957"/>
      <c r="AQ42" s="1957"/>
      <c r="AR42" s="1957"/>
      <c r="AS42" s="1957"/>
      <c r="AT42" s="1957"/>
      <c r="AU42" s="1957"/>
      <c r="AV42" s="169"/>
      <c r="AW42" s="169"/>
      <c r="AX42" s="169"/>
    </row>
    <row r="43" spans="2:50" s="168" customFormat="1" ht="21.75" customHeight="1">
      <c r="B43" s="169" t="s">
        <v>71</v>
      </c>
      <c r="F43" s="1959" t="str">
        <f>activesheet!E30</f>
        <v>SCHOOL PRINCIPAL II</v>
      </c>
      <c r="G43" s="1959"/>
      <c r="H43" s="1959"/>
      <c r="I43" s="1959"/>
      <c r="J43" s="1959"/>
      <c r="K43" s="1959"/>
      <c r="L43" s="1959"/>
      <c r="M43" s="1959"/>
      <c r="N43" s="1959"/>
      <c r="Q43" s="169" t="s">
        <v>71</v>
      </c>
      <c r="U43" s="1959" t="str">
        <f>activesheet!E2080</f>
        <v>Nurse II</v>
      </c>
      <c r="V43" s="1959"/>
      <c r="W43" s="1959"/>
      <c r="X43" s="1959"/>
      <c r="Y43" s="1959"/>
      <c r="Z43" s="1959"/>
      <c r="AA43" s="1959"/>
      <c r="AB43" s="1959"/>
      <c r="AC43" s="1959"/>
      <c r="AD43" s="1959"/>
      <c r="AE43" s="1959"/>
      <c r="AF43" s="1959"/>
      <c r="AI43" s="1764" t="s">
        <v>741</v>
      </c>
      <c r="AJ43" s="1764"/>
      <c r="AK43" s="1764"/>
      <c r="AL43" s="1764"/>
      <c r="AM43" s="1764"/>
      <c r="AN43" s="1764"/>
      <c r="AO43" s="1764"/>
      <c r="AP43" s="1764"/>
      <c r="AQ43" s="1764"/>
      <c r="AR43" s="1764"/>
      <c r="AS43" s="1764"/>
      <c r="AT43" s="1764"/>
      <c r="AU43" s="1764"/>
      <c r="AV43" s="1040"/>
      <c r="AW43" s="1040"/>
      <c r="AX43" s="1040"/>
    </row>
    <row r="44" spans="2:50" s="1036" customFormat="1" ht="14"/>
  </sheetData>
  <sheetProtection algorithmName="SHA-512" hashValue="ojAq72SPiiWV75cExM0x3P4a5SkGWN1VczebOhF/muENnP98paq2tJOFc8utmsvJWmvslcw/7ay0SDzqKSwa+w==" saltValue="7Tx20RdqyG5x7BhfsWedqg==" spinCount="100000" sheet="1" objects="1" scenarios="1" selectLockedCells="1"/>
  <mergeCells count="12">
    <mergeCell ref="F43:N43"/>
    <mergeCell ref="U43:AF43"/>
    <mergeCell ref="AI43:AU43"/>
    <mergeCell ref="E18:AN18"/>
    <mergeCell ref="Z24:AF24"/>
    <mergeCell ref="Z28:AF28"/>
    <mergeCell ref="Z37:AF37"/>
    <mergeCell ref="F41:N41"/>
    <mergeCell ref="Q41:AF41"/>
    <mergeCell ref="AI41:AU42"/>
    <mergeCell ref="F42:N42"/>
    <mergeCell ref="Q42:AF42"/>
  </mergeCells>
  <conditionalFormatting sqref="G35">
    <cfRule type="expression" dxfId="5" priority="8">
      <formula>AND(X34=TRUE, AND(I36=FALSE, I37=FALSE, U36=FALSE, U37=FALSE))</formula>
    </cfRule>
  </conditionalFormatting>
  <conditionalFormatting sqref="G24">
    <cfRule type="expression" dxfId="4" priority="5">
      <formula>AND(OR(I22=TRUE, I23=TRUE, U22=TRUE, U23=TRUE), Z24=0)</formula>
    </cfRule>
  </conditionalFormatting>
  <conditionalFormatting sqref="G25">
    <cfRule type="expression" dxfId="3" priority="1">
      <formula>AND(AND(I26=FALSE, I27=FALSE, I28=FALSE, U26=FALSE, U27=FALSE, U28=FALSE), Z24&gt;0)</formula>
    </cfRule>
  </conditionalFormatting>
  <dataValidations count="1">
    <dataValidation type="decimal" allowBlank="1" showInputMessage="1" showErrorMessage="1" errorTitle="GESP SY 2022-2023" error="Please enter valid number between 0-1,000,000.00." sqref="Z24:AF24" xr:uid="{00000000-0002-0000-2700-000000000000}">
      <formula1>0</formula1>
      <formula2>1000000</formula2>
    </dataValidation>
  </dataValidations>
  <printOptions horizontalCentered="1" verticalCentered="1"/>
  <pageMargins left="0.25" right="0.25" top="0.2" bottom="0.2" header="0" footer="0.1"/>
  <pageSetup paperSize="9" scale="76" orientation="landscape" r:id="rId1"/>
  <headerFooter alignWithMargins="0">
    <oddFooter>&amp;L&amp;10&amp;F &amp;A&amp;R&amp;11Page 36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2577" r:id="rId4" name="Check Box 1">
              <controlPr locked="0" defaultSize="0" autoFill="0" autoLine="0" autoPict="0">
                <anchor moveWithCells="1">
                  <from>
                    <xdr:col>27</xdr:col>
                    <xdr:colOff>50800</xdr:colOff>
                    <xdr:row>4</xdr:row>
                    <xdr:rowOff>50800</xdr:rowOff>
                  </from>
                  <to>
                    <xdr:col>30</xdr:col>
                    <xdr:colOff>31750</xdr:colOff>
                    <xdr:row>4</xdr:row>
                    <xdr:rowOff>260350</xdr:rowOff>
                  </to>
                </anchor>
              </controlPr>
            </control>
          </mc:Choice>
        </mc:AlternateContent>
        <mc:AlternateContent xmlns:mc="http://schemas.openxmlformats.org/markup-compatibility/2006">
          <mc:Choice Requires="x14">
            <control shapeId="152578" r:id="rId5" name="Check Box 2">
              <controlPr locked="0" defaultSize="0" autoFill="0" autoLine="0" autoPict="0">
                <anchor moveWithCells="1">
                  <from>
                    <xdr:col>32</xdr:col>
                    <xdr:colOff>50800</xdr:colOff>
                    <xdr:row>4</xdr:row>
                    <xdr:rowOff>50800</xdr:rowOff>
                  </from>
                  <to>
                    <xdr:col>35</xdr:col>
                    <xdr:colOff>31750</xdr:colOff>
                    <xdr:row>4</xdr:row>
                    <xdr:rowOff>260350</xdr:rowOff>
                  </to>
                </anchor>
              </controlPr>
            </control>
          </mc:Choice>
        </mc:AlternateContent>
        <mc:AlternateContent xmlns:mc="http://schemas.openxmlformats.org/markup-compatibility/2006">
          <mc:Choice Requires="x14">
            <control shapeId="152579" r:id="rId6" name="Check Box 3">
              <controlPr locked="0" defaultSize="0" autoFill="0" autoLine="0" autoPict="0">
                <anchor moveWithCells="1">
                  <from>
                    <xdr:col>8</xdr:col>
                    <xdr:colOff>38100</xdr:colOff>
                    <xdr:row>7</xdr:row>
                    <xdr:rowOff>31750</xdr:rowOff>
                  </from>
                  <to>
                    <xdr:col>11</xdr:col>
                    <xdr:colOff>12700</xdr:colOff>
                    <xdr:row>7</xdr:row>
                    <xdr:rowOff>241300</xdr:rowOff>
                  </to>
                </anchor>
              </controlPr>
            </control>
          </mc:Choice>
        </mc:AlternateContent>
        <mc:AlternateContent xmlns:mc="http://schemas.openxmlformats.org/markup-compatibility/2006">
          <mc:Choice Requires="x14">
            <control shapeId="152580" r:id="rId7" name="Check Box 4">
              <controlPr locked="0" defaultSize="0" autoFill="0" autoLine="0" autoPict="0">
                <anchor moveWithCells="1">
                  <from>
                    <xdr:col>8</xdr:col>
                    <xdr:colOff>38100</xdr:colOff>
                    <xdr:row>8</xdr:row>
                    <xdr:rowOff>31750</xdr:rowOff>
                  </from>
                  <to>
                    <xdr:col>11</xdr:col>
                    <xdr:colOff>12700</xdr:colOff>
                    <xdr:row>8</xdr:row>
                    <xdr:rowOff>241300</xdr:rowOff>
                  </to>
                </anchor>
              </controlPr>
            </control>
          </mc:Choice>
        </mc:AlternateContent>
        <mc:AlternateContent xmlns:mc="http://schemas.openxmlformats.org/markup-compatibility/2006">
          <mc:Choice Requires="x14">
            <control shapeId="152581" r:id="rId8" name="Check Box 5">
              <controlPr locked="0" defaultSize="0" autoFill="0" autoLine="0" autoPict="0">
                <anchor moveWithCells="1">
                  <from>
                    <xdr:col>8</xdr:col>
                    <xdr:colOff>38100</xdr:colOff>
                    <xdr:row>9</xdr:row>
                    <xdr:rowOff>31750</xdr:rowOff>
                  </from>
                  <to>
                    <xdr:col>11</xdr:col>
                    <xdr:colOff>12700</xdr:colOff>
                    <xdr:row>9</xdr:row>
                    <xdr:rowOff>241300</xdr:rowOff>
                  </to>
                </anchor>
              </controlPr>
            </control>
          </mc:Choice>
        </mc:AlternateContent>
        <mc:AlternateContent xmlns:mc="http://schemas.openxmlformats.org/markup-compatibility/2006">
          <mc:Choice Requires="x14">
            <control shapeId="152582" r:id="rId9" name="Check Box 6">
              <controlPr locked="0" defaultSize="0" autoFill="0" autoLine="0" autoPict="0">
                <anchor moveWithCells="1">
                  <from>
                    <xdr:col>20</xdr:col>
                    <xdr:colOff>38100</xdr:colOff>
                    <xdr:row>7</xdr:row>
                    <xdr:rowOff>31750</xdr:rowOff>
                  </from>
                  <to>
                    <xdr:col>23</xdr:col>
                    <xdr:colOff>12700</xdr:colOff>
                    <xdr:row>7</xdr:row>
                    <xdr:rowOff>241300</xdr:rowOff>
                  </to>
                </anchor>
              </controlPr>
            </control>
          </mc:Choice>
        </mc:AlternateContent>
        <mc:AlternateContent xmlns:mc="http://schemas.openxmlformats.org/markup-compatibility/2006">
          <mc:Choice Requires="x14">
            <control shapeId="152583" r:id="rId10" name="Check Box 7">
              <controlPr locked="0" defaultSize="0" autoFill="0" autoLine="0" autoPict="0">
                <anchor moveWithCells="1">
                  <from>
                    <xdr:col>20</xdr:col>
                    <xdr:colOff>38100</xdr:colOff>
                    <xdr:row>8</xdr:row>
                    <xdr:rowOff>31750</xdr:rowOff>
                  </from>
                  <to>
                    <xdr:col>23</xdr:col>
                    <xdr:colOff>12700</xdr:colOff>
                    <xdr:row>8</xdr:row>
                    <xdr:rowOff>241300</xdr:rowOff>
                  </to>
                </anchor>
              </controlPr>
            </control>
          </mc:Choice>
        </mc:AlternateContent>
        <mc:AlternateContent xmlns:mc="http://schemas.openxmlformats.org/markup-compatibility/2006">
          <mc:Choice Requires="x14">
            <control shapeId="152584" r:id="rId11" name="Check Box 8">
              <controlPr locked="0" defaultSize="0" autoFill="0" autoLine="0" autoPict="0">
                <anchor moveWithCells="1">
                  <from>
                    <xdr:col>20</xdr:col>
                    <xdr:colOff>38100</xdr:colOff>
                    <xdr:row>9</xdr:row>
                    <xdr:rowOff>31750</xdr:rowOff>
                  </from>
                  <to>
                    <xdr:col>23</xdr:col>
                    <xdr:colOff>12700</xdr:colOff>
                    <xdr:row>9</xdr:row>
                    <xdr:rowOff>241300</xdr:rowOff>
                  </to>
                </anchor>
              </controlPr>
            </control>
          </mc:Choice>
        </mc:AlternateContent>
        <mc:AlternateContent xmlns:mc="http://schemas.openxmlformats.org/markup-compatibility/2006">
          <mc:Choice Requires="x14">
            <control shapeId="152585" r:id="rId12" name="Check Box 9">
              <controlPr locked="0" defaultSize="0" autoFill="0" autoLine="0" autoPict="0">
                <anchor moveWithCells="1">
                  <from>
                    <xdr:col>32</xdr:col>
                    <xdr:colOff>38100</xdr:colOff>
                    <xdr:row>7</xdr:row>
                    <xdr:rowOff>31750</xdr:rowOff>
                  </from>
                  <to>
                    <xdr:col>35</xdr:col>
                    <xdr:colOff>12700</xdr:colOff>
                    <xdr:row>7</xdr:row>
                    <xdr:rowOff>241300</xdr:rowOff>
                  </to>
                </anchor>
              </controlPr>
            </control>
          </mc:Choice>
        </mc:AlternateContent>
        <mc:AlternateContent xmlns:mc="http://schemas.openxmlformats.org/markup-compatibility/2006">
          <mc:Choice Requires="x14">
            <control shapeId="152586" r:id="rId13" name="Check Box 10">
              <controlPr locked="0" defaultSize="0" autoFill="0" autoLine="0" autoPict="0">
                <anchor moveWithCells="1">
                  <from>
                    <xdr:col>32</xdr:col>
                    <xdr:colOff>38100</xdr:colOff>
                    <xdr:row>8</xdr:row>
                    <xdr:rowOff>31750</xdr:rowOff>
                  </from>
                  <to>
                    <xdr:col>35</xdr:col>
                    <xdr:colOff>12700</xdr:colOff>
                    <xdr:row>8</xdr:row>
                    <xdr:rowOff>241300</xdr:rowOff>
                  </to>
                </anchor>
              </controlPr>
            </control>
          </mc:Choice>
        </mc:AlternateContent>
        <mc:AlternateContent xmlns:mc="http://schemas.openxmlformats.org/markup-compatibility/2006">
          <mc:Choice Requires="x14">
            <control shapeId="152587" r:id="rId14" name="Check Box 11">
              <controlPr locked="0" defaultSize="0" autoFill="0" autoLine="0" autoPict="0">
                <anchor moveWithCells="1">
                  <from>
                    <xdr:col>32</xdr:col>
                    <xdr:colOff>38100</xdr:colOff>
                    <xdr:row>9</xdr:row>
                    <xdr:rowOff>31750</xdr:rowOff>
                  </from>
                  <to>
                    <xdr:col>35</xdr:col>
                    <xdr:colOff>12700</xdr:colOff>
                    <xdr:row>9</xdr:row>
                    <xdr:rowOff>241300</xdr:rowOff>
                  </to>
                </anchor>
              </controlPr>
            </control>
          </mc:Choice>
        </mc:AlternateContent>
        <mc:AlternateContent xmlns:mc="http://schemas.openxmlformats.org/markup-compatibility/2006">
          <mc:Choice Requires="x14">
            <control shapeId="152588" r:id="rId15" name="Check Box 12">
              <controlPr locked="0" defaultSize="0" autoFill="0" autoLine="0" autoPict="0">
                <anchor moveWithCells="1">
                  <from>
                    <xdr:col>32</xdr:col>
                    <xdr:colOff>38100</xdr:colOff>
                    <xdr:row>10</xdr:row>
                    <xdr:rowOff>31750</xdr:rowOff>
                  </from>
                  <to>
                    <xdr:col>35</xdr:col>
                    <xdr:colOff>12700</xdr:colOff>
                    <xdr:row>10</xdr:row>
                    <xdr:rowOff>241300</xdr:rowOff>
                  </to>
                </anchor>
              </controlPr>
            </control>
          </mc:Choice>
        </mc:AlternateContent>
        <mc:AlternateContent xmlns:mc="http://schemas.openxmlformats.org/markup-compatibility/2006">
          <mc:Choice Requires="x14">
            <control shapeId="152589" r:id="rId16" name="Check Box 13">
              <controlPr locked="0" defaultSize="0" autoFill="0" autoLine="0" autoPict="0">
                <anchor moveWithCells="1">
                  <from>
                    <xdr:col>32</xdr:col>
                    <xdr:colOff>38100</xdr:colOff>
                    <xdr:row>13</xdr:row>
                    <xdr:rowOff>31750</xdr:rowOff>
                  </from>
                  <to>
                    <xdr:col>35</xdr:col>
                    <xdr:colOff>12700</xdr:colOff>
                    <xdr:row>13</xdr:row>
                    <xdr:rowOff>241300</xdr:rowOff>
                  </to>
                </anchor>
              </controlPr>
            </control>
          </mc:Choice>
        </mc:AlternateContent>
        <mc:AlternateContent xmlns:mc="http://schemas.openxmlformats.org/markup-compatibility/2006">
          <mc:Choice Requires="x14">
            <control shapeId="152590" r:id="rId17" name="Check Box 14">
              <controlPr locked="0" defaultSize="0" autoFill="0" autoLine="0" autoPict="0">
                <anchor moveWithCells="1">
                  <from>
                    <xdr:col>20</xdr:col>
                    <xdr:colOff>38100</xdr:colOff>
                    <xdr:row>13</xdr:row>
                    <xdr:rowOff>31750</xdr:rowOff>
                  </from>
                  <to>
                    <xdr:col>23</xdr:col>
                    <xdr:colOff>12700</xdr:colOff>
                    <xdr:row>13</xdr:row>
                    <xdr:rowOff>241300</xdr:rowOff>
                  </to>
                </anchor>
              </controlPr>
            </control>
          </mc:Choice>
        </mc:AlternateContent>
        <mc:AlternateContent xmlns:mc="http://schemas.openxmlformats.org/markup-compatibility/2006">
          <mc:Choice Requires="x14">
            <control shapeId="152591" r:id="rId18" name="Check Box 15">
              <controlPr locked="0" defaultSize="0" autoFill="0" autoLine="0" autoPict="0">
                <anchor moveWithCells="1">
                  <from>
                    <xdr:col>20</xdr:col>
                    <xdr:colOff>38100</xdr:colOff>
                    <xdr:row>14</xdr:row>
                    <xdr:rowOff>31750</xdr:rowOff>
                  </from>
                  <to>
                    <xdr:col>23</xdr:col>
                    <xdr:colOff>12700</xdr:colOff>
                    <xdr:row>14</xdr:row>
                    <xdr:rowOff>241300</xdr:rowOff>
                  </to>
                </anchor>
              </controlPr>
            </control>
          </mc:Choice>
        </mc:AlternateContent>
        <mc:AlternateContent xmlns:mc="http://schemas.openxmlformats.org/markup-compatibility/2006">
          <mc:Choice Requires="x14">
            <control shapeId="152592" r:id="rId19" name="Check Box 16">
              <controlPr locked="0" defaultSize="0" autoFill="0" autoLine="0" autoPict="0">
                <anchor moveWithCells="1">
                  <from>
                    <xdr:col>8</xdr:col>
                    <xdr:colOff>38100</xdr:colOff>
                    <xdr:row>13</xdr:row>
                    <xdr:rowOff>31750</xdr:rowOff>
                  </from>
                  <to>
                    <xdr:col>11</xdr:col>
                    <xdr:colOff>12700</xdr:colOff>
                    <xdr:row>13</xdr:row>
                    <xdr:rowOff>241300</xdr:rowOff>
                  </to>
                </anchor>
              </controlPr>
            </control>
          </mc:Choice>
        </mc:AlternateContent>
        <mc:AlternateContent xmlns:mc="http://schemas.openxmlformats.org/markup-compatibility/2006">
          <mc:Choice Requires="x14">
            <control shapeId="152593" r:id="rId20" name="Check Box 17">
              <controlPr locked="0" defaultSize="0" autoFill="0" autoLine="0" autoPict="0">
                <anchor moveWithCells="1">
                  <from>
                    <xdr:col>8</xdr:col>
                    <xdr:colOff>38100</xdr:colOff>
                    <xdr:row>14</xdr:row>
                    <xdr:rowOff>31750</xdr:rowOff>
                  </from>
                  <to>
                    <xdr:col>11</xdr:col>
                    <xdr:colOff>12700</xdr:colOff>
                    <xdr:row>14</xdr:row>
                    <xdr:rowOff>241300</xdr:rowOff>
                  </to>
                </anchor>
              </controlPr>
            </control>
          </mc:Choice>
        </mc:AlternateContent>
        <mc:AlternateContent xmlns:mc="http://schemas.openxmlformats.org/markup-compatibility/2006">
          <mc:Choice Requires="x14">
            <control shapeId="152594" r:id="rId21" name="Check Box 18">
              <controlPr locked="0" defaultSize="0" autoFill="0" autoLine="0" autoPict="0">
                <anchor moveWithCells="1">
                  <from>
                    <xdr:col>8</xdr:col>
                    <xdr:colOff>38100</xdr:colOff>
                    <xdr:row>21</xdr:row>
                    <xdr:rowOff>31750</xdr:rowOff>
                  </from>
                  <to>
                    <xdr:col>11</xdr:col>
                    <xdr:colOff>12700</xdr:colOff>
                    <xdr:row>21</xdr:row>
                    <xdr:rowOff>228600</xdr:rowOff>
                  </to>
                </anchor>
              </controlPr>
            </control>
          </mc:Choice>
        </mc:AlternateContent>
        <mc:AlternateContent xmlns:mc="http://schemas.openxmlformats.org/markup-compatibility/2006">
          <mc:Choice Requires="x14">
            <control shapeId="152595" r:id="rId22" name="Check Box 19">
              <controlPr locked="0" defaultSize="0" autoFill="0" autoLine="0" autoPict="0">
                <anchor moveWithCells="1">
                  <from>
                    <xdr:col>8</xdr:col>
                    <xdr:colOff>38100</xdr:colOff>
                    <xdr:row>22</xdr:row>
                    <xdr:rowOff>12700</xdr:rowOff>
                  </from>
                  <to>
                    <xdr:col>11</xdr:col>
                    <xdr:colOff>12700</xdr:colOff>
                    <xdr:row>22</xdr:row>
                    <xdr:rowOff>222250</xdr:rowOff>
                  </to>
                </anchor>
              </controlPr>
            </control>
          </mc:Choice>
        </mc:AlternateContent>
        <mc:AlternateContent xmlns:mc="http://schemas.openxmlformats.org/markup-compatibility/2006">
          <mc:Choice Requires="x14">
            <control shapeId="152596" r:id="rId23" name="Check Box 20">
              <controlPr locked="0" defaultSize="0" autoFill="0" autoLine="0" autoPict="0">
                <anchor moveWithCells="1">
                  <from>
                    <xdr:col>8</xdr:col>
                    <xdr:colOff>38100</xdr:colOff>
                    <xdr:row>25</xdr:row>
                    <xdr:rowOff>31750</xdr:rowOff>
                  </from>
                  <to>
                    <xdr:col>11</xdr:col>
                    <xdr:colOff>12700</xdr:colOff>
                    <xdr:row>25</xdr:row>
                    <xdr:rowOff>228600</xdr:rowOff>
                  </to>
                </anchor>
              </controlPr>
            </control>
          </mc:Choice>
        </mc:AlternateContent>
        <mc:AlternateContent xmlns:mc="http://schemas.openxmlformats.org/markup-compatibility/2006">
          <mc:Choice Requires="x14">
            <control shapeId="152597" r:id="rId24" name="Check Box 21">
              <controlPr locked="0" defaultSize="0" autoFill="0" autoLine="0" autoPict="0">
                <anchor moveWithCells="1">
                  <from>
                    <xdr:col>8</xdr:col>
                    <xdr:colOff>38100</xdr:colOff>
                    <xdr:row>26</xdr:row>
                    <xdr:rowOff>12700</xdr:rowOff>
                  </from>
                  <to>
                    <xdr:col>11</xdr:col>
                    <xdr:colOff>12700</xdr:colOff>
                    <xdr:row>26</xdr:row>
                    <xdr:rowOff>222250</xdr:rowOff>
                  </to>
                </anchor>
              </controlPr>
            </control>
          </mc:Choice>
        </mc:AlternateContent>
        <mc:AlternateContent xmlns:mc="http://schemas.openxmlformats.org/markup-compatibility/2006">
          <mc:Choice Requires="x14">
            <control shapeId="152598" r:id="rId25" name="Check Box 22">
              <controlPr locked="0" defaultSize="0" autoFill="0" autoLine="0" autoPict="0">
                <anchor moveWithCells="1">
                  <from>
                    <xdr:col>8</xdr:col>
                    <xdr:colOff>38100</xdr:colOff>
                    <xdr:row>27</xdr:row>
                    <xdr:rowOff>31750</xdr:rowOff>
                  </from>
                  <to>
                    <xdr:col>11</xdr:col>
                    <xdr:colOff>12700</xdr:colOff>
                    <xdr:row>27</xdr:row>
                    <xdr:rowOff>228600</xdr:rowOff>
                  </to>
                </anchor>
              </controlPr>
            </control>
          </mc:Choice>
        </mc:AlternateContent>
        <mc:AlternateContent xmlns:mc="http://schemas.openxmlformats.org/markup-compatibility/2006">
          <mc:Choice Requires="x14">
            <control shapeId="152599" r:id="rId26" name="Check Box 23">
              <controlPr locked="0" defaultSize="0" autoFill="0" autoLine="0" autoPict="0">
                <anchor moveWithCells="1">
                  <from>
                    <xdr:col>20</xdr:col>
                    <xdr:colOff>38100</xdr:colOff>
                    <xdr:row>21</xdr:row>
                    <xdr:rowOff>31750</xdr:rowOff>
                  </from>
                  <to>
                    <xdr:col>23</xdr:col>
                    <xdr:colOff>12700</xdr:colOff>
                    <xdr:row>21</xdr:row>
                    <xdr:rowOff>228600</xdr:rowOff>
                  </to>
                </anchor>
              </controlPr>
            </control>
          </mc:Choice>
        </mc:AlternateContent>
        <mc:AlternateContent xmlns:mc="http://schemas.openxmlformats.org/markup-compatibility/2006">
          <mc:Choice Requires="x14">
            <control shapeId="152600" r:id="rId27" name="Check Box 24">
              <controlPr locked="0" defaultSize="0" autoFill="0" autoLine="0" autoPict="0">
                <anchor moveWithCells="1">
                  <from>
                    <xdr:col>20</xdr:col>
                    <xdr:colOff>38100</xdr:colOff>
                    <xdr:row>22</xdr:row>
                    <xdr:rowOff>31750</xdr:rowOff>
                  </from>
                  <to>
                    <xdr:col>23</xdr:col>
                    <xdr:colOff>12700</xdr:colOff>
                    <xdr:row>22</xdr:row>
                    <xdr:rowOff>228600</xdr:rowOff>
                  </to>
                </anchor>
              </controlPr>
            </control>
          </mc:Choice>
        </mc:AlternateContent>
        <mc:AlternateContent xmlns:mc="http://schemas.openxmlformats.org/markup-compatibility/2006">
          <mc:Choice Requires="x14">
            <control shapeId="152601" r:id="rId28" name="Check Box 25">
              <controlPr locked="0" defaultSize="0" autoFill="0" autoLine="0" autoPict="0">
                <anchor moveWithCells="1">
                  <from>
                    <xdr:col>20</xdr:col>
                    <xdr:colOff>38100</xdr:colOff>
                    <xdr:row>25</xdr:row>
                    <xdr:rowOff>31750</xdr:rowOff>
                  </from>
                  <to>
                    <xdr:col>23</xdr:col>
                    <xdr:colOff>12700</xdr:colOff>
                    <xdr:row>25</xdr:row>
                    <xdr:rowOff>228600</xdr:rowOff>
                  </to>
                </anchor>
              </controlPr>
            </control>
          </mc:Choice>
        </mc:AlternateContent>
        <mc:AlternateContent xmlns:mc="http://schemas.openxmlformats.org/markup-compatibility/2006">
          <mc:Choice Requires="x14">
            <control shapeId="152602" r:id="rId29" name="Check Box 26">
              <controlPr locked="0" defaultSize="0" autoFill="0" autoLine="0" autoPict="0">
                <anchor moveWithCells="1">
                  <from>
                    <xdr:col>20</xdr:col>
                    <xdr:colOff>38100</xdr:colOff>
                    <xdr:row>26</xdr:row>
                    <xdr:rowOff>31750</xdr:rowOff>
                  </from>
                  <to>
                    <xdr:col>23</xdr:col>
                    <xdr:colOff>12700</xdr:colOff>
                    <xdr:row>26</xdr:row>
                    <xdr:rowOff>228600</xdr:rowOff>
                  </to>
                </anchor>
              </controlPr>
            </control>
          </mc:Choice>
        </mc:AlternateContent>
        <mc:AlternateContent xmlns:mc="http://schemas.openxmlformats.org/markup-compatibility/2006">
          <mc:Choice Requires="x14">
            <control shapeId="152603" r:id="rId30" name="Check Box 27">
              <controlPr locked="0" defaultSize="0" autoFill="0" autoLine="0" autoPict="0">
                <anchor moveWithCells="1">
                  <from>
                    <xdr:col>20</xdr:col>
                    <xdr:colOff>38100</xdr:colOff>
                    <xdr:row>27</xdr:row>
                    <xdr:rowOff>31750</xdr:rowOff>
                  </from>
                  <to>
                    <xdr:col>23</xdr:col>
                    <xdr:colOff>12700</xdr:colOff>
                    <xdr:row>27</xdr:row>
                    <xdr:rowOff>228600</xdr:rowOff>
                  </to>
                </anchor>
              </controlPr>
            </control>
          </mc:Choice>
        </mc:AlternateContent>
        <mc:AlternateContent xmlns:mc="http://schemas.openxmlformats.org/markup-compatibility/2006">
          <mc:Choice Requires="x14">
            <control shapeId="152604" r:id="rId31" name="Check Box 28">
              <controlPr locked="0" defaultSize="0" autoFill="0" autoLine="0" autoPict="0">
                <anchor moveWithCells="1">
                  <from>
                    <xdr:col>20</xdr:col>
                    <xdr:colOff>38100</xdr:colOff>
                    <xdr:row>35</xdr:row>
                    <xdr:rowOff>31750</xdr:rowOff>
                  </from>
                  <to>
                    <xdr:col>23</xdr:col>
                    <xdr:colOff>12700</xdr:colOff>
                    <xdr:row>35</xdr:row>
                    <xdr:rowOff>228600</xdr:rowOff>
                  </to>
                </anchor>
              </controlPr>
            </control>
          </mc:Choice>
        </mc:AlternateContent>
        <mc:AlternateContent xmlns:mc="http://schemas.openxmlformats.org/markup-compatibility/2006">
          <mc:Choice Requires="x14">
            <control shapeId="152605" r:id="rId32" name="Check Box 29">
              <controlPr locked="0" defaultSize="0" autoFill="0" autoLine="0" autoPict="0">
                <anchor moveWithCells="1">
                  <from>
                    <xdr:col>20</xdr:col>
                    <xdr:colOff>38100</xdr:colOff>
                    <xdr:row>36</xdr:row>
                    <xdr:rowOff>31750</xdr:rowOff>
                  </from>
                  <to>
                    <xdr:col>23</xdr:col>
                    <xdr:colOff>12700</xdr:colOff>
                    <xdr:row>36</xdr:row>
                    <xdr:rowOff>228600</xdr:rowOff>
                  </to>
                </anchor>
              </controlPr>
            </control>
          </mc:Choice>
        </mc:AlternateContent>
        <mc:AlternateContent xmlns:mc="http://schemas.openxmlformats.org/markup-compatibility/2006">
          <mc:Choice Requires="x14">
            <control shapeId="152606" r:id="rId33" name="Check Box 30">
              <controlPr locked="0" defaultSize="0" autoFill="0" autoLine="0" autoPict="0">
                <anchor moveWithCells="1">
                  <from>
                    <xdr:col>8</xdr:col>
                    <xdr:colOff>38100</xdr:colOff>
                    <xdr:row>35</xdr:row>
                    <xdr:rowOff>31750</xdr:rowOff>
                  </from>
                  <to>
                    <xdr:col>11</xdr:col>
                    <xdr:colOff>12700</xdr:colOff>
                    <xdr:row>35</xdr:row>
                    <xdr:rowOff>228600</xdr:rowOff>
                  </to>
                </anchor>
              </controlPr>
            </control>
          </mc:Choice>
        </mc:AlternateContent>
        <mc:AlternateContent xmlns:mc="http://schemas.openxmlformats.org/markup-compatibility/2006">
          <mc:Choice Requires="x14">
            <control shapeId="152607" r:id="rId34" name="Check Box 31">
              <controlPr locked="0" defaultSize="0" autoFill="0" autoLine="0" autoPict="0">
                <anchor moveWithCells="1">
                  <from>
                    <xdr:col>8</xdr:col>
                    <xdr:colOff>38100</xdr:colOff>
                    <xdr:row>36</xdr:row>
                    <xdr:rowOff>31750</xdr:rowOff>
                  </from>
                  <to>
                    <xdr:col>11</xdr:col>
                    <xdr:colOff>12700</xdr:colOff>
                    <xdr:row>36</xdr:row>
                    <xdr:rowOff>228600</xdr:rowOff>
                  </to>
                </anchor>
              </controlPr>
            </control>
          </mc:Choice>
        </mc:AlternateContent>
        <mc:AlternateContent xmlns:mc="http://schemas.openxmlformats.org/markup-compatibility/2006">
          <mc:Choice Requires="x14">
            <control shapeId="152608" r:id="rId35" name="Check Box 32">
              <controlPr locked="0" defaultSize="0" autoFill="0" autoLine="0" autoPict="0">
                <anchor moveWithCells="1">
                  <from>
                    <xdr:col>23</xdr:col>
                    <xdr:colOff>38100</xdr:colOff>
                    <xdr:row>33</xdr:row>
                    <xdr:rowOff>69850</xdr:rowOff>
                  </from>
                  <to>
                    <xdr:col>26</xdr:col>
                    <xdr:colOff>12700</xdr:colOff>
                    <xdr:row>33</xdr:row>
                    <xdr:rowOff>266700</xdr:rowOff>
                  </to>
                </anchor>
              </controlPr>
            </control>
          </mc:Choice>
        </mc:AlternateContent>
        <mc:AlternateContent xmlns:mc="http://schemas.openxmlformats.org/markup-compatibility/2006">
          <mc:Choice Requires="x14">
            <control shapeId="152609" r:id="rId36" name="Check Box 33">
              <controlPr locked="0" defaultSize="0" autoFill="0" autoLine="0" autoPict="0">
                <anchor moveWithCells="1">
                  <from>
                    <xdr:col>28</xdr:col>
                    <xdr:colOff>38100</xdr:colOff>
                    <xdr:row>33</xdr:row>
                    <xdr:rowOff>69850</xdr:rowOff>
                  </from>
                  <to>
                    <xdr:col>31</xdr:col>
                    <xdr:colOff>12700</xdr:colOff>
                    <xdr:row>33</xdr:row>
                    <xdr:rowOff>279400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pageSetUpPr fitToPage="1"/>
  </sheetPr>
  <dimension ref="B1:AR45"/>
  <sheetViews>
    <sheetView showGridLines="0" zoomScaleNormal="100" zoomScaleSheetLayoutView="100" workbookViewId="0">
      <selection activeCell="T45" sqref="T45:AC45"/>
    </sheetView>
  </sheetViews>
  <sheetFormatPr defaultColWidth="9" defaultRowHeight="15.5"/>
  <cols>
    <col min="1" max="1" width="2.08203125" style="602" customWidth="1"/>
    <col min="2" max="43" width="3.58203125" style="602" customWidth="1"/>
    <col min="44" max="45" width="2.08203125" style="602" customWidth="1"/>
    <col min="46" max="57" width="3.58203125" style="602" customWidth="1"/>
    <col min="58" max="16384" width="9" style="602"/>
  </cols>
  <sheetData>
    <row r="1" spans="3:42" ht="12" customHeight="1"/>
    <row r="2" spans="3:42" ht="16.5">
      <c r="C2" s="627" t="s">
        <v>11805</v>
      </c>
      <c r="D2" s="628"/>
      <c r="E2" s="628"/>
      <c r="F2" s="628"/>
      <c r="G2" s="628"/>
      <c r="H2" s="628"/>
      <c r="I2" s="628"/>
      <c r="J2" s="628"/>
      <c r="K2" s="628"/>
      <c r="L2" s="628"/>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8"/>
    </row>
    <row r="3" spans="3:42" s="568" customFormat="1" ht="16" thickBot="1">
      <c r="C3" s="582" t="s">
        <v>904</v>
      </c>
    </row>
    <row r="4" spans="3:42" ht="5.25" customHeight="1">
      <c r="C4" s="638"/>
      <c r="D4" s="640"/>
      <c r="E4" s="1029"/>
      <c r="F4" s="632"/>
      <c r="G4" s="632"/>
      <c r="H4" s="632"/>
      <c r="I4" s="632"/>
      <c r="J4" s="632"/>
      <c r="K4" s="632"/>
      <c r="L4" s="632"/>
      <c r="M4" s="632"/>
      <c r="N4" s="632"/>
      <c r="O4" s="632"/>
      <c r="P4" s="830"/>
      <c r="Q4" s="830"/>
      <c r="R4" s="830"/>
      <c r="S4" s="830"/>
      <c r="T4" s="830"/>
      <c r="U4" s="830"/>
      <c r="V4" s="634"/>
      <c r="W4" s="1030"/>
      <c r="X4" s="1030"/>
      <c r="Y4" s="1030"/>
      <c r="Z4" s="1030"/>
      <c r="AA4" s="1030"/>
      <c r="AB4" s="1030"/>
      <c r="AC4" s="830"/>
      <c r="AD4" s="830"/>
      <c r="AE4" s="830"/>
      <c r="AF4" s="830"/>
      <c r="AG4" s="830"/>
      <c r="AH4" s="830"/>
      <c r="AI4" s="830"/>
      <c r="AJ4" s="830"/>
      <c r="AK4" s="830"/>
      <c r="AL4" s="830"/>
      <c r="AM4" s="640"/>
      <c r="AN4" s="640"/>
      <c r="AO4" s="640"/>
      <c r="AP4" s="1056"/>
    </row>
    <row r="5" spans="3:42" ht="30" customHeight="1">
      <c r="C5" s="614"/>
      <c r="D5" s="1081" t="s">
        <v>151</v>
      </c>
      <c r="E5" s="1012" t="s">
        <v>848</v>
      </c>
      <c r="F5" s="1024"/>
      <c r="H5" s="1024"/>
      <c r="I5" s="1024"/>
      <c r="J5" s="1024"/>
      <c r="K5" s="1024"/>
      <c r="L5" s="1024"/>
      <c r="M5" s="1024"/>
      <c r="N5" s="1024"/>
      <c r="O5" s="1024"/>
      <c r="P5" s="1024"/>
      <c r="Q5" s="1024"/>
      <c r="R5" s="1024"/>
      <c r="S5" s="1024"/>
      <c r="T5" s="1024"/>
      <c r="U5" s="1024"/>
      <c r="V5" s="1024"/>
      <c r="AB5" s="857" t="b">
        <v>1</v>
      </c>
      <c r="AC5" s="588" t="s">
        <v>64</v>
      </c>
      <c r="AD5" s="588"/>
      <c r="AG5" s="857" t="b">
        <v>0</v>
      </c>
      <c r="AH5" s="588" t="s">
        <v>0</v>
      </c>
      <c r="AI5" s="874"/>
      <c r="AJ5" s="588"/>
      <c r="AK5" s="588"/>
      <c r="AN5" s="874"/>
      <c r="AO5" s="588"/>
      <c r="AP5" s="1018"/>
    </row>
    <row r="6" spans="3:42" s="610" customFormat="1" ht="30" customHeight="1">
      <c r="C6" s="636"/>
      <c r="E6" s="605" t="s">
        <v>543</v>
      </c>
      <c r="F6" s="637" t="s">
        <v>849</v>
      </c>
      <c r="H6" s="607"/>
      <c r="I6" s="607"/>
      <c r="J6" s="607"/>
      <c r="K6" s="607"/>
      <c r="L6" s="607"/>
      <c r="M6" s="607"/>
      <c r="N6" s="607"/>
      <c r="P6" s="76" t="b">
        <v>0</v>
      </c>
      <c r="Q6" s="568" t="s">
        <v>256</v>
      </c>
      <c r="T6" s="76" t="b">
        <v>0</v>
      </c>
      <c r="U6" s="568" t="s">
        <v>257</v>
      </c>
      <c r="X6" s="76" t="b">
        <v>1</v>
      </c>
      <c r="Y6" s="568" t="s">
        <v>414</v>
      </c>
      <c r="AB6" s="76" t="b">
        <v>0</v>
      </c>
      <c r="AC6" s="735" t="s">
        <v>908</v>
      </c>
      <c r="AD6" s="681"/>
      <c r="AE6" s="681"/>
      <c r="AF6" s="681"/>
      <c r="AG6" s="3524"/>
      <c r="AH6" s="3524"/>
      <c r="AI6" s="3524"/>
      <c r="AJ6" s="3524"/>
      <c r="AK6" s="3524"/>
      <c r="AL6" s="3524"/>
      <c r="AM6" s="3524"/>
      <c r="AN6" s="1189" t="str">
        <f>IF(AND(sch_cpc_fmeet_others=TRUE,ISBLANK(sch_cpc_fmeet_others_specify)),"Please specify.",IF(AND(sch_cpc_fmeet_others=FALSE,(sch_cpc_fmeet_others_specify&gt;0)),"Please check Others if you have entries.",""))</f>
        <v/>
      </c>
      <c r="AP6" s="1159"/>
    </row>
    <row r="7" spans="3:42" s="610" customFormat="1" ht="30" customHeight="1">
      <c r="C7" s="636"/>
      <c r="D7" s="605"/>
      <c r="E7" s="605" t="s">
        <v>421</v>
      </c>
      <c r="F7" s="637" t="s">
        <v>850</v>
      </c>
      <c r="H7" s="607"/>
      <c r="I7" s="607"/>
      <c r="J7" s="607"/>
      <c r="K7" s="607"/>
      <c r="L7" s="607"/>
      <c r="M7" s="607"/>
      <c r="N7" s="607"/>
      <c r="O7" s="607"/>
      <c r="P7" s="607"/>
      <c r="Q7" s="607"/>
      <c r="R7" s="607"/>
      <c r="S7" s="607"/>
      <c r="T7" s="607"/>
      <c r="U7" s="609"/>
      <c r="V7" s="568"/>
      <c r="W7" s="568"/>
      <c r="Z7" s="609"/>
      <c r="AA7" s="568"/>
      <c r="AB7" s="3525">
        <v>0</v>
      </c>
      <c r="AC7" s="3525"/>
      <c r="AD7" s="3525"/>
      <c r="AE7" s="3525"/>
      <c r="AF7" s="3525"/>
      <c r="AG7" s="3525"/>
      <c r="AH7" s="3525"/>
      <c r="AI7" s="609"/>
      <c r="AJ7" s="568"/>
      <c r="AK7" s="568"/>
      <c r="AN7" s="609"/>
      <c r="AO7" s="568"/>
      <c r="AP7" s="1159"/>
    </row>
    <row r="8" spans="3:42" ht="6" customHeight="1">
      <c r="C8" s="614"/>
      <c r="F8" s="1080"/>
      <c r="G8" s="629"/>
      <c r="H8" s="629"/>
      <c r="I8" s="629"/>
      <c r="J8" s="629"/>
      <c r="K8" s="629"/>
      <c r="L8" s="629"/>
      <c r="M8" s="629"/>
      <c r="N8" s="629"/>
      <c r="O8" s="629"/>
      <c r="P8" s="874"/>
      <c r="R8" s="874"/>
      <c r="S8" s="975"/>
      <c r="T8" s="588"/>
      <c r="W8" s="874"/>
      <c r="X8" s="975"/>
      <c r="Y8" s="588"/>
      <c r="Z8" s="588"/>
      <c r="AA8" s="588"/>
      <c r="AB8" s="588"/>
      <c r="AC8" s="588"/>
      <c r="AE8" s="874"/>
      <c r="AF8" s="874"/>
      <c r="AG8" s="874"/>
      <c r="AH8" s="874"/>
      <c r="AI8" s="874"/>
      <c r="AJ8" s="874"/>
      <c r="AK8" s="874"/>
      <c r="AL8" s="874"/>
      <c r="AP8" s="1018"/>
    </row>
    <row r="9" spans="3:42" ht="30" customHeight="1">
      <c r="C9" s="614"/>
      <c r="D9" s="1081" t="s">
        <v>152</v>
      </c>
      <c r="E9" s="1012" t="s">
        <v>851</v>
      </c>
      <c r="F9" s="1024"/>
      <c r="H9" s="1024"/>
      <c r="I9" s="1024"/>
      <c r="J9" s="1024"/>
      <c r="K9" s="1024"/>
      <c r="L9" s="1024"/>
      <c r="M9" s="1024"/>
      <c r="N9" s="1024"/>
      <c r="O9" s="1024"/>
      <c r="P9" s="1024"/>
      <c r="Q9" s="1024"/>
      <c r="R9" s="1024"/>
      <c r="S9" s="1024"/>
      <c r="T9" s="1024"/>
      <c r="U9" s="1024"/>
      <c r="V9" s="1024"/>
      <c r="AB9" s="857" t="b">
        <v>1</v>
      </c>
      <c r="AC9" s="588" t="s">
        <v>64</v>
      </c>
      <c r="AD9" s="588"/>
      <c r="AG9" s="857" t="b">
        <v>0</v>
      </c>
      <c r="AH9" s="588" t="s">
        <v>0</v>
      </c>
      <c r="AI9" s="874"/>
      <c r="AJ9" s="588"/>
      <c r="AK9" s="588"/>
      <c r="AN9" s="874"/>
      <c r="AO9" s="588"/>
      <c r="AP9" s="1018"/>
    </row>
    <row r="10" spans="3:42" ht="11.15" customHeight="1" thickBot="1">
      <c r="C10" s="612"/>
      <c r="D10" s="613"/>
      <c r="E10" s="1010"/>
      <c r="F10" s="1010"/>
      <c r="G10" s="1011"/>
      <c r="H10" s="562"/>
      <c r="I10" s="562"/>
      <c r="J10" s="562"/>
      <c r="K10" s="562"/>
      <c r="L10" s="562"/>
      <c r="M10" s="562"/>
      <c r="N10" s="562"/>
      <c r="O10" s="562"/>
      <c r="P10" s="562"/>
      <c r="Q10" s="866"/>
      <c r="R10" s="866"/>
      <c r="S10" s="866"/>
      <c r="T10" s="866"/>
      <c r="U10" s="866"/>
      <c r="V10" s="562"/>
      <c r="W10" s="866"/>
      <c r="X10" s="866"/>
      <c r="Y10" s="866"/>
      <c r="Z10" s="866"/>
      <c r="AA10" s="866"/>
      <c r="AB10" s="866"/>
      <c r="AC10" s="562"/>
      <c r="AD10" s="562"/>
      <c r="AE10" s="562"/>
      <c r="AF10" s="562"/>
      <c r="AG10" s="562"/>
      <c r="AH10" s="562"/>
      <c r="AI10" s="562"/>
      <c r="AJ10" s="562"/>
      <c r="AK10" s="562"/>
      <c r="AL10" s="562"/>
      <c r="AM10" s="613"/>
      <c r="AN10" s="613"/>
      <c r="AO10" s="613"/>
      <c r="AP10" s="1069"/>
    </row>
    <row r="11" spans="3:42" ht="27" customHeight="1"/>
    <row r="12" spans="3:42" ht="16.5">
      <c r="C12" s="627" t="s">
        <v>11806</v>
      </c>
      <c r="D12" s="628"/>
      <c r="E12" s="628"/>
      <c r="F12" s="628"/>
      <c r="G12" s="628"/>
      <c r="H12" s="628"/>
      <c r="I12" s="628"/>
      <c r="J12" s="628"/>
      <c r="K12" s="628"/>
      <c r="L12" s="628"/>
      <c r="M12" s="629"/>
      <c r="N12" s="629"/>
      <c r="O12" s="629"/>
      <c r="P12" s="629"/>
      <c r="Q12" s="629"/>
      <c r="R12" s="629"/>
      <c r="S12" s="629"/>
      <c r="T12" s="629"/>
      <c r="U12" s="629"/>
      <c r="V12" s="629"/>
      <c r="W12" s="629"/>
      <c r="X12" s="629"/>
      <c r="Y12" s="629"/>
      <c r="Z12" s="629"/>
      <c r="AA12" s="629"/>
      <c r="AB12" s="629"/>
      <c r="AC12" s="629"/>
      <c r="AD12" s="629"/>
      <c r="AE12" s="629"/>
      <c r="AF12" s="629"/>
      <c r="AG12" s="629"/>
      <c r="AH12" s="629"/>
      <c r="AI12" s="629"/>
      <c r="AJ12" s="629"/>
      <c r="AK12" s="629"/>
      <c r="AL12" s="629"/>
      <c r="AM12" s="628"/>
    </row>
    <row r="13" spans="3:42" s="568" customFormat="1" ht="16" thickBot="1">
      <c r="C13" s="582" t="s">
        <v>903</v>
      </c>
    </row>
    <row r="14" spans="3:42" ht="5.25" customHeight="1">
      <c r="C14" s="638"/>
      <c r="D14" s="640"/>
      <c r="E14" s="1029"/>
      <c r="F14" s="632"/>
      <c r="G14" s="632"/>
      <c r="H14" s="632"/>
      <c r="I14" s="632"/>
      <c r="J14" s="632"/>
      <c r="K14" s="632"/>
      <c r="L14" s="632"/>
      <c r="M14" s="632"/>
      <c r="N14" s="632"/>
      <c r="O14" s="632"/>
      <c r="P14" s="830"/>
      <c r="Q14" s="830"/>
      <c r="R14" s="830"/>
      <c r="S14" s="830"/>
      <c r="T14" s="830"/>
      <c r="U14" s="830"/>
      <c r="V14" s="634"/>
      <c r="W14" s="1030"/>
      <c r="X14" s="1030"/>
      <c r="Y14" s="1030"/>
      <c r="Z14" s="1030"/>
      <c r="AA14" s="1030"/>
      <c r="AB14" s="1030"/>
      <c r="AC14" s="830"/>
      <c r="AD14" s="830"/>
      <c r="AE14" s="830"/>
      <c r="AF14" s="830"/>
      <c r="AG14" s="830"/>
      <c r="AH14" s="830"/>
      <c r="AI14" s="830"/>
      <c r="AJ14" s="830"/>
      <c r="AK14" s="830"/>
      <c r="AL14" s="830"/>
      <c r="AM14" s="640"/>
      <c r="AN14" s="640"/>
      <c r="AO14" s="640"/>
      <c r="AP14" s="1056"/>
    </row>
    <row r="15" spans="3:42" ht="20.5" customHeight="1">
      <c r="C15" s="614"/>
      <c r="D15" s="1081" t="s">
        <v>151</v>
      </c>
      <c r="E15" s="1012" t="s">
        <v>929</v>
      </c>
      <c r="F15" s="1012"/>
      <c r="G15" s="1013"/>
      <c r="H15" s="1013"/>
      <c r="I15" s="1013"/>
      <c r="J15" s="1013"/>
      <c r="K15" s="1013"/>
      <c r="L15" s="1013"/>
      <c r="M15" s="1013"/>
      <c r="N15" s="1013"/>
      <c r="O15" s="1013"/>
      <c r="P15" s="874"/>
      <c r="Q15" s="588"/>
      <c r="R15" s="588"/>
      <c r="S15" s="588"/>
      <c r="T15" s="588"/>
      <c r="U15" s="588"/>
      <c r="V15" s="1014"/>
      <c r="W15" s="874"/>
      <c r="X15" s="874"/>
      <c r="Y15" s="874"/>
      <c r="Z15" s="874"/>
      <c r="AA15" s="874"/>
      <c r="AB15" s="874"/>
      <c r="AC15" s="588"/>
      <c r="AD15" s="588"/>
      <c r="AE15" s="588"/>
      <c r="AF15" s="588"/>
      <c r="AG15" s="588"/>
      <c r="AH15" s="588"/>
      <c r="AI15" s="588"/>
      <c r="AJ15" s="588"/>
      <c r="AK15" s="588"/>
      <c r="AL15" s="588"/>
      <c r="AP15" s="1018"/>
    </row>
    <row r="16" spans="3:42" ht="6" customHeight="1" thickBot="1">
      <c r="C16" s="614"/>
      <c r="F16" s="1080"/>
      <c r="G16" s="629"/>
      <c r="H16" s="629"/>
      <c r="I16" s="629"/>
      <c r="J16" s="629"/>
      <c r="K16" s="629"/>
      <c r="L16" s="629"/>
      <c r="M16" s="629"/>
      <c r="N16" s="629"/>
      <c r="O16" s="629"/>
      <c r="P16" s="874"/>
      <c r="R16" s="874"/>
      <c r="S16" s="975"/>
      <c r="T16" s="588"/>
      <c r="W16" s="874"/>
      <c r="X16" s="975"/>
      <c r="Y16" s="588"/>
      <c r="Z16" s="588"/>
      <c r="AA16" s="588"/>
      <c r="AB16" s="588"/>
      <c r="AC16" s="588"/>
      <c r="AD16" s="588"/>
      <c r="AF16" s="874"/>
      <c r="AG16" s="874"/>
      <c r="AH16" s="874"/>
      <c r="AI16" s="874"/>
      <c r="AJ16" s="874"/>
      <c r="AK16" s="874"/>
      <c r="AL16" s="874"/>
      <c r="AP16" s="1018"/>
    </row>
    <row r="17" spans="3:42" ht="20.149999999999999" customHeight="1">
      <c r="C17" s="614"/>
      <c r="E17" s="3392" t="s">
        <v>1315</v>
      </c>
      <c r="F17" s="3393"/>
      <c r="G17" s="3393"/>
      <c r="H17" s="3393"/>
      <c r="I17" s="3393"/>
      <c r="J17" s="3394"/>
      <c r="K17" s="3365" t="s">
        <v>852</v>
      </c>
      <c r="L17" s="3366"/>
      <c r="M17" s="3366"/>
      <c r="N17" s="3366"/>
      <c r="O17" s="3366"/>
      <c r="P17" s="3366"/>
      <c r="Q17" s="3366"/>
      <c r="R17" s="3366"/>
      <c r="S17" s="3366"/>
      <c r="T17" s="3366"/>
      <c r="U17" s="3366"/>
      <c r="V17" s="3366"/>
      <c r="W17" s="3366"/>
      <c r="X17" s="3366"/>
      <c r="Y17" s="3366"/>
      <c r="Z17" s="3366"/>
      <c r="AA17" s="3366"/>
      <c r="AB17" s="3367"/>
      <c r="AC17" s="3365" t="s">
        <v>853</v>
      </c>
      <c r="AD17" s="3366"/>
      <c r="AE17" s="3366"/>
      <c r="AF17" s="3366"/>
      <c r="AG17" s="3366"/>
      <c r="AH17" s="3366"/>
      <c r="AI17" s="3366"/>
      <c r="AJ17" s="3366"/>
      <c r="AK17" s="3366"/>
      <c r="AL17" s="3366"/>
      <c r="AM17" s="3366"/>
      <c r="AN17" s="3367"/>
      <c r="AO17" s="1082"/>
      <c r="AP17" s="1104"/>
    </row>
    <row r="18" spans="3:42" ht="16" customHeight="1" thickBot="1">
      <c r="C18" s="614"/>
      <c r="E18" s="3398"/>
      <c r="F18" s="3399"/>
      <c r="G18" s="3399"/>
      <c r="H18" s="3399"/>
      <c r="I18" s="3399"/>
      <c r="J18" s="3400"/>
      <c r="K18" s="3520" t="s">
        <v>558</v>
      </c>
      <c r="L18" s="3521"/>
      <c r="M18" s="3521"/>
      <c r="N18" s="3521"/>
      <c r="O18" s="3521"/>
      <c r="P18" s="3522"/>
      <c r="Q18" s="3520" t="s">
        <v>559</v>
      </c>
      <c r="R18" s="3521"/>
      <c r="S18" s="3521"/>
      <c r="T18" s="3521"/>
      <c r="U18" s="3521"/>
      <c r="V18" s="3523"/>
      <c r="W18" s="3521" t="s">
        <v>29</v>
      </c>
      <c r="X18" s="3521"/>
      <c r="Y18" s="3521"/>
      <c r="Z18" s="3521"/>
      <c r="AA18" s="3521"/>
      <c r="AB18" s="3522"/>
      <c r="AC18" s="3520" t="s">
        <v>854</v>
      </c>
      <c r="AD18" s="3521"/>
      <c r="AE18" s="3521"/>
      <c r="AF18" s="3521"/>
      <c r="AG18" s="3521"/>
      <c r="AH18" s="3522"/>
      <c r="AI18" s="3520" t="s">
        <v>855</v>
      </c>
      <c r="AJ18" s="3521"/>
      <c r="AK18" s="3521"/>
      <c r="AL18" s="3521"/>
      <c r="AM18" s="3521"/>
      <c r="AN18" s="3522"/>
      <c r="AO18" s="1082"/>
      <c r="AP18" s="1104"/>
    </row>
    <row r="19" spans="3:42" ht="30" customHeight="1">
      <c r="C19" s="614"/>
      <c r="E19" s="1071" t="s">
        <v>1183</v>
      </c>
      <c r="F19" s="1108"/>
      <c r="G19" s="1108"/>
      <c r="H19" s="1108"/>
      <c r="I19" s="1108"/>
      <c r="J19" s="1109"/>
      <c r="K19" s="3347">
        <v>0</v>
      </c>
      <c r="L19" s="3344"/>
      <c r="M19" s="3344"/>
      <c r="N19" s="3344"/>
      <c r="O19" s="3344"/>
      <c r="P19" s="3345"/>
      <c r="Q19" s="3347">
        <v>0</v>
      </c>
      <c r="R19" s="3344"/>
      <c r="S19" s="3344"/>
      <c r="T19" s="3344"/>
      <c r="U19" s="3344"/>
      <c r="V19" s="3517"/>
      <c r="W19" s="3518">
        <f>SUM(K19:V19)</f>
        <v>0</v>
      </c>
      <c r="X19" s="3518"/>
      <c r="Y19" s="3518"/>
      <c r="Z19" s="3518"/>
      <c r="AA19" s="3518"/>
      <c r="AB19" s="3519"/>
      <c r="AC19" s="3347">
        <v>0</v>
      </c>
      <c r="AD19" s="3344"/>
      <c r="AE19" s="3344"/>
      <c r="AF19" s="3344"/>
      <c r="AG19" s="3344"/>
      <c r="AH19" s="3345"/>
      <c r="AI19" s="3347">
        <v>0</v>
      </c>
      <c r="AJ19" s="3344"/>
      <c r="AK19" s="3344"/>
      <c r="AL19" s="3344"/>
      <c r="AM19" s="3344"/>
      <c r="AN19" s="3345"/>
      <c r="AO19" s="1067"/>
      <c r="AP19" s="1093"/>
    </row>
    <row r="20" spans="3:42" ht="30" customHeight="1">
      <c r="C20" s="614"/>
      <c r="E20" s="1074" t="s">
        <v>1184</v>
      </c>
      <c r="F20" s="1075"/>
      <c r="G20" s="1075"/>
      <c r="H20" s="1075"/>
      <c r="I20" s="1075"/>
      <c r="J20" s="1076"/>
      <c r="K20" s="3434">
        <v>0</v>
      </c>
      <c r="L20" s="3435"/>
      <c r="M20" s="3435"/>
      <c r="N20" s="3435"/>
      <c r="O20" s="3435"/>
      <c r="P20" s="3436"/>
      <c r="Q20" s="3434">
        <v>0</v>
      </c>
      <c r="R20" s="3435"/>
      <c r="S20" s="3435"/>
      <c r="T20" s="3435"/>
      <c r="U20" s="3435"/>
      <c r="V20" s="3508"/>
      <c r="W20" s="3509">
        <f t="shared" ref="W20:W23" si="0">SUM(K20:V20)</f>
        <v>0</v>
      </c>
      <c r="X20" s="3509"/>
      <c r="Y20" s="3509"/>
      <c r="Z20" s="3509"/>
      <c r="AA20" s="3509"/>
      <c r="AB20" s="3510"/>
      <c r="AC20" s="3434">
        <v>0</v>
      </c>
      <c r="AD20" s="3435"/>
      <c r="AE20" s="3435"/>
      <c r="AF20" s="3435"/>
      <c r="AG20" s="3435"/>
      <c r="AH20" s="3436"/>
      <c r="AI20" s="3434">
        <v>0</v>
      </c>
      <c r="AJ20" s="3435"/>
      <c r="AK20" s="3435"/>
      <c r="AL20" s="3435"/>
      <c r="AM20" s="3435"/>
      <c r="AN20" s="3436"/>
      <c r="AO20" s="1067"/>
      <c r="AP20" s="1093"/>
    </row>
    <row r="21" spans="3:42" ht="30" customHeight="1">
      <c r="C21" s="614"/>
      <c r="E21" s="1074" t="s">
        <v>1185</v>
      </c>
      <c r="F21" s="1075"/>
      <c r="G21" s="1075"/>
      <c r="H21" s="1075"/>
      <c r="I21" s="1075"/>
      <c r="J21" s="1076"/>
      <c r="K21" s="3434">
        <v>0</v>
      </c>
      <c r="L21" s="3435"/>
      <c r="M21" s="3435"/>
      <c r="N21" s="3435"/>
      <c r="O21" s="3435"/>
      <c r="P21" s="3436"/>
      <c r="Q21" s="3434">
        <v>0</v>
      </c>
      <c r="R21" s="3435"/>
      <c r="S21" s="3435"/>
      <c r="T21" s="3435"/>
      <c r="U21" s="3435"/>
      <c r="V21" s="3508"/>
      <c r="W21" s="3509">
        <f t="shared" si="0"/>
        <v>0</v>
      </c>
      <c r="X21" s="3509"/>
      <c r="Y21" s="3509"/>
      <c r="Z21" s="3509"/>
      <c r="AA21" s="3509"/>
      <c r="AB21" s="3510"/>
      <c r="AC21" s="3434">
        <v>0</v>
      </c>
      <c r="AD21" s="3435"/>
      <c r="AE21" s="3435"/>
      <c r="AF21" s="3435"/>
      <c r="AG21" s="3435"/>
      <c r="AH21" s="3436"/>
      <c r="AI21" s="3434">
        <v>0</v>
      </c>
      <c r="AJ21" s="3435"/>
      <c r="AK21" s="3435"/>
      <c r="AL21" s="3435"/>
      <c r="AM21" s="3435"/>
      <c r="AN21" s="3436"/>
      <c r="AO21" s="1067"/>
      <c r="AP21" s="1093"/>
    </row>
    <row r="22" spans="3:42" ht="30" customHeight="1" thickBot="1">
      <c r="C22" s="614"/>
      <c r="E22" s="1077" t="s">
        <v>1186</v>
      </c>
      <c r="F22" s="1078"/>
      <c r="G22" s="1078"/>
      <c r="H22" s="1078"/>
      <c r="I22" s="1078"/>
      <c r="J22" s="1079"/>
      <c r="K22" s="3431">
        <v>0</v>
      </c>
      <c r="L22" s="3432"/>
      <c r="M22" s="3432"/>
      <c r="N22" s="3432"/>
      <c r="O22" s="3432"/>
      <c r="P22" s="3433"/>
      <c r="Q22" s="3431">
        <v>0</v>
      </c>
      <c r="R22" s="3432"/>
      <c r="S22" s="3432"/>
      <c r="T22" s="3432"/>
      <c r="U22" s="3432"/>
      <c r="V22" s="3511"/>
      <c r="W22" s="3512">
        <f t="shared" si="0"/>
        <v>0</v>
      </c>
      <c r="X22" s="3512"/>
      <c r="Y22" s="3512"/>
      <c r="Z22" s="3512"/>
      <c r="AA22" s="3512"/>
      <c r="AB22" s="3513"/>
      <c r="AC22" s="3431">
        <v>0</v>
      </c>
      <c r="AD22" s="3432"/>
      <c r="AE22" s="3432"/>
      <c r="AF22" s="3432"/>
      <c r="AG22" s="3432"/>
      <c r="AH22" s="3433"/>
      <c r="AI22" s="3431">
        <v>0</v>
      </c>
      <c r="AJ22" s="3432"/>
      <c r="AK22" s="3432"/>
      <c r="AL22" s="3432"/>
      <c r="AM22" s="3432"/>
      <c r="AN22" s="3433"/>
      <c r="AO22" s="1067"/>
      <c r="AP22" s="1093"/>
    </row>
    <row r="23" spans="3:42" ht="30" customHeight="1" thickTop="1" thickBot="1">
      <c r="C23" s="614"/>
      <c r="E23" s="1064"/>
      <c r="F23" s="1065" t="s">
        <v>886</v>
      </c>
      <c r="G23" s="1065"/>
      <c r="H23" s="1065"/>
      <c r="I23" s="1065"/>
      <c r="J23" s="1066"/>
      <c r="K23" s="3334">
        <f>SUM(K19:P22)</f>
        <v>0</v>
      </c>
      <c r="L23" s="3332"/>
      <c r="M23" s="3332"/>
      <c r="N23" s="3332"/>
      <c r="O23" s="3332"/>
      <c r="P23" s="3333"/>
      <c r="Q23" s="3334">
        <f>SUM(Q19:V22)</f>
        <v>0</v>
      </c>
      <c r="R23" s="3332"/>
      <c r="S23" s="3332"/>
      <c r="T23" s="3332"/>
      <c r="U23" s="3332"/>
      <c r="V23" s="3514"/>
      <c r="W23" s="3332">
        <f t="shared" si="0"/>
        <v>0</v>
      </c>
      <c r="X23" s="3332"/>
      <c r="Y23" s="3332"/>
      <c r="Z23" s="3332"/>
      <c r="AA23" s="3332"/>
      <c r="AB23" s="3333"/>
      <c r="AC23" s="3334">
        <f>SUM(AC19:AH22)</f>
        <v>0</v>
      </c>
      <c r="AD23" s="3332"/>
      <c r="AE23" s="3332"/>
      <c r="AF23" s="3332"/>
      <c r="AG23" s="3332"/>
      <c r="AH23" s="3333"/>
      <c r="AI23" s="3334">
        <f>SUM(AI19:AN22)</f>
        <v>0</v>
      </c>
      <c r="AJ23" s="3332"/>
      <c r="AK23" s="3332"/>
      <c r="AL23" s="3332"/>
      <c r="AM23" s="3332"/>
      <c r="AN23" s="3333"/>
      <c r="AO23" s="1067"/>
      <c r="AP23" s="1093"/>
    </row>
    <row r="24" spans="3:42" ht="6" customHeight="1">
      <c r="C24" s="614"/>
      <c r="F24" s="1080"/>
      <c r="G24" s="629"/>
      <c r="H24" s="629"/>
      <c r="I24" s="629"/>
      <c r="J24" s="629"/>
      <c r="K24" s="629"/>
      <c r="L24" s="629"/>
      <c r="M24" s="629"/>
      <c r="N24" s="629"/>
      <c r="O24" s="629"/>
      <c r="P24" s="874"/>
      <c r="R24" s="874"/>
      <c r="S24" s="975"/>
      <c r="T24" s="588"/>
      <c r="W24" s="874"/>
      <c r="X24" s="975"/>
      <c r="Y24" s="588"/>
      <c r="Z24" s="588"/>
      <c r="AA24" s="588"/>
      <c r="AB24" s="588"/>
      <c r="AC24" s="588"/>
      <c r="AE24" s="874"/>
      <c r="AF24" s="874"/>
      <c r="AG24" s="874"/>
      <c r="AH24" s="874"/>
      <c r="AI24" s="874"/>
      <c r="AJ24" s="874"/>
      <c r="AK24" s="874"/>
      <c r="AL24" s="874"/>
      <c r="AP24" s="1018"/>
    </row>
    <row r="25" spans="3:42" ht="23.5" customHeight="1">
      <c r="C25" s="614"/>
      <c r="D25" s="1081" t="s">
        <v>152</v>
      </c>
      <c r="E25" s="1012" t="s">
        <v>856</v>
      </c>
      <c r="F25" s="1012"/>
      <c r="G25" s="1013"/>
      <c r="H25" s="1013"/>
      <c r="I25" s="1013"/>
      <c r="J25" s="1013"/>
      <c r="K25" s="1013"/>
      <c r="L25" s="1013"/>
      <c r="M25" s="1013"/>
      <c r="N25" s="1013"/>
      <c r="O25" s="1013"/>
      <c r="P25" s="874"/>
      <c r="Q25" s="588"/>
      <c r="R25" s="588"/>
      <c r="S25" s="588"/>
      <c r="T25" s="588"/>
      <c r="U25" s="588"/>
      <c r="V25" s="1014"/>
      <c r="W25" s="874"/>
      <c r="X25" s="874"/>
      <c r="Y25" s="874"/>
      <c r="Z25" s="874"/>
      <c r="AA25" s="874"/>
      <c r="AB25" s="874"/>
      <c r="AC25" s="588"/>
      <c r="AD25" s="588"/>
      <c r="AE25" s="588"/>
      <c r="AF25" s="588"/>
      <c r="AG25" s="588"/>
      <c r="AH25" s="588"/>
      <c r="AI25" s="588"/>
      <c r="AJ25" s="588"/>
      <c r="AK25" s="588"/>
      <c r="AL25" s="588"/>
      <c r="AP25" s="1018"/>
    </row>
    <row r="26" spans="3:42" ht="6" customHeight="1" thickBot="1">
      <c r="C26" s="614"/>
      <c r="E26" s="629"/>
      <c r="F26" s="629"/>
      <c r="G26" s="629"/>
      <c r="H26" s="629"/>
      <c r="I26" s="629"/>
      <c r="J26" s="629"/>
      <c r="K26" s="629"/>
      <c r="L26" s="629"/>
      <c r="M26" s="629"/>
      <c r="N26" s="874"/>
      <c r="P26" s="874"/>
      <c r="Q26" s="975"/>
      <c r="R26" s="588"/>
      <c r="U26" s="874"/>
      <c r="V26" s="975"/>
      <c r="W26" s="588"/>
      <c r="X26" s="588"/>
      <c r="Y26" s="588"/>
      <c r="Z26" s="588"/>
      <c r="AA26" s="588"/>
      <c r="AB26" s="588"/>
      <c r="AD26" s="874"/>
      <c r="AE26" s="874"/>
      <c r="AF26" s="874"/>
      <c r="AG26" s="874"/>
      <c r="AH26" s="874"/>
      <c r="AI26" s="874"/>
      <c r="AJ26" s="874"/>
      <c r="AP26" s="1018"/>
    </row>
    <row r="27" spans="3:42" ht="34.5" customHeight="1" thickBot="1">
      <c r="C27" s="614"/>
      <c r="E27" s="3442" t="s">
        <v>124</v>
      </c>
      <c r="F27" s="3443"/>
      <c r="G27" s="3443"/>
      <c r="H27" s="3443"/>
      <c r="I27" s="3443"/>
      <c r="J27" s="3444"/>
      <c r="K27" s="3442" t="s">
        <v>15</v>
      </c>
      <c r="L27" s="3443"/>
      <c r="M27" s="3443"/>
      <c r="N27" s="3443"/>
      <c r="O27" s="3443"/>
      <c r="P27" s="3444"/>
      <c r="Q27" s="3442" t="s">
        <v>16</v>
      </c>
      <c r="R27" s="3443"/>
      <c r="S27" s="3443"/>
      <c r="T27" s="3443"/>
      <c r="U27" s="3443"/>
      <c r="V27" s="3515"/>
      <c r="W27" s="3516" t="s">
        <v>29</v>
      </c>
      <c r="X27" s="3443"/>
      <c r="Y27" s="3443"/>
      <c r="Z27" s="3443"/>
      <c r="AA27" s="3443"/>
      <c r="AB27" s="3444"/>
      <c r="AC27" s="874"/>
      <c r="AD27" s="874"/>
      <c r="AE27" s="874"/>
      <c r="AO27" s="588"/>
      <c r="AP27" s="812"/>
    </row>
    <row r="28" spans="3:42" ht="30" customHeight="1">
      <c r="C28" s="614"/>
      <c r="E28" s="1188"/>
      <c r="F28" s="1072" t="s">
        <v>879</v>
      </c>
      <c r="G28" s="1108"/>
      <c r="H28" s="1108"/>
      <c r="I28" s="1108"/>
      <c r="J28" s="1109"/>
      <c r="K28" s="3347">
        <v>0</v>
      </c>
      <c r="L28" s="3344"/>
      <c r="M28" s="3344"/>
      <c r="N28" s="3344"/>
      <c r="O28" s="3344"/>
      <c r="P28" s="3345"/>
      <c r="Q28" s="3347">
        <v>0</v>
      </c>
      <c r="R28" s="3344"/>
      <c r="S28" s="3344"/>
      <c r="T28" s="3344"/>
      <c r="U28" s="3344"/>
      <c r="V28" s="3517"/>
      <c r="W28" s="3518">
        <f>SUM(K28:V28)</f>
        <v>0</v>
      </c>
      <c r="X28" s="3518"/>
      <c r="Y28" s="3518"/>
      <c r="Z28" s="3518"/>
      <c r="AA28" s="3518"/>
      <c r="AB28" s="3519"/>
      <c r="AC28" s="874"/>
      <c r="AD28" s="874"/>
      <c r="AE28" s="874"/>
      <c r="AO28" s="588"/>
      <c r="AP28" s="812"/>
    </row>
    <row r="29" spans="3:42" ht="30" customHeight="1">
      <c r="C29" s="614"/>
      <c r="E29" s="1074"/>
      <c r="F29" s="1075" t="s">
        <v>880</v>
      </c>
      <c r="G29" s="1075"/>
      <c r="H29" s="1075"/>
      <c r="I29" s="1075"/>
      <c r="J29" s="1076"/>
      <c r="K29" s="3434">
        <v>0</v>
      </c>
      <c r="L29" s="3435"/>
      <c r="M29" s="3435"/>
      <c r="N29" s="3435"/>
      <c r="O29" s="3435"/>
      <c r="P29" s="3436"/>
      <c r="Q29" s="3434">
        <v>0</v>
      </c>
      <c r="R29" s="3435"/>
      <c r="S29" s="3435"/>
      <c r="T29" s="3435"/>
      <c r="U29" s="3435"/>
      <c r="V29" s="3508"/>
      <c r="W29" s="3509">
        <f t="shared" ref="W29:W34" si="1">SUM(K29:V29)</f>
        <v>0</v>
      </c>
      <c r="X29" s="3509"/>
      <c r="Y29" s="3509"/>
      <c r="Z29" s="3509"/>
      <c r="AA29" s="3509"/>
      <c r="AB29" s="3510"/>
      <c r="AC29" s="874"/>
      <c r="AD29" s="874"/>
      <c r="AE29" s="874"/>
      <c r="AO29" s="588"/>
      <c r="AP29" s="812"/>
    </row>
    <row r="30" spans="3:42" ht="30" customHeight="1">
      <c r="C30" s="614"/>
      <c r="E30" s="1074"/>
      <c r="F30" s="1075" t="s">
        <v>881</v>
      </c>
      <c r="G30" s="1075"/>
      <c r="H30" s="1075"/>
      <c r="I30" s="1075"/>
      <c r="J30" s="1076"/>
      <c r="K30" s="3434">
        <v>0</v>
      </c>
      <c r="L30" s="3435"/>
      <c r="M30" s="3435"/>
      <c r="N30" s="3435"/>
      <c r="O30" s="3435"/>
      <c r="P30" s="3436"/>
      <c r="Q30" s="3434">
        <v>0</v>
      </c>
      <c r="R30" s="3435"/>
      <c r="S30" s="3435"/>
      <c r="T30" s="3435"/>
      <c r="U30" s="3435"/>
      <c r="V30" s="3508"/>
      <c r="W30" s="3509">
        <f t="shared" si="1"/>
        <v>0</v>
      </c>
      <c r="X30" s="3509"/>
      <c r="Y30" s="3509"/>
      <c r="Z30" s="3509"/>
      <c r="AA30" s="3509"/>
      <c r="AB30" s="3510"/>
      <c r="AC30" s="874"/>
      <c r="AD30" s="874"/>
      <c r="AE30" s="874"/>
      <c r="AO30" s="588"/>
      <c r="AP30" s="812"/>
    </row>
    <row r="31" spans="3:42" ht="30" customHeight="1">
      <c r="C31" s="614"/>
      <c r="E31" s="1074"/>
      <c r="F31" s="1075" t="s">
        <v>882</v>
      </c>
      <c r="G31" s="1075"/>
      <c r="H31" s="1075"/>
      <c r="I31" s="1075"/>
      <c r="J31" s="1076"/>
      <c r="K31" s="3434">
        <v>0</v>
      </c>
      <c r="L31" s="3435"/>
      <c r="M31" s="3435"/>
      <c r="N31" s="3435"/>
      <c r="O31" s="3435"/>
      <c r="P31" s="3436"/>
      <c r="Q31" s="3434">
        <v>0</v>
      </c>
      <c r="R31" s="3435"/>
      <c r="S31" s="3435"/>
      <c r="T31" s="3435"/>
      <c r="U31" s="3435"/>
      <c r="V31" s="3508"/>
      <c r="W31" s="3509">
        <f t="shared" si="1"/>
        <v>0</v>
      </c>
      <c r="X31" s="3509"/>
      <c r="Y31" s="3509"/>
      <c r="Z31" s="3509"/>
      <c r="AA31" s="3509"/>
      <c r="AB31" s="3510"/>
      <c r="AC31" s="874"/>
      <c r="AD31" s="874"/>
      <c r="AE31" s="874"/>
      <c r="AO31" s="588"/>
      <c r="AP31" s="812"/>
    </row>
    <row r="32" spans="3:42" ht="30" customHeight="1">
      <c r="C32" s="614"/>
      <c r="E32" s="1074"/>
      <c r="F32" s="1075" t="s">
        <v>883</v>
      </c>
      <c r="G32" s="1075"/>
      <c r="H32" s="1075"/>
      <c r="I32" s="1075"/>
      <c r="J32" s="1076"/>
      <c r="K32" s="3434">
        <v>0</v>
      </c>
      <c r="L32" s="3435"/>
      <c r="M32" s="3435"/>
      <c r="N32" s="3435"/>
      <c r="O32" s="3435"/>
      <c r="P32" s="3436"/>
      <c r="Q32" s="3434">
        <v>0</v>
      </c>
      <c r="R32" s="3435"/>
      <c r="S32" s="3435"/>
      <c r="T32" s="3435"/>
      <c r="U32" s="3435"/>
      <c r="V32" s="3508"/>
      <c r="W32" s="3509">
        <f t="shared" si="1"/>
        <v>0</v>
      </c>
      <c r="X32" s="3509"/>
      <c r="Y32" s="3509"/>
      <c r="Z32" s="3509"/>
      <c r="AA32" s="3509"/>
      <c r="AB32" s="3510"/>
      <c r="AC32" s="874"/>
      <c r="AD32" s="874"/>
      <c r="AE32" s="874"/>
      <c r="AO32" s="588"/>
      <c r="AP32" s="812"/>
    </row>
    <row r="33" spans="2:44" ht="30" customHeight="1">
      <c r="C33" s="614"/>
      <c r="E33" s="1074"/>
      <c r="F33" s="1075" t="s">
        <v>884</v>
      </c>
      <c r="G33" s="1075"/>
      <c r="H33" s="1075"/>
      <c r="I33" s="1075"/>
      <c r="J33" s="1076"/>
      <c r="K33" s="3434">
        <v>0</v>
      </c>
      <c r="L33" s="3435"/>
      <c r="M33" s="3435"/>
      <c r="N33" s="3435"/>
      <c r="O33" s="3435"/>
      <c r="P33" s="3436"/>
      <c r="Q33" s="3434">
        <v>0</v>
      </c>
      <c r="R33" s="3435"/>
      <c r="S33" s="3435"/>
      <c r="T33" s="3435"/>
      <c r="U33" s="3435"/>
      <c r="V33" s="3508"/>
      <c r="W33" s="3509">
        <f t="shared" si="1"/>
        <v>0</v>
      </c>
      <c r="X33" s="3509"/>
      <c r="Y33" s="3509"/>
      <c r="Z33" s="3509"/>
      <c r="AA33" s="3509"/>
      <c r="AB33" s="3510"/>
      <c r="AC33" s="874"/>
      <c r="AD33" s="874"/>
      <c r="AE33" s="874"/>
      <c r="AO33" s="588"/>
      <c r="AP33" s="812"/>
    </row>
    <row r="34" spans="2:44" ht="30" customHeight="1" thickBot="1">
      <c r="C34" s="614"/>
      <c r="E34" s="1077"/>
      <c r="F34" s="1078" t="s">
        <v>885</v>
      </c>
      <c r="G34" s="1078"/>
      <c r="H34" s="1078"/>
      <c r="I34" s="1078"/>
      <c r="J34" s="1079"/>
      <c r="K34" s="3431">
        <v>0</v>
      </c>
      <c r="L34" s="3432"/>
      <c r="M34" s="3432"/>
      <c r="N34" s="3432"/>
      <c r="O34" s="3432"/>
      <c r="P34" s="3433"/>
      <c r="Q34" s="3431">
        <v>0</v>
      </c>
      <c r="R34" s="3432"/>
      <c r="S34" s="3432"/>
      <c r="T34" s="3432"/>
      <c r="U34" s="3432"/>
      <c r="V34" s="3511"/>
      <c r="W34" s="3512">
        <f t="shared" si="1"/>
        <v>0</v>
      </c>
      <c r="X34" s="3512"/>
      <c r="Y34" s="3512"/>
      <c r="Z34" s="3512"/>
      <c r="AA34" s="3512"/>
      <c r="AB34" s="3513"/>
      <c r="AC34" s="874"/>
      <c r="AD34" s="874"/>
      <c r="AE34" s="874"/>
      <c r="AO34" s="588"/>
      <c r="AP34" s="812"/>
    </row>
    <row r="35" spans="2:44" ht="30" customHeight="1" thickTop="1" thickBot="1">
      <c r="C35" s="614"/>
      <c r="E35" s="1064"/>
      <c r="F35" s="1065" t="s">
        <v>886</v>
      </c>
      <c r="G35" s="1065"/>
      <c r="H35" s="1065"/>
      <c r="I35" s="1065"/>
      <c r="J35" s="1066"/>
      <c r="K35" s="3334">
        <f>SUM(K28:P34)</f>
        <v>0</v>
      </c>
      <c r="L35" s="3332"/>
      <c r="M35" s="3332"/>
      <c r="N35" s="3332"/>
      <c r="O35" s="3332"/>
      <c r="P35" s="3333"/>
      <c r="Q35" s="3334">
        <f t="shared" ref="Q35" si="2">SUM(Q28:V34)</f>
        <v>0</v>
      </c>
      <c r="R35" s="3332"/>
      <c r="S35" s="3332"/>
      <c r="T35" s="3332"/>
      <c r="U35" s="3332"/>
      <c r="V35" s="3514"/>
      <c r="W35" s="3332">
        <f t="shared" ref="W35" si="3">SUM(W28:AB34)</f>
        <v>0</v>
      </c>
      <c r="X35" s="3332"/>
      <c r="Y35" s="3332"/>
      <c r="Z35" s="3332"/>
      <c r="AA35" s="3332"/>
      <c r="AB35" s="3333"/>
      <c r="AC35" s="874"/>
      <c r="AD35" s="874"/>
      <c r="AE35" s="874"/>
      <c r="AO35" s="588"/>
      <c r="AP35" s="812"/>
    </row>
    <row r="36" spans="2:44" ht="11.15" customHeight="1" thickBot="1">
      <c r="C36" s="612"/>
      <c r="D36" s="613"/>
      <c r="E36" s="1010"/>
      <c r="F36" s="1010"/>
      <c r="G36" s="1011"/>
      <c r="H36" s="562"/>
      <c r="I36" s="562"/>
      <c r="J36" s="562"/>
      <c r="K36" s="562"/>
      <c r="L36" s="562"/>
      <c r="M36" s="562"/>
      <c r="N36" s="562"/>
      <c r="O36" s="562"/>
      <c r="P36" s="562"/>
      <c r="Q36" s="866"/>
      <c r="R36" s="866"/>
      <c r="S36" s="866"/>
      <c r="T36" s="866"/>
      <c r="U36" s="866"/>
      <c r="V36" s="562"/>
      <c r="W36" s="866"/>
      <c r="X36" s="866"/>
      <c r="Y36" s="866"/>
      <c r="Z36" s="866"/>
      <c r="AA36" s="866"/>
      <c r="AB36" s="866"/>
      <c r="AC36" s="562"/>
      <c r="AD36" s="562"/>
      <c r="AE36" s="562"/>
      <c r="AF36" s="562"/>
      <c r="AG36" s="562"/>
      <c r="AH36" s="562"/>
      <c r="AI36" s="562"/>
      <c r="AJ36" s="562"/>
      <c r="AK36" s="562"/>
      <c r="AL36" s="562"/>
      <c r="AM36" s="613"/>
      <c r="AN36" s="613"/>
      <c r="AO36" s="613"/>
      <c r="AP36" s="1069"/>
    </row>
    <row r="37" spans="2:44" s="1036" customFormat="1" ht="21" customHeight="1">
      <c r="C37" s="1185" t="s">
        <v>151</v>
      </c>
      <c r="D37" s="1186" t="s">
        <v>949</v>
      </c>
      <c r="G37" s="1096"/>
      <c r="H37" s="1096"/>
      <c r="I37" s="1096"/>
      <c r="J37" s="1096"/>
      <c r="K37" s="1096"/>
      <c r="L37" s="1096"/>
      <c r="M37" s="1096"/>
      <c r="N37" s="1096"/>
      <c r="O37" s="1096"/>
      <c r="P37" s="1096"/>
      <c r="Q37" s="1096"/>
      <c r="R37" s="1096"/>
      <c r="S37" s="1096"/>
      <c r="T37" s="1096"/>
      <c r="U37" s="1096"/>
      <c r="V37" s="1096"/>
      <c r="W37" s="1096"/>
      <c r="X37" s="1096"/>
      <c r="Y37" s="1096"/>
      <c r="Z37" s="1096"/>
      <c r="AA37" s="1096"/>
      <c r="AB37" s="1096"/>
      <c r="AC37" s="1096"/>
      <c r="AD37" s="1096"/>
      <c r="AE37" s="1096"/>
      <c r="AF37" s="1096"/>
      <c r="AG37" s="1096"/>
      <c r="AH37" s="1096"/>
      <c r="AI37" s="1096"/>
      <c r="AJ37" s="1096"/>
      <c r="AK37" s="1096"/>
      <c r="AL37" s="1096"/>
      <c r="AM37" s="1096"/>
      <c r="AN37" s="1096"/>
      <c r="AO37" s="1096"/>
      <c r="AP37" s="1096"/>
      <c r="AQ37" s="1096"/>
      <c r="AR37" s="1096"/>
    </row>
    <row r="38" spans="2:44" s="1036" customFormat="1" ht="15.75" customHeight="1">
      <c r="C38" s="1185" t="s">
        <v>152</v>
      </c>
      <c r="D38" s="1187" t="s">
        <v>950</v>
      </c>
      <c r="G38" s="1096"/>
      <c r="H38" s="1096"/>
      <c r="I38" s="1096"/>
      <c r="J38" s="1096"/>
      <c r="K38" s="1096"/>
      <c r="L38" s="1096"/>
      <c r="M38" s="1096"/>
      <c r="N38" s="1096"/>
      <c r="O38" s="1096"/>
      <c r="P38" s="1096"/>
      <c r="Q38" s="1096"/>
      <c r="R38" s="1096"/>
      <c r="S38" s="1096"/>
      <c r="T38" s="1096"/>
      <c r="U38" s="1096"/>
      <c r="V38" s="1096"/>
      <c r="W38" s="1096"/>
      <c r="X38" s="1096"/>
      <c r="Y38" s="1096"/>
      <c r="Z38" s="1096"/>
      <c r="AA38" s="1096"/>
      <c r="AB38" s="1096"/>
      <c r="AC38" s="1096"/>
      <c r="AD38" s="1096"/>
      <c r="AE38" s="1096"/>
      <c r="AF38" s="1096"/>
      <c r="AG38" s="1096"/>
      <c r="AH38" s="1096"/>
      <c r="AI38" s="1096"/>
      <c r="AJ38" s="1096"/>
      <c r="AK38" s="1096"/>
      <c r="AL38" s="1096"/>
      <c r="AM38" s="1096"/>
      <c r="AN38" s="1096"/>
      <c r="AO38" s="1096"/>
      <c r="AP38" s="1096"/>
      <c r="AQ38" s="1096"/>
      <c r="AR38" s="1096"/>
    </row>
    <row r="39" spans="2:44" s="1036" customFormat="1" ht="15.75" customHeight="1">
      <c r="C39" s="1185" t="s">
        <v>153</v>
      </c>
      <c r="D39" s="1187" t="s">
        <v>951</v>
      </c>
      <c r="G39" s="1096"/>
      <c r="H39" s="1096"/>
      <c r="I39" s="1096"/>
      <c r="J39" s="1096"/>
      <c r="K39" s="1096"/>
      <c r="L39" s="1096"/>
      <c r="M39" s="1096"/>
      <c r="N39" s="1096"/>
      <c r="O39" s="1096"/>
      <c r="P39" s="1096"/>
      <c r="Q39" s="1096"/>
      <c r="R39" s="1096"/>
      <c r="S39" s="1096"/>
      <c r="T39" s="1096"/>
      <c r="U39" s="1096"/>
      <c r="V39" s="1096"/>
      <c r="W39" s="1096"/>
      <c r="X39" s="1096"/>
      <c r="Y39" s="1096"/>
      <c r="Z39" s="1096"/>
      <c r="AA39" s="1096"/>
      <c r="AB39" s="1096"/>
      <c r="AC39" s="1096"/>
      <c r="AD39" s="1096"/>
      <c r="AE39" s="1096"/>
      <c r="AF39" s="1096"/>
      <c r="AG39" s="1096"/>
      <c r="AH39" s="1096"/>
      <c r="AI39" s="1096"/>
      <c r="AJ39" s="1096"/>
      <c r="AK39" s="1096"/>
      <c r="AL39" s="1096"/>
      <c r="AM39" s="1096"/>
      <c r="AN39" s="1096"/>
      <c r="AO39" s="1096"/>
      <c r="AP39" s="1096"/>
      <c r="AQ39" s="1096"/>
      <c r="AR39" s="1096"/>
    </row>
    <row r="40" spans="2:44" s="1036" customFormat="1" ht="15.75" customHeight="1">
      <c r="C40" s="1185" t="s">
        <v>154</v>
      </c>
      <c r="D40" s="1187" t="s">
        <v>952</v>
      </c>
      <c r="G40" s="1096"/>
      <c r="H40" s="1096"/>
      <c r="I40" s="1096"/>
      <c r="J40" s="1096"/>
      <c r="K40" s="1096"/>
      <c r="L40" s="1096"/>
      <c r="M40" s="1096"/>
      <c r="N40" s="1096"/>
      <c r="O40" s="1096"/>
      <c r="P40" s="1096"/>
      <c r="Q40" s="1096"/>
      <c r="R40" s="1096"/>
      <c r="S40" s="1096"/>
      <c r="T40" s="1096"/>
      <c r="U40" s="1096"/>
      <c r="V40" s="1096"/>
      <c r="W40" s="1096"/>
      <c r="X40" s="1096"/>
      <c r="Y40" s="1096"/>
      <c r="Z40" s="1096"/>
      <c r="AA40" s="1096"/>
      <c r="AB40" s="1096"/>
      <c r="AC40" s="1096"/>
      <c r="AD40" s="1096"/>
      <c r="AE40" s="1096"/>
      <c r="AF40" s="1096"/>
      <c r="AG40" s="1096"/>
      <c r="AH40" s="1096"/>
      <c r="AI40" s="1096"/>
      <c r="AJ40" s="1096"/>
      <c r="AK40" s="1096"/>
      <c r="AL40" s="1096"/>
      <c r="AM40" s="1096"/>
      <c r="AN40" s="1096"/>
      <c r="AO40" s="1096"/>
      <c r="AP40" s="1096"/>
      <c r="AQ40" s="1096"/>
      <c r="AR40" s="1096"/>
    </row>
    <row r="41" spans="2:44" s="755" customFormat="1" ht="25.5" customHeight="1">
      <c r="C41" s="187"/>
      <c r="F41" s="187"/>
      <c r="I41" s="187"/>
      <c r="L41" s="187"/>
      <c r="O41" s="187"/>
      <c r="Q41" s="187"/>
      <c r="T41" s="187"/>
      <c r="W41" s="187"/>
      <c r="Y41" s="187"/>
      <c r="AA41" s="187"/>
      <c r="AC41" s="187"/>
      <c r="AE41" s="187"/>
      <c r="AG41" s="187"/>
      <c r="AJ41" s="187"/>
      <c r="AM41" s="187"/>
      <c r="AP41" s="187"/>
    </row>
    <row r="42" spans="2:44" s="168" customFormat="1" ht="14">
      <c r="B42" s="169" t="s">
        <v>17</v>
      </c>
      <c r="P42" s="169" t="s">
        <v>900</v>
      </c>
      <c r="AF42" s="169" t="s">
        <v>783</v>
      </c>
    </row>
    <row r="43" spans="2:44" s="168" customFormat="1" ht="21.75" customHeight="1">
      <c r="B43" s="169" t="s">
        <v>748</v>
      </c>
      <c r="F43" s="1959" t="str">
        <f>activesheet!E29</f>
        <v>RICO S. MISPEROS</v>
      </c>
      <c r="G43" s="1959"/>
      <c r="H43" s="1959"/>
      <c r="I43" s="1959"/>
      <c r="J43" s="1959"/>
      <c r="K43" s="1959"/>
      <c r="L43" s="1959"/>
      <c r="M43" s="1959"/>
      <c r="O43" s="172"/>
      <c r="P43" s="2036" t="s">
        <v>11879</v>
      </c>
      <c r="Q43" s="2036"/>
      <c r="R43" s="2036"/>
      <c r="S43" s="2036"/>
      <c r="T43" s="2036"/>
      <c r="U43" s="2036"/>
      <c r="V43" s="2036"/>
      <c r="W43" s="2036"/>
      <c r="X43" s="2036"/>
      <c r="Y43" s="2036"/>
      <c r="Z43" s="2036"/>
      <c r="AA43" s="2036"/>
      <c r="AB43" s="2036"/>
      <c r="AC43" s="2036"/>
      <c r="AF43" s="1956" t="str">
        <f>activesheet!E31</f>
        <v>MICHAEL T. JAMIS</v>
      </c>
      <c r="AG43" s="1956"/>
      <c r="AH43" s="1956"/>
      <c r="AI43" s="1956"/>
      <c r="AJ43" s="1956"/>
      <c r="AK43" s="1956"/>
      <c r="AL43" s="1956"/>
      <c r="AM43" s="1956"/>
      <c r="AN43" s="1956"/>
      <c r="AO43" s="1956"/>
      <c r="AP43" s="1956"/>
      <c r="AQ43" s="1956"/>
    </row>
    <row r="44" spans="2:44" s="156" customFormat="1" ht="13.5" customHeight="1">
      <c r="B44" s="655"/>
      <c r="F44" s="1764" t="s">
        <v>741</v>
      </c>
      <c r="G44" s="1764"/>
      <c r="H44" s="1764"/>
      <c r="I44" s="1764"/>
      <c r="J44" s="1764"/>
      <c r="K44" s="1764"/>
      <c r="L44" s="1764"/>
      <c r="M44" s="1764"/>
      <c r="N44" s="1040"/>
      <c r="O44" s="184"/>
      <c r="P44" s="1764" t="s">
        <v>741</v>
      </c>
      <c r="Q44" s="1764"/>
      <c r="R44" s="1764"/>
      <c r="S44" s="1764"/>
      <c r="T44" s="1764"/>
      <c r="U44" s="1764"/>
      <c r="V44" s="1764"/>
      <c r="W44" s="1764"/>
      <c r="X44" s="1764"/>
      <c r="Y44" s="1764"/>
      <c r="Z44" s="1764"/>
      <c r="AA44" s="1764"/>
      <c r="AB44" s="1764"/>
      <c r="AC44" s="1764"/>
      <c r="AD44" s="1040"/>
      <c r="AF44" s="1957"/>
      <c r="AG44" s="1957"/>
      <c r="AH44" s="1957"/>
      <c r="AI44" s="1957"/>
      <c r="AJ44" s="1957"/>
      <c r="AK44" s="1957"/>
      <c r="AL44" s="1957"/>
      <c r="AM44" s="1957"/>
      <c r="AN44" s="1957"/>
      <c r="AO44" s="1957"/>
      <c r="AP44" s="1957"/>
      <c r="AQ44" s="1957"/>
    </row>
    <row r="45" spans="2:44" s="168" customFormat="1" ht="21.75" customHeight="1">
      <c r="B45" s="169" t="s">
        <v>71</v>
      </c>
      <c r="F45" s="1959" t="str">
        <f>activesheet!E30</f>
        <v>SCHOOL PRINCIPAL II</v>
      </c>
      <c r="G45" s="1959"/>
      <c r="H45" s="1959"/>
      <c r="I45" s="1959"/>
      <c r="J45" s="1959"/>
      <c r="K45" s="1959"/>
      <c r="L45" s="1959"/>
      <c r="M45" s="1959"/>
      <c r="O45" s="172"/>
      <c r="P45" s="169" t="s">
        <v>71</v>
      </c>
      <c r="T45" s="2036" t="s">
        <v>11895</v>
      </c>
      <c r="U45" s="2036"/>
      <c r="V45" s="2036"/>
      <c r="W45" s="2036"/>
      <c r="X45" s="2036"/>
      <c r="Y45" s="2036"/>
      <c r="Z45" s="2036"/>
      <c r="AA45" s="2036"/>
      <c r="AB45" s="2036"/>
      <c r="AC45" s="2036"/>
      <c r="AF45" s="1764" t="s">
        <v>741</v>
      </c>
      <c r="AG45" s="1764"/>
      <c r="AH45" s="1764"/>
      <c r="AI45" s="1764"/>
      <c r="AJ45" s="1764"/>
      <c r="AK45" s="1764"/>
      <c r="AL45" s="1764"/>
      <c r="AM45" s="1764"/>
      <c r="AN45" s="1764"/>
      <c r="AO45" s="1764"/>
      <c r="AP45" s="1764"/>
      <c r="AQ45" s="1764"/>
    </row>
  </sheetData>
  <sheetProtection algorithmName="SHA-512" hashValue="bX6cPcivTqeLe6wqbz7wBjlROX3QsIosmeURscvv9Eljk/QTYw2+rUGy2ffc8Bp2vMt3zQhe60d0GM9olWteYg==" saltValue="IqBVtpS2YpXaMd2j4DiCpA==" spinCount="100000" sheet="1" objects="1" scenarios="1" selectLockedCells="1"/>
  <mergeCells count="71">
    <mergeCell ref="AF45:AQ45"/>
    <mergeCell ref="P44:AC44"/>
    <mergeCell ref="P43:AC43"/>
    <mergeCell ref="T45:AC45"/>
    <mergeCell ref="F43:M43"/>
    <mergeCell ref="F44:M44"/>
    <mergeCell ref="F45:M45"/>
    <mergeCell ref="AF43:AQ44"/>
    <mergeCell ref="AG6:AM6"/>
    <mergeCell ref="AB7:AH7"/>
    <mergeCell ref="K29:P29"/>
    <mergeCell ref="K30:P30"/>
    <mergeCell ref="K31:P31"/>
    <mergeCell ref="Q29:V29"/>
    <mergeCell ref="W29:AB29"/>
    <mergeCell ref="Q30:V30"/>
    <mergeCell ref="W30:AB30"/>
    <mergeCell ref="Q31:V31"/>
    <mergeCell ref="W31:AB31"/>
    <mergeCell ref="K20:P20"/>
    <mergeCell ref="Q20:V20"/>
    <mergeCell ref="W20:AB20"/>
    <mergeCell ref="AC20:AH20"/>
    <mergeCell ref="AI20:AN20"/>
    <mergeCell ref="E17:J18"/>
    <mergeCell ref="K17:AB17"/>
    <mergeCell ref="AC17:AN17"/>
    <mergeCell ref="K18:P18"/>
    <mergeCell ref="Q18:V18"/>
    <mergeCell ref="W18:AB18"/>
    <mergeCell ref="AC18:AH18"/>
    <mergeCell ref="AI18:AN18"/>
    <mergeCell ref="K19:P19"/>
    <mergeCell ref="Q19:V19"/>
    <mergeCell ref="W19:AB19"/>
    <mergeCell ref="AC19:AH19"/>
    <mergeCell ref="AI19:AN19"/>
    <mergeCell ref="AI23:AN23"/>
    <mergeCell ref="K21:P21"/>
    <mergeCell ref="Q21:V21"/>
    <mergeCell ref="W21:AB21"/>
    <mergeCell ref="AC21:AH21"/>
    <mergeCell ref="AI21:AN21"/>
    <mergeCell ref="K22:P22"/>
    <mergeCell ref="Q22:V22"/>
    <mergeCell ref="W22:AB22"/>
    <mergeCell ref="AC22:AH22"/>
    <mergeCell ref="AI22:AN22"/>
    <mergeCell ref="K23:P23"/>
    <mergeCell ref="Q23:V23"/>
    <mergeCell ref="W23:AB23"/>
    <mergeCell ref="AC23:AH23"/>
    <mergeCell ref="E27:J27"/>
    <mergeCell ref="K27:P27"/>
    <mergeCell ref="Q27:V27"/>
    <mergeCell ref="W27:AB27"/>
    <mergeCell ref="K28:P28"/>
    <mergeCell ref="Q28:V28"/>
    <mergeCell ref="W28:AB28"/>
    <mergeCell ref="K34:P34"/>
    <mergeCell ref="Q34:V34"/>
    <mergeCell ref="W34:AB34"/>
    <mergeCell ref="K35:P35"/>
    <mergeCell ref="Q35:V35"/>
    <mergeCell ref="W35:AB35"/>
    <mergeCell ref="K32:P32"/>
    <mergeCell ref="Q32:V32"/>
    <mergeCell ref="W32:AB32"/>
    <mergeCell ref="K33:P33"/>
    <mergeCell ref="Q33:V33"/>
    <mergeCell ref="W33:AB33"/>
  </mergeCells>
  <conditionalFormatting sqref="E6">
    <cfRule type="expression" dxfId="2" priority="4">
      <formula>AND(AB5=TRUE, AND(P6=FALSE, T6=FALSE, X6=FALSE, AB6=FALSE))</formula>
    </cfRule>
  </conditionalFormatting>
  <conditionalFormatting sqref="F6">
    <cfRule type="expression" dxfId="1" priority="3">
      <formula>AND(AB5=TRUE, AND(P6=FALSE, T6=FALSE, X6=FALSE, AB6=FALSE))</formula>
    </cfRule>
  </conditionalFormatting>
  <dataValidations count="2">
    <dataValidation type="whole" allowBlank="1" showInputMessage="1" showErrorMessage="1" errorTitle="GESP SY 2022-2023" error="Please enter valid number between 0 - 20,000." sqref="K28:V34 AB7:AH7 K19:V22" xr:uid="{00000000-0002-0000-2800-000000000000}">
      <formula1>0</formula1>
      <formula2>20000</formula2>
    </dataValidation>
    <dataValidation type="whole" allowBlank="1" showInputMessage="1" showErrorMessage="1" errorTitle="GESP SY 2022-2023" error="Please enter valid number between 0 - 999." sqref="AC19:AN22" xr:uid="{00000000-0002-0000-2800-000001000000}">
      <formula1>0</formula1>
      <formula2>999</formula2>
    </dataValidation>
  </dataValidations>
  <printOptions horizontalCentered="1" verticalCentered="1"/>
  <pageMargins left="0.25" right="0.25" top="0.2" bottom="0.2" header="0" footer="0.1"/>
  <pageSetup paperSize="9" scale="61" orientation="landscape" r:id="rId1"/>
  <headerFooter alignWithMargins="0">
    <oddFooter>&amp;L&amp;10&amp;F &amp;A&amp;R&amp;11Page 37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3601" r:id="rId4" name="Check Box 1">
              <controlPr locked="0" defaultSize="0" autoFill="0" autoLine="0" autoPict="0">
                <anchor moveWithCells="1">
                  <from>
                    <xdr:col>27</xdr:col>
                    <xdr:colOff>31750</xdr:colOff>
                    <xdr:row>4</xdr:row>
                    <xdr:rowOff>165100</xdr:rowOff>
                  </from>
                  <to>
                    <xdr:col>30</xdr:col>
                    <xdr:colOff>38100</xdr:colOff>
                    <xdr:row>5</xdr:row>
                    <xdr:rowOff>0</xdr:rowOff>
                  </to>
                </anchor>
              </controlPr>
            </control>
          </mc:Choice>
        </mc:AlternateContent>
        <mc:AlternateContent xmlns:mc="http://schemas.openxmlformats.org/markup-compatibility/2006">
          <mc:Choice Requires="x14">
            <control shapeId="153602" r:id="rId5" name="Check Box 2">
              <controlPr locked="0" defaultSize="0" autoFill="0" autoLine="0" autoPict="0">
                <anchor moveWithCells="1">
                  <from>
                    <xdr:col>27</xdr:col>
                    <xdr:colOff>31750</xdr:colOff>
                    <xdr:row>5</xdr:row>
                    <xdr:rowOff>88900</xdr:rowOff>
                  </from>
                  <to>
                    <xdr:col>30</xdr:col>
                    <xdr:colOff>38100</xdr:colOff>
                    <xdr:row>5</xdr:row>
                    <xdr:rowOff>298450</xdr:rowOff>
                  </to>
                </anchor>
              </controlPr>
            </control>
          </mc:Choice>
        </mc:AlternateContent>
        <mc:AlternateContent xmlns:mc="http://schemas.openxmlformats.org/markup-compatibility/2006">
          <mc:Choice Requires="x14">
            <control shapeId="153603" r:id="rId6" name="Check Box 3">
              <controlPr locked="0" defaultSize="0" autoFill="0" autoLine="0" autoPict="0">
                <anchor moveWithCells="1">
                  <from>
                    <xdr:col>27</xdr:col>
                    <xdr:colOff>31750</xdr:colOff>
                    <xdr:row>8</xdr:row>
                    <xdr:rowOff>165100</xdr:rowOff>
                  </from>
                  <to>
                    <xdr:col>30</xdr:col>
                    <xdr:colOff>38100</xdr:colOff>
                    <xdr:row>9</xdr:row>
                    <xdr:rowOff>0</xdr:rowOff>
                  </to>
                </anchor>
              </controlPr>
            </control>
          </mc:Choice>
        </mc:AlternateContent>
        <mc:AlternateContent xmlns:mc="http://schemas.openxmlformats.org/markup-compatibility/2006">
          <mc:Choice Requires="x14">
            <control shapeId="153604" r:id="rId7" name="Check Box 4">
              <controlPr locked="0" defaultSize="0" autoFill="0" autoLine="0" autoPict="0">
                <anchor moveWithCells="1">
                  <from>
                    <xdr:col>15</xdr:col>
                    <xdr:colOff>31750</xdr:colOff>
                    <xdr:row>5</xdr:row>
                    <xdr:rowOff>88900</xdr:rowOff>
                  </from>
                  <to>
                    <xdr:col>18</xdr:col>
                    <xdr:colOff>38100</xdr:colOff>
                    <xdr:row>5</xdr:row>
                    <xdr:rowOff>298450</xdr:rowOff>
                  </to>
                </anchor>
              </controlPr>
            </control>
          </mc:Choice>
        </mc:AlternateContent>
        <mc:AlternateContent xmlns:mc="http://schemas.openxmlformats.org/markup-compatibility/2006">
          <mc:Choice Requires="x14">
            <control shapeId="153605" r:id="rId8" name="Check Box 5">
              <controlPr locked="0" defaultSize="0" autoFill="0" autoLine="0" autoPict="0">
                <anchor moveWithCells="1">
                  <from>
                    <xdr:col>19</xdr:col>
                    <xdr:colOff>31750</xdr:colOff>
                    <xdr:row>5</xdr:row>
                    <xdr:rowOff>88900</xdr:rowOff>
                  </from>
                  <to>
                    <xdr:col>22</xdr:col>
                    <xdr:colOff>38100</xdr:colOff>
                    <xdr:row>5</xdr:row>
                    <xdr:rowOff>298450</xdr:rowOff>
                  </to>
                </anchor>
              </controlPr>
            </control>
          </mc:Choice>
        </mc:AlternateContent>
        <mc:AlternateContent xmlns:mc="http://schemas.openxmlformats.org/markup-compatibility/2006">
          <mc:Choice Requires="x14">
            <control shapeId="153606" r:id="rId9" name="Check Box 6">
              <controlPr locked="0" defaultSize="0" autoFill="0" autoLine="0" autoPict="0">
                <anchor moveWithCells="1">
                  <from>
                    <xdr:col>23</xdr:col>
                    <xdr:colOff>31750</xdr:colOff>
                    <xdr:row>5</xdr:row>
                    <xdr:rowOff>88900</xdr:rowOff>
                  </from>
                  <to>
                    <xdr:col>26</xdr:col>
                    <xdr:colOff>38100</xdr:colOff>
                    <xdr:row>5</xdr:row>
                    <xdr:rowOff>298450</xdr:rowOff>
                  </to>
                </anchor>
              </controlPr>
            </control>
          </mc:Choice>
        </mc:AlternateContent>
        <mc:AlternateContent xmlns:mc="http://schemas.openxmlformats.org/markup-compatibility/2006">
          <mc:Choice Requires="x14">
            <control shapeId="153607" r:id="rId10" name="Check Box 7">
              <controlPr locked="0" defaultSize="0" autoFill="0" autoLine="0" autoPict="0">
                <anchor moveWithCells="1">
                  <from>
                    <xdr:col>32</xdr:col>
                    <xdr:colOff>31750</xdr:colOff>
                    <xdr:row>4</xdr:row>
                    <xdr:rowOff>184150</xdr:rowOff>
                  </from>
                  <to>
                    <xdr:col>35</xdr:col>
                    <xdr:colOff>38100</xdr:colOff>
                    <xdr:row>5</xdr:row>
                    <xdr:rowOff>12700</xdr:rowOff>
                  </to>
                </anchor>
              </controlPr>
            </control>
          </mc:Choice>
        </mc:AlternateContent>
        <mc:AlternateContent xmlns:mc="http://schemas.openxmlformats.org/markup-compatibility/2006">
          <mc:Choice Requires="x14">
            <control shapeId="153608" r:id="rId11" name="Check Box 8">
              <controlPr locked="0" defaultSize="0" autoFill="0" autoLine="0" autoPict="0">
                <anchor moveWithCells="1">
                  <from>
                    <xdr:col>32</xdr:col>
                    <xdr:colOff>31750</xdr:colOff>
                    <xdr:row>8</xdr:row>
                    <xdr:rowOff>165100</xdr:rowOff>
                  </from>
                  <to>
                    <xdr:col>35</xdr:col>
                    <xdr:colOff>38100</xdr:colOff>
                    <xdr:row>8</xdr:row>
                    <xdr:rowOff>381000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pageSetUpPr fitToPage="1"/>
  </sheetPr>
  <dimension ref="B1:BI53"/>
  <sheetViews>
    <sheetView showGridLines="0" zoomScaleNormal="100" zoomScaleSheetLayoutView="100" workbookViewId="0">
      <selection activeCell="AH31" sqref="AH31:AK31"/>
    </sheetView>
  </sheetViews>
  <sheetFormatPr defaultColWidth="9" defaultRowHeight="15.5"/>
  <cols>
    <col min="1" max="1" width="2.08203125" style="602" customWidth="1"/>
    <col min="2" max="43" width="3.58203125" style="602" customWidth="1"/>
    <col min="44" max="44" width="2.08203125" style="602" customWidth="1"/>
    <col min="45" max="59" width="3.58203125" style="602" customWidth="1"/>
    <col min="60" max="16384" width="9" style="602"/>
  </cols>
  <sheetData>
    <row r="1" spans="2:43" ht="12" customHeight="1"/>
    <row r="2" spans="2:43" ht="16.5">
      <c r="B2" s="627" t="s">
        <v>11807</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1193"/>
      <c r="AE2" s="629"/>
      <c r="AF2" s="629"/>
      <c r="AG2" s="629"/>
      <c r="AH2" s="629"/>
      <c r="AI2" s="629"/>
      <c r="AJ2" s="629"/>
      <c r="AK2" s="629"/>
      <c r="AL2" s="628"/>
    </row>
    <row r="3" spans="2:43" s="568" customFormat="1" ht="16" thickBot="1">
      <c r="B3" s="582" t="s">
        <v>903</v>
      </c>
    </row>
    <row r="4" spans="2:43" ht="5.15"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640"/>
      <c r="AO4" s="640"/>
      <c r="AP4" s="640"/>
      <c r="AQ4" s="1056"/>
    </row>
    <row r="5" spans="2:43" ht="18" customHeight="1">
      <c r="B5" s="614"/>
      <c r="C5" s="1081" t="s">
        <v>151</v>
      </c>
      <c r="D5" s="1012" t="s">
        <v>930</v>
      </c>
      <c r="E5" s="1012"/>
      <c r="F5" s="1013"/>
      <c r="G5" s="1013"/>
      <c r="H5" s="1013"/>
      <c r="I5" s="1013"/>
      <c r="J5" s="1013"/>
      <c r="K5" s="1013"/>
      <c r="L5" s="1013"/>
      <c r="M5" s="1013"/>
      <c r="N5" s="1013"/>
      <c r="O5" s="874"/>
      <c r="P5" s="588"/>
      <c r="Q5" s="588"/>
      <c r="R5" s="588"/>
      <c r="S5" s="588"/>
      <c r="T5" s="588"/>
      <c r="U5" s="1014"/>
      <c r="V5" s="874"/>
      <c r="W5" s="874"/>
      <c r="X5" s="874"/>
      <c r="Y5" s="874"/>
      <c r="Z5" s="874"/>
      <c r="AA5" s="874"/>
      <c r="AB5" s="588"/>
      <c r="AC5" s="588"/>
      <c r="AD5" s="588"/>
      <c r="AE5" s="588"/>
      <c r="AF5" s="588"/>
      <c r="AG5" s="588"/>
      <c r="AH5" s="588"/>
      <c r="AI5" s="588"/>
      <c r="AJ5" s="588"/>
      <c r="AK5" s="588"/>
      <c r="AQ5" s="1018"/>
    </row>
    <row r="6" spans="2:43" ht="5.15" customHeight="1" thickBo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Q6" s="1018"/>
    </row>
    <row r="7" spans="2:43" ht="20.149999999999999" customHeight="1">
      <c r="B7" s="614"/>
      <c r="D7" s="3392" t="s">
        <v>1316</v>
      </c>
      <c r="E7" s="3393"/>
      <c r="F7" s="3393"/>
      <c r="G7" s="3393"/>
      <c r="H7" s="3393"/>
      <c r="I7" s="3394"/>
      <c r="J7" s="3365" t="s">
        <v>852</v>
      </c>
      <c r="K7" s="3366"/>
      <c r="L7" s="3366"/>
      <c r="M7" s="3366"/>
      <c r="N7" s="3366"/>
      <c r="O7" s="3366"/>
      <c r="P7" s="3366"/>
      <c r="Q7" s="3366"/>
      <c r="R7" s="3366"/>
      <c r="S7" s="3366"/>
      <c r="T7" s="3366"/>
      <c r="U7" s="3366"/>
      <c r="V7" s="3366"/>
      <c r="W7" s="3366"/>
      <c r="X7" s="3366"/>
      <c r="Y7" s="3366"/>
      <c r="Z7" s="3366"/>
      <c r="AA7" s="3367"/>
      <c r="AB7" s="1082"/>
      <c r="AC7" s="1105"/>
      <c r="AD7" s="1105"/>
      <c r="AE7" s="1105"/>
      <c r="AF7" s="1105"/>
      <c r="AG7" s="1105"/>
      <c r="AH7" s="1105"/>
      <c r="AI7" s="1105"/>
      <c r="AJ7" s="1105"/>
      <c r="AK7" s="1105"/>
      <c r="AL7" s="1105"/>
      <c r="AM7" s="1105"/>
      <c r="AN7" s="1105"/>
      <c r="AO7" s="1105"/>
      <c r="AP7" s="1105"/>
      <c r="AQ7" s="1104"/>
    </row>
    <row r="8" spans="2:43" ht="16" customHeight="1" thickBot="1">
      <c r="B8" s="614"/>
      <c r="D8" s="3398"/>
      <c r="E8" s="3399"/>
      <c r="F8" s="3399"/>
      <c r="G8" s="3399"/>
      <c r="H8" s="3399"/>
      <c r="I8" s="3400"/>
      <c r="J8" s="3520" t="s">
        <v>558</v>
      </c>
      <c r="K8" s="3521"/>
      <c r="L8" s="3521"/>
      <c r="M8" s="3521"/>
      <c r="N8" s="3521"/>
      <c r="O8" s="3522"/>
      <c r="P8" s="3520" t="s">
        <v>559</v>
      </c>
      <c r="Q8" s="3521"/>
      <c r="R8" s="3521"/>
      <c r="S8" s="3521"/>
      <c r="T8" s="3521"/>
      <c r="U8" s="3523"/>
      <c r="V8" s="3538" t="s">
        <v>29</v>
      </c>
      <c r="W8" s="3521"/>
      <c r="X8" s="3521"/>
      <c r="Y8" s="3521"/>
      <c r="Z8" s="3521"/>
      <c r="AA8" s="3522"/>
      <c r="AB8" s="1194"/>
      <c r="AC8" s="1195"/>
      <c r="AD8" s="1195"/>
      <c r="AE8" s="1195"/>
      <c r="AF8" s="1195"/>
      <c r="AG8" s="1195"/>
      <c r="AH8" s="1195"/>
      <c r="AI8" s="1195"/>
      <c r="AJ8" s="1195"/>
      <c r="AK8" s="1195"/>
      <c r="AL8" s="1195"/>
      <c r="AM8" s="1195"/>
      <c r="AN8" s="1195"/>
      <c r="AO8" s="1105"/>
      <c r="AP8" s="1105"/>
      <c r="AQ8" s="1104"/>
    </row>
    <row r="9" spans="2:43" ht="23.15" customHeight="1">
      <c r="B9" s="614"/>
      <c r="D9" s="1071" t="s">
        <v>1187</v>
      </c>
      <c r="E9" s="1108"/>
      <c r="F9" s="1108"/>
      <c r="G9" s="1108"/>
      <c r="H9" s="1108"/>
      <c r="I9" s="1109"/>
      <c r="J9" s="3347">
        <v>0</v>
      </c>
      <c r="K9" s="3344"/>
      <c r="L9" s="3344"/>
      <c r="M9" s="3344"/>
      <c r="N9" s="3344"/>
      <c r="O9" s="3345"/>
      <c r="P9" s="3347">
        <v>0</v>
      </c>
      <c r="Q9" s="3344"/>
      <c r="R9" s="3344"/>
      <c r="S9" s="3344"/>
      <c r="T9" s="3344"/>
      <c r="U9" s="3517"/>
      <c r="V9" s="3539">
        <f>SUM(J9:U9)</f>
        <v>0</v>
      </c>
      <c r="W9" s="3518"/>
      <c r="X9" s="3518"/>
      <c r="Y9" s="3518"/>
      <c r="Z9" s="3518"/>
      <c r="AA9" s="3519"/>
      <c r="AB9" s="1067"/>
      <c r="AC9" s="606"/>
      <c r="AD9" s="606"/>
      <c r="AE9" s="606"/>
      <c r="AF9" s="606"/>
      <c r="AG9" s="606"/>
      <c r="AH9" s="606"/>
      <c r="AI9" s="606"/>
      <c r="AJ9" s="606"/>
      <c r="AK9" s="606"/>
      <c r="AL9" s="606"/>
      <c r="AM9" s="606"/>
      <c r="AN9" s="606"/>
      <c r="AO9" s="606"/>
      <c r="AP9" s="606"/>
      <c r="AQ9" s="1093"/>
    </row>
    <row r="10" spans="2:43" ht="23.15" customHeight="1">
      <c r="B10" s="614"/>
      <c r="D10" s="1074" t="s">
        <v>1188</v>
      </c>
      <c r="E10" s="1075"/>
      <c r="F10" s="1075"/>
      <c r="G10" s="1075"/>
      <c r="H10" s="1075"/>
      <c r="I10" s="1076"/>
      <c r="J10" s="3434">
        <v>0</v>
      </c>
      <c r="K10" s="3435"/>
      <c r="L10" s="3435"/>
      <c r="M10" s="3435"/>
      <c r="N10" s="3435"/>
      <c r="O10" s="3436"/>
      <c r="P10" s="3434">
        <v>0</v>
      </c>
      <c r="Q10" s="3435"/>
      <c r="R10" s="3435"/>
      <c r="S10" s="3435"/>
      <c r="T10" s="3435"/>
      <c r="U10" s="3508"/>
      <c r="V10" s="3537">
        <f t="shared" ref="V10:V12" si="0">SUM(J10:U10)</f>
        <v>0</v>
      </c>
      <c r="W10" s="3509"/>
      <c r="X10" s="3509"/>
      <c r="Y10" s="3509"/>
      <c r="Z10" s="3509"/>
      <c r="AA10" s="3510"/>
      <c r="AB10" s="1067"/>
      <c r="AC10" s="606"/>
      <c r="AD10" s="606"/>
      <c r="AE10" s="606"/>
      <c r="AF10" s="606"/>
      <c r="AG10" s="606"/>
      <c r="AH10" s="606"/>
      <c r="AI10" s="606"/>
      <c r="AJ10" s="606"/>
      <c r="AK10" s="606"/>
      <c r="AL10" s="606"/>
      <c r="AM10" s="606"/>
      <c r="AN10" s="606"/>
      <c r="AO10" s="606"/>
      <c r="AP10" s="606"/>
      <c r="AQ10" s="1093"/>
    </row>
    <row r="11" spans="2:43" ht="23.15" customHeight="1">
      <c r="B11" s="614"/>
      <c r="D11" s="1074" t="s">
        <v>1189</v>
      </c>
      <c r="E11" s="1075"/>
      <c r="F11" s="1075"/>
      <c r="G11" s="1075"/>
      <c r="H11" s="1075"/>
      <c r="I11" s="1076"/>
      <c r="J11" s="3434">
        <v>0</v>
      </c>
      <c r="K11" s="3435"/>
      <c r="L11" s="3435"/>
      <c r="M11" s="3435"/>
      <c r="N11" s="3435"/>
      <c r="O11" s="3436"/>
      <c r="P11" s="3434">
        <v>0</v>
      </c>
      <c r="Q11" s="3435"/>
      <c r="R11" s="3435"/>
      <c r="S11" s="3435"/>
      <c r="T11" s="3435"/>
      <c r="U11" s="3508"/>
      <c r="V11" s="3509">
        <f t="shared" si="0"/>
        <v>0</v>
      </c>
      <c r="W11" s="3509"/>
      <c r="X11" s="3509"/>
      <c r="Y11" s="3509"/>
      <c r="Z11" s="3509"/>
      <c r="AA11" s="3510"/>
      <c r="AB11" s="1067"/>
      <c r="AC11" s="606"/>
      <c r="AD11" s="606"/>
      <c r="AE11" s="606"/>
      <c r="AF11" s="606"/>
      <c r="AG11" s="606"/>
      <c r="AH11" s="606"/>
      <c r="AI11" s="606"/>
      <c r="AJ11" s="606"/>
      <c r="AK11" s="606"/>
      <c r="AL11" s="606"/>
      <c r="AM11" s="606"/>
      <c r="AN11" s="606"/>
      <c r="AO11" s="606"/>
      <c r="AP11" s="606"/>
      <c r="AQ11" s="1093"/>
    </row>
    <row r="12" spans="2:43" ht="23.15" customHeight="1" thickBot="1">
      <c r="B12" s="614"/>
      <c r="D12" s="1077" t="s">
        <v>1190</v>
      </c>
      <c r="E12" s="1078"/>
      <c r="F12" s="1078"/>
      <c r="G12" s="1078"/>
      <c r="H12" s="1078"/>
      <c r="I12" s="1079"/>
      <c r="J12" s="3431">
        <v>0</v>
      </c>
      <c r="K12" s="3432"/>
      <c r="L12" s="3432"/>
      <c r="M12" s="3432"/>
      <c r="N12" s="3432"/>
      <c r="O12" s="3433"/>
      <c r="P12" s="3431">
        <v>0</v>
      </c>
      <c r="Q12" s="3432"/>
      <c r="R12" s="3432"/>
      <c r="S12" s="3432"/>
      <c r="T12" s="3432"/>
      <c r="U12" s="3511"/>
      <c r="V12" s="3512">
        <f t="shared" si="0"/>
        <v>0</v>
      </c>
      <c r="W12" s="3512"/>
      <c r="X12" s="3512"/>
      <c r="Y12" s="3512"/>
      <c r="Z12" s="3512"/>
      <c r="AA12" s="3513"/>
      <c r="AB12" s="1067"/>
      <c r="AC12" s="606"/>
      <c r="AD12" s="606"/>
      <c r="AE12" s="606"/>
      <c r="AF12" s="606"/>
      <c r="AG12" s="606"/>
      <c r="AH12" s="606"/>
      <c r="AI12" s="606"/>
      <c r="AJ12" s="606"/>
      <c r="AK12" s="606"/>
      <c r="AL12" s="606"/>
      <c r="AM12" s="606"/>
      <c r="AN12" s="606"/>
      <c r="AO12" s="606"/>
      <c r="AP12" s="606"/>
      <c r="AQ12" s="1093"/>
    </row>
    <row r="13" spans="2:43" ht="23.15" customHeight="1" thickTop="1" thickBot="1">
      <c r="B13" s="614"/>
      <c r="D13" s="1064"/>
      <c r="E13" s="1065" t="s">
        <v>886</v>
      </c>
      <c r="F13" s="1065"/>
      <c r="G13" s="1065"/>
      <c r="H13" s="1065"/>
      <c r="I13" s="1066"/>
      <c r="J13" s="3334">
        <f>SUM(J9:O12)</f>
        <v>0</v>
      </c>
      <c r="K13" s="3332"/>
      <c r="L13" s="3332"/>
      <c r="M13" s="3332"/>
      <c r="N13" s="3332"/>
      <c r="O13" s="3333"/>
      <c r="P13" s="3334">
        <f>SUM(P9:U12)</f>
        <v>0</v>
      </c>
      <c r="Q13" s="3332"/>
      <c r="R13" s="3332"/>
      <c r="S13" s="3332"/>
      <c r="T13" s="3332"/>
      <c r="U13" s="3514"/>
      <c r="V13" s="3332">
        <f>SUM(J13:U13)</f>
        <v>0</v>
      </c>
      <c r="W13" s="3332"/>
      <c r="X13" s="3332"/>
      <c r="Y13" s="3332"/>
      <c r="Z13" s="3332"/>
      <c r="AA13" s="3333"/>
      <c r="AB13" s="1067"/>
      <c r="AC13" s="606"/>
      <c r="AD13" s="606"/>
      <c r="AE13" s="606"/>
      <c r="AF13" s="606"/>
      <c r="AG13" s="606"/>
      <c r="AH13" s="606"/>
      <c r="AI13" s="606"/>
      <c r="AJ13" s="606"/>
      <c r="AK13" s="606"/>
      <c r="AL13" s="606"/>
      <c r="AM13" s="606"/>
      <c r="AN13" s="606"/>
      <c r="AO13" s="606"/>
      <c r="AP13" s="606"/>
      <c r="AQ13" s="1093"/>
    </row>
    <row r="14" spans="2:43" ht="5.15" customHeight="1">
      <c r="B14" s="614"/>
      <c r="E14" s="1080"/>
      <c r="F14" s="629"/>
      <c r="G14" s="629"/>
      <c r="H14" s="629"/>
      <c r="I14" s="629"/>
      <c r="J14" s="629"/>
      <c r="K14" s="629"/>
      <c r="L14" s="629"/>
      <c r="M14" s="629"/>
      <c r="N14" s="629"/>
      <c r="O14" s="874"/>
      <c r="Q14" s="874"/>
      <c r="R14" s="975"/>
      <c r="S14" s="588"/>
      <c r="V14" s="874"/>
      <c r="W14" s="975"/>
      <c r="X14" s="588"/>
      <c r="Y14" s="588"/>
      <c r="Z14" s="588"/>
      <c r="AA14" s="588"/>
      <c r="AB14" s="588"/>
      <c r="AD14" s="874"/>
      <c r="AE14" s="874"/>
      <c r="AF14" s="874"/>
      <c r="AG14" s="874"/>
      <c r="AH14" s="874"/>
      <c r="AI14" s="874"/>
      <c r="AJ14" s="874"/>
      <c r="AK14" s="874"/>
      <c r="AQ14" s="1018"/>
    </row>
    <row r="15" spans="2:43" ht="17.5" customHeight="1">
      <c r="B15" s="614"/>
      <c r="C15" s="1081" t="s">
        <v>152</v>
      </c>
      <c r="D15" s="1012" t="s">
        <v>857</v>
      </c>
      <c r="E15" s="1012"/>
      <c r="F15" s="1013"/>
      <c r="G15" s="1013"/>
      <c r="H15" s="1013"/>
      <c r="I15" s="1013"/>
      <c r="J15" s="1013"/>
      <c r="K15" s="1013"/>
      <c r="L15" s="1013"/>
      <c r="M15" s="1013"/>
      <c r="N15" s="1013"/>
      <c r="O15" s="874"/>
      <c r="P15" s="588"/>
      <c r="Q15" s="588"/>
      <c r="R15" s="588"/>
      <c r="S15" s="588"/>
      <c r="T15" s="588"/>
      <c r="U15" s="1014"/>
      <c r="V15" s="874"/>
      <c r="W15" s="874"/>
      <c r="X15" s="874"/>
      <c r="Y15" s="874"/>
      <c r="Z15" s="874"/>
      <c r="AA15" s="874"/>
      <c r="AB15" s="588"/>
      <c r="AC15" s="588"/>
      <c r="AD15" s="588"/>
      <c r="AE15" s="588"/>
      <c r="AF15" s="588"/>
      <c r="AG15" s="588"/>
      <c r="AH15" s="588"/>
      <c r="AI15" s="588"/>
      <c r="AJ15" s="588"/>
      <c r="AK15" s="588"/>
      <c r="AQ15" s="1018"/>
    </row>
    <row r="16" spans="2:43" ht="5.15" customHeight="1" thickBot="1">
      <c r="B16" s="614"/>
      <c r="D16" s="629"/>
      <c r="E16" s="629"/>
      <c r="F16" s="629"/>
      <c r="G16" s="629"/>
      <c r="H16" s="629"/>
      <c r="I16" s="629"/>
      <c r="J16" s="629"/>
      <c r="K16" s="629"/>
      <c r="L16" s="629"/>
      <c r="M16" s="874"/>
      <c r="O16" s="874"/>
      <c r="P16" s="975"/>
      <c r="Q16" s="588"/>
      <c r="T16" s="874"/>
      <c r="U16" s="975"/>
      <c r="V16" s="588"/>
      <c r="W16" s="588"/>
      <c r="X16" s="588"/>
      <c r="Y16" s="588"/>
      <c r="Z16" s="588"/>
      <c r="AA16" s="588"/>
      <c r="AC16" s="874"/>
      <c r="AD16" s="874"/>
      <c r="AE16" s="874"/>
      <c r="AF16" s="874"/>
      <c r="AG16" s="874"/>
      <c r="AH16" s="874"/>
      <c r="AI16" s="874"/>
      <c r="AQ16" s="1018"/>
    </row>
    <row r="17" spans="2:43" ht="23.15" customHeight="1" thickBot="1">
      <c r="B17" s="614"/>
      <c r="D17" s="3442" t="s">
        <v>124</v>
      </c>
      <c r="E17" s="3443"/>
      <c r="F17" s="3443"/>
      <c r="G17" s="3443"/>
      <c r="H17" s="3443"/>
      <c r="I17" s="3444"/>
      <c r="J17" s="3442" t="s">
        <v>15</v>
      </c>
      <c r="K17" s="3443"/>
      <c r="L17" s="3443"/>
      <c r="M17" s="3443"/>
      <c r="N17" s="3443"/>
      <c r="O17" s="3444"/>
      <c r="P17" s="3442" t="s">
        <v>16</v>
      </c>
      <c r="Q17" s="3443"/>
      <c r="R17" s="3443"/>
      <c r="S17" s="3443"/>
      <c r="T17" s="3443"/>
      <c r="U17" s="3515"/>
      <c r="V17" s="3516" t="s">
        <v>29</v>
      </c>
      <c r="W17" s="3443"/>
      <c r="X17" s="3443"/>
      <c r="Y17" s="3443"/>
      <c r="Z17" s="3443"/>
      <c r="AA17" s="3444"/>
      <c r="AB17" s="874"/>
      <c r="AC17" s="874"/>
      <c r="AD17" s="874"/>
      <c r="AO17" s="588"/>
      <c r="AP17" s="588"/>
      <c r="AQ17" s="812"/>
    </row>
    <row r="18" spans="2:43" ht="23.15" customHeight="1">
      <c r="B18" s="614"/>
      <c r="D18" s="1188"/>
      <c r="E18" s="1072" t="s">
        <v>879</v>
      </c>
      <c r="F18" s="1108"/>
      <c r="G18" s="1108"/>
      <c r="H18" s="1108"/>
      <c r="I18" s="1109"/>
      <c r="J18" s="3347">
        <v>0</v>
      </c>
      <c r="K18" s="3344"/>
      <c r="L18" s="3344"/>
      <c r="M18" s="3344"/>
      <c r="N18" s="3344"/>
      <c r="O18" s="3345"/>
      <c r="P18" s="3347">
        <v>0</v>
      </c>
      <c r="Q18" s="3344"/>
      <c r="R18" s="3344"/>
      <c r="S18" s="3344"/>
      <c r="T18" s="3344"/>
      <c r="U18" s="3517"/>
      <c r="V18" s="3518">
        <f>SUM(J18:U18)</f>
        <v>0</v>
      </c>
      <c r="W18" s="3518"/>
      <c r="X18" s="3518"/>
      <c r="Y18" s="3518"/>
      <c r="Z18" s="3518"/>
      <c r="AA18" s="3519"/>
      <c r="AB18" s="874"/>
      <c r="AC18" s="874"/>
      <c r="AD18" s="874"/>
      <c r="AO18" s="588"/>
      <c r="AP18" s="588"/>
      <c r="AQ18" s="812"/>
    </row>
    <row r="19" spans="2:43" ht="23.15" customHeight="1" thickBot="1">
      <c r="B19" s="614"/>
      <c r="D19" s="1074"/>
      <c r="E19" s="1075" t="s">
        <v>880</v>
      </c>
      <c r="F19" s="1075"/>
      <c r="G19" s="1075"/>
      <c r="H19" s="1075"/>
      <c r="I19" s="1076"/>
      <c r="J19" s="3434">
        <v>0</v>
      </c>
      <c r="K19" s="3435"/>
      <c r="L19" s="3435"/>
      <c r="M19" s="3435"/>
      <c r="N19" s="3435"/>
      <c r="O19" s="3436"/>
      <c r="P19" s="3434">
        <v>0</v>
      </c>
      <c r="Q19" s="3435"/>
      <c r="R19" s="3435"/>
      <c r="S19" s="3435"/>
      <c r="T19" s="3435"/>
      <c r="U19" s="3508"/>
      <c r="V19" s="3537">
        <f t="shared" ref="V19:V25" si="1">SUM(J19:U19)</f>
        <v>0</v>
      </c>
      <c r="W19" s="3509"/>
      <c r="X19" s="3509"/>
      <c r="Y19" s="3509"/>
      <c r="Z19" s="3509"/>
      <c r="AA19" s="3510"/>
      <c r="AB19" s="874"/>
      <c r="AC19" s="874"/>
      <c r="AD19" s="874"/>
      <c r="AO19" s="588"/>
      <c r="AP19" s="588"/>
      <c r="AQ19" s="812"/>
    </row>
    <row r="20" spans="2:43" ht="23.15" customHeight="1">
      <c r="B20" s="614"/>
      <c r="D20" s="1074"/>
      <c r="E20" s="1075" t="s">
        <v>881</v>
      </c>
      <c r="F20" s="1075"/>
      <c r="G20" s="1075"/>
      <c r="H20" s="1075"/>
      <c r="I20" s="1076"/>
      <c r="J20" s="3347">
        <v>0</v>
      </c>
      <c r="K20" s="3344"/>
      <c r="L20" s="3344"/>
      <c r="M20" s="3344"/>
      <c r="N20" s="3344"/>
      <c r="O20" s="3345"/>
      <c r="P20" s="3347">
        <v>0</v>
      </c>
      <c r="Q20" s="3344"/>
      <c r="R20" s="3344"/>
      <c r="S20" s="3344"/>
      <c r="T20" s="3344"/>
      <c r="U20" s="3517"/>
      <c r="V20" s="3537">
        <f t="shared" si="1"/>
        <v>0</v>
      </c>
      <c r="W20" s="3509"/>
      <c r="X20" s="3509"/>
      <c r="Y20" s="3509"/>
      <c r="Z20" s="3509"/>
      <c r="AA20" s="3510"/>
      <c r="AB20" s="874"/>
      <c r="AC20" s="874"/>
      <c r="AD20" s="874"/>
      <c r="AO20" s="588"/>
      <c r="AP20" s="588"/>
      <c r="AQ20" s="812"/>
    </row>
    <row r="21" spans="2:43" ht="23.15" customHeight="1" thickBot="1">
      <c r="B21" s="614"/>
      <c r="D21" s="1074"/>
      <c r="E21" s="1075" t="s">
        <v>882</v>
      </c>
      <c r="F21" s="1075"/>
      <c r="G21" s="1075"/>
      <c r="H21" s="1075"/>
      <c r="I21" s="1076"/>
      <c r="J21" s="3434">
        <v>0</v>
      </c>
      <c r="K21" s="3435"/>
      <c r="L21" s="3435"/>
      <c r="M21" s="3435"/>
      <c r="N21" s="3435"/>
      <c r="O21" s="3436"/>
      <c r="P21" s="3434">
        <v>0</v>
      </c>
      <c r="Q21" s="3435"/>
      <c r="R21" s="3435"/>
      <c r="S21" s="3435"/>
      <c r="T21" s="3435"/>
      <c r="U21" s="3508"/>
      <c r="V21" s="3537">
        <f t="shared" si="1"/>
        <v>0</v>
      </c>
      <c r="W21" s="3509"/>
      <c r="X21" s="3509"/>
      <c r="Y21" s="3509"/>
      <c r="Z21" s="3509"/>
      <c r="AA21" s="3510"/>
      <c r="AB21" s="874"/>
      <c r="AC21" s="874"/>
      <c r="AD21" s="874"/>
      <c r="AO21" s="588"/>
      <c r="AP21" s="588"/>
      <c r="AQ21" s="812"/>
    </row>
    <row r="22" spans="2:43" ht="23.15" customHeight="1">
      <c r="B22" s="614"/>
      <c r="D22" s="1074"/>
      <c r="E22" s="1075" t="s">
        <v>883</v>
      </c>
      <c r="F22" s="1075"/>
      <c r="G22" s="1075"/>
      <c r="H22" s="1075"/>
      <c r="I22" s="1076"/>
      <c r="J22" s="3347">
        <v>0</v>
      </c>
      <c r="K22" s="3344"/>
      <c r="L22" s="3344"/>
      <c r="M22" s="3344"/>
      <c r="N22" s="3344"/>
      <c r="O22" s="3345"/>
      <c r="P22" s="3347">
        <v>0</v>
      </c>
      <c r="Q22" s="3344"/>
      <c r="R22" s="3344"/>
      <c r="S22" s="3344"/>
      <c r="T22" s="3344"/>
      <c r="U22" s="3517"/>
      <c r="V22" s="3537">
        <f t="shared" si="1"/>
        <v>0</v>
      </c>
      <c r="W22" s="3509"/>
      <c r="X22" s="3509"/>
      <c r="Y22" s="3509"/>
      <c r="Z22" s="3509"/>
      <c r="AA22" s="3510"/>
      <c r="AB22" s="874"/>
      <c r="AC22" s="874"/>
      <c r="AD22" s="874"/>
      <c r="AO22" s="588"/>
      <c r="AP22" s="588"/>
      <c r="AQ22" s="812"/>
    </row>
    <row r="23" spans="2:43" ht="23.15" customHeight="1" thickBot="1">
      <c r="B23" s="614"/>
      <c r="D23" s="1074"/>
      <c r="E23" s="1075" t="s">
        <v>884</v>
      </c>
      <c r="F23" s="1075"/>
      <c r="G23" s="1075"/>
      <c r="H23" s="1075"/>
      <c r="I23" s="1076"/>
      <c r="J23" s="3434">
        <v>0</v>
      </c>
      <c r="K23" s="3435"/>
      <c r="L23" s="3435"/>
      <c r="M23" s="3435"/>
      <c r="N23" s="3435"/>
      <c r="O23" s="3436"/>
      <c r="P23" s="3434">
        <v>0</v>
      </c>
      <c r="Q23" s="3435"/>
      <c r="R23" s="3435"/>
      <c r="S23" s="3435"/>
      <c r="T23" s="3435"/>
      <c r="U23" s="3508"/>
      <c r="V23" s="3537">
        <f t="shared" si="1"/>
        <v>0</v>
      </c>
      <c r="W23" s="3509"/>
      <c r="X23" s="3509"/>
      <c r="Y23" s="3509"/>
      <c r="Z23" s="3509"/>
      <c r="AA23" s="3510"/>
      <c r="AB23" s="874"/>
      <c r="AC23" s="874"/>
      <c r="AD23" s="874"/>
      <c r="AO23" s="588"/>
      <c r="AP23" s="588"/>
      <c r="AQ23" s="812"/>
    </row>
    <row r="24" spans="2:43" ht="23.15" customHeight="1" thickBot="1">
      <c r="B24" s="614"/>
      <c r="D24" s="1077"/>
      <c r="E24" s="1078" t="s">
        <v>885</v>
      </c>
      <c r="F24" s="1078"/>
      <c r="G24" s="1078"/>
      <c r="H24" s="1078"/>
      <c r="I24" s="1079"/>
      <c r="J24" s="3347">
        <v>0</v>
      </c>
      <c r="K24" s="3344"/>
      <c r="L24" s="3344"/>
      <c r="M24" s="3344"/>
      <c r="N24" s="3344"/>
      <c r="O24" s="3345"/>
      <c r="P24" s="3347">
        <v>0</v>
      </c>
      <c r="Q24" s="3344"/>
      <c r="R24" s="3344"/>
      <c r="S24" s="3344"/>
      <c r="T24" s="3344"/>
      <c r="U24" s="3517"/>
      <c r="V24" s="3512">
        <f t="shared" si="1"/>
        <v>0</v>
      </c>
      <c r="W24" s="3512"/>
      <c r="X24" s="3512"/>
      <c r="Y24" s="3512"/>
      <c r="Z24" s="3512"/>
      <c r="AA24" s="3513"/>
      <c r="AB24" s="874"/>
      <c r="AC24" s="874"/>
      <c r="AD24" s="874"/>
      <c r="AO24" s="588"/>
      <c r="AP24" s="588"/>
      <c r="AQ24" s="812"/>
    </row>
    <row r="25" spans="2:43" ht="23.15" customHeight="1" thickTop="1" thickBot="1">
      <c r="B25" s="614"/>
      <c r="D25" s="1064"/>
      <c r="E25" s="1065" t="s">
        <v>886</v>
      </c>
      <c r="F25" s="1065"/>
      <c r="G25" s="1065"/>
      <c r="H25" s="1065"/>
      <c r="I25" s="1066"/>
      <c r="J25" s="3334">
        <f>SUM(J18:O24)</f>
        <v>0</v>
      </c>
      <c r="K25" s="3332"/>
      <c r="L25" s="3332"/>
      <c r="M25" s="3332"/>
      <c r="N25" s="3332"/>
      <c r="O25" s="3333"/>
      <c r="P25" s="3334">
        <f>SUM(P18:U24)</f>
        <v>0</v>
      </c>
      <c r="Q25" s="3332"/>
      <c r="R25" s="3332"/>
      <c r="S25" s="3332"/>
      <c r="T25" s="3332"/>
      <c r="U25" s="3514"/>
      <c r="V25" s="3332">
        <f t="shared" si="1"/>
        <v>0</v>
      </c>
      <c r="W25" s="3332"/>
      <c r="X25" s="3332"/>
      <c r="Y25" s="3332"/>
      <c r="Z25" s="3332"/>
      <c r="AA25" s="3333"/>
      <c r="AB25" s="874"/>
      <c r="AC25" s="874"/>
      <c r="AD25" s="874"/>
      <c r="AO25" s="588"/>
      <c r="AP25" s="588"/>
      <c r="AQ25" s="812"/>
    </row>
    <row r="26" spans="2:43" ht="5.15" customHeight="1">
      <c r="B26" s="614"/>
      <c r="E26" s="1080"/>
      <c r="F26" s="629"/>
      <c r="G26" s="629"/>
      <c r="H26" s="629"/>
      <c r="I26" s="629"/>
      <c r="J26" s="629"/>
      <c r="K26" s="629"/>
      <c r="L26" s="629"/>
      <c r="M26" s="629"/>
      <c r="N26" s="629"/>
      <c r="O26" s="874"/>
      <c r="Q26" s="874"/>
      <c r="R26" s="975"/>
      <c r="S26" s="588"/>
      <c r="V26" s="874"/>
      <c r="W26" s="975"/>
      <c r="X26" s="588"/>
      <c r="Y26" s="588"/>
      <c r="Z26" s="588"/>
      <c r="AA26" s="588"/>
      <c r="AB26" s="588"/>
      <c r="AD26" s="874"/>
      <c r="AE26" s="874"/>
      <c r="AF26" s="874"/>
      <c r="AG26" s="874"/>
      <c r="AH26" s="874"/>
      <c r="AI26" s="874"/>
      <c r="AJ26" s="874"/>
      <c r="AK26" s="874"/>
      <c r="AQ26" s="1018"/>
    </row>
    <row r="27" spans="2:43" ht="25" customHeight="1">
      <c r="B27" s="614"/>
      <c r="C27" s="1081" t="s">
        <v>153</v>
      </c>
      <c r="D27" s="1012" t="s">
        <v>858</v>
      </c>
      <c r="E27" s="1012"/>
      <c r="F27" s="1013"/>
      <c r="G27" s="1013"/>
      <c r="H27" s="1013"/>
      <c r="I27" s="1013"/>
      <c r="J27" s="1013"/>
      <c r="K27" s="1013"/>
      <c r="L27" s="1013"/>
      <c r="M27" s="1013"/>
      <c r="N27" s="1013"/>
      <c r="O27" s="874"/>
      <c r="P27" s="588"/>
      <c r="Q27" s="588"/>
      <c r="R27" s="588"/>
      <c r="S27" s="588"/>
      <c r="T27" s="588"/>
      <c r="U27" s="1014"/>
      <c r="V27" s="874"/>
      <c r="W27" s="874"/>
      <c r="X27" s="874"/>
      <c r="Y27" s="874"/>
      <c r="Z27" s="874"/>
      <c r="AA27" s="874"/>
      <c r="AB27" s="588"/>
      <c r="AC27" s="588"/>
      <c r="AD27" s="588"/>
      <c r="AE27" s="588"/>
      <c r="AF27" s="588"/>
      <c r="AG27" s="588"/>
      <c r="AH27" s="588"/>
      <c r="AI27" s="588"/>
      <c r="AJ27" s="588"/>
      <c r="AK27" s="588"/>
      <c r="AQ27" s="1018"/>
    </row>
    <row r="28" spans="2:43" ht="5.15" customHeight="1" thickBot="1">
      <c r="B28" s="614"/>
      <c r="D28" s="629"/>
      <c r="E28" s="629"/>
      <c r="F28" s="629"/>
      <c r="G28" s="629"/>
      <c r="H28" s="629"/>
      <c r="I28" s="629"/>
      <c r="J28" s="629"/>
      <c r="K28" s="629"/>
      <c r="L28" s="629"/>
      <c r="M28" s="874"/>
      <c r="O28" s="874"/>
      <c r="P28" s="975"/>
      <c r="Q28" s="588"/>
      <c r="T28" s="874"/>
      <c r="U28" s="975"/>
      <c r="V28" s="588"/>
      <c r="W28" s="588"/>
      <c r="X28" s="588"/>
      <c r="Y28" s="588"/>
      <c r="Z28" s="588"/>
      <c r="AA28" s="588"/>
      <c r="AC28" s="874"/>
      <c r="AD28" s="874"/>
      <c r="AE28" s="874"/>
      <c r="AF28" s="874"/>
      <c r="AG28" s="874"/>
      <c r="AH28" s="874"/>
      <c r="AI28" s="874"/>
      <c r="AQ28" s="1018"/>
    </row>
    <row r="29" spans="2:43" ht="23.15" customHeight="1">
      <c r="B29" s="614"/>
      <c r="D29" s="3392" t="s">
        <v>859</v>
      </c>
      <c r="E29" s="3393"/>
      <c r="F29" s="3393"/>
      <c r="G29" s="3393"/>
      <c r="H29" s="3393"/>
      <c r="I29" s="3394"/>
      <c r="J29" s="3471" t="s">
        <v>57</v>
      </c>
      <c r="K29" s="3472"/>
      <c r="L29" s="3472"/>
      <c r="M29" s="3473"/>
      <c r="N29" s="3471" t="s">
        <v>19</v>
      </c>
      <c r="O29" s="3472"/>
      <c r="P29" s="3472"/>
      <c r="Q29" s="3473"/>
      <c r="R29" s="3471" t="s">
        <v>20</v>
      </c>
      <c r="S29" s="3472"/>
      <c r="T29" s="3472"/>
      <c r="U29" s="3473"/>
      <c r="V29" s="3471" t="s">
        <v>21</v>
      </c>
      <c r="W29" s="3472"/>
      <c r="X29" s="3472"/>
      <c r="Y29" s="3473"/>
      <c r="Z29" s="3471" t="s">
        <v>22</v>
      </c>
      <c r="AA29" s="3472"/>
      <c r="AB29" s="3472"/>
      <c r="AC29" s="3473"/>
      <c r="AD29" s="3471" t="s">
        <v>23</v>
      </c>
      <c r="AE29" s="3472"/>
      <c r="AF29" s="3472"/>
      <c r="AG29" s="3473"/>
      <c r="AH29" s="3471" t="s">
        <v>24</v>
      </c>
      <c r="AI29" s="3472"/>
      <c r="AJ29" s="3472"/>
      <c r="AK29" s="3551"/>
      <c r="AL29" s="3553" t="s">
        <v>1304</v>
      </c>
      <c r="AM29" s="3393"/>
      <c r="AN29" s="3393"/>
      <c r="AO29" s="3394"/>
      <c r="AP29" s="1103"/>
      <c r="AQ29" s="812"/>
    </row>
    <row r="30" spans="2:43" ht="23.15" customHeight="1" thickBot="1">
      <c r="B30" s="614"/>
      <c r="D30" s="3398"/>
      <c r="E30" s="3399"/>
      <c r="F30" s="3399"/>
      <c r="G30" s="3399"/>
      <c r="H30" s="3399"/>
      <c r="I30" s="3400"/>
      <c r="J30" s="3363"/>
      <c r="K30" s="3353"/>
      <c r="L30" s="3353"/>
      <c r="M30" s="3361"/>
      <c r="N30" s="3363"/>
      <c r="O30" s="3353"/>
      <c r="P30" s="3353"/>
      <c r="Q30" s="3361"/>
      <c r="R30" s="3363"/>
      <c r="S30" s="3353"/>
      <c r="T30" s="3353"/>
      <c r="U30" s="3361"/>
      <c r="V30" s="3363"/>
      <c r="W30" s="3353"/>
      <c r="X30" s="3353"/>
      <c r="Y30" s="3361"/>
      <c r="Z30" s="3363"/>
      <c r="AA30" s="3353"/>
      <c r="AB30" s="3353"/>
      <c r="AC30" s="3361"/>
      <c r="AD30" s="3363"/>
      <c r="AE30" s="3353"/>
      <c r="AF30" s="3353"/>
      <c r="AG30" s="3361"/>
      <c r="AH30" s="3363"/>
      <c r="AI30" s="3353"/>
      <c r="AJ30" s="3353"/>
      <c r="AK30" s="3552"/>
      <c r="AL30" s="3554"/>
      <c r="AM30" s="3399"/>
      <c r="AN30" s="3399"/>
      <c r="AO30" s="3400"/>
      <c r="AP30" s="1103"/>
      <c r="AQ30" s="812"/>
    </row>
    <row r="31" spans="2:43" ht="23.15" customHeight="1">
      <c r="B31" s="614"/>
      <c r="D31" s="3535" t="s">
        <v>1191</v>
      </c>
      <c r="E31" s="3536"/>
      <c r="F31" s="3536"/>
      <c r="G31" s="3536"/>
      <c r="H31" s="3536"/>
      <c r="I31" s="3536"/>
      <c r="J31" s="3526">
        <v>0</v>
      </c>
      <c r="K31" s="3527"/>
      <c r="L31" s="3527"/>
      <c r="M31" s="3527"/>
      <c r="N31" s="3526">
        <v>0</v>
      </c>
      <c r="O31" s="3527"/>
      <c r="P31" s="3527"/>
      <c r="Q31" s="3527"/>
      <c r="R31" s="3526">
        <v>0</v>
      </c>
      <c r="S31" s="3527"/>
      <c r="T31" s="3527"/>
      <c r="U31" s="3527"/>
      <c r="V31" s="3526">
        <v>0</v>
      </c>
      <c r="W31" s="3527"/>
      <c r="X31" s="3527"/>
      <c r="Y31" s="3527"/>
      <c r="Z31" s="3526">
        <v>0</v>
      </c>
      <c r="AA31" s="3527"/>
      <c r="AB31" s="3527"/>
      <c r="AC31" s="3527"/>
      <c r="AD31" s="3526">
        <v>0</v>
      </c>
      <c r="AE31" s="3527"/>
      <c r="AF31" s="3527"/>
      <c r="AG31" s="3527"/>
      <c r="AH31" s="3526">
        <v>0</v>
      </c>
      <c r="AI31" s="3527"/>
      <c r="AJ31" s="3527"/>
      <c r="AK31" s="3534"/>
      <c r="AL31" s="3545">
        <f>SUM(J31:AK31)</f>
        <v>0</v>
      </c>
      <c r="AM31" s="3546"/>
      <c r="AN31" s="3546"/>
      <c r="AO31" s="3547"/>
      <c r="AP31" s="1190"/>
      <c r="AQ31" s="812"/>
    </row>
    <row r="32" spans="2:43" ht="23.15" customHeight="1">
      <c r="B32" s="614"/>
      <c r="D32" s="3528" t="s">
        <v>1192</v>
      </c>
      <c r="E32" s="3529"/>
      <c r="F32" s="3529"/>
      <c r="G32" s="3529"/>
      <c r="H32" s="3529"/>
      <c r="I32" s="3529"/>
      <c r="J32" s="3532">
        <v>0</v>
      </c>
      <c r="K32" s="3533"/>
      <c r="L32" s="3533"/>
      <c r="M32" s="3533"/>
      <c r="N32" s="3532">
        <v>0</v>
      </c>
      <c r="O32" s="3533"/>
      <c r="P32" s="3533"/>
      <c r="Q32" s="3533"/>
      <c r="R32" s="3532">
        <v>0</v>
      </c>
      <c r="S32" s="3533"/>
      <c r="T32" s="3533"/>
      <c r="U32" s="3533"/>
      <c r="V32" s="3532">
        <v>0</v>
      </c>
      <c r="W32" s="3533"/>
      <c r="X32" s="3533"/>
      <c r="Y32" s="3533"/>
      <c r="Z32" s="3532">
        <v>0</v>
      </c>
      <c r="AA32" s="3533"/>
      <c r="AB32" s="3533"/>
      <c r="AC32" s="3533"/>
      <c r="AD32" s="3532">
        <v>0</v>
      </c>
      <c r="AE32" s="3533"/>
      <c r="AF32" s="3533"/>
      <c r="AG32" s="3533"/>
      <c r="AH32" s="3532">
        <v>0</v>
      </c>
      <c r="AI32" s="3533"/>
      <c r="AJ32" s="3533"/>
      <c r="AK32" s="3540"/>
      <c r="AL32" s="3548">
        <f t="shared" ref="AL32:AL40" si="2">SUM(J32:AK32)</f>
        <v>0</v>
      </c>
      <c r="AM32" s="3549"/>
      <c r="AN32" s="3549"/>
      <c r="AO32" s="3550"/>
      <c r="AP32" s="1190"/>
      <c r="AQ32" s="812"/>
    </row>
    <row r="33" spans="2:61" ht="23.15" customHeight="1">
      <c r="B33" s="614"/>
      <c r="D33" s="3528" t="s">
        <v>1193</v>
      </c>
      <c r="E33" s="3529"/>
      <c r="F33" s="3529"/>
      <c r="G33" s="3529"/>
      <c r="H33" s="3529"/>
      <c r="I33" s="3529"/>
      <c r="J33" s="3526">
        <v>0</v>
      </c>
      <c r="K33" s="3527"/>
      <c r="L33" s="3527"/>
      <c r="M33" s="3527"/>
      <c r="N33" s="3526">
        <v>0</v>
      </c>
      <c r="O33" s="3527"/>
      <c r="P33" s="3527"/>
      <c r="Q33" s="3527"/>
      <c r="R33" s="3526">
        <v>0</v>
      </c>
      <c r="S33" s="3527"/>
      <c r="T33" s="3527"/>
      <c r="U33" s="3527"/>
      <c r="V33" s="3526">
        <v>0</v>
      </c>
      <c r="W33" s="3527"/>
      <c r="X33" s="3527"/>
      <c r="Y33" s="3527"/>
      <c r="Z33" s="3526">
        <v>0</v>
      </c>
      <c r="AA33" s="3527"/>
      <c r="AB33" s="3527"/>
      <c r="AC33" s="3527"/>
      <c r="AD33" s="3526">
        <v>0</v>
      </c>
      <c r="AE33" s="3527"/>
      <c r="AF33" s="3527"/>
      <c r="AG33" s="3527"/>
      <c r="AH33" s="3526">
        <v>0</v>
      </c>
      <c r="AI33" s="3527"/>
      <c r="AJ33" s="3527"/>
      <c r="AK33" s="3534"/>
      <c r="AL33" s="3548">
        <f t="shared" si="2"/>
        <v>0</v>
      </c>
      <c r="AM33" s="3549"/>
      <c r="AN33" s="3549"/>
      <c r="AO33" s="3550"/>
      <c r="AP33" s="1190"/>
      <c r="AQ33" s="812"/>
    </row>
    <row r="34" spans="2:61" ht="23.15" customHeight="1">
      <c r="B34" s="614"/>
      <c r="D34" s="3528" t="s">
        <v>1194</v>
      </c>
      <c r="E34" s="3529"/>
      <c r="F34" s="3529"/>
      <c r="G34" s="3529"/>
      <c r="H34" s="3529"/>
      <c r="I34" s="3529"/>
      <c r="J34" s="3532">
        <v>0</v>
      </c>
      <c r="K34" s="3533"/>
      <c r="L34" s="3533"/>
      <c r="M34" s="3533"/>
      <c r="N34" s="3532">
        <v>0</v>
      </c>
      <c r="O34" s="3533"/>
      <c r="P34" s="3533"/>
      <c r="Q34" s="3533"/>
      <c r="R34" s="3532">
        <v>0</v>
      </c>
      <c r="S34" s="3533"/>
      <c r="T34" s="3533"/>
      <c r="U34" s="3533"/>
      <c r="V34" s="3532">
        <v>0</v>
      </c>
      <c r="W34" s="3533"/>
      <c r="X34" s="3533"/>
      <c r="Y34" s="3533"/>
      <c r="Z34" s="3532">
        <v>0</v>
      </c>
      <c r="AA34" s="3533"/>
      <c r="AB34" s="3533"/>
      <c r="AC34" s="3533"/>
      <c r="AD34" s="3532">
        <v>0</v>
      </c>
      <c r="AE34" s="3533"/>
      <c r="AF34" s="3533"/>
      <c r="AG34" s="3533"/>
      <c r="AH34" s="3532">
        <v>0</v>
      </c>
      <c r="AI34" s="3533"/>
      <c r="AJ34" s="3533"/>
      <c r="AK34" s="3540"/>
      <c r="AL34" s="3548">
        <f t="shared" si="2"/>
        <v>0</v>
      </c>
      <c r="AM34" s="3549"/>
      <c r="AN34" s="3549"/>
      <c r="AO34" s="3550"/>
      <c r="AP34" s="1190"/>
      <c r="AQ34" s="812"/>
    </row>
    <row r="35" spans="2:61" ht="23.15" customHeight="1">
      <c r="B35" s="614"/>
      <c r="D35" s="3528" t="s">
        <v>1195</v>
      </c>
      <c r="E35" s="3529"/>
      <c r="F35" s="3529"/>
      <c r="G35" s="3529"/>
      <c r="H35" s="3529"/>
      <c r="I35" s="3529"/>
      <c r="J35" s="3526">
        <v>0</v>
      </c>
      <c r="K35" s="3527"/>
      <c r="L35" s="3527"/>
      <c r="M35" s="3527"/>
      <c r="N35" s="3526">
        <v>0</v>
      </c>
      <c r="O35" s="3527"/>
      <c r="P35" s="3527"/>
      <c r="Q35" s="3527"/>
      <c r="R35" s="3526">
        <v>0</v>
      </c>
      <c r="S35" s="3527"/>
      <c r="T35" s="3527"/>
      <c r="U35" s="3527"/>
      <c r="V35" s="3526">
        <v>0</v>
      </c>
      <c r="W35" s="3527"/>
      <c r="X35" s="3527"/>
      <c r="Y35" s="3527"/>
      <c r="Z35" s="3526">
        <v>0</v>
      </c>
      <c r="AA35" s="3527"/>
      <c r="AB35" s="3527"/>
      <c r="AC35" s="3527"/>
      <c r="AD35" s="3526">
        <v>0</v>
      </c>
      <c r="AE35" s="3527"/>
      <c r="AF35" s="3527"/>
      <c r="AG35" s="3527"/>
      <c r="AH35" s="3526">
        <v>0</v>
      </c>
      <c r="AI35" s="3527"/>
      <c r="AJ35" s="3527"/>
      <c r="AK35" s="3534"/>
      <c r="AL35" s="3548">
        <f t="shared" si="2"/>
        <v>0</v>
      </c>
      <c r="AM35" s="3549"/>
      <c r="AN35" s="3549"/>
      <c r="AO35" s="3550"/>
      <c r="AP35" s="1190"/>
      <c r="AQ35" s="812"/>
    </row>
    <row r="36" spans="2:61" ht="23.15" customHeight="1">
      <c r="B36" s="614"/>
      <c r="D36" s="3528" t="s">
        <v>1196</v>
      </c>
      <c r="E36" s="3529"/>
      <c r="F36" s="3529"/>
      <c r="G36" s="3529"/>
      <c r="H36" s="3529"/>
      <c r="I36" s="3529"/>
      <c r="J36" s="3532">
        <v>0</v>
      </c>
      <c r="K36" s="3533"/>
      <c r="L36" s="3533"/>
      <c r="M36" s="3533"/>
      <c r="N36" s="3532">
        <v>0</v>
      </c>
      <c r="O36" s="3533"/>
      <c r="P36" s="3533"/>
      <c r="Q36" s="3533"/>
      <c r="R36" s="3532">
        <v>0</v>
      </c>
      <c r="S36" s="3533"/>
      <c r="T36" s="3533"/>
      <c r="U36" s="3533"/>
      <c r="V36" s="3532">
        <v>0</v>
      </c>
      <c r="W36" s="3533"/>
      <c r="X36" s="3533"/>
      <c r="Y36" s="3533"/>
      <c r="Z36" s="3532">
        <v>0</v>
      </c>
      <c r="AA36" s="3533"/>
      <c r="AB36" s="3533"/>
      <c r="AC36" s="3533"/>
      <c r="AD36" s="3532">
        <v>0</v>
      </c>
      <c r="AE36" s="3533"/>
      <c r="AF36" s="3533"/>
      <c r="AG36" s="3533"/>
      <c r="AH36" s="3532">
        <v>0</v>
      </c>
      <c r="AI36" s="3533"/>
      <c r="AJ36" s="3533"/>
      <c r="AK36" s="3540"/>
      <c r="AL36" s="3548">
        <f t="shared" si="2"/>
        <v>0</v>
      </c>
      <c r="AM36" s="3549"/>
      <c r="AN36" s="3549"/>
      <c r="AO36" s="3550"/>
      <c r="AP36" s="1190"/>
      <c r="AQ36" s="812"/>
    </row>
    <row r="37" spans="2:61" ht="23.15" customHeight="1">
      <c r="B37" s="614"/>
      <c r="D37" s="3528" t="s">
        <v>1197</v>
      </c>
      <c r="E37" s="3529"/>
      <c r="F37" s="3529"/>
      <c r="G37" s="3529"/>
      <c r="H37" s="3529"/>
      <c r="I37" s="3529"/>
      <c r="J37" s="3526">
        <v>0</v>
      </c>
      <c r="K37" s="3527"/>
      <c r="L37" s="3527"/>
      <c r="M37" s="3527"/>
      <c r="N37" s="3526">
        <v>0</v>
      </c>
      <c r="O37" s="3527"/>
      <c r="P37" s="3527"/>
      <c r="Q37" s="3527"/>
      <c r="R37" s="3526">
        <v>0</v>
      </c>
      <c r="S37" s="3527"/>
      <c r="T37" s="3527"/>
      <c r="U37" s="3527"/>
      <c r="V37" s="3526">
        <v>0</v>
      </c>
      <c r="W37" s="3527"/>
      <c r="X37" s="3527"/>
      <c r="Y37" s="3527"/>
      <c r="Z37" s="3526">
        <v>0</v>
      </c>
      <c r="AA37" s="3527"/>
      <c r="AB37" s="3527"/>
      <c r="AC37" s="3527"/>
      <c r="AD37" s="3526">
        <v>0</v>
      </c>
      <c r="AE37" s="3527"/>
      <c r="AF37" s="3527"/>
      <c r="AG37" s="3527"/>
      <c r="AH37" s="3526">
        <v>0</v>
      </c>
      <c r="AI37" s="3527"/>
      <c r="AJ37" s="3527"/>
      <c r="AK37" s="3534"/>
      <c r="AL37" s="3548">
        <f t="shared" si="2"/>
        <v>0</v>
      </c>
      <c r="AM37" s="3549"/>
      <c r="AN37" s="3549"/>
      <c r="AO37" s="3550"/>
      <c r="AP37" s="1190"/>
      <c r="AQ37" s="812"/>
    </row>
    <row r="38" spans="2:61" ht="23.15" customHeight="1">
      <c r="B38" s="614"/>
      <c r="D38" s="3528" t="s">
        <v>1198</v>
      </c>
      <c r="E38" s="3529"/>
      <c r="F38" s="3529"/>
      <c r="G38" s="3529"/>
      <c r="H38" s="3529"/>
      <c r="I38" s="3529"/>
      <c r="J38" s="3532">
        <v>0</v>
      </c>
      <c r="K38" s="3533"/>
      <c r="L38" s="3533"/>
      <c r="M38" s="3533"/>
      <c r="N38" s="3532">
        <v>0</v>
      </c>
      <c r="O38" s="3533"/>
      <c r="P38" s="3533"/>
      <c r="Q38" s="3533"/>
      <c r="R38" s="3532">
        <v>0</v>
      </c>
      <c r="S38" s="3533"/>
      <c r="T38" s="3533"/>
      <c r="U38" s="3533"/>
      <c r="V38" s="3532">
        <v>0</v>
      </c>
      <c r="W38" s="3533"/>
      <c r="X38" s="3533"/>
      <c r="Y38" s="3533"/>
      <c r="Z38" s="3532">
        <v>0</v>
      </c>
      <c r="AA38" s="3533"/>
      <c r="AB38" s="3533"/>
      <c r="AC38" s="3533"/>
      <c r="AD38" s="3532">
        <v>0</v>
      </c>
      <c r="AE38" s="3533"/>
      <c r="AF38" s="3533"/>
      <c r="AG38" s="3533"/>
      <c r="AH38" s="3532">
        <v>0</v>
      </c>
      <c r="AI38" s="3533"/>
      <c r="AJ38" s="3533"/>
      <c r="AK38" s="3540"/>
      <c r="AL38" s="3548">
        <f t="shared" si="2"/>
        <v>0</v>
      </c>
      <c r="AM38" s="3549"/>
      <c r="AN38" s="3549"/>
      <c r="AO38" s="3550"/>
      <c r="AP38" s="1190"/>
      <c r="AQ38" s="812"/>
    </row>
    <row r="39" spans="2:61" ht="23.15" customHeight="1" thickBot="1">
      <c r="B39" s="614"/>
      <c r="D39" s="3530" t="s">
        <v>1336</v>
      </c>
      <c r="E39" s="3531"/>
      <c r="F39" s="3531"/>
      <c r="G39" s="3531"/>
      <c r="H39" s="3531"/>
      <c r="I39" s="3531"/>
      <c r="J39" s="3526">
        <v>0</v>
      </c>
      <c r="K39" s="3527"/>
      <c r="L39" s="3527"/>
      <c r="M39" s="3527"/>
      <c r="N39" s="3526">
        <v>0</v>
      </c>
      <c r="O39" s="3527"/>
      <c r="P39" s="3527"/>
      <c r="Q39" s="3527"/>
      <c r="R39" s="3526">
        <v>0</v>
      </c>
      <c r="S39" s="3527"/>
      <c r="T39" s="3527"/>
      <c r="U39" s="3527"/>
      <c r="V39" s="3526">
        <v>0</v>
      </c>
      <c r="W39" s="3527"/>
      <c r="X39" s="3527"/>
      <c r="Y39" s="3527"/>
      <c r="Z39" s="3526">
        <v>0</v>
      </c>
      <c r="AA39" s="3527"/>
      <c r="AB39" s="3527"/>
      <c r="AC39" s="3527"/>
      <c r="AD39" s="3526">
        <v>0</v>
      </c>
      <c r="AE39" s="3527"/>
      <c r="AF39" s="3527"/>
      <c r="AG39" s="3527"/>
      <c r="AH39" s="3526">
        <v>0</v>
      </c>
      <c r="AI39" s="3527"/>
      <c r="AJ39" s="3527"/>
      <c r="AK39" s="3534"/>
      <c r="AL39" s="3542">
        <f t="shared" si="2"/>
        <v>0</v>
      </c>
      <c r="AM39" s="3543"/>
      <c r="AN39" s="3543"/>
      <c r="AO39" s="3544"/>
      <c r="AP39" s="1190"/>
      <c r="AQ39" s="812"/>
    </row>
    <row r="40" spans="2:61" ht="23.15" customHeight="1" thickTop="1" thickBot="1">
      <c r="B40" s="614"/>
      <c r="D40" s="1064"/>
      <c r="E40" s="1065" t="s">
        <v>886</v>
      </c>
      <c r="F40" s="1065"/>
      <c r="G40" s="1065"/>
      <c r="H40" s="1065"/>
      <c r="I40" s="1066"/>
      <c r="J40" s="3337">
        <f>SUM(J31:M39)</f>
        <v>0</v>
      </c>
      <c r="K40" s="3338"/>
      <c r="L40" s="3338"/>
      <c r="M40" s="3338"/>
      <c r="N40" s="3337">
        <f t="shared" ref="N40" si="3">SUM(N31:Q39)</f>
        <v>0</v>
      </c>
      <c r="O40" s="3338"/>
      <c r="P40" s="3338"/>
      <c r="Q40" s="3338"/>
      <c r="R40" s="3337">
        <f t="shared" ref="R40" si="4">SUM(R31:U39)</f>
        <v>0</v>
      </c>
      <c r="S40" s="3338"/>
      <c r="T40" s="3338"/>
      <c r="U40" s="3338"/>
      <c r="V40" s="3337">
        <f t="shared" ref="V40" si="5">SUM(V31:Y39)</f>
        <v>0</v>
      </c>
      <c r="W40" s="3338"/>
      <c r="X40" s="3338"/>
      <c r="Y40" s="3338"/>
      <c r="Z40" s="3337">
        <f t="shared" ref="Z40" si="6">SUM(Z31:AC39)</f>
        <v>0</v>
      </c>
      <c r="AA40" s="3338"/>
      <c r="AB40" s="3338"/>
      <c r="AC40" s="3338"/>
      <c r="AD40" s="3337">
        <f t="shared" ref="AD40" si="7">SUM(AD31:AG39)</f>
        <v>0</v>
      </c>
      <c r="AE40" s="3338"/>
      <c r="AF40" s="3338"/>
      <c r="AG40" s="3338"/>
      <c r="AH40" s="3337">
        <f t="shared" ref="AH40" si="8">SUM(AH31:AK39)</f>
        <v>0</v>
      </c>
      <c r="AI40" s="3338"/>
      <c r="AJ40" s="3338"/>
      <c r="AK40" s="3541"/>
      <c r="AL40" s="3335">
        <f t="shared" si="2"/>
        <v>0</v>
      </c>
      <c r="AM40" s="3338"/>
      <c r="AN40" s="3338"/>
      <c r="AO40" s="3430"/>
      <c r="AP40" s="1190"/>
      <c r="AQ40" s="812"/>
    </row>
    <row r="41" spans="2:61" ht="6" customHeight="1" thickBot="1">
      <c r="B41" s="612"/>
      <c r="C41" s="613"/>
      <c r="D41" s="1010"/>
      <c r="E41" s="1010"/>
      <c r="F41" s="1011"/>
      <c r="G41" s="562"/>
      <c r="H41" s="562"/>
      <c r="I41" s="562"/>
      <c r="J41" s="562"/>
      <c r="K41" s="562"/>
      <c r="L41" s="562"/>
      <c r="M41" s="562"/>
      <c r="N41" s="562"/>
      <c r="O41" s="562"/>
      <c r="P41" s="866"/>
      <c r="Q41" s="866"/>
      <c r="R41" s="866"/>
      <c r="S41" s="866"/>
      <c r="T41" s="866"/>
      <c r="U41" s="562"/>
      <c r="V41" s="866"/>
      <c r="W41" s="866"/>
      <c r="X41" s="866"/>
      <c r="Y41" s="866"/>
      <c r="Z41" s="866"/>
      <c r="AA41" s="866"/>
      <c r="AB41" s="562"/>
      <c r="AC41" s="562"/>
      <c r="AD41" s="562"/>
      <c r="AE41" s="562"/>
      <c r="AF41" s="562"/>
      <c r="AG41" s="562"/>
      <c r="AH41" s="562"/>
      <c r="AI41" s="562"/>
      <c r="AJ41" s="562"/>
      <c r="AK41" s="562"/>
      <c r="AL41" s="613"/>
      <c r="AM41" s="613"/>
      <c r="AN41" s="613"/>
      <c r="AO41" s="613"/>
      <c r="AP41" s="613"/>
      <c r="AQ41" s="1069"/>
    </row>
    <row r="42" spans="2:61" ht="4" customHeight="1">
      <c r="E42" s="1080"/>
      <c r="F42" s="629"/>
      <c r="G42" s="629"/>
      <c r="H42" s="629"/>
      <c r="I42" s="629"/>
      <c r="J42" s="629"/>
      <c r="K42" s="629"/>
      <c r="L42" s="629"/>
      <c r="M42" s="629"/>
      <c r="N42" s="629"/>
      <c r="O42" s="874"/>
      <c r="Q42" s="874"/>
      <c r="R42" s="975"/>
      <c r="S42" s="588"/>
      <c r="V42" s="874"/>
      <c r="W42" s="975"/>
      <c r="X42" s="588"/>
      <c r="Y42" s="588"/>
      <c r="Z42" s="588"/>
      <c r="AA42" s="588"/>
      <c r="AB42" s="588"/>
      <c r="AD42" s="874"/>
      <c r="AE42" s="874"/>
      <c r="AF42" s="874"/>
      <c r="AG42" s="874"/>
      <c r="AH42" s="874"/>
      <c r="AI42" s="874"/>
      <c r="AJ42" s="874"/>
      <c r="AK42" s="874"/>
      <c r="AL42" s="874"/>
      <c r="AM42" s="874"/>
      <c r="AN42" s="874"/>
      <c r="AO42" s="874"/>
      <c r="AP42" s="874"/>
      <c r="AQ42" s="874"/>
      <c r="AR42" s="874"/>
      <c r="AS42" s="874"/>
      <c r="AT42" s="874"/>
      <c r="AU42" s="874"/>
      <c r="AV42" s="874"/>
      <c r="BF42" s="588"/>
      <c r="BG42" s="588"/>
      <c r="BH42" s="588"/>
      <c r="BI42" s="588"/>
    </row>
    <row r="43" spans="2:61" s="1036" customFormat="1" ht="29.5" customHeight="1">
      <c r="B43" s="1191" t="s">
        <v>151</v>
      </c>
      <c r="C43" s="3461" t="s">
        <v>953</v>
      </c>
      <c r="D43" s="3461"/>
      <c r="E43" s="3461"/>
      <c r="F43" s="3461"/>
      <c r="G43" s="3461"/>
      <c r="H43" s="3461"/>
      <c r="I43" s="3461"/>
      <c r="J43" s="3461"/>
      <c r="K43" s="3461"/>
      <c r="L43" s="3461"/>
      <c r="M43" s="3461"/>
      <c r="N43" s="3461"/>
      <c r="O43" s="3461"/>
      <c r="P43" s="3461"/>
      <c r="Q43" s="3461"/>
      <c r="R43" s="3461"/>
      <c r="S43" s="3461"/>
      <c r="T43" s="3461"/>
      <c r="U43" s="3461"/>
      <c r="V43" s="3461"/>
      <c r="W43" s="3461"/>
      <c r="X43" s="3461"/>
      <c r="Y43" s="3461"/>
      <c r="Z43" s="3461"/>
      <c r="AA43" s="3461"/>
      <c r="AB43" s="3461"/>
      <c r="AC43" s="3461"/>
      <c r="AD43" s="3461"/>
      <c r="AE43" s="3461"/>
      <c r="AF43" s="3461"/>
      <c r="AG43" s="3461"/>
      <c r="AH43" s="3461"/>
      <c r="AI43" s="3461"/>
      <c r="AJ43" s="3461"/>
      <c r="AK43" s="3461"/>
      <c r="AL43" s="3461"/>
      <c r="AM43" s="3461"/>
      <c r="AN43" s="3461"/>
      <c r="AO43" s="3461"/>
      <c r="AP43" s="3461"/>
      <c r="AQ43" s="3461"/>
      <c r="AR43" s="1096"/>
      <c r="AS43" s="1096"/>
    </row>
    <row r="44" spans="2:61" s="1036" customFormat="1" ht="15" customHeight="1">
      <c r="B44" s="1191" t="s">
        <v>152</v>
      </c>
      <c r="C44" s="1192" t="s">
        <v>954</v>
      </c>
      <c r="F44" s="1096"/>
      <c r="G44" s="1096"/>
      <c r="H44" s="1096"/>
      <c r="I44" s="1096"/>
      <c r="J44" s="1096"/>
      <c r="K44" s="1096"/>
      <c r="L44" s="1096"/>
      <c r="M44" s="1096"/>
      <c r="N44" s="1096"/>
      <c r="O44" s="1096"/>
      <c r="P44" s="1096"/>
      <c r="Q44" s="1096"/>
      <c r="R44" s="1096"/>
      <c r="S44" s="1096"/>
      <c r="T44" s="1096"/>
      <c r="U44" s="1096"/>
      <c r="V44" s="1096"/>
      <c r="W44" s="1096"/>
      <c r="X44" s="1096"/>
      <c r="Y44" s="1096"/>
      <c r="Z44" s="1096"/>
      <c r="AA44" s="1096"/>
      <c r="AB44" s="1096"/>
      <c r="AC44" s="1096"/>
      <c r="AD44" s="1096"/>
      <c r="AE44" s="1096"/>
      <c r="AF44" s="1096"/>
      <c r="AG44" s="1096"/>
      <c r="AH44" s="1096"/>
      <c r="AI44" s="1096"/>
      <c r="AJ44" s="1096"/>
      <c r="AK44" s="1096"/>
      <c r="AL44" s="1096"/>
      <c r="AM44" s="1096"/>
      <c r="AN44" s="1096"/>
      <c r="AO44" s="1096"/>
      <c r="AP44" s="1096"/>
      <c r="AQ44" s="1096"/>
      <c r="AR44" s="1096"/>
      <c r="AS44" s="1096"/>
    </row>
    <row r="45" spans="2:61" s="1036" customFormat="1" ht="15.75" customHeight="1">
      <c r="B45" s="1191" t="s">
        <v>153</v>
      </c>
      <c r="C45" s="1192" t="s">
        <v>955</v>
      </c>
      <c r="F45" s="1096"/>
      <c r="G45" s="1096"/>
      <c r="H45" s="1096"/>
      <c r="I45" s="1096"/>
      <c r="J45" s="1096"/>
      <c r="K45" s="1096"/>
      <c r="L45" s="1096"/>
      <c r="M45" s="1096"/>
      <c r="N45" s="1096"/>
      <c r="O45" s="1096"/>
      <c r="P45" s="1096"/>
      <c r="Q45" s="1096"/>
      <c r="R45" s="1096"/>
      <c r="S45" s="1096"/>
      <c r="T45" s="1096"/>
      <c r="U45" s="1096"/>
      <c r="V45" s="1096"/>
      <c r="W45" s="1096"/>
      <c r="X45" s="1096"/>
      <c r="Y45" s="1096"/>
      <c r="Z45" s="1096"/>
      <c r="AA45" s="1096"/>
      <c r="AB45" s="1096"/>
      <c r="AC45" s="1096"/>
      <c r="AD45" s="1096"/>
      <c r="AE45" s="1096"/>
      <c r="AF45" s="1096"/>
      <c r="AG45" s="1096"/>
      <c r="AH45" s="1096"/>
      <c r="AI45" s="1096"/>
      <c r="AJ45" s="1096"/>
      <c r="AK45" s="1096"/>
      <c r="AL45" s="1096"/>
      <c r="AM45" s="1096"/>
      <c r="AN45" s="1096"/>
      <c r="AO45" s="1096"/>
      <c r="AP45" s="1096"/>
      <c r="AQ45" s="1096"/>
      <c r="AR45" s="1096"/>
      <c r="AS45" s="1096"/>
    </row>
    <row r="46" spans="2:61" s="1036" customFormat="1" ht="15.75" customHeight="1">
      <c r="B46" s="1191" t="s">
        <v>154</v>
      </c>
      <c r="C46" s="1192" t="s">
        <v>956</v>
      </c>
      <c r="F46" s="1096"/>
      <c r="G46" s="1096"/>
      <c r="H46" s="1096"/>
      <c r="I46" s="1096"/>
      <c r="J46" s="1096"/>
      <c r="K46" s="1096"/>
      <c r="L46" s="1096"/>
      <c r="M46" s="1096"/>
      <c r="N46" s="1096"/>
      <c r="O46" s="1096"/>
      <c r="P46" s="1096"/>
      <c r="Q46" s="1096"/>
      <c r="R46" s="1096"/>
      <c r="S46" s="1096"/>
      <c r="T46" s="1096"/>
      <c r="U46" s="1096"/>
      <c r="V46" s="1096"/>
      <c r="W46" s="1096"/>
      <c r="X46" s="1096"/>
      <c r="Y46" s="1096"/>
      <c r="Z46" s="1096"/>
      <c r="AA46" s="1096"/>
      <c r="AB46" s="1096"/>
      <c r="AC46" s="1096"/>
      <c r="AD46" s="1096"/>
      <c r="AE46" s="1096"/>
      <c r="AF46" s="1096"/>
      <c r="AG46" s="1096"/>
      <c r="AH46" s="1096"/>
      <c r="AI46" s="1096"/>
      <c r="AJ46" s="1096"/>
      <c r="AK46" s="1096"/>
      <c r="AL46" s="1096"/>
      <c r="AM46" s="1096"/>
      <c r="AN46" s="1096"/>
      <c r="AO46" s="1096"/>
      <c r="AP46" s="1096"/>
      <c r="AQ46" s="1096"/>
      <c r="AR46" s="1096"/>
      <c r="AS46" s="1096"/>
    </row>
    <row r="47" spans="2:61" s="1036" customFormat="1" ht="15.75" customHeight="1">
      <c r="B47" s="1191" t="s">
        <v>155</v>
      </c>
      <c r="C47" s="1192" t="s">
        <v>957</v>
      </c>
      <c r="F47" s="1096"/>
      <c r="G47" s="1096"/>
      <c r="H47" s="1096"/>
      <c r="I47" s="1096"/>
      <c r="J47" s="1096"/>
      <c r="K47" s="1096"/>
      <c r="L47" s="1096"/>
      <c r="M47" s="1096"/>
      <c r="N47" s="1096"/>
      <c r="O47" s="1096"/>
      <c r="P47" s="1096"/>
      <c r="Q47" s="1096"/>
      <c r="R47" s="1096"/>
      <c r="S47" s="1096"/>
      <c r="T47" s="1096"/>
      <c r="U47" s="1096"/>
      <c r="V47" s="1096"/>
      <c r="W47" s="1096"/>
      <c r="X47" s="1096"/>
      <c r="Y47" s="1096"/>
      <c r="Z47" s="1096"/>
      <c r="AA47" s="1096"/>
      <c r="AB47" s="1096"/>
      <c r="AC47" s="1096"/>
      <c r="AD47" s="1096"/>
      <c r="AE47" s="1096"/>
      <c r="AF47" s="1096"/>
      <c r="AG47" s="1096"/>
      <c r="AH47" s="1096"/>
      <c r="AI47" s="1096"/>
      <c r="AJ47" s="1096"/>
      <c r="AK47" s="1096"/>
      <c r="AL47" s="1096"/>
      <c r="AM47" s="1096"/>
      <c r="AN47" s="1096"/>
      <c r="AO47" s="1096"/>
      <c r="AP47" s="1096"/>
      <c r="AQ47" s="1096"/>
      <c r="AR47" s="1096"/>
      <c r="AS47" s="1096"/>
    </row>
    <row r="48" spans="2:61" s="1036" customFormat="1" ht="15.75" customHeight="1">
      <c r="B48" s="1191" t="s">
        <v>156</v>
      </c>
      <c r="C48" s="1192" t="s">
        <v>958</v>
      </c>
      <c r="F48" s="1096"/>
      <c r="G48" s="1096"/>
      <c r="H48" s="1096"/>
      <c r="I48" s="1096"/>
      <c r="J48" s="1096"/>
      <c r="K48" s="1096"/>
      <c r="L48" s="1096"/>
      <c r="M48" s="1096"/>
      <c r="N48" s="1096"/>
      <c r="O48" s="1096"/>
      <c r="P48" s="1096"/>
      <c r="Q48" s="1096"/>
      <c r="R48" s="1096"/>
      <c r="S48" s="1096"/>
      <c r="T48" s="1096"/>
      <c r="U48" s="1096"/>
      <c r="V48" s="1096"/>
      <c r="W48" s="1096"/>
      <c r="X48" s="1096"/>
      <c r="Y48" s="1096"/>
      <c r="Z48" s="1096"/>
      <c r="AA48" s="1096"/>
      <c r="AB48" s="1096"/>
      <c r="AC48" s="1096"/>
      <c r="AD48" s="1096"/>
      <c r="AE48" s="1096"/>
      <c r="AF48" s="1096"/>
      <c r="AG48" s="1096"/>
      <c r="AH48" s="1096"/>
      <c r="AI48" s="1096"/>
      <c r="AJ48" s="1096"/>
      <c r="AK48" s="1096"/>
      <c r="AL48" s="1096"/>
      <c r="AM48" s="1096"/>
      <c r="AN48" s="1096"/>
      <c r="AO48" s="1096"/>
      <c r="AP48" s="1096"/>
      <c r="AQ48" s="1096"/>
      <c r="AR48" s="1096"/>
      <c r="AS48" s="1096"/>
    </row>
    <row r="49" spans="2:43" s="755" customFormat="1" ht="25" customHeight="1">
      <c r="B49" s="187"/>
      <c r="D49" s="187"/>
      <c r="F49" s="187"/>
      <c r="H49" s="187"/>
      <c r="J49" s="187"/>
      <c r="L49" s="187"/>
      <c r="N49" s="187"/>
      <c r="P49" s="187"/>
      <c r="S49" s="187"/>
      <c r="V49" s="187"/>
      <c r="X49" s="187"/>
      <c r="Z49" s="187"/>
      <c r="AB49" s="187"/>
      <c r="AD49" s="187"/>
      <c r="AF49" s="187"/>
      <c r="AH49" s="187"/>
      <c r="AJ49" s="187"/>
      <c r="AL49" s="187"/>
      <c r="AN49" s="187"/>
      <c r="AP49" s="187"/>
    </row>
    <row r="50" spans="2:43" s="168" customFormat="1" ht="14">
      <c r="B50" s="169" t="s">
        <v>17</v>
      </c>
      <c r="P50" s="169" t="s">
        <v>900</v>
      </c>
      <c r="AF50" s="169" t="s">
        <v>783</v>
      </c>
    </row>
    <row r="51" spans="2:43" s="168" customFormat="1" ht="21.75" customHeight="1">
      <c r="B51" s="169" t="s">
        <v>748</v>
      </c>
      <c r="F51" s="1959" t="str">
        <f>activesheet!E29</f>
        <v>RICO S. MISPEROS</v>
      </c>
      <c r="G51" s="1959"/>
      <c r="H51" s="1959"/>
      <c r="I51" s="1959"/>
      <c r="J51" s="1959"/>
      <c r="K51" s="1959"/>
      <c r="L51" s="1959"/>
      <c r="M51" s="1959"/>
      <c r="O51" s="172"/>
      <c r="P51" s="1959" t="str">
        <f>activesheet!E2646</f>
        <v>PARA D. TALIP</v>
      </c>
      <c r="Q51" s="1959"/>
      <c r="R51" s="1959"/>
      <c r="S51" s="1959"/>
      <c r="T51" s="1959"/>
      <c r="U51" s="1959"/>
      <c r="V51" s="1959"/>
      <c r="W51" s="1959"/>
      <c r="X51" s="1959"/>
      <c r="Y51" s="1959"/>
      <c r="Z51" s="1959"/>
      <c r="AA51" s="1959"/>
      <c r="AB51" s="1959"/>
      <c r="AC51" s="1959"/>
      <c r="AF51" s="1956" t="str">
        <f>activesheet!E31</f>
        <v>MICHAEL T. JAMIS</v>
      </c>
      <c r="AG51" s="1956"/>
      <c r="AH51" s="1956"/>
      <c r="AI51" s="1956"/>
      <c r="AJ51" s="1956"/>
      <c r="AK51" s="1956"/>
      <c r="AL51" s="1956"/>
      <c r="AM51" s="1956"/>
      <c r="AN51" s="1956"/>
      <c r="AO51" s="1956"/>
      <c r="AP51" s="1956"/>
      <c r="AQ51" s="1956"/>
    </row>
    <row r="52" spans="2:43" s="156" customFormat="1" ht="13.5" customHeight="1">
      <c r="B52" s="655"/>
      <c r="F52" s="1764" t="s">
        <v>741</v>
      </c>
      <c r="G52" s="1764"/>
      <c r="H52" s="1764"/>
      <c r="I52" s="1764"/>
      <c r="J52" s="1764"/>
      <c r="K52" s="1764"/>
      <c r="L52" s="1764"/>
      <c r="M52" s="1764"/>
      <c r="N52" s="1040"/>
      <c r="O52" s="184"/>
      <c r="P52" s="1764" t="s">
        <v>741</v>
      </c>
      <c r="Q52" s="1764"/>
      <c r="R52" s="1764"/>
      <c r="S52" s="1764"/>
      <c r="T52" s="1764"/>
      <c r="U52" s="1764"/>
      <c r="V52" s="1764"/>
      <c r="W52" s="1764"/>
      <c r="X52" s="1764"/>
      <c r="Y52" s="1764"/>
      <c r="Z52" s="1764"/>
      <c r="AA52" s="1764"/>
      <c r="AB52" s="1764"/>
      <c r="AC52" s="1764"/>
      <c r="AD52" s="1040"/>
      <c r="AF52" s="1957"/>
      <c r="AG52" s="1957"/>
      <c r="AH52" s="1957"/>
      <c r="AI52" s="1957"/>
      <c r="AJ52" s="1957"/>
      <c r="AK52" s="1957"/>
      <c r="AL52" s="1957"/>
      <c r="AM52" s="1957"/>
      <c r="AN52" s="1957"/>
      <c r="AO52" s="1957"/>
      <c r="AP52" s="1957"/>
      <c r="AQ52" s="1957"/>
    </row>
    <row r="53" spans="2:43" s="168" customFormat="1" ht="21.75" customHeight="1">
      <c r="B53" s="169" t="s">
        <v>71</v>
      </c>
      <c r="F53" s="1959" t="str">
        <f>activesheet!E30</f>
        <v>SCHOOL PRINCIPAL II</v>
      </c>
      <c r="G53" s="1959"/>
      <c r="H53" s="1959"/>
      <c r="I53" s="1959"/>
      <c r="J53" s="1959"/>
      <c r="K53" s="1959"/>
      <c r="L53" s="1959"/>
      <c r="M53" s="1959"/>
      <c r="O53" s="172"/>
      <c r="P53" s="169" t="s">
        <v>71</v>
      </c>
      <c r="T53" s="1959" t="str">
        <f>activesheet!E2647</f>
        <v>Education Program Specialist</v>
      </c>
      <c r="U53" s="1959"/>
      <c r="V53" s="1959"/>
      <c r="W53" s="1959"/>
      <c r="X53" s="1959"/>
      <c r="Y53" s="1959"/>
      <c r="Z53" s="1959"/>
      <c r="AA53" s="1959"/>
      <c r="AB53" s="1959"/>
      <c r="AC53" s="1959"/>
      <c r="AF53" s="1764" t="s">
        <v>741</v>
      </c>
      <c r="AG53" s="1764"/>
      <c r="AH53" s="1764"/>
      <c r="AI53" s="1764"/>
      <c r="AJ53" s="1764"/>
      <c r="AK53" s="1764"/>
      <c r="AL53" s="1764"/>
      <c r="AM53" s="1764"/>
      <c r="AN53" s="1764"/>
      <c r="AO53" s="1764"/>
      <c r="AP53" s="1764"/>
      <c r="AQ53" s="1764"/>
    </row>
  </sheetData>
  <sheetProtection algorithmName="SHA-512" hashValue="CV7CH/ex5rGLaoRBzCIRFzXtOvRKTqhIaZwtKfC04Uus+D72JZQ+5zKy0ob7VydyEDGagOZ0yelv5p70uHgL3w==" saltValue="ITqhAN9Gu3YoS3xdO9o0mQ==" spinCount="100000" sheet="1" objects="1" scenarios="1" selectLockedCells="1"/>
  <mergeCells count="155">
    <mergeCell ref="J19:O19"/>
    <mergeCell ref="P19:U19"/>
    <mergeCell ref="J20:O20"/>
    <mergeCell ref="P20:U20"/>
    <mergeCell ref="J21:O21"/>
    <mergeCell ref="P21:U21"/>
    <mergeCell ref="V19:AA19"/>
    <mergeCell ref="V20:AA20"/>
    <mergeCell ref="V21:AA21"/>
    <mergeCell ref="D29:I30"/>
    <mergeCell ref="J29:M30"/>
    <mergeCell ref="N29:Q30"/>
    <mergeCell ref="R29:U30"/>
    <mergeCell ref="V29:Y30"/>
    <mergeCell ref="Z29:AC30"/>
    <mergeCell ref="AD29:AG30"/>
    <mergeCell ref="AH29:AK30"/>
    <mergeCell ref="AL29:AO30"/>
    <mergeCell ref="AL31:AO31"/>
    <mergeCell ref="AL32:AO32"/>
    <mergeCell ref="AL33:AO33"/>
    <mergeCell ref="AL34:AO34"/>
    <mergeCell ref="AL35:AO35"/>
    <mergeCell ref="AL36:AO36"/>
    <mergeCell ref="AL37:AO37"/>
    <mergeCell ref="AL38:AO38"/>
    <mergeCell ref="AD38:AG38"/>
    <mergeCell ref="AH38:AK38"/>
    <mergeCell ref="AH31:AK31"/>
    <mergeCell ref="AH32:AK32"/>
    <mergeCell ref="AD36:AG36"/>
    <mergeCell ref="AD37:AG37"/>
    <mergeCell ref="AD32:AG32"/>
    <mergeCell ref="AD31:AG31"/>
    <mergeCell ref="AD33:AG33"/>
    <mergeCell ref="AF51:AQ52"/>
    <mergeCell ref="P52:AC52"/>
    <mergeCell ref="T53:AC53"/>
    <mergeCell ref="AF53:AQ53"/>
    <mergeCell ref="AH33:AK33"/>
    <mergeCell ref="N34:Q34"/>
    <mergeCell ref="R34:U34"/>
    <mergeCell ref="V34:Y34"/>
    <mergeCell ref="Z34:AC34"/>
    <mergeCell ref="AD34:AG34"/>
    <mergeCell ref="AH34:AK34"/>
    <mergeCell ref="N35:Q35"/>
    <mergeCell ref="R35:U35"/>
    <mergeCell ref="V35:Y35"/>
    <mergeCell ref="Z35:AC35"/>
    <mergeCell ref="AD35:AG35"/>
    <mergeCell ref="AH35:AK35"/>
    <mergeCell ref="AH36:AK36"/>
    <mergeCell ref="N37:Q37"/>
    <mergeCell ref="R37:U37"/>
    <mergeCell ref="AH40:AK40"/>
    <mergeCell ref="AL39:AO39"/>
    <mergeCell ref="AL40:AO40"/>
    <mergeCell ref="AH37:AK37"/>
    <mergeCell ref="D7:I8"/>
    <mergeCell ref="J7:AA7"/>
    <mergeCell ref="J8:O8"/>
    <mergeCell ref="P8:U8"/>
    <mergeCell ref="V8:AA8"/>
    <mergeCell ref="J11:O11"/>
    <mergeCell ref="P11:U11"/>
    <mergeCell ref="V11:AA11"/>
    <mergeCell ref="J12:O12"/>
    <mergeCell ref="P12:U12"/>
    <mergeCell ref="V12:AA12"/>
    <mergeCell ref="J9:O9"/>
    <mergeCell ref="P9:U9"/>
    <mergeCell ref="V9:AA9"/>
    <mergeCell ref="J10:O10"/>
    <mergeCell ref="P10:U10"/>
    <mergeCell ref="V10:AA10"/>
    <mergeCell ref="J18:O18"/>
    <mergeCell ref="P18:U18"/>
    <mergeCell ref="V18:AA18"/>
    <mergeCell ref="J13:O13"/>
    <mergeCell ref="P13:U13"/>
    <mergeCell ref="V13:AA13"/>
    <mergeCell ref="D17:I17"/>
    <mergeCell ref="J17:O17"/>
    <mergeCell ref="P17:U17"/>
    <mergeCell ref="V17:AA17"/>
    <mergeCell ref="J24:O24"/>
    <mergeCell ref="P24:U24"/>
    <mergeCell ref="V24:AA24"/>
    <mergeCell ref="J25:O25"/>
    <mergeCell ref="P25:U25"/>
    <mergeCell ref="V25:AA25"/>
    <mergeCell ref="J22:O22"/>
    <mergeCell ref="P22:U22"/>
    <mergeCell ref="V22:AA22"/>
    <mergeCell ref="J23:O23"/>
    <mergeCell ref="P23:U23"/>
    <mergeCell ref="V23:AA23"/>
    <mergeCell ref="D31:I31"/>
    <mergeCell ref="D32:I32"/>
    <mergeCell ref="N31:Q31"/>
    <mergeCell ref="R31:U31"/>
    <mergeCell ref="V31:Y31"/>
    <mergeCell ref="Z31:AC31"/>
    <mergeCell ref="D33:I33"/>
    <mergeCell ref="Z33:AC33"/>
    <mergeCell ref="J31:M31"/>
    <mergeCell ref="J32:M32"/>
    <mergeCell ref="J33:M33"/>
    <mergeCell ref="N32:Q32"/>
    <mergeCell ref="R32:U32"/>
    <mergeCell ref="V32:Y32"/>
    <mergeCell ref="Z32:AC32"/>
    <mergeCell ref="N33:Q33"/>
    <mergeCell ref="R33:U33"/>
    <mergeCell ref="V33:Y33"/>
    <mergeCell ref="Z40:AC40"/>
    <mergeCell ref="D34:I34"/>
    <mergeCell ref="D35:I35"/>
    <mergeCell ref="D36:I36"/>
    <mergeCell ref="D37:I37"/>
    <mergeCell ref="N36:Q36"/>
    <mergeCell ref="R36:U36"/>
    <mergeCell ref="V36:Y36"/>
    <mergeCell ref="Z36:AC36"/>
    <mergeCell ref="J34:M34"/>
    <mergeCell ref="J35:M35"/>
    <mergeCell ref="J36:M36"/>
    <mergeCell ref="J37:M37"/>
    <mergeCell ref="V37:Y37"/>
    <mergeCell ref="Z37:AC37"/>
    <mergeCell ref="AD40:AG40"/>
    <mergeCell ref="AD39:AG39"/>
    <mergeCell ref="F51:M51"/>
    <mergeCell ref="F52:M52"/>
    <mergeCell ref="F53:M53"/>
    <mergeCell ref="D38:I38"/>
    <mergeCell ref="D39:I39"/>
    <mergeCell ref="J39:M39"/>
    <mergeCell ref="N39:Q39"/>
    <mergeCell ref="R39:U39"/>
    <mergeCell ref="V39:Y39"/>
    <mergeCell ref="P51:AC51"/>
    <mergeCell ref="N38:Q38"/>
    <mergeCell ref="R38:U38"/>
    <mergeCell ref="V38:Y38"/>
    <mergeCell ref="Z38:AC38"/>
    <mergeCell ref="Z39:AC39"/>
    <mergeCell ref="J38:M38"/>
    <mergeCell ref="C43:AQ43"/>
    <mergeCell ref="J40:M40"/>
    <mergeCell ref="AH39:AK39"/>
    <mergeCell ref="N40:Q40"/>
    <mergeCell ref="R40:U40"/>
    <mergeCell ref="V40:Y40"/>
  </mergeCells>
  <dataValidations count="1">
    <dataValidation type="whole" allowBlank="1" showInputMessage="1" showErrorMessage="1" errorTitle="GESP SY 2022-2023" error="Please enter valid number between 0-20,000." sqref="J31:AK39 J9:U12 J18:U24" xr:uid="{00000000-0002-0000-2900-000000000000}">
      <formula1>0</formula1>
      <formula2>20000</formula2>
    </dataValidation>
  </dataValidations>
  <printOptions horizontalCentered="1" verticalCentered="1"/>
  <pageMargins left="0.25" right="0.25" top="0.2" bottom="0.2" header="0" footer="0.1"/>
  <pageSetup paperSize="9" scale="58" orientation="landscape" r:id="rId1"/>
  <headerFooter alignWithMargins="0">
    <oddFooter>&amp;L&amp;10&amp;F &amp;A&amp;R&amp;11Page 38 of 60</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4">
    <pageSetUpPr fitToPage="1"/>
  </sheetPr>
  <dimension ref="B1:AV46"/>
  <sheetViews>
    <sheetView showGridLines="0" topLeftCell="A33" zoomScaleNormal="100" workbookViewId="0">
      <selection activeCell="N6" sqref="N6:R6"/>
    </sheetView>
  </sheetViews>
  <sheetFormatPr defaultColWidth="9" defaultRowHeight="15.5"/>
  <cols>
    <col min="1" max="1" width="2.08203125" style="1202" customWidth="1"/>
    <col min="2" max="39" width="3.58203125" style="1202" customWidth="1"/>
    <col min="40" max="40" width="2.08203125" style="1202" customWidth="1"/>
    <col min="41" max="56" width="3.58203125" style="1202" customWidth="1"/>
    <col min="57" max="57" width="2.08203125" style="1202" customWidth="1"/>
    <col min="58" max="16384" width="9" style="1202"/>
  </cols>
  <sheetData>
    <row r="1" spans="3:38" ht="12" customHeight="1"/>
    <row r="2" spans="3:38" ht="16.5">
      <c r="C2" s="579" t="s">
        <v>11809</v>
      </c>
      <c r="F2" s="1212"/>
    </row>
    <row r="3" spans="3:38" ht="16" thickBot="1">
      <c r="C3" s="652" t="s">
        <v>903</v>
      </c>
      <c r="F3" s="1233"/>
      <c r="G3" s="1233"/>
      <c r="H3" s="1233"/>
    </row>
    <row r="4" spans="3:38" s="1234" customFormat="1" ht="87.75" customHeight="1" thickBot="1">
      <c r="C4" s="3560" t="s">
        <v>582</v>
      </c>
      <c r="D4" s="3555"/>
      <c r="E4" s="3555"/>
      <c r="F4" s="3555"/>
      <c r="G4" s="3555"/>
      <c r="H4" s="3555"/>
      <c r="I4" s="3555"/>
      <c r="J4" s="3555"/>
      <c r="K4" s="3555"/>
      <c r="L4" s="3555"/>
      <c r="M4" s="3561"/>
      <c r="N4" s="3562" t="s">
        <v>584</v>
      </c>
      <c r="O4" s="3555"/>
      <c r="P4" s="3555"/>
      <c r="Q4" s="3555"/>
      <c r="R4" s="3556"/>
      <c r="S4" s="3557" t="s">
        <v>419</v>
      </c>
      <c r="T4" s="3555"/>
      <c r="U4" s="3555"/>
      <c r="V4" s="3555"/>
      <c r="W4" s="3555"/>
      <c r="X4" s="3557" t="s">
        <v>579</v>
      </c>
      <c r="Y4" s="3555"/>
      <c r="Z4" s="3555"/>
      <c r="AA4" s="3555"/>
      <c r="AB4" s="3556"/>
      <c r="AC4" s="3555" t="s">
        <v>580</v>
      </c>
      <c r="AD4" s="3555"/>
      <c r="AE4" s="3555"/>
      <c r="AF4" s="3555"/>
      <c r="AG4" s="3556"/>
      <c r="AH4" s="3557" t="s">
        <v>1235</v>
      </c>
      <c r="AI4" s="3555"/>
      <c r="AJ4" s="3555"/>
      <c r="AK4" s="3555"/>
      <c r="AL4" s="3558"/>
    </row>
    <row r="5" spans="3:38" s="681" customFormat="1" ht="30" customHeight="1">
      <c r="C5" s="1220" t="s">
        <v>151</v>
      </c>
      <c r="D5" s="1221" t="s">
        <v>1199</v>
      </c>
      <c r="E5" s="1221"/>
      <c r="F5" s="1221"/>
      <c r="G5" s="1221"/>
      <c r="H5" s="1221"/>
      <c r="I5" s="1221"/>
      <c r="J5" s="1221"/>
      <c r="K5" s="1221"/>
      <c r="L5" s="1221"/>
      <c r="M5" s="1222"/>
      <c r="N5" s="3559">
        <v>0</v>
      </c>
      <c r="O5" s="3199"/>
      <c r="P5" s="3199"/>
      <c r="Q5" s="3199"/>
      <c r="R5" s="3200"/>
      <c r="S5" s="3205">
        <v>0</v>
      </c>
      <c r="T5" s="3199"/>
      <c r="U5" s="3199"/>
      <c r="V5" s="3199"/>
      <c r="W5" s="3200"/>
      <c r="X5" s="3205">
        <v>0</v>
      </c>
      <c r="Y5" s="3199"/>
      <c r="Z5" s="3199"/>
      <c r="AA5" s="3199"/>
      <c r="AB5" s="3200"/>
      <c r="AC5" s="3205">
        <v>0</v>
      </c>
      <c r="AD5" s="3199"/>
      <c r="AE5" s="3199"/>
      <c r="AF5" s="3199"/>
      <c r="AG5" s="3200"/>
      <c r="AH5" s="3205">
        <v>0</v>
      </c>
      <c r="AI5" s="3199"/>
      <c r="AJ5" s="3199"/>
      <c r="AK5" s="3199"/>
      <c r="AL5" s="3206"/>
    </row>
    <row r="6" spans="3:38" s="681" customFormat="1" ht="30" customHeight="1">
      <c r="C6" s="1223" t="s">
        <v>152</v>
      </c>
      <c r="D6" s="1224" t="s">
        <v>1201</v>
      </c>
      <c r="E6" s="1224"/>
      <c r="F6" s="1224"/>
      <c r="G6" s="1224"/>
      <c r="H6" s="1224"/>
      <c r="I6" s="1224"/>
      <c r="J6" s="1224"/>
      <c r="K6" s="1224"/>
      <c r="L6" s="1224"/>
      <c r="M6" s="1225"/>
      <c r="N6" s="3563">
        <v>0</v>
      </c>
      <c r="O6" s="2612"/>
      <c r="P6" s="2612"/>
      <c r="Q6" s="2612"/>
      <c r="R6" s="3147"/>
      <c r="S6" s="3148">
        <v>0</v>
      </c>
      <c r="T6" s="2612"/>
      <c r="U6" s="2612"/>
      <c r="V6" s="2612"/>
      <c r="W6" s="3147"/>
      <c r="X6" s="3148">
        <v>0</v>
      </c>
      <c r="Y6" s="2612"/>
      <c r="Z6" s="2612"/>
      <c r="AA6" s="2612"/>
      <c r="AB6" s="3147"/>
      <c r="AC6" s="3148">
        <v>0</v>
      </c>
      <c r="AD6" s="2612"/>
      <c r="AE6" s="2612"/>
      <c r="AF6" s="2612"/>
      <c r="AG6" s="3147"/>
      <c r="AH6" s="3148">
        <v>0</v>
      </c>
      <c r="AI6" s="2612"/>
      <c r="AJ6" s="2612"/>
      <c r="AK6" s="2612"/>
      <c r="AL6" s="3149"/>
    </row>
    <row r="7" spans="3:38" s="681" customFormat="1" ht="30" customHeight="1">
      <c r="C7" s="1223" t="s">
        <v>153</v>
      </c>
      <c r="D7" s="1224" t="s">
        <v>1203</v>
      </c>
      <c r="E7" s="1224"/>
      <c r="F7" s="1224"/>
      <c r="G7" s="1224"/>
      <c r="H7" s="1224"/>
      <c r="I7" s="1224"/>
      <c r="J7" s="1224"/>
      <c r="K7" s="1224"/>
      <c r="L7" s="1224"/>
      <c r="M7" s="1226"/>
      <c r="N7" s="3563">
        <v>1</v>
      </c>
      <c r="O7" s="2612"/>
      <c r="P7" s="2612"/>
      <c r="Q7" s="2612"/>
      <c r="R7" s="3147"/>
      <c r="S7" s="3148">
        <v>0</v>
      </c>
      <c r="T7" s="2612"/>
      <c r="U7" s="2612"/>
      <c r="V7" s="2612"/>
      <c r="W7" s="3147"/>
      <c r="X7" s="3148">
        <v>0</v>
      </c>
      <c r="Y7" s="2612"/>
      <c r="Z7" s="2612"/>
      <c r="AA7" s="2612"/>
      <c r="AB7" s="3147"/>
      <c r="AC7" s="3148">
        <v>0</v>
      </c>
      <c r="AD7" s="2612"/>
      <c r="AE7" s="2612"/>
      <c r="AF7" s="2612"/>
      <c r="AG7" s="3147"/>
      <c r="AH7" s="3148">
        <v>0</v>
      </c>
      <c r="AI7" s="2612"/>
      <c r="AJ7" s="2612"/>
      <c r="AK7" s="2612"/>
      <c r="AL7" s="3149"/>
    </row>
    <row r="8" spans="3:38" s="681" customFormat="1" ht="30" customHeight="1">
      <c r="C8" s="1223" t="s">
        <v>154</v>
      </c>
      <c r="D8" s="1224" t="s">
        <v>1205</v>
      </c>
      <c r="E8" s="1224"/>
      <c r="F8" s="1224"/>
      <c r="G8" s="1224"/>
      <c r="H8" s="1224"/>
      <c r="I8" s="1224"/>
      <c r="J8" s="1224"/>
      <c r="K8" s="1224"/>
      <c r="L8" s="1224"/>
      <c r="M8" s="1226"/>
      <c r="N8" s="3563">
        <v>1</v>
      </c>
      <c r="O8" s="2612"/>
      <c r="P8" s="2612"/>
      <c r="Q8" s="2612"/>
      <c r="R8" s="3147"/>
      <c r="S8" s="3148">
        <v>0</v>
      </c>
      <c r="T8" s="2612"/>
      <c r="U8" s="2612"/>
      <c r="V8" s="2612"/>
      <c r="W8" s="3147"/>
      <c r="X8" s="3148">
        <v>0</v>
      </c>
      <c r="Y8" s="2612"/>
      <c r="Z8" s="2612"/>
      <c r="AA8" s="2612"/>
      <c r="AB8" s="3147"/>
      <c r="AC8" s="3148">
        <v>0</v>
      </c>
      <c r="AD8" s="2612"/>
      <c r="AE8" s="2612"/>
      <c r="AF8" s="2612"/>
      <c r="AG8" s="3147"/>
      <c r="AH8" s="3148">
        <v>0</v>
      </c>
      <c r="AI8" s="2612"/>
      <c r="AJ8" s="2612"/>
      <c r="AK8" s="2612"/>
      <c r="AL8" s="3149"/>
    </row>
    <row r="9" spans="3:38" s="681" customFormat="1" ht="30" customHeight="1">
      <c r="C9" s="1223" t="s">
        <v>155</v>
      </c>
      <c r="D9" s="1224" t="s">
        <v>1207</v>
      </c>
      <c r="E9" s="1224"/>
      <c r="F9" s="1224"/>
      <c r="G9" s="1224"/>
      <c r="H9" s="1224"/>
      <c r="I9" s="1224"/>
      <c r="J9" s="1224"/>
      <c r="K9" s="1224"/>
      <c r="L9" s="1224"/>
      <c r="M9" s="1226"/>
      <c r="N9" s="3563">
        <v>0</v>
      </c>
      <c r="O9" s="2612"/>
      <c r="P9" s="2612"/>
      <c r="Q9" s="2612"/>
      <c r="R9" s="3147"/>
      <c r="S9" s="3148">
        <v>0</v>
      </c>
      <c r="T9" s="2612"/>
      <c r="U9" s="2612"/>
      <c r="V9" s="2612"/>
      <c r="W9" s="3147"/>
      <c r="X9" s="3148">
        <v>0</v>
      </c>
      <c r="Y9" s="2612"/>
      <c r="Z9" s="2612"/>
      <c r="AA9" s="2612"/>
      <c r="AB9" s="3147"/>
      <c r="AC9" s="3148">
        <v>0</v>
      </c>
      <c r="AD9" s="2612"/>
      <c r="AE9" s="2612"/>
      <c r="AF9" s="2612"/>
      <c r="AG9" s="3147"/>
      <c r="AH9" s="3148">
        <v>0</v>
      </c>
      <c r="AI9" s="2612"/>
      <c r="AJ9" s="2612"/>
      <c r="AK9" s="2612"/>
      <c r="AL9" s="3149"/>
    </row>
    <row r="10" spans="3:38" s="312" customFormat="1" ht="30" customHeight="1">
      <c r="C10" s="1223" t="s">
        <v>156</v>
      </c>
      <c r="D10" s="1224" t="s">
        <v>1209</v>
      </c>
      <c r="E10" s="1224"/>
      <c r="F10" s="1224"/>
      <c r="G10" s="1224"/>
      <c r="H10" s="1224"/>
      <c r="I10" s="1224"/>
      <c r="J10" s="1224"/>
      <c r="K10" s="1224"/>
      <c r="L10" s="1224"/>
      <c r="M10" s="1226"/>
      <c r="N10" s="3563">
        <v>0</v>
      </c>
      <c r="O10" s="2612"/>
      <c r="P10" s="2612"/>
      <c r="Q10" s="2612"/>
      <c r="R10" s="3147"/>
      <c r="S10" s="3148">
        <v>0</v>
      </c>
      <c r="T10" s="2612"/>
      <c r="U10" s="2612"/>
      <c r="V10" s="2612"/>
      <c r="W10" s="3147"/>
      <c r="X10" s="3148">
        <v>0</v>
      </c>
      <c r="Y10" s="2612"/>
      <c r="Z10" s="2612"/>
      <c r="AA10" s="2612"/>
      <c r="AB10" s="3147"/>
      <c r="AC10" s="3148">
        <v>0</v>
      </c>
      <c r="AD10" s="2612"/>
      <c r="AE10" s="2612"/>
      <c r="AF10" s="2612"/>
      <c r="AG10" s="3147"/>
      <c r="AH10" s="3148">
        <v>0</v>
      </c>
      <c r="AI10" s="2612"/>
      <c r="AJ10" s="2612"/>
      <c r="AK10" s="2612"/>
      <c r="AL10" s="3149"/>
    </row>
    <row r="11" spans="3:38" s="681" customFormat="1" ht="30" customHeight="1">
      <c r="C11" s="1223" t="s">
        <v>157</v>
      </c>
      <c r="D11" s="1224" t="s">
        <v>1211</v>
      </c>
      <c r="E11" s="1224"/>
      <c r="F11" s="1224"/>
      <c r="G11" s="1224"/>
      <c r="H11" s="1224"/>
      <c r="I11" s="1224"/>
      <c r="J11" s="1224"/>
      <c r="K11" s="1224"/>
      <c r="L11" s="1224"/>
      <c r="M11" s="1226"/>
      <c r="N11" s="3563">
        <v>0</v>
      </c>
      <c r="O11" s="2612"/>
      <c r="P11" s="2612"/>
      <c r="Q11" s="2612"/>
      <c r="R11" s="3147"/>
      <c r="S11" s="3148">
        <v>0</v>
      </c>
      <c r="T11" s="2612"/>
      <c r="U11" s="2612"/>
      <c r="V11" s="2612"/>
      <c r="W11" s="3147"/>
      <c r="X11" s="3148">
        <v>0</v>
      </c>
      <c r="Y11" s="2612"/>
      <c r="Z11" s="2612"/>
      <c r="AA11" s="2612"/>
      <c r="AB11" s="3147"/>
      <c r="AC11" s="3148">
        <v>0</v>
      </c>
      <c r="AD11" s="2612"/>
      <c r="AE11" s="2612"/>
      <c r="AF11" s="2612"/>
      <c r="AG11" s="3147"/>
      <c r="AH11" s="3148">
        <v>0</v>
      </c>
      <c r="AI11" s="2612"/>
      <c r="AJ11" s="2612"/>
      <c r="AK11" s="2612"/>
      <c r="AL11" s="3149"/>
    </row>
    <row r="12" spans="3:38" s="681" customFormat="1" ht="30" customHeight="1">
      <c r="C12" s="1223" t="s">
        <v>158</v>
      </c>
      <c r="D12" s="1227" t="s">
        <v>1213</v>
      </c>
      <c r="E12" s="1227"/>
      <c r="F12" s="1227"/>
      <c r="G12" s="1227"/>
      <c r="H12" s="1227"/>
      <c r="I12" s="1227"/>
      <c r="J12" s="1227"/>
      <c r="K12" s="1227"/>
      <c r="L12" s="1227"/>
      <c r="M12" s="1228"/>
      <c r="N12" s="3563">
        <v>0</v>
      </c>
      <c r="O12" s="2612"/>
      <c r="P12" s="2612"/>
      <c r="Q12" s="2612"/>
      <c r="R12" s="3147"/>
      <c r="S12" s="3148">
        <v>0</v>
      </c>
      <c r="T12" s="2612"/>
      <c r="U12" s="2612"/>
      <c r="V12" s="2612"/>
      <c r="W12" s="3147"/>
      <c r="X12" s="3148">
        <v>0</v>
      </c>
      <c r="Y12" s="2612"/>
      <c r="Z12" s="2612"/>
      <c r="AA12" s="2612"/>
      <c r="AB12" s="3147"/>
      <c r="AC12" s="3148">
        <v>0</v>
      </c>
      <c r="AD12" s="2612"/>
      <c r="AE12" s="2612"/>
      <c r="AF12" s="2612"/>
      <c r="AG12" s="3147"/>
      <c r="AH12" s="3148">
        <v>0</v>
      </c>
      <c r="AI12" s="2612"/>
      <c r="AJ12" s="2612"/>
      <c r="AK12" s="2612"/>
      <c r="AL12" s="3149"/>
    </row>
    <row r="13" spans="3:38" s="681" customFormat="1" ht="30" customHeight="1">
      <c r="C13" s="1223" t="s">
        <v>159</v>
      </c>
      <c r="D13" s="1224" t="s">
        <v>1215</v>
      </c>
      <c r="E13" s="1224"/>
      <c r="F13" s="1224"/>
      <c r="G13" s="1224"/>
      <c r="H13" s="1224"/>
      <c r="I13" s="1224"/>
      <c r="J13" s="1224"/>
      <c r="K13" s="1224"/>
      <c r="L13" s="1224"/>
      <c r="M13" s="1226"/>
      <c r="N13" s="3563">
        <v>0</v>
      </c>
      <c r="O13" s="2612"/>
      <c r="P13" s="2612"/>
      <c r="Q13" s="2612"/>
      <c r="R13" s="3147"/>
      <c r="S13" s="3148">
        <v>0</v>
      </c>
      <c r="T13" s="2612"/>
      <c r="U13" s="2612"/>
      <c r="V13" s="2612"/>
      <c r="W13" s="3147"/>
      <c r="X13" s="3148">
        <v>0</v>
      </c>
      <c r="Y13" s="2612"/>
      <c r="Z13" s="2612"/>
      <c r="AA13" s="2612"/>
      <c r="AB13" s="3147"/>
      <c r="AC13" s="3148">
        <v>0</v>
      </c>
      <c r="AD13" s="2612"/>
      <c r="AE13" s="2612"/>
      <c r="AF13" s="2612"/>
      <c r="AG13" s="3147"/>
      <c r="AH13" s="3148">
        <v>0</v>
      </c>
      <c r="AI13" s="2612"/>
      <c r="AJ13" s="2612"/>
      <c r="AK13" s="2612"/>
      <c r="AL13" s="3149"/>
    </row>
    <row r="14" spans="3:38" s="681" customFormat="1" ht="30" customHeight="1">
      <c r="C14" s="1223" t="s">
        <v>160</v>
      </c>
      <c r="D14" s="1227" t="s">
        <v>1217</v>
      </c>
      <c r="E14" s="1227"/>
      <c r="F14" s="1227"/>
      <c r="G14" s="1227"/>
      <c r="H14" s="1227"/>
      <c r="I14" s="1227"/>
      <c r="J14" s="1227"/>
      <c r="K14" s="1227"/>
      <c r="L14" s="1227"/>
      <c r="M14" s="1228"/>
      <c r="N14" s="3563">
        <v>0</v>
      </c>
      <c r="O14" s="2612"/>
      <c r="P14" s="2612"/>
      <c r="Q14" s="2612"/>
      <c r="R14" s="3147"/>
      <c r="S14" s="3148">
        <v>0</v>
      </c>
      <c r="T14" s="2612"/>
      <c r="U14" s="2612"/>
      <c r="V14" s="2612"/>
      <c r="W14" s="3147"/>
      <c r="X14" s="3148">
        <v>0</v>
      </c>
      <c r="Y14" s="2612"/>
      <c r="Z14" s="2612"/>
      <c r="AA14" s="2612"/>
      <c r="AB14" s="3147"/>
      <c r="AC14" s="3148">
        <v>0</v>
      </c>
      <c r="AD14" s="2612"/>
      <c r="AE14" s="2612"/>
      <c r="AF14" s="2612"/>
      <c r="AG14" s="3147"/>
      <c r="AH14" s="3148">
        <v>0</v>
      </c>
      <c r="AI14" s="2612"/>
      <c r="AJ14" s="2612"/>
      <c r="AK14" s="2612"/>
      <c r="AL14" s="3149"/>
    </row>
    <row r="15" spans="3:38" s="681" customFormat="1" ht="30" customHeight="1">
      <c r="C15" s="1223" t="s">
        <v>161</v>
      </c>
      <c r="D15" s="1227" t="s">
        <v>1219</v>
      </c>
      <c r="E15" s="1227"/>
      <c r="F15" s="1227"/>
      <c r="G15" s="1227"/>
      <c r="H15" s="1227"/>
      <c r="I15" s="1227"/>
      <c r="J15" s="1227"/>
      <c r="K15" s="1227"/>
      <c r="L15" s="1227"/>
      <c r="M15" s="1228"/>
      <c r="N15" s="3563">
        <v>1</v>
      </c>
      <c r="O15" s="2612"/>
      <c r="P15" s="2612"/>
      <c r="Q15" s="2612"/>
      <c r="R15" s="3147"/>
      <c r="S15" s="3148">
        <v>0</v>
      </c>
      <c r="T15" s="2612"/>
      <c r="U15" s="2612"/>
      <c r="V15" s="2612"/>
      <c r="W15" s="3147"/>
      <c r="X15" s="3148">
        <v>0</v>
      </c>
      <c r="Y15" s="2612"/>
      <c r="Z15" s="2612"/>
      <c r="AA15" s="2612"/>
      <c r="AB15" s="3147"/>
      <c r="AC15" s="3148">
        <v>0</v>
      </c>
      <c r="AD15" s="2612"/>
      <c r="AE15" s="2612"/>
      <c r="AF15" s="2612"/>
      <c r="AG15" s="3147"/>
      <c r="AH15" s="3148">
        <v>0</v>
      </c>
      <c r="AI15" s="2612"/>
      <c r="AJ15" s="2612"/>
      <c r="AK15" s="2612"/>
      <c r="AL15" s="3149"/>
    </row>
    <row r="16" spans="3:38" s="681" customFormat="1" ht="30" customHeight="1">
      <c r="C16" s="1223" t="s">
        <v>162</v>
      </c>
      <c r="D16" s="1227" t="s">
        <v>1222</v>
      </c>
      <c r="E16" s="1227"/>
      <c r="F16" s="1227"/>
      <c r="G16" s="1227"/>
      <c r="H16" s="1227"/>
      <c r="I16" s="1227"/>
      <c r="J16" s="1227"/>
      <c r="K16" s="1227"/>
      <c r="L16" s="1227"/>
      <c r="M16" s="1228"/>
      <c r="N16" s="3563">
        <v>0</v>
      </c>
      <c r="O16" s="2612"/>
      <c r="P16" s="2612"/>
      <c r="Q16" s="2612"/>
      <c r="R16" s="3147"/>
      <c r="S16" s="3148">
        <v>0</v>
      </c>
      <c r="T16" s="2612"/>
      <c r="U16" s="2612"/>
      <c r="V16" s="2612"/>
      <c r="W16" s="3147"/>
      <c r="X16" s="3148">
        <v>0</v>
      </c>
      <c r="Y16" s="2612"/>
      <c r="Z16" s="2612"/>
      <c r="AA16" s="2612"/>
      <c r="AB16" s="3147"/>
      <c r="AC16" s="3148">
        <v>0</v>
      </c>
      <c r="AD16" s="2612"/>
      <c r="AE16" s="2612"/>
      <c r="AF16" s="2612"/>
      <c r="AG16" s="3147"/>
      <c r="AH16" s="3148">
        <v>0</v>
      </c>
      <c r="AI16" s="2612"/>
      <c r="AJ16" s="2612"/>
      <c r="AK16" s="2612"/>
      <c r="AL16" s="3149"/>
    </row>
    <row r="17" spans="3:38" s="681" customFormat="1" ht="30" customHeight="1">
      <c r="C17" s="1223" t="s">
        <v>163</v>
      </c>
      <c r="D17" s="1224" t="s">
        <v>1225</v>
      </c>
      <c r="E17" s="1224"/>
      <c r="F17" s="1224"/>
      <c r="G17" s="1224"/>
      <c r="H17" s="1224"/>
      <c r="I17" s="1224"/>
      <c r="J17" s="1224"/>
      <c r="K17" s="1224"/>
      <c r="L17" s="1224"/>
      <c r="M17" s="1226"/>
      <c r="N17" s="3563">
        <v>0</v>
      </c>
      <c r="O17" s="2612"/>
      <c r="P17" s="2612"/>
      <c r="Q17" s="2612"/>
      <c r="R17" s="3147"/>
      <c r="S17" s="3148">
        <v>0</v>
      </c>
      <c r="T17" s="2612"/>
      <c r="U17" s="2612"/>
      <c r="V17" s="2612"/>
      <c r="W17" s="3147"/>
      <c r="X17" s="3148">
        <v>0</v>
      </c>
      <c r="Y17" s="2612"/>
      <c r="Z17" s="2612"/>
      <c r="AA17" s="2612"/>
      <c r="AB17" s="3147"/>
      <c r="AC17" s="3148">
        <v>0</v>
      </c>
      <c r="AD17" s="2612"/>
      <c r="AE17" s="2612"/>
      <c r="AF17" s="2612"/>
      <c r="AG17" s="3147"/>
      <c r="AH17" s="3148">
        <v>0</v>
      </c>
      <c r="AI17" s="2612"/>
      <c r="AJ17" s="2612"/>
      <c r="AK17" s="2612"/>
      <c r="AL17" s="3149"/>
    </row>
    <row r="18" spans="3:38" s="681" customFormat="1" ht="30" customHeight="1">
      <c r="C18" s="1223" t="s">
        <v>164</v>
      </c>
      <c r="D18" s="1227" t="s">
        <v>1228</v>
      </c>
      <c r="E18" s="1227"/>
      <c r="F18" s="1227"/>
      <c r="G18" s="1227"/>
      <c r="H18" s="1227"/>
      <c r="I18" s="1227"/>
      <c r="J18" s="1227"/>
      <c r="K18" s="1227"/>
      <c r="L18" s="1227"/>
      <c r="M18" s="1228"/>
      <c r="N18" s="3563">
        <v>0</v>
      </c>
      <c r="O18" s="2612"/>
      <c r="P18" s="2612"/>
      <c r="Q18" s="2612"/>
      <c r="R18" s="3147"/>
      <c r="S18" s="3148">
        <v>0</v>
      </c>
      <c r="T18" s="2612"/>
      <c r="U18" s="2612"/>
      <c r="V18" s="2612"/>
      <c r="W18" s="3147"/>
      <c r="X18" s="3148">
        <v>0</v>
      </c>
      <c r="Y18" s="2612"/>
      <c r="Z18" s="2612"/>
      <c r="AA18" s="2612"/>
      <c r="AB18" s="3147"/>
      <c r="AC18" s="3148">
        <v>0</v>
      </c>
      <c r="AD18" s="2612"/>
      <c r="AE18" s="2612"/>
      <c r="AF18" s="2612"/>
      <c r="AG18" s="3147"/>
      <c r="AH18" s="3148">
        <v>0</v>
      </c>
      <c r="AI18" s="2612"/>
      <c r="AJ18" s="2612"/>
      <c r="AK18" s="2612"/>
      <c r="AL18" s="3149"/>
    </row>
    <row r="19" spans="3:38" s="681" customFormat="1" ht="30" customHeight="1">
      <c r="C19" s="1229" t="s">
        <v>706</v>
      </c>
      <c r="D19" s="1227" t="s">
        <v>1230</v>
      </c>
      <c r="E19" s="1227"/>
      <c r="F19" s="1227"/>
      <c r="G19" s="1227"/>
      <c r="H19" s="1227"/>
      <c r="I19" s="1227"/>
      <c r="J19" s="1227"/>
      <c r="K19" s="1227"/>
      <c r="L19" s="1227"/>
      <c r="M19" s="1228"/>
      <c r="N19" s="3563">
        <v>0</v>
      </c>
      <c r="O19" s="2612"/>
      <c r="P19" s="2612"/>
      <c r="Q19" s="2612"/>
      <c r="R19" s="3147"/>
      <c r="S19" s="3148">
        <v>0</v>
      </c>
      <c r="T19" s="2612"/>
      <c r="U19" s="2612"/>
      <c r="V19" s="2612"/>
      <c r="W19" s="3147"/>
      <c r="X19" s="3148">
        <v>0</v>
      </c>
      <c r="Y19" s="2612"/>
      <c r="Z19" s="2612"/>
      <c r="AA19" s="2612"/>
      <c r="AB19" s="3147"/>
      <c r="AC19" s="3148">
        <v>0</v>
      </c>
      <c r="AD19" s="2612"/>
      <c r="AE19" s="2612"/>
      <c r="AF19" s="2612"/>
      <c r="AG19" s="3147"/>
      <c r="AH19" s="3148">
        <v>0</v>
      </c>
      <c r="AI19" s="2612"/>
      <c r="AJ19" s="2612"/>
      <c r="AK19" s="2612"/>
      <c r="AL19" s="3149"/>
    </row>
    <row r="20" spans="3:38" s="681" customFormat="1" ht="30" customHeight="1">
      <c r="C20" s="1223" t="s">
        <v>704</v>
      </c>
      <c r="D20" s="1224" t="s">
        <v>1237</v>
      </c>
      <c r="E20" s="1224"/>
      <c r="F20" s="1224"/>
      <c r="G20" s="1224"/>
      <c r="H20" s="1224"/>
      <c r="I20" s="1224"/>
      <c r="J20" s="1224"/>
      <c r="K20" s="1224"/>
      <c r="L20" s="1224"/>
      <c r="M20" s="1225"/>
      <c r="N20" s="3563">
        <v>0</v>
      </c>
      <c r="O20" s="2612"/>
      <c r="P20" s="2612"/>
      <c r="Q20" s="2612"/>
      <c r="R20" s="3147"/>
      <c r="S20" s="3148">
        <v>0</v>
      </c>
      <c r="T20" s="2612"/>
      <c r="U20" s="2612"/>
      <c r="V20" s="2612"/>
      <c r="W20" s="3147"/>
      <c r="X20" s="3148">
        <v>0</v>
      </c>
      <c r="Y20" s="2612"/>
      <c r="Z20" s="2612"/>
      <c r="AA20" s="2612"/>
      <c r="AB20" s="3147"/>
      <c r="AC20" s="3148">
        <v>0</v>
      </c>
      <c r="AD20" s="2612"/>
      <c r="AE20" s="2612"/>
      <c r="AF20" s="2612"/>
      <c r="AG20" s="3147"/>
      <c r="AH20" s="3148">
        <v>0</v>
      </c>
      <c r="AI20" s="2612"/>
      <c r="AJ20" s="2612"/>
      <c r="AK20" s="2612"/>
      <c r="AL20" s="3149"/>
    </row>
    <row r="21" spans="3:38" s="681" customFormat="1" ht="30" customHeight="1">
      <c r="C21" s="1223" t="s">
        <v>702</v>
      </c>
      <c r="D21" s="1224" t="s">
        <v>1202</v>
      </c>
      <c r="E21" s="1224"/>
      <c r="F21" s="1224"/>
      <c r="G21" s="1224"/>
      <c r="H21" s="1224"/>
      <c r="I21" s="1224"/>
      <c r="J21" s="1224"/>
      <c r="K21" s="1224"/>
      <c r="L21" s="1224"/>
      <c r="M21" s="1225"/>
      <c r="N21" s="3563">
        <v>0</v>
      </c>
      <c r="O21" s="2612"/>
      <c r="P21" s="2612"/>
      <c r="Q21" s="2612"/>
      <c r="R21" s="3147"/>
      <c r="S21" s="3148">
        <v>0</v>
      </c>
      <c r="T21" s="2612"/>
      <c r="U21" s="2612"/>
      <c r="V21" s="2612"/>
      <c r="W21" s="3147"/>
      <c r="X21" s="3148">
        <v>0</v>
      </c>
      <c r="Y21" s="2612"/>
      <c r="Z21" s="2612"/>
      <c r="AA21" s="2612"/>
      <c r="AB21" s="3147"/>
      <c r="AC21" s="3148">
        <v>0</v>
      </c>
      <c r="AD21" s="2612"/>
      <c r="AE21" s="2612"/>
      <c r="AF21" s="2612"/>
      <c r="AG21" s="3147"/>
      <c r="AH21" s="3148">
        <v>0</v>
      </c>
      <c r="AI21" s="2612"/>
      <c r="AJ21" s="2612"/>
      <c r="AK21" s="2612"/>
      <c r="AL21" s="3149"/>
    </row>
    <row r="22" spans="3:38" s="681" customFormat="1" ht="30" customHeight="1">
      <c r="C22" s="1223" t="s">
        <v>700</v>
      </c>
      <c r="D22" s="1224" t="s">
        <v>1204</v>
      </c>
      <c r="E22" s="1224"/>
      <c r="F22" s="1224"/>
      <c r="G22" s="1224"/>
      <c r="H22" s="1224"/>
      <c r="I22" s="1224"/>
      <c r="J22" s="1224"/>
      <c r="K22" s="1224"/>
      <c r="L22" s="1224"/>
      <c r="M22" s="1226"/>
      <c r="N22" s="3563">
        <v>0</v>
      </c>
      <c r="O22" s="2612"/>
      <c r="P22" s="2612"/>
      <c r="Q22" s="2612"/>
      <c r="R22" s="3147"/>
      <c r="S22" s="3148">
        <v>0</v>
      </c>
      <c r="T22" s="2612"/>
      <c r="U22" s="2612"/>
      <c r="V22" s="2612"/>
      <c r="W22" s="3147"/>
      <c r="X22" s="3148">
        <v>0</v>
      </c>
      <c r="Y22" s="2612"/>
      <c r="Z22" s="2612"/>
      <c r="AA22" s="2612"/>
      <c r="AB22" s="3147"/>
      <c r="AC22" s="3148">
        <v>0</v>
      </c>
      <c r="AD22" s="2612"/>
      <c r="AE22" s="2612"/>
      <c r="AF22" s="2612"/>
      <c r="AG22" s="3147"/>
      <c r="AH22" s="3148">
        <v>0</v>
      </c>
      <c r="AI22" s="2612"/>
      <c r="AJ22" s="2612"/>
      <c r="AK22" s="2612"/>
      <c r="AL22" s="3149"/>
    </row>
    <row r="23" spans="3:38" s="681" customFormat="1" ht="30" customHeight="1">
      <c r="C23" s="1223" t="s">
        <v>698</v>
      </c>
      <c r="D23" s="1224" t="s">
        <v>1206</v>
      </c>
      <c r="E23" s="1224"/>
      <c r="F23" s="1224"/>
      <c r="G23" s="1224"/>
      <c r="H23" s="1224"/>
      <c r="I23" s="1224"/>
      <c r="J23" s="1224"/>
      <c r="K23" s="1224"/>
      <c r="L23" s="1224"/>
      <c r="M23" s="1226"/>
      <c r="N23" s="3563">
        <v>0</v>
      </c>
      <c r="O23" s="2612"/>
      <c r="P23" s="2612"/>
      <c r="Q23" s="2612"/>
      <c r="R23" s="3147"/>
      <c r="S23" s="3148">
        <v>0</v>
      </c>
      <c r="T23" s="2612"/>
      <c r="U23" s="2612"/>
      <c r="V23" s="2612"/>
      <c r="W23" s="3147"/>
      <c r="X23" s="3148">
        <v>0</v>
      </c>
      <c r="Y23" s="2612"/>
      <c r="Z23" s="2612"/>
      <c r="AA23" s="2612"/>
      <c r="AB23" s="3147"/>
      <c r="AC23" s="3148">
        <v>0</v>
      </c>
      <c r="AD23" s="2612"/>
      <c r="AE23" s="2612"/>
      <c r="AF23" s="2612"/>
      <c r="AG23" s="3147"/>
      <c r="AH23" s="3148">
        <v>0</v>
      </c>
      <c r="AI23" s="2612"/>
      <c r="AJ23" s="2612"/>
      <c r="AK23" s="2612"/>
      <c r="AL23" s="3149"/>
    </row>
    <row r="24" spans="3:38" s="681" customFormat="1" ht="30" customHeight="1">
      <c r="C24" s="1223" t="s">
        <v>696</v>
      </c>
      <c r="D24" s="1224" t="s">
        <v>1208</v>
      </c>
      <c r="E24" s="1224"/>
      <c r="F24" s="1224"/>
      <c r="G24" s="1224"/>
      <c r="H24" s="1224"/>
      <c r="I24" s="1224"/>
      <c r="J24" s="1224"/>
      <c r="K24" s="1224"/>
      <c r="L24" s="1224"/>
      <c r="M24" s="1226"/>
      <c r="N24" s="3563">
        <v>0</v>
      </c>
      <c r="O24" s="2612"/>
      <c r="P24" s="2612"/>
      <c r="Q24" s="2612"/>
      <c r="R24" s="3147"/>
      <c r="S24" s="3148">
        <v>0</v>
      </c>
      <c r="T24" s="2612"/>
      <c r="U24" s="2612"/>
      <c r="V24" s="2612"/>
      <c r="W24" s="3147"/>
      <c r="X24" s="3148">
        <v>0</v>
      </c>
      <c r="Y24" s="2612"/>
      <c r="Z24" s="2612"/>
      <c r="AA24" s="2612"/>
      <c r="AB24" s="3147"/>
      <c r="AC24" s="3148">
        <v>0</v>
      </c>
      <c r="AD24" s="2612"/>
      <c r="AE24" s="2612"/>
      <c r="AF24" s="2612"/>
      <c r="AG24" s="3147"/>
      <c r="AH24" s="3148">
        <v>0</v>
      </c>
      <c r="AI24" s="2612"/>
      <c r="AJ24" s="2612"/>
      <c r="AK24" s="2612"/>
      <c r="AL24" s="3149"/>
    </row>
    <row r="25" spans="3:38" s="312" customFormat="1" ht="30" customHeight="1">
      <c r="C25" s="1223" t="s">
        <v>695</v>
      </c>
      <c r="D25" s="1224" t="s">
        <v>1210</v>
      </c>
      <c r="E25" s="1224"/>
      <c r="F25" s="1224"/>
      <c r="G25" s="1224"/>
      <c r="H25" s="1224"/>
      <c r="I25" s="1224"/>
      <c r="J25" s="1224"/>
      <c r="K25" s="1224"/>
      <c r="L25" s="1224"/>
      <c r="M25" s="1226"/>
      <c r="N25" s="3563">
        <v>0</v>
      </c>
      <c r="O25" s="2612"/>
      <c r="P25" s="2612"/>
      <c r="Q25" s="2612"/>
      <c r="R25" s="3147"/>
      <c r="S25" s="3148">
        <v>0</v>
      </c>
      <c r="T25" s="2612"/>
      <c r="U25" s="2612"/>
      <c r="V25" s="2612"/>
      <c r="W25" s="3147"/>
      <c r="X25" s="3148">
        <v>0</v>
      </c>
      <c r="Y25" s="2612"/>
      <c r="Z25" s="2612"/>
      <c r="AA25" s="2612"/>
      <c r="AB25" s="3147"/>
      <c r="AC25" s="3148">
        <v>0</v>
      </c>
      <c r="AD25" s="2612"/>
      <c r="AE25" s="2612"/>
      <c r="AF25" s="2612"/>
      <c r="AG25" s="3147"/>
      <c r="AH25" s="3148">
        <v>0</v>
      </c>
      <c r="AI25" s="2612"/>
      <c r="AJ25" s="2612"/>
      <c r="AK25" s="2612"/>
      <c r="AL25" s="3149"/>
    </row>
    <row r="26" spans="3:38" s="681" customFormat="1" ht="30" customHeight="1">
      <c r="C26" s="1223" t="s">
        <v>693</v>
      </c>
      <c r="D26" s="1224" t="s">
        <v>1212</v>
      </c>
      <c r="E26" s="1224"/>
      <c r="F26" s="1224"/>
      <c r="G26" s="1224"/>
      <c r="H26" s="1224"/>
      <c r="I26" s="1224"/>
      <c r="J26" s="1224"/>
      <c r="K26" s="1224"/>
      <c r="L26" s="1224"/>
      <c r="M26" s="1226"/>
      <c r="N26" s="3563">
        <v>0</v>
      </c>
      <c r="O26" s="2612"/>
      <c r="P26" s="2612"/>
      <c r="Q26" s="2612"/>
      <c r="R26" s="3147"/>
      <c r="S26" s="3148">
        <v>0</v>
      </c>
      <c r="T26" s="2612"/>
      <c r="U26" s="2612"/>
      <c r="V26" s="2612"/>
      <c r="W26" s="3147"/>
      <c r="X26" s="3148">
        <v>0</v>
      </c>
      <c r="Y26" s="2612"/>
      <c r="Z26" s="2612"/>
      <c r="AA26" s="2612"/>
      <c r="AB26" s="3147"/>
      <c r="AC26" s="3148">
        <v>0</v>
      </c>
      <c r="AD26" s="2612"/>
      <c r="AE26" s="2612"/>
      <c r="AF26" s="2612"/>
      <c r="AG26" s="3147"/>
      <c r="AH26" s="3148">
        <v>0</v>
      </c>
      <c r="AI26" s="2612"/>
      <c r="AJ26" s="2612"/>
      <c r="AK26" s="2612"/>
      <c r="AL26" s="3149"/>
    </row>
    <row r="27" spans="3:38" s="681" customFormat="1" ht="30" customHeight="1">
      <c r="C27" s="1223" t="s">
        <v>752</v>
      </c>
      <c r="D27" s="1227" t="s">
        <v>1214</v>
      </c>
      <c r="E27" s="1227"/>
      <c r="F27" s="1227"/>
      <c r="G27" s="1227"/>
      <c r="H27" s="1227"/>
      <c r="I27" s="1227"/>
      <c r="J27" s="1227"/>
      <c r="K27" s="1227"/>
      <c r="L27" s="1227"/>
      <c r="M27" s="1228"/>
      <c r="N27" s="3563">
        <v>0</v>
      </c>
      <c r="O27" s="2612"/>
      <c r="P27" s="2612"/>
      <c r="Q27" s="2612"/>
      <c r="R27" s="3147"/>
      <c r="S27" s="3148">
        <v>0</v>
      </c>
      <c r="T27" s="2612"/>
      <c r="U27" s="2612"/>
      <c r="V27" s="2612"/>
      <c r="W27" s="3147"/>
      <c r="X27" s="3148">
        <v>0</v>
      </c>
      <c r="Y27" s="2612"/>
      <c r="Z27" s="2612"/>
      <c r="AA27" s="2612"/>
      <c r="AB27" s="3147"/>
      <c r="AC27" s="3148">
        <v>0</v>
      </c>
      <c r="AD27" s="2612"/>
      <c r="AE27" s="2612"/>
      <c r="AF27" s="2612"/>
      <c r="AG27" s="3147"/>
      <c r="AH27" s="3148">
        <v>0</v>
      </c>
      <c r="AI27" s="2612"/>
      <c r="AJ27" s="2612"/>
      <c r="AK27" s="2612"/>
      <c r="AL27" s="3149"/>
    </row>
    <row r="28" spans="3:38" s="681" customFormat="1" ht="30" customHeight="1">
      <c r="C28" s="1223" t="s">
        <v>753</v>
      </c>
      <c r="D28" s="1224" t="s">
        <v>1216</v>
      </c>
      <c r="E28" s="1224"/>
      <c r="F28" s="1224"/>
      <c r="G28" s="1224"/>
      <c r="H28" s="1224"/>
      <c r="I28" s="1224"/>
      <c r="J28" s="1224"/>
      <c r="K28" s="1224"/>
      <c r="L28" s="1224"/>
      <c r="M28" s="1226"/>
      <c r="N28" s="3563">
        <v>0</v>
      </c>
      <c r="O28" s="2612"/>
      <c r="P28" s="2612"/>
      <c r="Q28" s="2612"/>
      <c r="R28" s="3147"/>
      <c r="S28" s="3148">
        <v>0</v>
      </c>
      <c r="T28" s="2612"/>
      <c r="U28" s="2612"/>
      <c r="V28" s="2612"/>
      <c r="W28" s="3147"/>
      <c r="X28" s="3148">
        <v>0</v>
      </c>
      <c r="Y28" s="2612"/>
      <c r="Z28" s="2612"/>
      <c r="AA28" s="2612"/>
      <c r="AB28" s="3147"/>
      <c r="AC28" s="3148">
        <v>0</v>
      </c>
      <c r="AD28" s="2612"/>
      <c r="AE28" s="2612"/>
      <c r="AF28" s="2612"/>
      <c r="AG28" s="3147"/>
      <c r="AH28" s="3148">
        <v>0</v>
      </c>
      <c r="AI28" s="2612"/>
      <c r="AJ28" s="2612"/>
      <c r="AK28" s="2612"/>
      <c r="AL28" s="3149"/>
    </row>
    <row r="29" spans="3:38" s="681" customFormat="1" ht="30" customHeight="1">
      <c r="C29" s="1223" t="s">
        <v>754</v>
      </c>
      <c r="D29" s="1227" t="s">
        <v>1218</v>
      </c>
      <c r="E29" s="1227"/>
      <c r="F29" s="1227"/>
      <c r="G29" s="1227"/>
      <c r="H29" s="1227"/>
      <c r="I29" s="1227"/>
      <c r="J29" s="1227"/>
      <c r="K29" s="1227"/>
      <c r="L29" s="1227"/>
      <c r="M29" s="1228"/>
      <c r="N29" s="3563">
        <v>2</v>
      </c>
      <c r="O29" s="2612"/>
      <c r="P29" s="2612"/>
      <c r="Q29" s="2612"/>
      <c r="R29" s="3147"/>
      <c r="S29" s="3148">
        <v>0</v>
      </c>
      <c r="T29" s="2612"/>
      <c r="U29" s="2612"/>
      <c r="V29" s="2612"/>
      <c r="W29" s="3147"/>
      <c r="X29" s="3148">
        <v>0</v>
      </c>
      <c r="Y29" s="2612"/>
      <c r="Z29" s="2612"/>
      <c r="AA29" s="2612"/>
      <c r="AB29" s="3147"/>
      <c r="AC29" s="3148">
        <v>0</v>
      </c>
      <c r="AD29" s="2612"/>
      <c r="AE29" s="2612"/>
      <c r="AF29" s="2612"/>
      <c r="AG29" s="3147"/>
      <c r="AH29" s="3148">
        <v>0</v>
      </c>
      <c r="AI29" s="2612"/>
      <c r="AJ29" s="2612"/>
      <c r="AK29" s="2612"/>
      <c r="AL29" s="3149"/>
    </row>
    <row r="30" spans="3:38" s="681" customFormat="1" ht="30" customHeight="1">
      <c r="C30" s="1223" t="s">
        <v>1220</v>
      </c>
      <c r="D30" s="1227" t="s">
        <v>1221</v>
      </c>
      <c r="E30" s="1227"/>
      <c r="F30" s="1227"/>
      <c r="G30" s="1227"/>
      <c r="H30" s="1227"/>
      <c r="I30" s="1227"/>
      <c r="J30" s="1227"/>
      <c r="K30" s="1227"/>
      <c r="L30" s="1227"/>
      <c r="M30" s="1228"/>
      <c r="N30" s="3563">
        <v>0</v>
      </c>
      <c r="O30" s="2612"/>
      <c r="P30" s="2612"/>
      <c r="Q30" s="2612"/>
      <c r="R30" s="3147"/>
      <c r="S30" s="3148">
        <v>0</v>
      </c>
      <c r="T30" s="2612"/>
      <c r="U30" s="2612"/>
      <c r="V30" s="2612"/>
      <c r="W30" s="3147"/>
      <c r="X30" s="3148">
        <v>0</v>
      </c>
      <c r="Y30" s="2612"/>
      <c r="Z30" s="2612"/>
      <c r="AA30" s="2612"/>
      <c r="AB30" s="3147"/>
      <c r="AC30" s="3148">
        <v>0</v>
      </c>
      <c r="AD30" s="2612"/>
      <c r="AE30" s="2612"/>
      <c r="AF30" s="2612"/>
      <c r="AG30" s="3147"/>
      <c r="AH30" s="3148">
        <v>0</v>
      </c>
      <c r="AI30" s="2612"/>
      <c r="AJ30" s="2612"/>
      <c r="AK30" s="2612"/>
      <c r="AL30" s="3149"/>
    </row>
    <row r="31" spans="3:38" s="681" customFormat="1" ht="30" customHeight="1">
      <c r="C31" s="1223" t="s">
        <v>1223</v>
      </c>
      <c r="D31" s="1227" t="s">
        <v>1224</v>
      </c>
      <c r="E31" s="1227"/>
      <c r="F31" s="1227"/>
      <c r="G31" s="1227"/>
      <c r="H31" s="1227"/>
      <c r="I31" s="1227"/>
      <c r="J31" s="1227"/>
      <c r="K31" s="1227"/>
      <c r="L31" s="1227"/>
      <c r="M31" s="1228"/>
      <c r="N31" s="3563">
        <v>0</v>
      </c>
      <c r="O31" s="2612"/>
      <c r="P31" s="2612"/>
      <c r="Q31" s="2612"/>
      <c r="R31" s="3147"/>
      <c r="S31" s="3148">
        <v>0</v>
      </c>
      <c r="T31" s="2612"/>
      <c r="U31" s="2612"/>
      <c r="V31" s="2612"/>
      <c r="W31" s="3147"/>
      <c r="X31" s="3148">
        <v>0</v>
      </c>
      <c r="Y31" s="2612"/>
      <c r="Z31" s="2612"/>
      <c r="AA31" s="2612"/>
      <c r="AB31" s="3147"/>
      <c r="AC31" s="3148">
        <v>0</v>
      </c>
      <c r="AD31" s="2612"/>
      <c r="AE31" s="2612"/>
      <c r="AF31" s="2612"/>
      <c r="AG31" s="3147"/>
      <c r="AH31" s="3148">
        <v>0</v>
      </c>
      <c r="AI31" s="2612"/>
      <c r="AJ31" s="2612"/>
      <c r="AK31" s="2612"/>
      <c r="AL31" s="3149"/>
    </row>
    <row r="32" spans="3:38" s="681" customFormat="1" ht="30" customHeight="1">
      <c r="C32" s="1223" t="s">
        <v>1226</v>
      </c>
      <c r="D32" s="1224" t="s">
        <v>1227</v>
      </c>
      <c r="E32" s="1224"/>
      <c r="F32" s="1224"/>
      <c r="G32" s="1224"/>
      <c r="H32" s="1224"/>
      <c r="I32" s="1224"/>
      <c r="J32" s="1224"/>
      <c r="K32" s="1224"/>
      <c r="L32" s="1224"/>
      <c r="M32" s="1226"/>
      <c r="N32" s="3563">
        <v>0</v>
      </c>
      <c r="O32" s="2612"/>
      <c r="P32" s="2612"/>
      <c r="Q32" s="2612"/>
      <c r="R32" s="3147"/>
      <c r="S32" s="3148">
        <v>0</v>
      </c>
      <c r="T32" s="2612"/>
      <c r="U32" s="2612"/>
      <c r="V32" s="2612"/>
      <c r="W32" s="3147"/>
      <c r="X32" s="3148">
        <v>0</v>
      </c>
      <c r="Y32" s="2612"/>
      <c r="Z32" s="2612"/>
      <c r="AA32" s="2612"/>
      <c r="AB32" s="3147"/>
      <c r="AC32" s="3148">
        <v>0</v>
      </c>
      <c r="AD32" s="2612"/>
      <c r="AE32" s="2612"/>
      <c r="AF32" s="2612"/>
      <c r="AG32" s="3147"/>
      <c r="AH32" s="3148">
        <v>0</v>
      </c>
      <c r="AI32" s="2612"/>
      <c r="AJ32" s="2612"/>
      <c r="AK32" s="2612"/>
      <c r="AL32" s="3149"/>
    </row>
    <row r="33" spans="2:48" s="681" customFormat="1" ht="30" customHeight="1" thickBot="1">
      <c r="C33" s="1230" t="s">
        <v>1229</v>
      </c>
      <c r="D33" s="1231" t="s">
        <v>418</v>
      </c>
      <c r="E33" s="1231"/>
      <c r="F33" s="1231"/>
      <c r="G33" s="1231"/>
      <c r="H33" s="1231"/>
      <c r="I33" s="1231"/>
      <c r="J33" s="1231"/>
      <c r="K33" s="1231"/>
      <c r="L33" s="1231"/>
      <c r="M33" s="1232"/>
      <c r="N33" s="3564">
        <v>0</v>
      </c>
      <c r="O33" s="3565"/>
      <c r="P33" s="3565"/>
      <c r="Q33" s="3565"/>
      <c r="R33" s="3566"/>
      <c r="S33" s="3567">
        <v>0</v>
      </c>
      <c r="T33" s="3565"/>
      <c r="U33" s="3565"/>
      <c r="V33" s="3565"/>
      <c r="W33" s="3566"/>
      <c r="X33" s="3567">
        <v>0</v>
      </c>
      <c r="Y33" s="3565"/>
      <c r="Z33" s="3565"/>
      <c r="AA33" s="3565"/>
      <c r="AB33" s="3566"/>
      <c r="AC33" s="3567">
        <v>0</v>
      </c>
      <c r="AD33" s="3565"/>
      <c r="AE33" s="3565"/>
      <c r="AF33" s="3565"/>
      <c r="AG33" s="3566"/>
      <c r="AH33" s="3567">
        <v>0</v>
      </c>
      <c r="AI33" s="3565"/>
      <c r="AJ33" s="3565"/>
      <c r="AK33" s="3565"/>
      <c r="AL33" s="3568"/>
    </row>
    <row r="34" spans="2:48" ht="8.25" customHeight="1">
      <c r="B34" s="580"/>
      <c r="AH34" s="1201"/>
      <c r="AI34" s="1201"/>
      <c r="AJ34" s="1201"/>
      <c r="AK34" s="1201"/>
      <c r="AL34" s="1201"/>
      <c r="AM34" s="1201"/>
      <c r="AN34" s="1201"/>
      <c r="AO34" s="1201"/>
      <c r="AP34" s="1201"/>
      <c r="AQ34" s="1201"/>
      <c r="AR34" s="1201"/>
      <c r="AS34" s="1201"/>
      <c r="AT34" s="1201"/>
      <c r="AU34" s="1201"/>
      <c r="AV34" s="1201"/>
    </row>
    <row r="35" spans="2:48">
      <c r="C35" s="1217" t="s">
        <v>151</v>
      </c>
      <c r="D35" s="3569" t="s">
        <v>1238</v>
      </c>
      <c r="E35" s="3569"/>
      <c r="F35" s="3569"/>
      <c r="G35" s="3569"/>
      <c r="H35" s="3569"/>
      <c r="I35" s="3569"/>
      <c r="J35" s="3569"/>
      <c r="K35" s="3569"/>
      <c r="L35" s="3569"/>
      <c r="M35" s="3569"/>
      <c r="N35" s="3569"/>
      <c r="O35" s="3569"/>
      <c r="P35" s="3569"/>
      <c r="Q35" s="3569"/>
      <c r="R35" s="3569"/>
      <c r="S35" s="3569"/>
      <c r="T35" s="3569"/>
      <c r="U35" s="3569"/>
      <c r="V35" s="3569"/>
      <c r="W35" s="3569"/>
      <c r="X35" s="3569"/>
      <c r="Y35" s="3569"/>
      <c r="Z35" s="3569"/>
      <c r="AA35" s="3569"/>
      <c r="AB35" s="3569"/>
      <c r="AC35" s="3569"/>
      <c r="AD35" s="3569"/>
      <c r="AE35" s="3569"/>
      <c r="AF35" s="3569"/>
      <c r="AG35" s="3569"/>
      <c r="AH35" s="3569"/>
      <c r="AI35" s="3569"/>
      <c r="AJ35" s="3569"/>
      <c r="AK35" s="3569"/>
      <c r="AL35" s="3569"/>
      <c r="AM35" s="1201"/>
      <c r="AN35" s="1201"/>
      <c r="AO35" s="1201"/>
      <c r="AP35" s="1201"/>
      <c r="AQ35" s="1201"/>
      <c r="AR35" s="1201"/>
      <c r="AS35" s="1201"/>
      <c r="AT35" s="1201"/>
      <c r="AU35" s="1201"/>
      <c r="AV35" s="1201"/>
    </row>
    <row r="36" spans="2:48">
      <c r="C36" s="1217" t="s">
        <v>152</v>
      </c>
      <c r="D36" s="3569" t="s">
        <v>1239</v>
      </c>
      <c r="E36" s="3569"/>
      <c r="F36" s="3569"/>
      <c r="G36" s="3569"/>
      <c r="H36" s="3569"/>
      <c r="I36" s="3569"/>
      <c r="J36" s="3569"/>
      <c r="K36" s="3569"/>
      <c r="L36" s="3569"/>
      <c r="M36" s="3569"/>
      <c r="N36" s="3569"/>
      <c r="O36" s="3569"/>
      <c r="P36" s="3569"/>
      <c r="Q36" s="3569"/>
      <c r="R36" s="3569"/>
      <c r="S36" s="3569"/>
      <c r="T36" s="3569"/>
      <c r="U36" s="3569"/>
      <c r="V36" s="3569"/>
      <c r="W36" s="3569"/>
      <c r="X36" s="3569"/>
      <c r="Y36" s="3569"/>
      <c r="Z36" s="3569"/>
      <c r="AA36" s="3569"/>
      <c r="AB36" s="3569"/>
      <c r="AC36" s="3569"/>
      <c r="AD36" s="3569"/>
      <c r="AE36" s="3569"/>
      <c r="AF36" s="3569"/>
      <c r="AG36" s="3569"/>
      <c r="AH36" s="3569"/>
      <c r="AI36" s="3569"/>
      <c r="AJ36" s="3569"/>
      <c r="AK36" s="3569"/>
      <c r="AL36" s="3569"/>
      <c r="AM36" s="1201"/>
      <c r="AN36" s="1201"/>
      <c r="AO36" s="1201"/>
      <c r="AP36" s="1201"/>
      <c r="AQ36" s="1201"/>
      <c r="AR36" s="1201"/>
      <c r="AS36" s="1201"/>
      <c r="AT36" s="1201"/>
      <c r="AU36" s="1201"/>
      <c r="AV36" s="1201"/>
    </row>
    <row r="37" spans="2:48">
      <c r="C37" s="1217" t="s">
        <v>153</v>
      </c>
      <c r="D37" s="3569" t="s">
        <v>1240</v>
      </c>
      <c r="E37" s="3569"/>
      <c r="F37" s="3569"/>
      <c r="G37" s="3569"/>
      <c r="H37" s="3569"/>
      <c r="I37" s="3569"/>
      <c r="J37" s="3569"/>
      <c r="K37" s="3569"/>
      <c r="L37" s="3569"/>
      <c r="M37" s="3569"/>
      <c r="N37" s="3569"/>
      <c r="O37" s="3569"/>
      <c r="P37" s="3569"/>
      <c r="Q37" s="3569"/>
      <c r="R37" s="3569"/>
      <c r="S37" s="3569"/>
      <c r="T37" s="3569"/>
      <c r="U37" s="3569"/>
      <c r="V37" s="3569"/>
      <c r="W37" s="3569"/>
      <c r="X37" s="3569"/>
      <c r="Y37" s="3569"/>
      <c r="Z37" s="3569"/>
      <c r="AA37" s="3569"/>
      <c r="AB37" s="3569"/>
      <c r="AC37" s="3569"/>
      <c r="AD37" s="3569"/>
      <c r="AE37" s="3569"/>
      <c r="AF37" s="3569"/>
      <c r="AG37" s="3569"/>
      <c r="AH37" s="3569"/>
      <c r="AI37" s="3569"/>
      <c r="AJ37" s="3569"/>
      <c r="AK37" s="3569"/>
      <c r="AL37" s="3569"/>
      <c r="AM37" s="1201"/>
      <c r="AN37" s="1201"/>
      <c r="AO37" s="1201"/>
      <c r="AP37" s="1201"/>
      <c r="AQ37" s="1201"/>
      <c r="AR37" s="1201"/>
      <c r="AS37" s="1201"/>
      <c r="AT37" s="1201"/>
      <c r="AU37" s="1201"/>
      <c r="AV37" s="1201"/>
    </row>
    <row r="38" spans="2:48">
      <c r="C38" s="1217" t="s">
        <v>154</v>
      </c>
      <c r="D38" s="3569" t="s">
        <v>1241</v>
      </c>
      <c r="E38" s="3569"/>
      <c r="F38" s="3569"/>
      <c r="G38" s="3569"/>
      <c r="H38" s="3569"/>
      <c r="I38" s="3569"/>
      <c r="J38" s="3569"/>
      <c r="K38" s="3569"/>
      <c r="L38" s="3569"/>
      <c r="M38" s="3569"/>
      <c r="N38" s="3569"/>
      <c r="O38" s="3569"/>
      <c r="P38" s="3569"/>
      <c r="Q38" s="3569"/>
      <c r="R38" s="3569"/>
      <c r="S38" s="3569"/>
      <c r="T38" s="3569"/>
      <c r="U38" s="3569"/>
      <c r="V38" s="3569"/>
      <c r="W38" s="3569"/>
      <c r="X38" s="3569"/>
      <c r="Y38" s="3569"/>
      <c r="Z38" s="3569"/>
      <c r="AA38" s="3569"/>
      <c r="AB38" s="3569"/>
      <c r="AC38" s="3569"/>
      <c r="AD38" s="3569"/>
      <c r="AE38" s="3569"/>
      <c r="AF38" s="3569"/>
      <c r="AG38" s="3569"/>
      <c r="AH38" s="3569"/>
      <c r="AI38" s="3569"/>
      <c r="AJ38" s="3569"/>
      <c r="AK38" s="3569"/>
      <c r="AL38" s="3569"/>
      <c r="AM38" s="1201"/>
      <c r="AN38" s="1201"/>
      <c r="AO38" s="1201"/>
      <c r="AP38" s="1201"/>
      <c r="AQ38" s="1201"/>
      <c r="AR38" s="1201"/>
      <c r="AS38" s="1201"/>
      <c r="AT38" s="1201"/>
      <c r="AU38" s="1201"/>
      <c r="AV38" s="1201"/>
    </row>
    <row r="39" spans="2:48">
      <c r="C39" s="1217" t="s">
        <v>155</v>
      </c>
      <c r="D39" s="3569" t="s">
        <v>1242</v>
      </c>
      <c r="E39" s="3569"/>
      <c r="F39" s="3569"/>
      <c r="G39" s="3569"/>
      <c r="H39" s="3569"/>
      <c r="I39" s="3569"/>
      <c r="J39" s="3569"/>
      <c r="K39" s="3569"/>
      <c r="L39" s="3569"/>
      <c r="M39" s="3569"/>
      <c r="N39" s="3569"/>
      <c r="O39" s="3569"/>
      <c r="P39" s="3569"/>
      <c r="Q39" s="3569"/>
      <c r="R39" s="3569"/>
      <c r="S39" s="3569"/>
      <c r="T39" s="3569"/>
      <c r="U39" s="3569"/>
      <c r="V39" s="3569"/>
      <c r="W39" s="3569"/>
      <c r="X39" s="3569"/>
      <c r="Y39" s="3569"/>
      <c r="Z39" s="3569"/>
      <c r="AA39" s="3569"/>
      <c r="AB39" s="3569"/>
      <c r="AC39" s="3569"/>
      <c r="AD39" s="3569"/>
      <c r="AE39" s="3569"/>
      <c r="AF39" s="3569"/>
      <c r="AG39" s="3569"/>
      <c r="AH39" s="3569"/>
      <c r="AI39" s="3569"/>
      <c r="AJ39" s="3569"/>
      <c r="AK39" s="3569"/>
      <c r="AL39" s="3569"/>
      <c r="AM39" s="1201"/>
      <c r="AN39" s="1201"/>
      <c r="AO39" s="1201"/>
      <c r="AP39" s="1201"/>
      <c r="AQ39" s="1201"/>
      <c r="AR39" s="1201"/>
      <c r="AS39" s="1201"/>
      <c r="AT39" s="1201"/>
      <c r="AU39" s="1201"/>
      <c r="AV39" s="1201"/>
    </row>
    <row r="40" spans="2:48" ht="12.75" customHeight="1">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c r="Z40" s="1218"/>
      <c r="AA40" s="1218"/>
      <c r="AB40" s="1218"/>
      <c r="AC40" s="1218"/>
      <c r="AD40" s="1218"/>
      <c r="AE40" s="1218"/>
      <c r="AF40" s="1218"/>
      <c r="AG40" s="1201"/>
      <c r="AH40" s="1201"/>
      <c r="AI40" s="1201"/>
      <c r="AJ40" s="1201"/>
      <c r="AK40" s="1201"/>
      <c r="AL40" s="1201"/>
      <c r="AM40" s="1201"/>
      <c r="AN40" s="1201"/>
      <c r="AO40" s="1201"/>
      <c r="AP40" s="1201"/>
      <c r="AQ40" s="1201"/>
      <c r="AR40" s="1201"/>
      <c r="AS40" s="1201"/>
      <c r="AT40" s="1201"/>
      <c r="AU40" s="1201"/>
      <c r="AV40" s="1201"/>
    </row>
    <row r="41" spans="2:48" ht="16.5">
      <c r="C41" s="1219" t="s">
        <v>1236</v>
      </c>
      <c r="F41" s="1214"/>
      <c r="AJ41" s="1201"/>
      <c r="AK41" s="1201"/>
      <c r="AL41" s="1201"/>
      <c r="AM41" s="1201"/>
      <c r="AN41" s="1201"/>
      <c r="AO41" s="1201"/>
      <c r="AP41" s="1201"/>
      <c r="AQ41" s="1201"/>
      <c r="AR41" s="1201"/>
      <c r="AS41" s="1201"/>
      <c r="AT41" s="1201"/>
      <c r="AU41" s="1201"/>
      <c r="AV41" s="1201"/>
    </row>
    <row r="42" spans="2:48" s="602" customFormat="1" ht="30.75" customHeight="1"/>
    <row r="43" spans="2:48" s="168" customFormat="1" ht="14">
      <c r="B43" s="169" t="s">
        <v>847</v>
      </c>
      <c r="O43" s="169" t="s">
        <v>766</v>
      </c>
      <c r="AB43" s="169" t="s">
        <v>783</v>
      </c>
    </row>
    <row r="44" spans="2:48" s="168" customFormat="1" ht="21.75" customHeight="1">
      <c r="B44" s="169" t="s">
        <v>748</v>
      </c>
      <c r="F44" s="1959" t="str">
        <f>activesheet!E29</f>
        <v>RICO S. MISPEROS</v>
      </c>
      <c r="G44" s="1959"/>
      <c r="H44" s="1959"/>
      <c r="I44" s="1959"/>
      <c r="J44" s="1959"/>
      <c r="K44" s="1959"/>
      <c r="L44" s="1959"/>
      <c r="O44" s="2036" t="s">
        <v>11879</v>
      </c>
      <c r="P44" s="2036"/>
      <c r="Q44" s="2036"/>
      <c r="R44" s="2036"/>
      <c r="S44" s="2036"/>
      <c r="T44" s="2036"/>
      <c r="U44" s="2036"/>
      <c r="V44" s="2036"/>
      <c r="W44" s="2036"/>
      <c r="X44" s="2036"/>
      <c r="Y44" s="2036"/>
      <c r="AB44" s="1956" t="str">
        <f>activesheet!E31</f>
        <v>MICHAEL T. JAMIS</v>
      </c>
      <c r="AC44" s="1956"/>
      <c r="AD44" s="1956"/>
      <c r="AE44" s="1956"/>
      <c r="AF44" s="1956"/>
      <c r="AG44" s="1956"/>
      <c r="AH44" s="1956"/>
      <c r="AI44" s="1956"/>
      <c r="AJ44" s="1956"/>
      <c r="AK44" s="1956"/>
      <c r="AL44" s="1956"/>
    </row>
    <row r="45" spans="2:48" s="156" customFormat="1" ht="14.15" customHeight="1">
      <c r="B45" s="655"/>
      <c r="F45" s="1776" t="s">
        <v>741</v>
      </c>
      <c r="G45" s="1776"/>
      <c r="H45" s="1776"/>
      <c r="I45" s="1776"/>
      <c r="J45" s="1776"/>
      <c r="K45" s="1776"/>
      <c r="L45" s="1776"/>
      <c r="M45" s="1040"/>
      <c r="N45" s="152"/>
      <c r="O45" s="1776" t="s">
        <v>741</v>
      </c>
      <c r="P45" s="1776"/>
      <c r="Q45" s="1776"/>
      <c r="R45" s="1776"/>
      <c r="S45" s="1776"/>
      <c r="T45" s="1776"/>
      <c r="U45" s="1776"/>
      <c r="V45" s="1776"/>
      <c r="W45" s="1776"/>
      <c r="X45" s="1776"/>
      <c r="Y45" s="1776"/>
      <c r="AB45" s="1957"/>
      <c r="AC45" s="1957"/>
      <c r="AD45" s="1957"/>
      <c r="AE45" s="1957"/>
      <c r="AF45" s="1957"/>
      <c r="AG45" s="1957"/>
      <c r="AH45" s="1957"/>
      <c r="AI45" s="1957"/>
      <c r="AJ45" s="1957"/>
      <c r="AK45" s="1957"/>
      <c r="AL45" s="1957"/>
    </row>
    <row r="46" spans="2:48" s="168" customFormat="1" ht="21.75" customHeight="1">
      <c r="B46" s="169" t="s">
        <v>71</v>
      </c>
      <c r="F46" s="1959" t="str">
        <f>activesheet!E30</f>
        <v>SCHOOL PRINCIPAL II</v>
      </c>
      <c r="G46" s="1959"/>
      <c r="H46" s="1959"/>
      <c r="I46" s="1959"/>
      <c r="J46" s="1959"/>
      <c r="K46" s="1959"/>
      <c r="L46" s="1959"/>
      <c r="O46" s="169" t="s">
        <v>71</v>
      </c>
      <c r="S46" s="2036" t="s">
        <v>11876</v>
      </c>
      <c r="T46" s="2036"/>
      <c r="U46" s="2036"/>
      <c r="V46" s="2036"/>
      <c r="W46" s="2036"/>
      <c r="X46" s="2036"/>
      <c r="Y46" s="2036"/>
      <c r="AB46" s="1776" t="s">
        <v>741</v>
      </c>
      <c r="AC46" s="1776"/>
      <c r="AD46" s="1776"/>
      <c r="AE46" s="1776"/>
      <c r="AF46" s="1776"/>
      <c r="AG46" s="1776"/>
      <c r="AH46" s="1776"/>
      <c r="AI46" s="1776"/>
      <c r="AJ46" s="1776"/>
      <c r="AK46" s="1776"/>
      <c r="AL46" s="1776"/>
    </row>
  </sheetData>
  <sheetProtection algorithmName="SHA-512" hashValue="QTUqPow1raH+e0FI8Mi12Zuw+56pU+Q9WXSp7sg5ql67InuY670uEyUMfAWS/aYp28/77WTJN7B4jYYpafRepQ==" saltValue="L17yET3N5qv/GNpAaJfHhA==" spinCount="100000" sheet="1" objects="1" scenarios="1" selectLockedCells="1"/>
  <mergeCells count="164">
    <mergeCell ref="F46:L46"/>
    <mergeCell ref="S46:Y46"/>
    <mergeCell ref="AB46:AL46"/>
    <mergeCell ref="F44:L44"/>
    <mergeCell ref="O44:Y44"/>
    <mergeCell ref="AB44:AL45"/>
    <mergeCell ref="F45:L45"/>
    <mergeCell ref="O45:Y45"/>
    <mergeCell ref="D35:AL35"/>
    <mergeCell ref="D36:AL36"/>
    <mergeCell ref="D37:AL37"/>
    <mergeCell ref="D38:AL38"/>
    <mergeCell ref="D39:AL39"/>
    <mergeCell ref="N33:R33"/>
    <mergeCell ref="S33:W33"/>
    <mergeCell ref="X33:AB33"/>
    <mergeCell ref="AC33:AG33"/>
    <mergeCell ref="AH33:AL33"/>
    <mergeCell ref="N32:R32"/>
    <mergeCell ref="S32:W32"/>
    <mergeCell ref="X32:AB32"/>
    <mergeCell ref="AC32:AG32"/>
    <mergeCell ref="AH32:AL32"/>
    <mergeCell ref="N31:R31"/>
    <mergeCell ref="S31:W31"/>
    <mergeCell ref="X31:AB31"/>
    <mergeCell ref="AC31:AG31"/>
    <mergeCell ref="AH31:AL31"/>
    <mergeCell ref="N30:R30"/>
    <mergeCell ref="S30:W30"/>
    <mergeCell ref="X30:AB30"/>
    <mergeCell ref="AC30:AG30"/>
    <mergeCell ref="AH30:AL30"/>
    <mergeCell ref="N29:R29"/>
    <mergeCell ref="S29:W29"/>
    <mergeCell ref="X29:AB29"/>
    <mergeCell ref="AC29:AG29"/>
    <mergeCell ref="AH29:AL29"/>
    <mergeCell ref="N28:R28"/>
    <mergeCell ref="S28:W28"/>
    <mergeCell ref="X28:AB28"/>
    <mergeCell ref="AC28:AG28"/>
    <mergeCell ref="AH28:AL28"/>
    <mergeCell ref="N27:R27"/>
    <mergeCell ref="S27:W27"/>
    <mergeCell ref="X27:AB27"/>
    <mergeCell ref="AC27:AG27"/>
    <mergeCell ref="AH27:AL27"/>
    <mergeCell ref="N26:R26"/>
    <mergeCell ref="S26:W26"/>
    <mergeCell ref="X26:AB26"/>
    <mergeCell ref="AC26:AG26"/>
    <mergeCell ref="AH26:AL26"/>
    <mergeCell ref="N25:R25"/>
    <mergeCell ref="S25:W25"/>
    <mergeCell ref="X25:AB25"/>
    <mergeCell ref="AC25:AG25"/>
    <mergeCell ref="AH25:AL25"/>
    <mergeCell ref="N24:R24"/>
    <mergeCell ref="S24:W24"/>
    <mergeCell ref="X24:AB24"/>
    <mergeCell ref="AC24:AG24"/>
    <mergeCell ref="AH24:AL24"/>
    <mergeCell ref="N23:R23"/>
    <mergeCell ref="S23:W23"/>
    <mergeCell ref="X23:AB23"/>
    <mergeCell ref="AC23:AG23"/>
    <mergeCell ref="AH23:AL23"/>
    <mergeCell ref="N22:R22"/>
    <mergeCell ref="S22:W22"/>
    <mergeCell ref="X22:AB22"/>
    <mergeCell ref="AC22:AG22"/>
    <mergeCell ref="AH22:AL22"/>
    <mergeCell ref="N21:R21"/>
    <mergeCell ref="S21:W21"/>
    <mergeCell ref="X21:AB21"/>
    <mergeCell ref="AC21:AG21"/>
    <mergeCell ref="AH21:AL21"/>
    <mergeCell ref="N20:R20"/>
    <mergeCell ref="S20:W20"/>
    <mergeCell ref="X20:AB20"/>
    <mergeCell ref="AC20:AG20"/>
    <mergeCell ref="AH20:AL20"/>
    <mergeCell ref="N19:R19"/>
    <mergeCell ref="S19:W19"/>
    <mergeCell ref="X19:AB19"/>
    <mergeCell ref="AC19:AG19"/>
    <mergeCell ref="AH19:AL19"/>
    <mergeCell ref="N18:R18"/>
    <mergeCell ref="S18:W18"/>
    <mergeCell ref="X18:AB18"/>
    <mergeCell ref="AC18:AG18"/>
    <mergeCell ref="AH18:AL18"/>
    <mergeCell ref="N17:R17"/>
    <mergeCell ref="S17:W17"/>
    <mergeCell ref="X17:AB17"/>
    <mergeCell ref="AC17:AG17"/>
    <mergeCell ref="AH17:AL17"/>
    <mergeCell ref="N16:R16"/>
    <mergeCell ref="S16:W16"/>
    <mergeCell ref="X16:AB16"/>
    <mergeCell ref="AC16:AG16"/>
    <mergeCell ref="AH16:AL16"/>
    <mergeCell ref="N15:R15"/>
    <mergeCell ref="S15:W15"/>
    <mergeCell ref="X15:AB15"/>
    <mergeCell ref="AC15:AG15"/>
    <mergeCell ref="AH15:AL15"/>
    <mergeCell ref="N14:R14"/>
    <mergeCell ref="S14:W14"/>
    <mergeCell ref="X14:AB14"/>
    <mergeCell ref="AC14:AG14"/>
    <mergeCell ref="AH14:AL14"/>
    <mergeCell ref="N13:R13"/>
    <mergeCell ref="S13:W13"/>
    <mergeCell ref="X13:AB13"/>
    <mergeCell ref="AC13:AG13"/>
    <mergeCell ref="AH13:AL13"/>
    <mergeCell ref="N12:R12"/>
    <mergeCell ref="S12:W12"/>
    <mergeCell ref="X12:AB12"/>
    <mergeCell ref="AC12:AG12"/>
    <mergeCell ref="AH12:AL12"/>
    <mergeCell ref="N11:R11"/>
    <mergeCell ref="S11:W11"/>
    <mergeCell ref="X11:AB11"/>
    <mergeCell ref="AC11:AG11"/>
    <mergeCell ref="AH11:AL11"/>
    <mergeCell ref="N10:R10"/>
    <mergeCell ref="S10:W10"/>
    <mergeCell ref="X10:AB10"/>
    <mergeCell ref="AC10:AG10"/>
    <mergeCell ref="AH10:AL10"/>
    <mergeCell ref="N9:R9"/>
    <mergeCell ref="S9:W9"/>
    <mergeCell ref="X9:AB9"/>
    <mergeCell ref="AC9:AG9"/>
    <mergeCell ref="AH9:AL9"/>
    <mergeCell ref="N8:R8"/>
    <mergeCell ref="S8:W8"/>
    <mergeCell ref="X8:AB8"/>
    <mergeCell ref="AC8:AG8"/>
    <mergeCell ref="AH8:AL8"/>
    <mergeCell ref="N7:R7"/>
    <mergeCell ref="S7:W7"/>
    <mergeCell ref="X7:AB7"/>
    <mergeCell ref="AC7:AG7"/>
    <mergeCell ref="AH7:AL7"/>
    <mergeCell ref="N6:R6"/>
    <mergeCell ref="S6:W6"/>
    <mergeCell ref="X6:AB6"/>
    <mergeCell ref="AC6:AG6"/>
    <mergeCell ref="AH6:AL6"/>
    <mergeCell ref="AC4:AG4"/>
    <mergeCell ref="AH4:AL4"/>
    <mergeCell ref="N5:R5"/>
    <mergeCell ref="S5:W5"/>
    <mergeCell ref="X5:AB5"/>
    <mergeCell ref="AC5:AG5"/>
    <mergeCell ref="AH5:AL5"/>
    <mergeCell ref="C4:M4"/>
    <mergeCell ref="N4:R4"/>
    <mergeCell ref="S4:W4"/>
    <mergeCell ref="X4:AB4"/>
  </mergeCells>
  <dataValidations count="1">
    <dataValidation type="whole" allowBlank="1" showInputMessage="1" showErrorMessage="1" errorTitle="GESP SY 2022-2023" error="Please enter valid number between 0 - 999." sqref="N5:AL33" xr:uid="{00000000-0002-0000-2A00-000000000000}">
      <formula1>0</formula1>
      <formula2>999</formula2>
    </dataValidation>
  </dataValidations>
  <printOptions horizontalCentered="1" verticalCentered="1"/>
  <pageMargins left="0.25" right="0.25" top="0.2" bottom="0.2" header="0" footer="0.1"/>
  <pageSetup paperSize="9" scale="55" orientation="portrait" r:id="rId1"/>
  <headerFooter alignWithMargins="0">
    <oddFooter>&amp;L&amp;10&amp;F &amp;A&amp;R&amp;11Page 40 of 60</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pageSetUpPr fitToPage="1"/>
  </sheetPr>
  <dimension ref="B1:AZ28"/>
  <sheetViews>
    <sheetView showGridLines="0" zoomScaleNormal="100" workbookViewId="0">
      <selection activeCell="O5" sqref="O5:Q5"/>
    </sheetView>
  </sheetViews>
  <sheetFormatPr defaultColWidth="9" defaultRowHeight="15.5"/>
  <cols>
    <col min="1" max="1" width="2.08203125" style="1202" customWidth="1"/>
    <col min="2" max="17" width="3.58203125" style="1202" customWidth="1"/>
    <col min="18" max="18" width="3.5" style="1202" customWidth="1"/>
    <col min="19" max="45" width="3.58203125" style="1202" customWidth="1"/>
    <col min="46" max="46" width="2.08203125" style="1202" customWidth="1"/>
    <col min="47" max="55" width="3.58203125" style="1202" customWidth="1"/>
    <col min="56" max="56" width="2.08203125" style="1202" customWidth="1"/>
    <col min="57" max="16384" width="9" style="1202"/>
  </cols>
  <sheetData>
    <row r="1" spans="5:44" ht="12" customHeight="1"/>
    <row r="2" spans="5:44" ht="16.5">
      <c r="E2" s="579" t="s">
        <v>11808</v>
      </c>
      <c r="J2" s="1212"/>
      <c r="O2" s="1213"/>
    </row>
    <row r="3" spans="5:44" ht="16" thickBot="1">
      <c r="E3" s="1214" t="s">
        <v>1234</v>
      </c>
      <c r="J3" s="1215"/>
      <c r="K3" s="1215"/>
      <c r="L3" s="1215"/>
      <c r="M3" s="1215"/>
      <c r="N3" s="1215"/>
      <c r="O3" s="1215"/>
    </row>
    <row r="4" spans="5:44" s="625" customFormat="1" ht="40" customHeight="1" thickBot="1">
      <c r="E4" s="3571" t="s">
        <v>577</v>
      </c>
      <c r="F4" s="3572"/>
      <c r="G4" s="3572"/>
      <c r="H4" s="3572"/>
      <c r="I4" s="3572"/>
      <c r="J4" s="3572"/>
      <c r="K4" s="3572"/>
      <c r="L4" s="3572"/>
      <c r="M4" s="3572"/>
      <c r="N4" s="3573"/>
      <c r="O4" s="3574" t="s">
        <v>583</v>
      </c>
      <c r="P4" s="3572"/>
      <c r="Q4" s="3575"/>
      <c r="R4" s="3576" t="s">
        <v>578</v>
      </c>
      <c r="S4" s="3572"/>
      <c r="T4" s="3575"/>
      <c r="U4" s="3576" t="s">
        <v>581</v>
      </c>
      <c r="V4" s="3572"/>
      <c r="W4" s="3577"/>
      <c r="X4" s="3571" t="s">
        <v>577</v>
      </c>
      <c r="Y4" s="3572"/>
      <c r="Z4" s="3572"/>
      <c r="AA4" s="3572"/>
      <c r="AB4" s="3572"/>
      <c r="AC4" s="3572"/>
      <c r="AD4" s="3572"/>
      <c r="AE4" s="3572"/>
      <c r="AF4" s="3572"/>
      <c r="AG4" s="3573"/>
      <c r="AH4" s="3574" t="s">
        <v>583</v>
      </c>
      <c r="AI4" s="3572"/>
      <c r="AJ4" s="3575"/>
      <c r="AK4" s="3576" t="s">
        <v>578</v>
      </c>
      <c r="AL4" s="3572"/>
      <c r="AM4" s="3575"/>
      <c r="AN4" s="3576" t="s">
        <v>581</v>
      </c>
      <c r="AO4" s="3572"/>
      <c r="AP4" s="3577"/>
      <c r="AQ4" s="1216"/>
      <c r="AR4" s="1216"/>
    </row>
    <row r="5" spans="5:44" s="681" customFormat="1" ht="30" customHeight="1">
      <c r="E5" s="1204" t="s">
        <v>151</v>
      </c>
      <c r="F5" s="1205" t="s">
        <v>1199</v>
      </c>
      <c r="G5" s="1205"/>
      <c r="H5" s="1205"/>
      <c r="I5" s="1205"/>
      <c r="J5" s="1205"/>
      <c r="K5" s="1205"/>
      <c r="L5" s="1205"/>
      <c r="M5" s="1205"/>
      <c r="N5" s="1211"/>
      <c r="O5" s="3582" t="b">
        <v>0</v>
      </c>
      <c r="P5" s="3583"/>
      <c r="Q5" s="3584"/>
      <c r="R5" s="3585" t="b">
        <v>0</v>
      </c>
      <c r="S5" s="3583"/>
      <c r="T5" s="3584"/>
      <c r="U5" s="3585" t="b">
        <v>0</v>
      </c>
      <c r="V5" s="3583"/>
      <c r="W5" s="3586"/>
      <c r="X5" s="1204" t="s">
        <v>704</v>
      </c>
      <c r="Y5" s="1205" t="s">
        <v>1200</v>
      </c>
      <c r="Z5" s="1205"/>
      <c r="AA5" s="1205"/>
      <c r="AB5" s="1205"/>
      <c r="AC5" s="1205"/>
      <c r="AD5" s="1205"/>
      <c r="AE5" s="1205"/>
      <c r="AF5" s="1205"/>
      <c r="AG5" s="1211"/>
      <c r="AH5" s="3582" t="b">
        <v>0</v>
      </c>
      <c r="AI5" s="3583"/>
      <c r="AJ5" s="3584"/>
      <c r="AK5" s="3585" t="b">
        <v>0</v>
      </c>
      <c r="AL5" s="3583"/>
      <c r="AM5" s="3584"/>
      <c r="AN5" s="3585" t="b">
        <v>0</v>
      </c>
      <c r="AO5" s="3583"/>
      <c r="AP5" s="3586"/>
      <c r="AQ5" s="1203"/>
      <c r="AR5" s="1203"/>
    </row>
    <row r="6" spans="5:44" s="681" customFormat="1" ht="30" customHeight="1">
      <c r="E6" s="1204" t="s">
        <v>152</v>
      </c>
      <c r="F6" s="1205" t="s">
        <v>1201</v>
      </c>
      <c r="G6" s="1205"/>
      <c r="H6" s="1205"/>
      <c r="I6" s="1205"/>
      <c r="J6" s="1205"/>
      <c r="K6" s="1205"/>
      <c r="L6" s="1205"/>
      <c r="M6" s="1205"/>
      <c r="N6" s="1211"/>
      <c r="O6" s="3587" t="b">
        <v>0</v>
      </c>
      <c r="P6" s="3588"/>
      <c r="Q6" s="3589"/>
      <c r="R6" s="3590" t="b">
        <v>0</v>
      </c>
      <c r="S6" s="3588"/>
      <c r="T6" s="3589"/>
      <c r="U6" s="3590" t="b">
        <v>0</v>
      </c>
      <c r="V6" s="3588"/>
      <c r="W6" s="3591"/>
      <c r="X6" s="1204" t="s">
        <v>702</v>
      </c>
      <c r="Y6" s="1205" t="s">
        <v>1202</v>
      </c>
      <c r="Z6" s="1205"/>
      <c r="AA6" s="1205"/>
      <c r="AB6" s="1205"/>
      <c r="AC6" s="1205"/>
      <c r="AD6" s="1205"/>
      <c r="AE6" s="1205"/>
      <c r="AF6" s="1205"/>
      <c r="AG6" s="1211"/>
      <c r="AH6" s="3587" t="b">
        <v>0</v>
      </c>
      <c r="AI6" s="3588"/>
      <c r="AJ6" s="3589"/>
      <c r="AK6" s="3590" t="b">
        <v>0</v>
      </c>
      <c r="AL6" s="3588"/>
      <c r="AM6" s="3589"/>
      <c r="AN6" s="3590" t="b">
        <v>0</v>
      </c>
      <c r="AO6" s="3588"/>
      <c r="AP6" s="3591"/>
      <c r="AQ6" s="1203"/>
      <c r="AR6" s="1203"/>
    </row>
    <row r="7" spans="5:44" s="681" customFormat="1" ht="30" customHeight="1">
      <c r="E7" s="1204" t="s">
        <v>153</v>
      </c>
      <c r="F7" s="1205" t="s">
        <v>1203</v>
      </c>
      <c r="G7" s="1205"/>
      <c r="H7" s="1205"/>
      <c r="I7" s="1205"/>
      <c r="J7" s="1205"/>
      <c r="K7" s="1205"/>
      <c r="L7" s="1205"/>
      <c r="M7" s="1205"/>
      <c r="N7" s="1206"/>
      <c r="O7" s="3587" t="b">
        <v>0</v>
      </c>
      <c r="P7" s="3588"/>
      <c r="Q7" s="3589"/>
      <c r="R7" s="3590" t="b">
        <v>0</v>
      </c>
      <c r="S7" s="3588"/>
      <c r="T7" s="3589"/>
      <c r="U7" s="3590" t="b">
        <v>1</v>
      </c>
      <c r="V7" s="3588"/>
      <c r="W7" s="3591"/>
      <c r="X7" s="1204" t="s">
        <v>700</v>
      </c>
      <c r="Y7" s="1205" t="s">
        <v>1204</v>
      </c>
      <c r="Z7" s="1205"/>
      <c r="AA7" s="1205"/>
      <c r="AB7" s="1205"/>
      <c r="AC7" s="1205"/>
      <c r="AD7" s="1205"/>
      <c r="AE7" s="1205"/>
      <c r="AF7" s="1205"/>
      <c r="AG7" s="1206"/>
      <c r="AH7" s="3587" t="b">
        <v>0</v>
      </c>
      <c r="AI7" s="3588"/>
      <c r="AJ7" s="3589"/>
      <c r="AK7" s="3590" t="b">
        <v>0</v>
      </c>
      <c r="AL7" s="3588"/>
      <c r="AM7" s="3589"/>
      <c r="AN7" s="3590" t="b">
        <v>0</v>
      </c>
      <c r="AO7" s="3588"/>
      <c r="AP7" s="3591"/>
      <c r="AQ7" s="1203"/>
      <c r="AR7" s="1203"/>
    </row>
    <row r="8" spans="5:44" s="681" customFormat="1" ht="30" customHeight="1">
      <c r="E8" s="1204" t="s">
        <v>154</v>
      </c>
      <c r="F8" s="1205" t="s">
        <v>1205</v>
      </c>
      <c r="G8" s="1205"/>
      <c r="H8" s="1205"/>
      <c r="I8" s="1205"/>
      <c r="J8" s="1205"/>
      <c r="K8" s="1205"/>
      <c r="L8" s="1205"/>
      <c r="M8" s="1205"/>
      <c r="N8" s="1206"/>
      <c r="O8" s="3587" t="b">
        <v>0</v>
      </c>
      <c r="P8" s="3588"/>
      <c r="Q8" s="3589"/>
      <c r="R8" s="3590" t="b">
        <v>0</v>
      </c>
      <c r="S8" s="3588"/>
      <c r="T8" s="3589"/>
      <c r="U8" s="3590" t="b">
        <v>1</v>
      </c>
      <c r="V8" s="3588"/>
      <c r="W8" s="3591"/>
      <c r="X8" s="1204" t="s">
        <v>698</v>
      </c>
      <c r="Y8" s="1205" t="s">
        <v>1206</v>
      </c>
      <c r="Z8" s="1205"/>
      <c r="AA8" s="1205"/>
      <c r="AB8" s="1205"/>
      <c r="AC8" s="1205"/>
      <c r="AD8" s="1205"/>
      <c r="AE8" s="1205"/>
      <c r="AF8" s="1205"/>
      <c r="AG8" s="1206"/>
      <c r="AH8" s="3587" t="b">
        <v>0</v>
      </c>
      <c r="AI8" s="3588"/>
      <c r="AJ8" s="3589"/>
      <c r="AK8" s="3590" t="b">
        <v>0</v>
      </c>
      <c r="AL8" s="3588"/>
      <c r="AM8" s="3589"/>
      <c r="AN8" s="3590" t="b">
        <v>0</v>
      </c>
      <c r="AO8" s="3588"/>
      <c r="AP8" s="3591"/>
      <c r="AQ8" s="1203"/>
      <c r="AR8" s="1203"/>
    </row>
    <row r="9" spans="5:44" s="681" customFormat="1" ht="30" customHeight="1">
      <c r="E9" s="1204" t="s">
        <v>155</v>
      </c>
      <c r="F9" s="1205" t="s">
        <v>1207</v>
      </c>
      <c r="G9" s="1205"/>
      <c r="H9" s="1205"/>
      <c r="I9" s="1205"/>
      <c r="J9" s="1205"/>
      <c r="K9" s="1205"/>
      <c r="L9" s="1205"/>
      <c r="M9" s="1205"/>
      <c r="N9" s="1206"/>
      <c r="O9" s="3587" t="b">
        <v>0</v>
      </c>
      <c r="P9" s="3588"/>
      <c r="Q9" s="3589"/>
      <c r="R9" s="3590" t="b">
        <v>0</v>
      </c>
      <c r="S9" s="3588"/>
      <c r="T9" s="3589"/>
      <c r="U9" s="3590" t="b">
        <v>0</v>
      </c>
      <c r="V9" s="3588"/>
      <c r="W9" s="3591"/>
      <c r="X9" s="1204" t="s">
        <v>696</v>
      </c>
      <c r="Y9" s="1205" t="s">
        <v>1208</v>
      </c>
      <c r="Z9" s="1205"/>
      <c r="AA9" s="1205"/>
      <c r="AB9" s="1205"/>
      <c r="AC9" s="1205"/>
      <c r="AD9" s="1205"/>
      <c r="AE9" s="1205"/>
      <c r="AF9" s="1205"/>
      <c r="AG9" s="1206"/>
      <c r="AH9" s="3587" t="b">
        <v>0</v>
      </c>
      <c r="AI9" s="3588"/>
      <c r="AJ9" s="3589"/>
      <c r="AK9" s="3590" t="b">
        <v>0</v>
      </c>
      <c r="AL9" s="3588"/>
      <c r="AM9" s="3589"/>
      <c r="AN9" s="3590" t="b">
        <v>0</v>
      </c>
      <c r="AO9" s="3588"/>
      <c r="AP9" s="3591"/>
      <c r="AQ9" s="1203"/>
      <c r="AR9" s="1203"/>
    </row>
    <row r="10" spans="5:44" s="312" customFormat="1" ht="30" customHeight="1">
      <c r="E10" s="1204" t="s">
        <v>156</v>
      </c>
      <c r="F10" s="1205" t="s">
        <v>1209</v>
      </c>
      <c r="G10" s="1205"/>
      <c r="H10" s="1205"/>
      <c r="I10" s="1205"/>
      <c r="J10" s="1205"/>
      <c r="K10" s="1205"/>
      <c r="L10" s="1205"/>
      <c r="M10" s="1205"/>
      <c r="N10" s="1206"/>
      <c r="O10" s="3587" t="b">
        <v>0</v>
      </c>
      <c r="P10" s="3588"/>
      <c r="Q10" s="3589"/>
      <c r="R10" s="3590" t="b">
        <v>0</v>
      </c>
      <c r="S10" s="3588"/>
      <c r="T10" s="3589"/>
      <c r="U10" s="3590" t="b">
        <v>0</v>
      </c>
      <c r="V10" s="3588"/>
      <c r="W10" s="3591"/>
      <c r="X10" s="1204" t="s">
        <v>695</v>
      </c>
      <c r="Y10" s="1205" t="s">
        <v>1210</v>
      </c>
      <c r="Z10" s="1205"/>
      <c r="AA10" s="1205"/>
      <c r="AB10" s="1205"/>
      <c r="AC10" s="1205"/>
      <c r="AD10" s="1205"/>
      <c r="AE10" s="1205"/>
      <c r="AF10" s="1205"/>
      <c r="AG10" s="1206"/>
      <c r="AH10" s="3587" t="b">
        <v>0</v>
      </c>
      <c r="AI10" s="3588"/>
      <c r="AJ10" s="3589"/>
      <c r="AK10" s="3590" t="b">
        <v>0</v>
      </c>
      <c r="AL10" s="3588"/>
      <c r="AM10" s="3589"/>
      <c r="AN10" s="3590" t="b">
        <v>0</v>
      </c>
      <c r="AO10" s="3588"/>
      <c r="AP10" s="3591"/>
      <c r="AQ10" s="1203"/>
      <c r="AR10" s="1203"/>
    </row>
    <row r="11" spans="5:44" s="681" customFormat="1" ht="30" customHeight="1">
      <c r="E11" s="1204" t="s">
        <v>157</v>
      </c>
      <c r="F11" s="1205" t="s">
        <v>1211</v>
      </c>
      <c r="G11" s="1205"/>
      <c r="H11" s="1205"/>
      <c r="I11" s="1205"/>
      <c r="J11" s="1205"/>
      <c r="K11" s="1205"/>
      <c r="L11" s="1205"/>
      <c r="M11" s="1205"/>
      <c r="N11" s="1206"/>
      <c r="O11" s="3587" t="b">
        <v>0</v>
      </c>
      <c r="P11" s="3588"/>
      <c r="Q11" s="3589"/>
      <c r="R11" s="3590" t="b">
        <v>0</v>
      </c>
      <c r="S11" s="3588"/>
      <c r="T11" s="3589"/>
      <c r="U11" s="3590" t="b">
        <v>0</v>
      </c>
      <c r="V11" s="3588"/>
      <c r="W11" s="3591"/>
      <c r="X11" s="1204" t="s">
        <v>693</v>
      </c>
      <c r="Y11" s="1205" t="s">
        <v>1212</v>
      </c>
      <c r="Z11" s="1205"/>
      <c r="AA11" s="1205"/>
      <c r="AB11" s="1205"/>
      <c r="AC11" s="1205"/>
      <c r="AD11" s="1205"/>
      <c r="AE11" s="1205"/>
      <c r="AF11" s="1205"/>
      <c r="AG11" s="1206"/>
      <c r="AH11" s="3587" t="b">
        <v>0</v>
      </c>
      <c r="AI11" s="3588"/>
      <c r="AJ11" s="3589"/>
      <c r="AK11" s="3590" t="b">
        <v>0</v>
      </c>
      <c r="AL11" s="3588"/>
      <c r="AM11" s="3589"/>
      <c r="AN11" s="3590" t="b">
        <v>0</v>
      </c>
      <c r="AO11" s="3588"/>
      <c r="AP11" s="3591"/>
      <c r="AQ11" s="1203"/>
      <c r="AR11" s="1203"/>
    </row>
    <row r="12" spans="5:44" s="681" customFormat="1" ht="30" customHeight="1">
      <c r="E12" s="1204" t="s">
        <v>158</v>
      </c>
      <c r="F12" s="749" t="s">
        <v>1213</v>
      </c>
      <c r="G12" s="749"/>
      <c r="H12" s="749"/>
      <c r="I12" s="749"/>
      <c r="J12" s="749"/>
      <c r="K12" s="749"/>
      <c r="L12" s="749"/>
      <c r="M12" s="749"/>
      <c r="N12" s="1207"/>
      <c r="O12" s="3587" t="b">
        <v>0</v>
      </c>
      <c r="P12" s="3588"/>
      <c r="Q12" s="3589"/>
      <c r="R12" s="3590" t="b">
        <v>0</v>
      </c>
      <c r="S12" s="3588"/>
      <c r="T12" s="3589"/>
      <c r="U12" s="3590" t="b">
        <v>0</v>
      </c>
      <c r="V12" s="3588"/>
      <c r="W12" s="3591"/>
      <c r="X12" s="1204" t="s">
        <v>752</v>
      </c>
      <c r="Y12" s="749" t="s">
        <v>1214</v>
      </c>
      <c r="Z12" s="749"/>
      <c r="AA12" s="749"/>
      <c r="AB12" s="749"/>
      <c r="AC12" s="749"/>
      <c r="AD12" s="749"/>
      <c r="AE12" s="749"/>
      <c r="AF12" s="749"/>
      <c r="AG12" s="1207"/>
      <c r="AH12" s="3587" t="b">
        <v>0</v>
      </c>
      <c r="AI12" s="3588"/>
      <c r="AJ12" s="3589"/>
      <c r="AK12" s="3590" t="b">
        <v>0</v>
      </c>
      <c r="AL12" s="3588"/>
      <c r="AM12" s="3589"/>
      <c r="AN12" s="3590" t="b">
        <v>0</v>
      </c>
      <c r="AO12" s="3588"/>
      <c r="AP12" s="3591"/>
      <c r="AQ12" s="1203"/>
      <c r="AR12" s="1203"/>
    </row>
    <row r="13" spans="5:44" s="681" customFormat="1" ht="30" customHeight="1">
      <c r="E13" s="1204" t="s">
        <v>159</v>
      </c>
      <c r="F13" s="1205" t="s">
        <v>1215</v>
      </c>
      <c r="G13" s="1205"/>
      <c r="H13" s="1205"/>
      <c r="I13" s="1205"/>
      <c r="J13" s="1205"/>
      <c r="K13" s="1205"/>
      <c r="L13" s="1205"/>
      <c r="M13" s="1205"/>
      <c r="N13" s="1206"/>
      <c r="O13" s="3587" t="b">
        <v>0</v>
      </c>
      <c r="P13" s="3588"/>
      <c r="Q13" s="3589"/>
      <c r="R13" s="3590" t="b">
        <v>0</v>
      </c>
      <c r="S13" s="3588"/>
      <c r="T13" s="3589"/>
      <c r="U13" s="3590" t="b">
        <v>0</v>
      </c>
      <c r="V13" s="3588"/>
      <c r="W13" s="3591"/>
      <c r="X13" s="1204" t="s">
        <v>753</v>
      </c>
      <c r="Y13" s="1205" t="s">
        <v>1216</v>
      </c>
      <c r="Z13" s="1205"/>
      <c r="AA13" s="1205"/>
      <c r="AB13" s="1205"/>
      <c r="AC13" s="1205"/>
      <c r="AD13" s="1205"/>
      <c r="AE13" s="1205"/>
      <c r="AF13" s="1205"/>
      <c r="AG13" s="1206"/>
      <c r="AH13" s="3587" t="b">
        <v>0</v>
      </c>
      <c r="AI13" s="3588"/>
      <c r="AJ13" s="3589"/>
      <c r="AK13" s="3590" t="b">
        <v>0</v>
      </c>
      <c r="AL13" s="3588"/>
      <c r="AM13" s="3589"/>
      <c r="AN13" s="3590" t="b">
        <v>0</v>
      </c>
      <c r="AO13" s="3588"/>
      <c r="AP13" s="3591"/>
      <c r="AQ13" s="1203"/>
      <c r="AR13" s="1203"/>
    </row>
    <row r="14" spans="5:44" s="681" customFormat="1" ht="30" customHeight="1">
      <c r="E14" s="1204" t="s">
        <v>160</v>
      </c>
      <c r="F14" s="749" t="s">
        <v>1217</v>
      </c>
      <c r="G14" s="749"/>
      <c r="H14" s="749"/>
      <c r="I14" s="749"/>
      <c r="J14" s="749"/>
      <c r="K14" s="749"/>
      <c r="L14" s="749"/>
      <c r="M14" s="749"/>
      <c r="N14" s="1207"/>
      <c r="O14" s="3587" t="b">
        <v>0</v>
      </c>
      <c r="P14" s="3588"/>
      <c r="Q14" s="3589"/>
      <c r="R14" s="3590" t="b">
        <v>0</v>
      </c>
      <c r="S14" s="3588"/>
      <c r="T14" s="3589"/>
      <c r="U14" s="3590" t="b">
        <v>0</v>
      </c>
      <c r="V14" s="3588"/>
      <c r="W14" s="3591"/>
      <c r="X14" s="1204" t="s">
        <v>754</v>
      </c>
      <c r="Y14" s="749" t="s">
        <v>1218</v>
      </c>
      <c r="Z14" s="749"/>
      <c r="AA14" s="749"/>
      <c r="AB14" s="749"/>
      <c r="AC14" s="749"/>
      <c r="AD14" s="749"/>
      <c r="AE14" s="749"/>
      <c r="AF14" s="749"/>
      <c r="AG14" s="1207"/>
      <c r="AH14" s="3587" t="b">
        <v>0</v>
      </c>
      <c r="AI14" s="3588"/>
      <c r="AJ14" s="3589"/>
      <c r="AK14" s="3590" t="b">
        <v>0</v>
      </c>
      <c r="AL14" s="3588"/>
      <c r="AM14" s="3589"/>
      <c r="AN14" s="3590" t="b">
        <v>1</v>
      </c>
      <c r="AO14" s="3588"/>
      <c r="AP14" s="3591"/>
      <c r="AQ14" s="1203"/>
      <c r="AR14" s="1203"/>
    </row>
    <row r="15" spans="5:44" s="681" customFormat="1" ht="30" customHeight="1">
      <c r="E15" s="1204" t="s">
        <v>161</v>
      </c>
      <c r="F15" s="749" t="s">
        <v>1219</v>
      </c>
      <c r="G15" s="749"/>
      <c r="H15" s="749"/>
      <c r="I15" s="749"/>
      <c r="J15" s="749"/>
      <c r="K15" s="749"/>
      <c r="L15" s="749"/>
      <c r="M15" s="749"/>
      <c r="N15" s="1207"/>
      <c r="O15" s="3587" t="b">
        <v>0</v>
      </c>
      <c r="P15" s="3588"/>
      <c r="Q15" s="3589"/>
      <c r="R15" s="3590" t="b">
        <v>0</v>
      </c>
      <c r="S15" s="3588"/>
      <c r="T15" s="3589"/>
      <c r="U15" s="3590" t="b">
        <v>0</v>
      </c>
      <c r="V15" s="3588"/>
      <c r="W15" s="3591"/>
      <c r="X15" s="1204" t="s">
        <v>1220</v>
      </c>
      <c r="Y15" s="749" t="s">
        <v>1221</v>
      </c>
      <c r="Z15" s="749"/>
      <c r="AA15" s="749"/>
      <c r="AB15" s="749"/>
      <c r="AC15" s="749"/>
      <c r="AD15" s="749"/>
      <c r="AE15" s="749"/>
      <c r="AF15" s="749"/>
      <c r="AG15" s="1207"/>
      <c r="AH15" s="3587" t="b">
        <v>0</v>
      </c>
      <c r="AI15" s="3588"/>
      <c r="AJ15" s="3589"/>
      <c r="AK15" s="3590" t="b">
        <v>0</v>
      </c>
      <c r="AL15" s="3588"/>
      <c r="AM15" s="3589"/>
      <c r="AN15" s="3590" t="b">
        <v>0</v>
      </c>
      <c r="AO15" s="3588"/>
      <c r="AP15" s="3591"/>
      <c r="AQ15" s="1203"/>
      <c r="AR15" s="1203"/>
    </row>
    <row r="16" spans="5:44" s="681" customFormat="1" ht="30" customHeight="1">
      <c r="E16" s="1204" t="s">
        <v>162</v>
      </c>
      <c r="F16" s="749" t="s">
        <v>1222</v>
      </c>
      <c r="G16" s="749"/>
      <c r="H16" s="749"/>
      <c r="I16" s="749"/>
      <c r="J16" s="749"/>
      <c r="K16" s="749"/>
      <c r="L16" s="749"/>
      <c r="M16" s="749"/>
      <c r="N16" s="1207"/>
      <c r="O16" s="3587" t="b">
        <v>0</v>
      </c>
      <c r="P16" s="3588"/>
      <c r="Q16" s="3589"/>
      <c r="R16" s="3590" t="b">
        <v>0</v>
      </c>
      <c r="S16" s="3588"/>
      <c r="T16" s="3589"/>
      <c r="U16" s="3590" t="b">
        <v>0</v>
      </c>
      <c r="V16" s="3588"/>
      <c r="W16" s="3591"/>
      <c r="X16" s="1204" t="s">
        <v>1223</v>
      </c>
      <c r="Y16" s="749" t="s">
        <v>1224</v>
      </c>
      <c r="Z16" s="749"/>
      <c r="AA16" s="749"/>
      <c r="AB16" s="749"/>
      <c r="AC16" s="749"/>
      <c r="AD16" s="749"/>
      <c r="AE16" s="749"/>
      <c r="AF16" s="749"/>
      <c r="AG16" s="1207"/>
      <c r="AH16" s="3587" t="b">
        <v>0</v>
      </c>
      <c r="AI16" s="3588"/>
      <c r="AJ16" s="3589"/>
      <c r="AK16" s="3590" t="b">
        <v>0</v>
      </c>
      <c r="AL16" s="3588"/>
      <c r="AM16" s="3589"/>
      <c r="AN16" s="3590" t="b">
        <v>0</v>
      </c>
      <c r="AO16" s="3588"/>
      <c r="AP16" s="3591"/>
      <c r="AQ16" s="1203"/>
      <c r="AR16" s="1203"/>
    </row>
    <row r="17" spans="2:52" s="681" customFormat="1" ht="30" customHeight="1">
      <c r="E17" s="1204" t="s">
        <v>163</v>
      </c>
      <c r="F17" s="1205" t="s">
        <v>1225</v>
      </c>
      <c r="G17" s="1205"/>
      <c r="H17" s="1205"/>
      <c r="I17" s="1205"/>
      <c r="J17" s="1205"/>
      <c r="K17" s="1205"/>
      <c r="L17" s="1205"/>
      <c r="M17" s="1205"/>
      <c r="N17" s="1206"/>
      <c r="O17" s="3587" t="b">
        <v>0</v>
      </c>
      <c r="P17" s="3588"/>
      <c r="Q17" s="3589"/>
      <c r="R17" s="3590" t="b">
        <v>0</v>
      </c>
      <c r="S17" s="3588"/>
      <c r="T17" s="3589"/>
      <c r="U17" s="3590" t="b">
        <v>0</v>
      </c>
      <c r="V17" s="3588"/>
      <c r="W17" s="3591"/>
      <c r="X17" s="1204" t="s">
        <v>1226</v>
      </c>
      <c r="Y17" s="1205" t="s">
        <v>1227</v>
      </c>
      <c r="Z17" s="1205"/>
      <c r="AA17" s="1205"/>
      <c r="AB17" s="1205"/>
      <c r="AC17" s="1205"/>
      <c r="AD17" s="1205"/>
      <c r="AE17" s="1205"/>
      <c r="AF17" s="1205"/>
      <c r="AG17" s="1206"/>
      <c r="AH17" s="3587" t="b">
        <v>0</v>
      </c>
      <c r="AI17" s="3588"/>
      <c r="AJ17" s="3589"/>
      <c r="AK17" s="3590" t="b">
        <v>0</v>
      </c>
      <c r="AL17" s="3588"/>
      <c r="AM17" s="3589"/>
      <c r="AN17" s="3590" t="b">
        <v>0</v>
      </c>
      <c r="AO17" s="3588"/>
      <c r="AP17" s="3591"/>
      <c r="AQ17" s="1203"/>
      <c r="AR17" s="1203"/>
    </row>
    <row r="18" spans="2:52" s="681" customFormat="1" ht="30" customHeight="1" thickBot="1">
      <c r="E18" s="1204" t="s">
        <v>164</v>
      </c>
      <c r="F18" s="749" t="s">
        <v>1228</v>
      </c>
      <c r="G18" s="749"/>
      <c r="H18" s="749"/>
      <c r="I18" s="749"/>
      <c r="J18" s="749"/>
      <c r="K18" s="749"/>
      <c r="L18" s="749"/>
      <c r="M18" s="749"/>
      <c r="N18" s="1207"/>
      <c r="O18" s="3587" t="b">
        <v>0</v>
      </c>
      <c r="P18" s="3588"/>
      <c r="Q18" s="3589"/>
      <c r="R18" s="3590" t="b">
        <v>0</v>
      </c>
      <c r="S18" s="3588"/>
      <c r="T18" s="3589"/>
      <c r="U18" s="3590" t="b">
        <v>0</v>
      </c>
      <c r="V18" s="3588"/>
      <c r="W18" s="3591"/>
      <c r="X18" s="1204" t="s">
        <v>1229</v>
      </c>
      <c r="Y18" s="749" t="s">
        <v>418</v>
      </c>
      <c r="Z18" s="749"/>
      <c r="AA18" s="749"/>
      <c r="AB18" s="749"/>
      <c r="AC18" s="749"/>
      <c r="AD18" s="749"/>
      <c r="AE18" s="749"/>
      <c r="AF18" s="749"/>
      <c r="AG18" s="1207"/>
      <c r="AH18" s="3592" t="b">
        <v>0</v>
      </c>
      <c r="AI18" s="3593"/>
      <c r="AJ18" s="3594"/>
      <c r="AK18" s="3595" t="b">
        <v>0</v>
      </c>
      <c r="AL18" s="3593"/>
      <c r="AM18" s="3594"/>
      <c r="AN18" s="3595" t="b">
        <v>0</v>
      </c>
      <c r="AO18" s="3593"/>
      <c r="AP18" s="3596"/>
      <c r="AQ18" s="1203"/>
      <c r="AR18" s="1203"/>
    </row>
    <row r="19" spans="2:52" s="681" customFormat="1" ht="30" customHeight="1" thickBot="1">
      <c r="E19" s="1208" t="s">
        <v>706</v>
      </c>
      <c r="F19" s="1209" t="s">
        <v>1230</v>
      </c>
      <c r="G19" s="1209"/>
      <c r="H19" s="1209"/>
      <c r="I19" s="1209"/>
      <c r="J19" s="1209"/>
      <c r="K19" s="1209"/>
      <c r="L19" s="1209"/>
      <c r="M19" s="1209"/>
      <c r="N19" s="1210"/>
      <c r="O19" s="3592" t="b">
        <v>0</v>
      </c>
      <c r="P19" s="3593"/>
      <c r="Q19" s="3594"/>
      <c r="R19" s="3595" t="b">
        <v>0</v>
      </c>
      <c r="S19" s="3593"/>
      <c r="T19" s="3594"/>
      <c r="U19" s="3595" t="b">
        <v>0</v>
      </c>
      <c r="V19" s="3593"/>
      <c r="W19" s="3596"/>
      <c r="X19" s="3578"/>
      <c r="Y19" s="3579"/>
      <c r="Z19" s="3579"/>
      <c r="AA19" s="3579"/>
      <c r="AB19" s="3579"/>
      <c r="AC19" s="3579"/>
      <c r="AD19" s="3579"/>
      <c r="AE19" s="3579"/>
      <c r="AF19" s="3579"/>
      <c r="AG19" s="3579"/>
      <c r="AH19" s="3579"/>
      <c r="AI19" s="3579"/>
      <c r="AJ19" s="3579"/>
      <c r="AK19" s="3579"/>
      <c r="AL19" s="3579"/>
      <c r="AM19" s="3579"/>
      <c r="AN19" s="3579"/>
      <c r="AO19" s="3579"/>
      <c r="AP19" s="3580"/>
    </row>
    <row r="20" spans="2:52" s="1196" customFormat="1" ht="20.5" customHeight="1">
      <c r="E20" s="550" t="s">
        <v>151</v>
      </c>
      <c r="F20" s="3581" t="s">
        <v>1231</v>
      </c>
      <c r="G20" s="3581"/>
      <c r="H20" s="3581"/>
      <c r="I20" s="3581"/>
      <c r="J20" s="3581"/>
      <c r="K20" s="3581"/>
      <c r="L20" s="3581"/>
      <c r="M20" s="3581"/>
      <c r="N20" s="3581"/>
      <c r="O20" s="3581"/>
      <c r="P20" s="3581"/>
      <c r="Q20" s="3581"/>
      <c r="R20" s="3581"/>
      <c r="S20" s="3581"/>
      <c r="T20" s="3581"/>
      <c r="U20" s="3581"/>
      <c r="V20" s="3581"/>
      <c r="W20" s="3581"/>
      <c r="X20" s="3581"/>
      <c r="Y20" s="3581"/>
      <c r="Z20" s="3581"/>
      <c r="AA20" s="3581"/>
      <c r="AB20" s="3581"/>
      <c r="AC20" s="3581"/>
      <c r="AD20" s="3581"/>
      <c r="AE20" s="3581"/>
      <c r="AF20" s="3581"/>
      <c r="AG20" s="3581"/>
      <c r="AH20" s="3581"/>
      <c r="AI20" s="3581"/>
      <c r="AJ20" s="3581"/>
      <c r="AK20" s="3581"/>
      <c r="AL20" s="3581"/>
      <c r="AM20" s="3581"/>
      <c r="AN20" s="3581"/>
      <c r="AO20" s="3581"/>
      <c r="AP20" s="3581"/>
      <c r="AQ20" s="1197"/>
      <c r="AR20" s="1197"/>
      <c r="AS20" s="1198"/>
      <c r="AT20" s="1198"/>
      <c r="AU20" s="1198"/>
      <c r="AV20" s="1198"/>
      <c r="AW20" s="1198"/>
      <c r="AX20" s="1198"/>
      <c r="AY20" s="1198"/>
      <c r="AZ20" s="1198"/>
    </row>
    <row r="21" spans="2:52" s="1196" customFormat="1">
      <c r="E21" s="1199" t="s">
        <v>152</v>
      </c>
      <c r="F21" s="1986" t="s">
        <v>1232</v>
      </c>
      <c r="G21" s="1986"/>
      <c r="H21" s="1986"/>
      <c r="I21" s="1986"/>
      <c r="J21" s="1986"/>
      <c r="K21" s="1986"/>
      <c r="L21" s="1986"/>
      <c r="M21" s="1986"/>
      <c r="N21" s="1986"/>
      <c r="O21" s="1986"/>
      <c r="P21" s="1986"/>
      <c r="Q21" s="1986"/>
      <c r="R21" s="1986"/>
      <c r="S21" s="1986"/>
      <c r="T21" s="1986"/>
      <c r="U21" s="1986"/>
      <c r="V21" s="1986"/>
      <c r="W21" s="1986"/>
      <c r="X21" s="1986"/>
      <c r="Y21" s="1986"/>
      <c r="Z21" s="1986"/>
      <c r="AA21" s="1986"/>
      <c r="AB21" s="1986"/>
      <c r="AC21" s="1986"/>
      <c r="AD21" s="1986"/>
      <c r="AE21" s="1986"/>
      <c r="AF21" s="1986"/>
      <c r="AG21" s="1986"/>
      <c r="AH21" s="1986"/>
      <c r="AI21" s="1986"/>
      <c r="AJ21" s="1986"/>
      <c r="AK21" s="1986"/>
      <c r="AL21" s="1986"/>
      <c r="AM21" s="1986"/>
      <c r="AN21" s="1986"/>
      <c r="AO21" s="1986"/>
      <c r="AP21" s="1986"/>
      <c r="AQ21" s="1197"/>
      <c r="AR21" s="1197"/>
      <c r="AS21" s="1198"/>
      <c r="AT21" s="1198"/>
      <c r="AU21" s="1198"/>
      <c r="AV21" s="1198"/>
      <c r="AW21" s="1198"/>
      <c r="AX21" s="1198"/>
      <c r="AY21" s="1198"/>
      <c r="AZ21" s="1198"/>
    </row>
    <row r="22" spans="2:52" s="1196" customFormat="1">
      <c r="E22" s="1199" t="s">
        <v>153</v>
      </c>
      <c r="F22" s="1986" t="s">
        <v>1233</v>
      </c>
      <c r="G22" s="1986"/>
      <c r="H22" s="1986"/>
      <c r="I22" s="1986"/>
      <c r="J22" s="1986"/>
      <c r="K22" s="1986"/>
      <c r="L22" s="1986"/>
      <c r="M22" s="1986"/>
      <c r="N22" s="1986"/>
      <c r="O22" s="1986"/>
      <c r="P22" s="1986"/>
      <c r="Q22" s="1986"/>
      <c r="R22" s="1986"/>
      <c r="S22" s="1986"/>
      <c r="T22" s="1986"/>
      <c r="U22" s="1986"/>
      <c r="V22" s="1986"/>
      <c r="W22" s="1986"/>
      <c r="X22" s="1986"/>
      <c r="Y22" s="1986"/>
      <c r="Z22" s="1986"/>
      <c r="AA22" s="1986"/>
      <c r="AB22" s="1986"/>
      <c r="AC22" s="1986"/>
      <c r="AD22" s="1986"/>
      <c r="AE22" s="1986"/>
      <c r="AF22" s="1986"/>
      <c r="AG22" s="1986"/>
      <c r="AH22" s="1986"/>
      <c r="AI22" s="1986"/>
      <c r="AJ22" s="1986"/>
      <c r="AK22" s="1986"/>
      <c r="AL22" s="1986"/>
      <c r="AM22" s="1986"/>
      <c r="AN22" s="1986"/>
      <c r="AO22" s="1986"/>
      <c r="AP22" s="1986"/>
      <c r="AQ22" s="1197"/>
      <c r="AR22" s="1197"/>
      <c r="AS22" s="1198"/>
      <c r="AT22" s="1198"/>
      <c r="AU22" s="1198"/>
      <c r="AV22" s="1198"/>
      <c r="AW22" s="1198"/>
      <c r="AX22" s="1198"/>
      <c r="AY22" s="1198"/>
      <c r="AZ22" s="1198"/>
    </row>
    <row r="23" spans="2:52" s="602" customFormat="1" ht="30.75" customHeight="1">
      <c r="O23" s="1200"/>
    </row>
    <row r="24" spans="2:52" s="168" customFormat="1" ht="14">
      <c r="B24" s="169" t="s">
        <v>847</v>
      </c>
      <c r="Q24" s="169" t="s">
        <v>766</v>
      </c>
      <c r="AF24" s="169" t="s">
        <v>783</v>
      </c>
    </row>
    <row r="25" spans="2:52" s="168" customFormat="1" ht="21.75" customHeight="1">
      <c r="B25" s="169" t="s">
        <v>748</v>
      </c>
      <c r="F25" s="1959" t="str">
        <f>activesheet!E29</f>
        <v>RICO S. MISPEROS</v>
      </c>
      <c r="G25" s="1959"/>
      <c r="H25" s="1959"/>
      <c r="I25" s="1959"/>
      <c r="J25" s="1959"/>
      <c r="K25" s="1959"/>
      <c r="L25" s="1959"/>
      <c r="M25" s="1959"/>
      <c r="N25" s="1959"/>
      <c r="Q25" s="1959" t="str">
        <f>activesheet!E2965</f>
        <v>PARA D. TALIP</v>
      </c>
      <c r="R25" s="1959"/>
      <c r="S25" s="1959"/>
      <c r="T25" s="1959"/>
      <c r="U25" s="1959"/>
      <c r="V25" s="1959"/>
      <c r="W25" s="1959"/>
      <c r="X25" s="1959"/>
      <c r="Y25" s="1959"/>
      <c r="Z25" s="1959"/>
      <c r="AA25" s="1959"/>
      <c r="AB25" s="1959"/>
      <c r="AC25" s="1959"/>
      <c r="AF25" s="1956" t="str">
        <f>activesheet!E31</f>
        <v>MICHAEL T. JAMIS</v>
      </c>
      <c r="AG25" s="1956"/>
      <c r="AH25" s="1956"/>
      <c r="AI25" s="1956"/>
      <c r="AJ25" s="1956"/>
      <c r="AK25" s="1956"/>
      <c r="AL25" s="1956"/>
      <c r="AM25" s="1956"/>
      <c r="AN25" s="1956"/>
      <c r="AO25" s="1956"/>
      <c r="AP25" s="1956"/>
      <c r="AQ25" s="1956"/>
      <c r="AR25" s="1956"/>
    </row>
    <row r="26" spans="2:52" s="156" customFormat="1" ht="14">
      <c r="B26" s="655"/>
      <c r="F26" s="1764" t="s">
        <v>741</v>
      </c>
      <c r="G26" s="1764"/>
      <c r="H26" s="1764"/>
      <c r="I26" s="1764"/>
      <c r="J26" s="1764"/>
      <c r="K26" s="1764"/>
      <c r="L26" s="1764"/>
      <c r="M26" s="1764"/>
      <c r="N26" s="1764"/>
      <c r="O26" s="152"/>
      <c r="P26" s="152"/>
      <c r="Q26" s="1764" t="s">
        <v>741</v>
      </c>
      <c r="R26" s="1764"/>
      <c r="S26" s="1764"/>
      <c r="T26" s="1764"/>
      <c r="U26" s="1764"/>
      <c r="V26" s="1764"/>
      <c r="W26" s="1764"/>
      <c r="X26" s="1764"/>
      <c r="Y26" s="1764"/>
      <c r="Z26" s="1764"/>
      <c r="AA26" s="1764"/>
      <c r="AB26" s="1764"/>
      <c r="AC26" s="1764"/>
      <c r="AF26" s="1957"/>
      <c r="AG26" s="1957"/>
      <c r="AH26" s="1957"/>
      <c r="AI26" s="1957"/>
      <c r="AJ26" s="1957"/>
      <c r="AK26" s="1957"/>
      <c r="AL26" s="1957"/>
      <c r="AM26" s="1957"/>
      <c r="AN26" s="1957"/>
      <c r="AO26" s="1957"/>
      <c r="AP26" s="1957"/>
      <c r="AQ26" s="1957"/>
      <c r="AR26" s="1957"/>
      <c r="AS26" s="168"/>
      <c r="AT26" s="168"/>
    </row>
    <row r="27" spans="2:52" s="168" customFormat="1" ht="21.75" customHeight="1">
      <c r="B27" s="169" t="s">
        <v>71</v>
      </c>
      <c r="F27" s="1959" t="str">
        <f>activesheet!E30</f>
        <v>SCHOOL PRINCIPAL II</v>
      </c>
      <c r="G27" s="1959"/>
      <c r="H27" s="1959"/>
      <c r="I27" s="1959"/>
      <c r="J27" s="1959"/>
      <c r="K27" s="1959"/>
      <c r="L27" s="1959"/>
      <c r="M27" s="1959"/>
      <c r="N27" s="1959"/>
      <c r="Q27" s="169" t="s">
        <v>71</v>
      </c>
      <c r="U27" s="1959" t="str">
        <f>activesheet!E2966</f>
        <v>Education Program Supervisor</v>
      </c>
      <c r="V27" s="1959"/>
      <c r="W27" s="1959"/>
      <c r="X27" s="1959"/>
      <c r="Y27" s="1959"/>
      <c r="Z27" s="1959"/>
      <c r="AA27" s="1959"/>
      <c r="AB27" s="1959"/>
      <c r="AC27" s="1959"/>
      <c r="AF27" s="1764" t="s">
        <v>741</v>
      </c>
      <c r="AG27" s="1764"/>
      <c r="AH27" s="1764"/>
      <c r="AI27" s="1764"/>
      <c r="AJ27" s="1764"/>
      <c r="AK27" s="1764"/>
      <c r="AL27" s="1764"/>
      <c r="AM27" s="1764"/>
      <c r="AN27" s="1764"/>
      <c r="AO27" s="1764"/>
      <c r="AP27" s="1764"/>
      <c r="AQ27" s="1764"/>
      <c r="AR27" s="1764"/>
      <c r="AS27" s="153"/>
      <c r="AT27" s="153"/>
    </row>
    <row r="28" spans="2:52">
      <c r="B28" s="3570"/>
      <c r="C28" s="3570"/>
      <c r="D28" s="3570"/>
      <c r="E28" s="3570"/>
      <c r="F28" s="3570"/>
      <c r="G28" s="3570"/>
      <c r="H28" s="3570"/>
      <c r="I28" s="3570"/>
      <c r="J28" s="3570"/>
      <c r="K28" s="3570"/>
      <c r="L28" s="3570"/>
      <c r="M28" s="3570"/>
      <c r="N28" s="3570"/>
      <c r="O28" s="3570"/>
      <c r="P28" s="3570"/>
      <c r="Q28" s="3570"/>
      <c r="R28" s="3570"/>
      <c r="S28" s="3570"/>
      <c r="T28" s="3570"/>
      <c r="U28" s="3570"/>
      <c r="V28" s="3570"/>
      <c r="W28" s="3570"/>
      <c r="X28" s="3570"/>
      <c r="Y28" s="3570"/>
      <c r="Z28" s="3570"/>
      <c r="AA28" s="3570"/>
      <c r="AB28" s="3570"/>
      <c r="AC28" s="3570"/>
      <c r="AD28" s="1201"/>
      <c r="AE28" s="1201"/>
      <c r="AF28" s="1201"/>
      <c r="AG28" s="1201"/>
      <c r="AH28" s="1201"/>
      <c r="AI28" s="1201"/>
      <c r="AJ28" s="1201"/>
      <c r="AK28" s="1201"/>
      <c r="AL28" s="1201"/>
      <c r="AM28" s="1201"/>
    </row>
  </sheetData>
  <sheetProtection algorithmName="SHA-512" hashValue="Xb6CHo/Tg56SpyoWPXyC6ExP1TZM6sLubWW4sPeTw7/Jc0FdKIrQ125Jw8aY6nbSq64rdOTOswAx56/gkeVEDw==" saltValue="sDpvGszdjC1XXtTcAnjtkw==" spinCount="100000" sheet="1" objects="1" scenarios="1" selectLockedCells="1"/>
  <mergeCells count="108">
    <mergeCell ref="AN16:AP16"/>
    <mergeCell ref="AH17:AJ17"/>
    <mergeCell ref="AK17:AM17"/>
    <mergeCell ref="AN17:AP17"/>
    <mergeCell ref="AH18:AJ18"/>
    <mergeCell ref="AK18:AM18"/>
    <mergeCell ref="AN18:AP18"/>
    <mergeCell ref="AN13:AP13"/>
    <mergeCell ref="AH14:AJ14"/>
    <mergeCell ref="AK14:AM14"/>
    <mergeCell ref="AN14:AP14"/>
    <mergeCell ref="AH15:AJ15"/>
    <mergeCell ref="AK15:AM15"/>
    <mergeCell ref="AN15:AP15"/>
    <mergeCell ref="AN10:AP10"/>
    <mergeCell ref="AH11:AJ11"/>
    <mergeCell ref="AK11:AM11"/>
    <mergeCell ref="AN11:AP11"/>
    <mergeCell ref="AH12:AJ12"/>
    <mergeCell ref="AK12:AM12"/>
    <mergeCell ref="AN12:AP12"/>
    <mergeCell ref="AN7:AP7"/>
    <mergeCell ref="AH8:AJ8"/>
    <mergeCell ref="AK8:AM8"/>
    <mergeCell ref="AN8:AP8"/>
    <mergeCell ref="AH9:AJ9"/>
    <mergeCell ref="AK9:AM9"/>
    <mergeCell ref="AN9:AP9"/>
    <mergeCell ref="AH5:AJ5"/>
    <mergeCell ref="AK5:AM5"/>
    <mergeCell ref="AN5:AP5"/>
    <mergeCell ref="AH6:AJ6"/>
    <mergeCell ref="AK6:AM6"/>
    <mergeCell ref="AN6:AP6"/>
    <mergeCell ref="O19:Q19"/>
    <mergeCell ref="R19:T19"/>
    <mergeCell ref="U19:W19"/>
    <mergeCell ref="AH7:AJ7"/>
    <mergeCell ref="AK7:AM7"/>
    <mergeCell ref="AH10:AJ10"/>
    <mergeCell ref="AK10:AM10"/>
    <mergeCell ref="AH13:AJ13"/>
    <mergeCell ref="AK13:AM13"/>
    <mergeCell ref="AH16:AJ16"/>
    <mergeCell ref="AK16:AM16"/>
    <mergeCell ref="O17:Q17"/>
    <mergeCell ref="R17:T17"/>
    <mergeCell ref="U17:W17"/>
    <mergeCell ref="O18:Q18"/>
    <mergeCell ref="R18:T18"/>
    <mergeCell ref="U18:W18"/>
    <mergeCell ref="O15:Q15"/>
    <mergeCell ref="R15:T15"/>
    <mergeCell ref="U15:W15"/>
    <mergeCell ref="O16:Q16"/>
    <mergeCell ref="R16:T16"/>
    <mergeCell ref="U16:W16"/>
    <mergeCell ref="O13:Q13"/>
    <mergeCell ref="R13:T13"/>
    <mergeCell ref="U13:W13"/>
    <mergeCell ref="O14:Q14"/>
    <mergeCell ref="R14:T14"/>
    <mergeCell ref="U14:W14"/>
    <mergeCell ref="O12:Q12"/>
    <mergeCell ref="R12:T12"/>
    <mergeCell ref="U12:W12"/>
    <mergeCell ref="U8:W8"/>
    <mergeCell ref="O9:Q9"/>
    <mergeCell ref="R9:T9"/>
    <mergeCell ref="U9:W9"/>
    <mergeCell ref="O10:Q10"/>
    <mergeCell ref="R10:T10"/>
    <mergeCell ref="U10:W10"/>
    <mergeCell ref="O6:Q6"/>
    <mergeCell ref="R6:T6"/>
    <mergeCell ref="U6:W6"/>
    <mergeCell ref="O7:Q7"/>
    <mergeCell ref="R7:T7"/>
    <mergeCell ref="U7:W7"/>
    <mergeCell ref="O8:Q8"/>
    <mergeCell ref="R8:T8"/>
    <mergeCell ref="O11:Q11"/>
    <mergeCell ref="R11:T11"/>
    <mergeCell ref="U11:W11"/>
    <mergeCell ref="B28:AC28"/>
    <mergeCell ref="E4:N4"/>
    <mergeCell ref="O4:Q4"/>
    <mergeCell ref="R4:T4"/>
    <mergeCell ref="U4:W4"/>
    <mergeCell ref="X4:AG4"/>
    <mergeCell ref="F21:AP21"/>
    <mergeCell ref="F22:AP22"/>
    <mergeCell ref="F25:N25"/>
    <mergeCell ref="Q25:AC25"/>
    <mergeCell ref="AF25:AR26"/>
    <mergeCell ref="F26:N26"/>
    <mergeCell ref="Q26:AC26"/>
    <mergeCell ref="F27:N27"/>
    <mergeCell ref="U27:AC27"/>
    <mergeCell ref="AF27:AR27"/>
    <mergeCell ref="AH4:AJ4"/>
    <mergeCell ref="AK4:AM4"/>
    <mergeCell ref="AN4:AP4"/>
    <mergeCell ref="X19:AP19"/>
    <mergeCell ref="F20:AP20"/>
    <mergeCell ref="O5:Q5"/>
    <mergeCell ref="R5:T5"/>
    <mergeCell ref="U5:W5"/>
  </mergeCells>
  <printOptions horizontalCentered="1" verticalCentered="1"/>
  <pageMargins left="0.25" right="0.25" top="0.2" bottom="0.2" header="0" footer="0.1"/>
  <pageSetup paperSize="9" scale="73" orientation="landscape" r:id="rId1"/>
  <headerFooter alignWithMargins="0">
    <oddFooter>&amp;L&amp;10&amp;F &amp;A&amp;R&amp;11Page 39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5649" r:id="rId4" name="Check Box 1">
              <controlPr locked="0" defaultSize="0" autoFill="0" autoLine="0" autoPict="0">
                <anchor moveWithCells="1">
                  <from>
                    <xdr:col>15</xdr:col>
                    <xdr:colOff>31750</xdr:colOff>
                    <xdr:row>4</xdr:row>
                    <xdr:rowOff>88900</xdr:rowOff>
                  </from>
                  <to>
                    <xdr:col>17</xdr:col>
                    <xdr:colOff>241300</xdr:colOff>
                    <xdr:row>4</xdr:row>
                    <xdr:rowOff>298450</xdr:rowOff>
                  </to>
                </anchor>
              </controlPr>
            </control>
          </mc:Choice>
        </mc:AlternateContent>
        <mc:AlternateContent xmlns:mc="http://schemas.openxmlformats.org/markup-compatibility/2006">
          <mc:Choice Requires="x14">
            <control shapeId="155651" r:id="rId5" name="Check Box 3">
              <controlPr locked="0" defaultSize="0" autoFill="0" autoLine="0" autoPict="0">
                <anchor moveWithCells="1">
                  <from>
                    <xdr:col>15</xdr:col>
                    <xdr:colOff>31750</xdr:colOff>
                    <xdr:row>5</xdr:row>
                    <xdr:rowOff>76200</xdr:rowOff>
                  </from>
                  <to>
                    <xdr:col>16</xdr:col>
                    <xdr:colOff>0</xdr:colOff>
                    <xdr:row>5</xdr:row>
                    <xdr:rowOff>317500</xdr:rowOff>
                  </to>
                </anchor>
              </controlPr>
            </control>
          </mc:Choice>
        </mc:AlternateContent>
        <mc:AlternateContent xmlns:mc="http://schemas.openxmlformats.org/markup-compatibility/2006">
          <mc:Choice Requires="x14">
            <control shapeId="155653" r:id="rId6" name="Check Box 5">
              <controlPr locked="0" defaultSize="0" autoFill="0" autoLine="0" autoPict="0">
                <anchor moveWithCells="1">
                  <from>
                    <xdr:col>15</xdr:col>
                    <xdr:colOff>31750</xdr:colOff>
                    <xdr:row>6</xdr:row>
                    <xdr:rowOff>76200</xdr:rowOff>
                  </from>
                  <to>
                    <xdr:col>15</xdr:col>
                    <xdr:colOff>279400</xdr:colOff>
                    <xdr:row>6</xdr:row>
                    <xdr:rowOff>317500</xdr:rowOff>
                  </to>
                </anchor>
              </controlPr>
            </control>
          </mc:Choice>
        </mc:AlternateContent>
        <mc:AlternateContent xmlns:mc="http://schemas.openxmlformats.org/markup-compatibility/2006">
          <mc:Choice Requires="x14">
            <control shapeId="155654" r:id="rId7" name="Check Box 6">
              <controlPr locked="0" defaultSize="0" autoFill="0" autoLine="0" autoPict="0">
                <anchor moveWithCells="1">
                  <from>
                    <xdr:col>15</xdr:col>
                    <xdr:colOff>12700</xdr:colOff>
                    <xdr:row>7</xdr:row>
                    <xdr:rowOff>76200</xdr:rowOff>
                  </from>
                  <to>
                    <xdr:col>15</xdr:col>
                    <xdr:colOff>260350</xdr:colOff>
                    <xdr:row>7</xdr:row>
                    <xdr:rowOff>317500</xdr:rowOff>
                  </to>
                </anchor>
              </controlPr>
            </control>
          </mc:Choice>
        </mc:AlternateContent>
        <mc:AlternateContent xmlns:mc="http://schemas.openxmlformats.org/markup-compatibility/2006">
          <mc:Choice Requires="x14">
            <control shapeId="155655" r:id="rId8" name="Check Box 7">
              <controlPr locked="0" defaultSize="0" autoFill="0" autoLine="0" autoPict="0">
                <anchor moveWithCells="1">
                  <from>
                    <xdr:col>15</xdr:col>
                    <xdr:colOff>12700</xdr:colOff>
                    <xdr:row>8</xdr:row>
                    <xdr:rowOff>76200</xdr:rowOff>
                  </from>
                  <to>
                    <xdr:col>15</xdr:col>
                    <xdr:colOff>260350</xdr:colOff>
                    <xdr:row>8</xdr:row>
                    <xdr:rowOff>317500</xdr:rowOff>
                  </to>
                </anchor>
              </controlPr>
            </control>
          </mc:Choice>
        </mc:AlternateContent>
        <mc:AlternateContent xmlns:mc="http://schemas.openxmlformats.org/markup-compatibility/2006">
          <mc:Choice Requires="x14">
            <control shapeId="155656" r:id="rId9" name="Check Box 8">
              <controlPr locked="0" defaultSize="0" autoFill="0" autoLine="0" autoPict="0">
                <anchor moveWithCells="1">
                  <from>
                    <xdr:col>15</xdr:col>
                    <xdr:colOff>12700</xdr:colOff>
                    <xdr:row>9</xdr:row>
                    <xdr:rowOff>76200</xdr:rowOff>
                  </from>
                  <to>
                    <xdr:col>15</xdr:col>
                    <xdr:colOff>260350</xdr:colOff>
                    <xdr:row>9</xdr:row>
                    <xdr:rowOff>317500</xdr:rowOff>
                  </to>
                </anchor>
              </controlPr>
            </control>
          </mc:Choice>
        </mc:AlternateContent>
        <mc:AlternateContent xmlns:mc="http://schemas.openxmlformats.org/markup-compatibility/2006">
          <mc:Choice Requires="x14">
            <control shapeId="155657" r:id="rId10" name="Check Box 9">
              <controlPr locked="0" defaultSize="0" autoFill="0" autoLine="0" autoPict="0">
                <anchor moveWithCells="1">
                  <from>
                    <xdr:col>15</xdr:col>
                    <xdr:colOff>12700</xdr:colOff>
                    <xdr:row>10</xdr:row>
                    <xdr:rowOff>76200</xdr:rowOff>
                  </from>
                  <to>
                    <xdr:col>15</xdr:col>
                    <xdr:colOff>260350</xdr:colOff>
                    <xdr:row>10</xdr:row>
                    <xdr:rowOff>317500</xdr:rowOff>
                  </to>
                </anchor>
              </controlPr>
            </control>
          </mc:Choice>
        </mc:AlternateContent>
        <mc:AlternateContent xmlns:mc="http://schemas.openxmlformats.org/markup-compatibility/2006">
          <mc:Choice Requires="x14">
            <control shapeId="155658" r:id="rId11" name="Check Box 10">
              <controlPr locked="0" defaultSize="0" autoFill="0" autoLine="0" autoPict="0">
                <anchor moveWithCells="1">
                  <from>
                    <xdr:col>15</xdr:col>
                    <xdr:colOff>12700</xdr:colOff>
                    <xdr:row>11</xdr:row>
                    <xdr:rowOff>76200</xdr:rowOff>
                  </from>
                  <to>
                    <xdr:col>15</xdr:col>
                    <xdr:colOff>260350</xdr:colOff>
                    <xdr:row>11</xdr:row>
                    <xdr:rowOff>317500</xdr:rowOff>
                  </to>
                </anchor>
              </controlPr>
            </control>
          </mc:Choice>
        </mc:AlternateContent>
        <mc:AlternateContent xmlns:mc="http://schemas.openxmlformats.org/markup-compatibility/2006">
          <mc:Choice Requires="x14">
            <control shapeId="155659" r:id="rId12" name="Check Box 11">
              <controlPr locked="0" defaultSize="0" autoFill="0" autoLine="0" autoPict="0">
                <anchor moveWithCells="1">
                  <from>
                    <xdr:col>15</xdr:col>
                    <xdr:colOff>12700</xdr:colOff>
                    <xdr:row>12</xdr:row>
                    <xdr:rowOff>76200</xdr:rowOff>
                  </from>
                  <to>
                    <xdr:col>15</xdr:col>
                    <xdr:colOff>260350</xdr:colOff>
                    <xdr:row>12</xdr:row>
                    <xdr:rowOff>317500</xdr:rowOff>
                  </to>
                </anchor>
              </controlPr>
            </control>
          </mc:Choice>
        </mc:AlternateContent>
        <mc:AlternateContent xmlns:mc="http://schemas.openxmlformats.org/markup-compatibility/2006">
          <mc:Choice Requires="x14">
            <control shapeId="155660" r:id="rId13" name="Check Box 12">
              <controlPr locked="0" defaultSize="0" autoFill="0" autoLine="0" autoPict="0">
                <anchor moveWithCells="1">
                  <from>
                    <xdr:col>15</xdr:col>
                    <xdr:colOff>12700</xdr:colOff>
                    <xdr:row>13</xdr:row>
                    <xdr:rowOff>76200</xdr:rowOff>
                  </from>
                  <to>
                    <xdr:col>15</xdr:col>
                    <xdr:colOff>260350</xdr:colOff>
                    <xdr:row>13</xdr:row>
                    <xdr:rowOff>317500</xdr:rowOff>
                  </to>
                </anchor>
              </controlPr>
            </control>
          </mc:Choice>
        </mc:AlternateContent>
        <mc:AlternateContent xmlns:mc="http://schemas.openxmlformats.org/markup-compatibility/2006">
          <mc:Choice Requires="x14">
            <control shapeId="155661" r:id="rId14" name="Check Box 13">
              <controlPr locked="0" defaultSize="0" autoFill="0" autoLine="0" autoPict="0">
                <anchor moveWithCells="1">
                  <from>
                    <xdr:col>15</xdr:col>
                    <xdr:colOff>12700</xdr:colOff>
                    <xdr:row>14</xdr:row>
                    <xdr:rowOff>76200</xdr:rowOff>
                  </from>
                  <to>
                    <xdr:col>15</xdr:col>
                    <xdr:colOff>260350</xdr:colOff>
                    <xdr:row>14</xdr:row>
                    <xdr:rowOff>317500</xdr:rowOff>
                  </to>
                </anchor>
              </controlPr>
            </control>
          </mc:Choice>
        </mc:AlternateContent>
        <mc:AlternateContent xmlns:mc="http://schemas.openxmlformats.org/markup-compatibility/2006">
          <mc:Choice Requires="x14">
            <control shapeId="155662" r:id="rId15" name="Check Box 14">
              <controlPr locked="0" defaultSize="0" autoFill="0" autoLine="0" autoPict="0">
                <anchor moveWithCells="1">
                  <from>
                    <xdr:col>15</xdr:col>
                    <xdr:colOff>12700</xdr:colOff>
                    <xdr:row>15</xdr:row>
                    <xdr:rowOff>76200</xdr:rowOff>
                  </from>
                  <to>
                    <xdr:col>15</xdr:col>
                    <xdr:colOff>260350</xdr:colOff>
                    <xdr:row>15</xdr:row>
                    <xdr:rowOff>317500</xdr:rowOff>
                  </to>
                </anchor>
              </controlPr>
            </control>
          </mc:Choice>
        </mc:AlternateContent>
        <mc:AlternateContent xmlns:mc="http://schemas.openxmlformats.org/markup-compatibility/2006">
          <mc:Choice Requires="x14">
            <control shapeId="155663" r:id="rId16" name="Check Box 15">
              <controlPr locked="0" defaultSize="0" autoFill="0" autoLine="0" autoPict="0">
                <anchor moveWithCells="1">
                  <from>
                    <xdr:col>15</xdr:col>
                    <xdr:colOff>12700</xdr:colOff>
                    <xdr:row>16</xdr:row>
                    <xdr:rowOff>76200</xdr:rowOff>
                  </from>
                  <to>
                    <xdr:col>15</xdr:col>
                    <xdr:colOff>260350</xdr:colOff>
                    <xdr:row>16</xdr:row>
                    <xdr:rowOff>317500</xdr:rowOff>
                  </to>
                </anchor>
              </controlPr>
            </control>
          </mc:Choice>
        </mc:AlternateContent>
        <mc:AlternateContent xmlns:mc="http://schemas.openxmlformats.org/markup-compatibility/2006">
          <mc:Choice Requires="x14">
            <control shapeId="155664" r:id="rId17" name="Check Box 16">
              <controlPr locked="0" defaultSize="0" autoFill="0" autoLine="0" autoPict="0">
                <anchor moveWithCells="1">
                  <from>
                    <xdr:col>15</xdr:col>
                    <xdr:colOff>12700</xdr:colOff>
                    <xdr:row>17</xdr:row>
                    <xdr:rowOff>76200</xdr:rowOff>
                  </from>
                  <to>
                    <xdr:col>15</xdr:col>
                    <xdr:colOff>260350</xdr:colOff>
                    <xdr:row>17</xdr:row>
                    <xdr:rowOff>317500</xdr:rowOff>
                  </to>
                </anchor>
              </controlPr>
            </control>
          </mc:Choice>
        </mc:AlternateContent>
        <mc:AlternateContent xmlns:mc="http://schemas.openxmlformats.org/markup-compatibility/2006">
          <mc:Choice Requires="x14">
            <control shapeId="155665" r:id="rId18" name="Check Box 17">
              <controlPr locked="0" defaultSize="0" autoFill="0" autoLine="0" autoPict="0">
                <anchor moveWithCells="1">
                  <from>
                    <xdr:col>15</xdr:col>
                    <xdr:colOff>12700</xdr:colOff>
                    <xdr:row>18</xdr:row>
                    <xdr:rowOff>76200</xdr:rowOff>
                  </from>
                  <to>
                    <xdr:col>15</xdr:col>
                    <xdr:colOff>260350</xdr:colOff>
                    <xdr:row>18</xdr:row>
                    <xdr:rowOff>317500</xdr:rowOff>
                  </to>
                </anchor>
              </controlPr>
            </control>
          </mc:Choice>
        </mc:AlternateContent>
        <mc:AlternateContent xmlns:mc="http://schemas.openxmlformats.org/markup-compatibility/2006">
          <mc:Choice Requires="x14">
            <control shapeId="155666" r:id="rId19" name="Check Box 18">
              <controlPr locked="0" defaultSize="0" autoFill="0" autoLine="0" autoPict="0">
                <anchor moveWithCells="1">
                  <from>
                    <xdr:col>18</xdr:col>
                    <xdr:colOff>12700</xdr:colOff>
                    <xdr:row>4</xdr:row>
                    <xdr:rowOff>76200</xdr:rowOff>
                  </from>
                  <to>
                    <xdr:col>18</xdr:col>
                    <xdr:colOff>266700</xdr:colOff>
                    <xdr:row>4</xdr:row>
                    <xdr:rowOff>317500</xdr:rowOff>
                  </to>
                </anchor>
              </controlPr>
            </control>
          </mc:Choice>
        </mc:AlternateContent>
        <mc:AlternateContent xmlns:mc="http://schemas.openxmlformats.org/markup-compatibility/2006">
          <mc:Choice Requires="x14">
            <control shapeId="155667" r:id="rId20" name="Check Box 19">
              <controlPr locked="0" defaultSize="0" autoFill="0" autoLine="0" autoPict="0">
                <anchor moveWithCells="1">
                  <from>
                    <xdr:col>18</xdr:col>
                    <xdr:colOff>12700</xdr:colOff>
                    <xdr:row>5</xdr:row>
                    <xdr:rowOff>76200</xdr:rowOff>
                  </from>
                  <to>
                    <xdr:col>18</xdr:col>
                    <xdr:colOff>266700</xdr:colOff>
                    <xdr:row>5</xdr:row>
                    <xdr:rowOff>317500</xdr:rowOff>
                  </to>
                </anchor>
              </controlPr>
            </control>
          </mc:Choice>
        </mc:AlternateContent>
        <mc:AlternateContent xmlns:mc="http://schemas.openxmlformats.org/markup-compatibility/2006">
          <mc:Choice Requires="x14">
            <control shapeId="155668" r:id="rId21" name="Check Box 20">
              <controlPr locked="0" defaultSize="0" autoFill="0" autoLine="0" autoPict="0">
                <anchor moveWithCells="1">
                  <from>
                    <xdr:col>18</xdr:col>
                    <xdr:colOff>12700</xdr:colOff>
                    <xdr:row>6</xdr:row>
                    <xdr:rowOff>76200</xdr:rowOff>
                  </from>
                  <to>
                    <xdr:col>18</xdr:col>
                    <xdr:colOff>266700</xdr:colOff>
                    <xdr:row>6</xdr:row>
                    <xdr:rowOff>317500</xdr:rowOff>
                  </to>
                </anchor>
              </controlPr>
            </control>
          </mc:Choice>
        </mc:AlternateContent>
        <mc:AlternateContent xmlns:mc="http://schemas.openxmlformats.org/markup-compatibility/2006">
          <mc:Choice Requires="x14">
            <control shapeId="155669" r:id="rId22" name="Check Box 21">
              <controlPr locked="0" defaultSize="0" autoFill="0" autoLine="0" autoPict="0">
                <anchor moveWithCells="1">
                  <from>
                    <xdr:col>18</xdr:col>
                    <xdr:colOff>12700</xdr:colOff>
                    <xdr:row>7</xdr:row>
                    <xdr:rowOff>76200</xdr:rowOff>
                  </from>
                  <to>
                    <xdr:col>18</xdr:col>
                    <xdr:colOff>266700</xdr:colOff>
                    <xdr:row>7</xdr:row>
                    <xdr:rowOff>317500</xdr:rowOff>
                  </to>
                </anchor>
              </controlPr>
            </control>
          </mc:Choice>
        </mc:AlternateContent>
        <mc:AlternateContent xmlns:mc="http://schemas.openxmlformats.org/markup-compatibility/2006">
          <mc:Choice Requires="x14">
            <control shapeId="155670" r:id="rId23" name="Check Box 22">
              <controlPr locked="0" defaultSize="0" autoFill="0" autoLine="0" autoPict="0">
                <anchor moveWithCells="1">
                  <from>
                    <xdr:col>18</xdr:col>
                    <xdr:colOff>12700</xdr:colOff>
                    <xdr:row>8</xdr:row>
                    <xdr:rowOff>76200</xdr:rowOff>
                  </from>
                  <to>
                    <xdr:col>18</xdr:col>
                    <xdr:colOff>266700</xdr:colOff>
                    <xdr:row>8</xdr:row>
                    <xdr:rowOff>317500</xdr:rowOff>
                  </to>
                </anchor>
              </controlPr>
            </control>
          </mc:Choice>
        </mc:AlternateContent>
        <mc:AlternateContent xmlns:mc="http://schemas.openxmlformats.org/markup-compatibility/2006">
          <mc:Choice Requires="x14">
            <control shapeId="155671" r:id="rId24" name="Check Box 23">
              <controlPr locked="0" defaultSize="0" autoFill="0" autoLine="0" autoPict="0">
                <anchor moveWithCells="1">
                  <from>
                    <xdr:col>18</xdr:col>
                    <xdr:colOff>12700</xdr:colOff>
                    <xdr:row>9</xdr:row>
                    <xdr:rowOff>76200</xdr:rowOff>
                  </from>
                  <to>
                    <xdr:col>18</xdr:col>
                    <xdr:colOff>266700</xdr:colOff>
                    <xdr:row>9</xdr:row>
                    <xdr:rowOff>317500</xdr:rowOff>
                  </to>
                </anchor>
              </controlPr>
            </control>
          </mc:Choice>
        </mc:AlternateContent>
        <mc:AlternateContent xmlns:mc="http://schemas.openxmlformats.org/markup-compatibility/2006">
          <mc:Choice Requires="x14">
            <control shapeId="155672" r:id="rId25" name="Check Box 24">
              <controlPr locked="0" defaultSize="0" autoFill="0" autoLine="0" autoPict="0">
                <anchor moveWithCells="1">
                  <from>
                    <xdr:col>18</xdr:col>
                    <xdr:colOff>12700</xdr:colOff>
                    <xdr:row>10</xdr:row>
                    <xdr:rowOff>76200</xdr:rowOff>
                  </from>
                  <to>
                    <xdr:col>18</xdr:col>
                    <xdr:colOff>266700</xdr:colOff>
                    <xdr:row>10</xdr:row>
                    <xdr:rowOff>317500</xdr:rowOff>
                  </to>
                </anchor>
              </controlPr>
            </control>
          </mc:Choice>
        </mc:AlternateContent>
        <mc:AlternateContent xmlns:mc="http://schemas.openxmlformats.org/markup-compatibility/2006">
          <mc:Choice Requires="x14">
            <control shapeId="155673" r:id="rId26" name="Check Box 25">
              <controlPr locked="0" defaultSize="0" autoFill="0" autoLine="0" autoPict="0">
                <anchor moveWithCells="1">
                  <from>
                    <xdr:col>18</xdr:col>
                    <xdr:colOff>12700</xdr:colOff>
                    <xdr:row>11</xdr:row>
                    <xdr:rowOff>76200</xdr:rowOff>
                  </from>
                  <to>
                    <xdr:col>18</xdr:col>
                    <xdr:colOff>266700</xdr:colOff>
                    <xdr:row>11</xdr:row>
                    <xdr:rowOff>317500</xdr:rowOff>
                  </to>
                </anchor>
              </controlPr>
            </control>
          </mc:Choice>
        </mc:AlternateContent>
        <mc:AlternateContent xmlns:mc="http://schemas.openxmlformats.org/markup-compatibility/2006">
          <mc:Choice Requires="x14">
            <control shapeId="155674" r:id="rId27" name="Check Box 26">
              <controlPr locked="0" defaultSize="0" autoFill="0" autoLine="0" autoPict="0">
                <anchor moveWithCells="1">
                  <from>
                    <xdr:col>18</xdr:col>
                    <xdr:colOff>12700</xdr:colOff>
                    <xdr:row>12</xdr:row>
                    <xdr:rowOff>76200</xdr:rowOff>
                  </from>
                  <to>
                    <xdr:col>18</xdr:col>
                    <xdr:colOff>266700</xdr:colOff>
                    <xdr:row>12</xdr:row>
                    <xdr:rowOff>317500</xdr:rowOff>
                  </to>
                </anchor>
              </controlPr>
            </control>
          </mc:Choice>
        </mc:AlternateContent>
        <mc:AlternateContent xmlns:mc="http://schemas.openxmlformats.org/markup-compatibility/2006">
          <mc:Choice Requires="x14">
            <control shapeId="155675" r:id="rId28" name="Check Box 27">
              <controlPr locked="0" defaultSize="0" autoFill="0" autoLine="0" autoPict="0">
                <anchor moveWithCells="1">
                  <from>
                    <xdr:col>18</xdr:col>
                    <xdr:colOff>12700</xdr:colOff>
                    <xdr:row>13</xdr:row>
                    <xdr:rowOff>76200</xdr:rowOff>
                  </from>
                  <to>
                    <xdr:col>18</xdr:col>
                    <xdr:colOff>266700</xdr:colOff>
                    <xdr:row>13</xdr:row>
                    <xdr:rowOff>317500</xdr:rowOff>
                  </to>
                </anchor>
              </controlPr>
            </control>
          </mc:Choice>
        </mc:AlternateContent>
        <mc:AlternateContent xmlns:mc="http://schemas.openxmlformats.org/markup-compatibility/2006">
          <mc:Choice Requires="x14">
            <control shapeId="155676" r:id="rId29" name="Check Box 28">
              <controlPr locked="0" defaultSize="0" autoFill="0" autoLine="0" autoPict="0">
                <anchor moveWithCells="1">
                  <from>
                    <xdr:col>18</xdr:col>
                    <xdr:colOff>12700</xdr:colOff>
                    <xdr:row>14</xdr:row>
                    <xdr:rowOff>76200</xdr:rowOff>
                  </from>
                  <to>
                    <xdr:col>18</xdr:col>
                    <xdr:colOff>266700</xdr:colOff>
                    <xdr:row>14</xdr:row>
                    <xdr:rowOff>317500</xdr:rowOff>
                  </to>
                </anchor>
              </controlPr>
            </control>
          </mc:Choice>
        </mc:AlternateContent>
        <mc:AlternateContent xmlns:mc="http://schemas.openxmlformats.org/markup-compatibility/2006">
          <mc:Choice Requires="x14">
            <control shapeId="155677" r:id="rId30" name="Check Box 29">
              <controlPr locked="0" defaultSize="0" autoFill="0" autoLine="0" autoPict="0">
                <anchor moveWithCells="1">
                  <from>
                    <xdr:col>18</xdr:col>
                    <xdr:colOff>12700</xdr:colOff>
                    <xdr:row>15</xdr:row>
                    <xdr:rowOff>76200</xdr:rowOff>
                  </from>
                  <to>
                    <xdr:col>18</xdr:col>
                    <xdr:colOff>266700</xdr:colOff>
                    <xdr:row>15</xdr:row>
                    <xdr:rowOff>317500</xdr:rowOff>
                  </to>
                </anchor>
              </controlPr>
            </control>
          </mc:Choice>
        </mc:AlternateContent>
        <mc:AlternateContent xmlns:mc="http://schemas.openxmlformats.org/markup-compatibility/2006">
          <mc:Choice Requires="x14">
            <control shapeId="155678" r:id="rId31" name="Check Box 30">
              <controlPr locked="0" defaultSize="0" autoFill="0" autoLine="0" autoPict="0">
                <anchor moveWithCells="1">
                  <from>
                    <xdr:col>18</xdr:col>
                    <xdr:colOff>12700</xdr:colOff>
                    <xdr:row>16</xdr:row>
                    <xdr:rowOff>76200</xdr:rowOff>
                  </from>
                  <to>
                    <xdr:col>18</xdr:col>
                    <xdr:colOff>266700</xdr:colOff>
                    <xdr:row>16</xdr:row>
                    <xdr:rowOff>317500</xdr:rowOff>
                  </to>
                </anchor>
              </controlPr>
            </control>
          </mc:Choice>
        </mc:AlternateContent>
        <mc:AlternateContent xmlns:mc="http://schemas.openxmlformats.org/markup-compatibility/2006">
          <mc:Choice Requires="x14">
            <control shapeId="155679" r:id="rId32" name="Check Box 31">
              <controlPr locked="0" defaultSize="0" autoFill="0" autoLine="0" autoPict="0">
                <anchor moveWithCells="1">
                  <from>
                    <xdr:col>18</xdr:col>
                    <xdr:colOff>12700</xdr:colOff>
                    <xdr:row>17</xdr:row>
                    <xdr:rowOff>76200</xdr:rowOff>
                  </from>
                  <to>
                    <xdr:col>18</xdr:col>
                    <xdr:colOff>266700</xdr:colOff>
                    <xdr:row>17</xdr:row>
                    <xdr:rowOff>317500</xdr:rowOff>
                  </to>
                </anchor>
              </controlPr>
            </control>
          </mc:Choice>
        </mc:AlternateContent>
        <mc:AlternateContent xmlns:mc="http://schemas.openxmlformats.org/markup-compatibility/2006">
          <mc:Choice Requires="x14">
            <control shapeId="155680" r:id="rId33" name="Check Box 32">
              <controlPr locked="0" defaultSize="0" autoFill="0" autoLine="0" autoPict="0">
                <anchor moveWithCells="1">
                  <from>
                    <xdr:col>18</xdr:col>
                    <xdr:colOff>12700</xdr:colOff>
                    <xdr:row>18</xdr:row>
                    <xdr:rowOff>76200</xdr:rowOff>
                  </from>
                  <to>
                    <xdr:col>18</xdr:col>
                    <xdr:colOff>266700</xdr:colOff>
                    <xdr:row>18</xdr:row>
                    <xdr:rowOff>317500</xdr:rowOff>
                  </to>
                </anchor>
              </controlPr>
            </control>
          </mc:Choice>
        </mc:AlternateContent>
        <mc:AlternateContent xmlns:mc="http://schemas.openxmlformats.org/markup-compatibility/2006">
          <mc:Choice Requires="x14">
            <control shapeId="155681" r:id="rId34" name="Check Box 33">
              <controlPr locked="0" defaultSize="0" autoFill="0" autoLine="0" autoPict="0">
                <anchor moveWithCells="1">
                  <from>
                    <xdr:col>20</xdr:col>
                    <xdr:colOff>266700</xdr:colOff>
                    <xdr:row>4</xdr:row>
                    <xdr:rowOff>76200</xdr:rowOff>
                  </from>
                  <to>
                    <xdr:col>21</xdr:col>
                    <xdr:colOff>241300</xdr:colOff>
                    <xdr:row>4</xdr:row>
                    <xdr:rowOff>317500</xdr:rowOff>
                  </to>
                </anchor>
              </controlPr>
            </control>
          </mc:Choice>
        </mc:AlternateContent>
        <mc:AlternateContent xmlns:mc="http://schemas.openxmlformats.org/markup-compatibility/2006">
          <mc:Choice Requires="x14">
            <control shapeId="155682" r:id="rId35" name="Check Box 34">
              <controlPr locked="0" defaultSize="0" autoFill="0" autoLine="0" autoPict="0">
                <anchor moveWithCells="1">
                  <from>
                    <xdr:col>20</xdr:col>
                    <xdr:colOff>266700</xdr:colOff>
                    <xdr:row>5</xdr:row>
                    <xdr:rowOff>76200</xdr:rowOff>
                  </from>
                  <to>
                    <xdr:col>21</xdr:col>
                    <xdr:colOff>241300</xdr:colOff>
                    <xdr:row>5</xdr:row>
                    <xdr:rowOff>317500</xdr:rowOff>
                  </to>
                </anchor>
              </controlPr>
            </control>
          </mc:Choice>
        </mc:AlternateContent>
        <mc:AlternateContent xmlns:mc="http://schemas.openxmlformats.org/markup-compatibility/2006">
          <mc:Choice Requires="x14">
            <control shapeId="155683" r:id="rId36" name="Check Box 35">
              <controlPr locked="0" defaultSize="0" autoFill="0" autoLine="0" autoPict="0">
                <anchor moveWithCells="1">
                  <from>
                    <xdr:col>20</xdr:col>
                    <xdr:colOff>266700</xdr:colOff>
                    <xdr:row>6</xdr:row>
                    <xdr:rowOff>76200</xdr:rowOff>
                  </from>
                  <to>
                    <xdr:col>21</xdr:col>
                    <xdr:colOff>241300</xdr:colOff>
                    <xdr:row>6</xdr:row>
                    <xdr:rowOff>317500</xdr:rowOff>
                  </to>
                </anchor>
              </controlPr>
            </control>
          </mc:Choice>
        </mc:AlternateContent>
        <mc:AlternateContent xmlns:mc="http://schemas.openxmlformats.org/markup-compatibility/2006">
          <mc:Choice Requires="x14">
            <control shapeId="155684" r:id="rId37" name="Check Box 36">
              <controlPr locked="0" defaultSize="0" autoFill="0" autoLine="0" autoPict="0">
                <anchor moveWithCells="1">
                  <from>
                    <xdr:col>20</xdr:col>
                    <xdr:colOff>266700</xdr:colOff>
                    <xdr:row>7</xdr:row>
                    <xdr:rowOff>76200</xdr:rowOff>
                  </from>
                  <to>
                    <xdr:col>21</xdr:col>
                    <xdr:colOff>241300</xdr:colOff>
                    <xdr:row>7</xdr:row>
                    <xdr:rowOff>317500</xdr:rowOff>
                  </to>
                </anchor>
              </controlPr>
            </control>
          </mc:Choice>
        </mc:AlternateContent>
        <mc:AlternateContent xmlns:mc="http://schemas.openxmlformats.org/markup-compatibility/2006">
          <mc:Choice Requires="x14">
            <control shapeId="155685" r:id="rId38" name="Check Box 37">
              <controlPr locked="0" defaultSize="0" autoFill="0" autoLine="0" autoPict="0">
                <anchor moveWithCells="1">
                  <from>
                    <xdr:col>20</xdr:col>
                    <xdr:colOff>266700</xdr:colOff>
                    <xdr:row>8</xdr:row>
                    <xdr:rowOff>76200</xdr:rowOff>
                  </from>
                  <to>
                    <xdr:col>21</xdr:col>
                    <xdr:colOff>241300</xdr:colOff>
                    <xdr:row>8</xdr:row>
                    <xdr:rowOff>317500</xdr:rowOff>
                  </to>
                </anchor>
              </controlPr>
            </control>
          </mc:Choice>
        </mc:AlternateContent>
        <mc:AlternateContent xmlns:mc="http://schemas.openxmlformats.org/markup-compatibility/2006">
          <mc:Choice Requires="x14">
            <control shapeId="155686" r:id="rId39" name="Check Box 38">
              <controlPr locked="0" defaultSize="0" autoFill="0" autoLine="0" autoPict="0">
                <anchor moveWithCells="1">
                  <from>
                    <xdr:col>20</xdr:col>
                    <xdr:colOff>266700</xdr:colOff>
                    <xdr:row>9</xdr:row>
                    <xdr:rowOff>76200</xdr:rowOff>
                  </from>
                  <to>
                    <xdr:col>21</xdr:col>
                    <xdr:colOff>241300</xdr:colOff>
                    <xdr:row>9</xdr:row>
                    <xdr:rowOff>317500</xdr:rowOff>
                  </to>
                </anchor>
              </controlPr>
            </control>
          </mc:Choice>
        </mc:AlternateContent>
        <mc:AlternateContent xmlns:mc="http://schemas.openxmlformats.org/markup-compatibility/2006">
          <mc:Choice Requires="x14">
            <control shapeId="155687" r:id="rId40" name="Check Box 39">
              <controlPr locked="0" defaultSize="0" autoFill="0" autoLine="0" autoPict="0">
                <anchor moveWithCells="1">
                  <from>
                    <xdr:col>20</xdr:col>
                    <xdr:colOff>266700</xdr:colOff>
                    <xdr:row>10</xdr:row>
                    <xdr:rowOff>76200</xdr:rowOff>
                  </from>
                  <to>
                    <xdr:col>21</xdr:col>
                    <xdr:colOff>241300</xdr:colOff>
                    <xdr:row>10</xdr:row>
                    <xdr:rowOff>317500</xdr:rowOff>
                  </to>
                </anchor>
              </controlPr>
            </control>
          </mc:Choice>
        </mc:AlternateContent>
        <mc:AlternateContent xmlns:mc="http://schemas.openxmlformats.org/markup-compatibility/2006">
          <mc:Choice Requires="x14">
            <control shapeId="155688" r:id="rId41" name="Check Box 40">
              <controlPr locked="0" defaultSize="0" autoFill="0" autoLine="0" autoPict="0">
                <anchor moveWithCells="1">
                  <from>
                    <xdr:col>20</xdr:col>
                    <xdr:colOff>266700</xdr:colOff>
                    <xdr:row>11</xdr:row>
                    <xdr:rowOff>76200</xdr:rowOff>
                  </from>
                  <to>
                    <xdr:col>21</xdr:col>
                    <xdr:colOff>241300</xdr:colOff>
                    <xdr:row>11</xdr:row>
                    <xdr:rowOff>317500</xdr:rowOff>
                  </to>
                </anchor>
              </controlPr>
            </control>
          </mc:Choice>
        </mc:AlternateContent>
        <mc:AlternateContent xmlns:mc="http://schemas.openxmlformats.org/markup-compatibility/2006">
          <mc:Choice Requires="x14">
            <control shapeId="155689" r:id="rId42" name="Check Box 41">
              <controlPr locked="0" defaultSize="0" autoFill="0" autoLine="0" autoPict="0">
                <anchor moveWithCells="1">
                  <from>
                    <xdr:col>20</xdr:col>
                    <xdr:colOff>266700</xdr:colOff>
                    <xdr:row>12</xdr:row>
                    <xdr:rowOff>76200</xdr:rowOff>
                  </from>
                  <to>
                    <xdr:col>21</xdr:col>
                    <xdr:colOff>241300</xdr:colOff>
                    <xdr:row>12</xdr:row>
                    <xdr:rowOff>317500</xdr:rowOff>
                  </to>
                </anchor>
              </controlPr>
            </control>
          </mc:Choice>
        </mc:AlternateContent>
        <mc:AlternateContent xmlns:mc="http://schemas.openxmlformats.org/markup-compatibility/2006">
          <mc:Choice Requires="x14">
            <control shapeId="155690" r:id="rId43" name="Check Box 42">
              <controlPr locked="0" defaultSize="0" autoFill="0" autoLine="0" autoPict="0">
                <anchor moveWithCells="1">
                  <from>
                    <xdr:col>20</xdr:col>
                    <xdr:colOff>266700</xdr:colOff>
                    <xdr:row>13</xdr:row>
                    <xdr:rowOff>76200</xdr:rowOff>
                  </from>
                  <to>
                    <xdr:col>21</xdr:col>
                    <xdr:colOff>241300</xdr:colOff>
                    <xdr:row>13</xdr:row>
                    <xdr:rowOff>317500</xdr:rowOff>
                  </to>
                </anchor>
              </controlPr>
            </control>
          </mc:Choice>
        </mc:AlternateContent>
        <mc:AlternateContent xmlns:mc="http://schemas.openxmlformats.org/markup-compatibility/2006">
          <mc:Choice Requires="x14">
            <control shapeId="155691" r:id="rId44" name="Check Box 43">
              <controlPr locked="0" defaultSize="0" autoFill="0" autoLine="0" autoPict="0">
                <anchor moveWithCells="1">
                  <from>
                    <xdr:col>20</xdr:col>
                    <xdr:colOff>266700</xdr:colOff>
                    <xdr:row>14</xdr:row>
                    <xdr:rowOff>76200</xdr:rowOff>
                  </from>
                  <to>
                    <xdr:col>21</xdr:col>
                    <xdr:colOff>241300</xdr:colOff>
                    <xdr:row>14</xdr:row>
                    <xdr:rowOff>317500</xdr:rowOff>
                  </to>
                </anchor>
              </controlPr>
            </control>
          </mc:Choice>
        </mc:AlternateContent>
        <mc:AlternateContent xmlns:mc="http://schemas.openxmlformats.org/markup-compatibility/2006">
          <mc:Choice Requires="x14">
            <control shapeId="155692" r:id="rId45" name="Check Box 44">
              <controlPr locked="0" defaultSize="0" autoFill="0" autoLine="0" autoPict="0">
                <anchor moveWithCells="1">
                  <from>
                    <xdr:col>20</xdr:col>
                    <xdr:colOff>266700</xdr:colOff>
                    <xdr:row>15</xdr:row>
                    <xdr:rowOff>76200</xdr:rowOff>
                  </from>
                  <to>
                    <xdr:col>21</xdr:col>
                    <xdr:colOff>241300</xdr:colOff>
                    <xdr:row>15</xdr:row>
                    <xdr:rowOff>317500</xdr:rowOff>
                  </to>
                </anchor>
              </controlPr>
            </control>
          </mc:Choice>
        </mc:AlternateContent>
        <mc:AlternateContent xmlns:mc="http://schemas.openxmlformats.org/markup-compatibility/2006">
          <mc:Choice Requires="x14">
            <control shapeId="155693" r:id="rId46" name="Check Box 45">
              <controlPr locked="0" defaultSize="0" autoFill="0" autoLine="0" autoPict="0">
                <anchor moveWithCells="1">
                  <from>
                    <xdr:col>20</xdr:col>
                    <xdr:colOff>266700</xdr:colOff>
                    <xdr:row>16</xdr:row>
                    <xdr:rowOff>76200</xdr:rowOff>
                  </from>
                  <to>
                    <xdr:col>21</xdr:col>
                    <xdr:colOff>241300</xdr:colOff>
                    <xdr:row>16</xdr:row>
                    <xdr:rowOff>317500</xdr:rowOff>
                  </to>
                </anchor>
              </controlPr>
            </control>
          </mc:Choice>
        </mc:AlternateContent>
        <mc:AlternateContent xmlns:mc="http://schemas.openxmlformats.org/markup-compatibility/2006">
          <mc:Choice Requires="x14">
            <control shapeId="155694" r:id="rId47" name="Check Box 46">
              <controlPr locked="0" defaultSize="0" autoFill="0" autoLine="0" autoPict="0">
                <anchor moveWithCells="1">
                  <from>
                    <xdr:col>20</xdr:col>
                    <xdr:colOff>266700</xdr:colOff>
                    <xdr:row>17</xdr:row>
                    <xdr:rowOff>76200</xdr:rowOff>
                  </from>
                  <to>
                    <xdr:col>21</xdr:col>
                    <xdr:colOff>241300</xdr:colOff>
                    <xdr:row>17</xdr:row>
                    <xdr:rowOff>317500</xdr:rowOff>
                  </to>
                </anchor>
              </controlPr>
            </control>
          </mc:Choice>
        </mc:AlternateContent>
        <mc:AlternateContent xmlns:mc="http://schemas.openxmlformats.org/markup-compatibility/2006">
          <mc:Choice Requires="x14">
            <control shapeId="155695" r:id="rId48" name="Check Box 47">
              <controlPr locked="0" defaultSize="0" autoFill="0" autoLine="0" autoPict="0">
                <anchor moveWithCells="1">
                  <from>
                    <xdr:col>20</xdr:col>
                    <xdr:colOff>266700</xdr:colOff>
                    <xdr:row>18</xdr:row>
                    <xdr:rowOff>76200</xdr:rowOff>
                  </from>
                  <to>
                    <xdr:col>21</xdr:col>
                    <xdr:colOff>241300</xdr:colOff>
                    <xdr:row>18</xdr:row>
                    <xdr:rowOff>317500</xdr:rowOff>
                  </to>
                </anchor>
              </controlPr>
            </control>
          </mc:Choice>
        </mc:AlternateContent>
        <mc:AlternateContent xmlns:mc="http://schemas.openxmlformats.org/markup-compatibility/2006">
          <mc:Choice Requires="x14">
            <control shapeId="155696" r:id="rId49" name="Check Box 48">
              <controlPr locked="0" defaultSize="0" autoFill="0" autoLine="0" autoPict="0">
                <anchor moveWithCells="1">
                  <from>
                    <xdr:col>34</xdr:col>
                    <xdr:colOff>38100</xdr:colOff>
                    <xdr:row>4</xdr:row>
                    <xdr:rowOff>76200</xdr:rowOff>
                  </from>
                  <to>
                    <xdr:col>35</xdr:col>
                    <xdr:colOff>12700</xdr:colOff>
                    <xdr:row>4</xdr:row>
                    <xdr:rowOff>317500</xdr:rowOff>
                  </to>
                </anchor>
              </controlPr>
            </control>
          </mc:Choice>
        </mc:AlternateContent>
        <mc:AlternateContent xmlns:mc="http://schemas.openxmlformats.org/markup-compatibility/2006">
          <mc:Choice Requires="x14">
            <control shapeId="155697" r:id="rId50" name="Check Box 49">
              <controlPr locked="0" defaultSize="0" autoFill="0" autoLine="0" autoPict="0">
                <anchor moveWithCells="1">
                  <from>
                    <xdr:col>34</xdr:col>
                    <xdr:colOff>31750</xdr:colOff>
                    <xdr:row>5</xdr:row>
                    <xdr:rowOff>76200</xdr:rowOff>
                  </from>
                  <to>
                    <xdr:col>35</xdr:col>
                    <xdr:colOff>12700</xdr:colOff>
                    <xdr:row>5</xdr:row>
                    <xdr:rowOff>317500</xdr:rowOff>
                  </to>
                </anchor>
              </controlPr>
            </control>
          </mc:Choice>
        </mc:AlternateContent>
        <mc:AlternateContent xmlns:mc="http://schemas.openxmlformats.org/markup-compatibility/2006">
          <mc:Choice Requires="x14">
            <control shapeId="155698" r:id="rId51" name="Check Box 50">
              <controlPr locked="0" defaultSize="0" autoFill="0" autoLine="0" autoPict="0">
                <anchor moveWithCells="1">
                  <from>
                    <xdr:col>34</xdr:col>
                    <xdr:colOff>31750</xdr:colOff>
                    <xdr:row>6</xdr:row>
                    <xdr:rowOff>76200</xdr:rowOff>
                  </from>
                  <to>
                    <xdr:col>35</xdr:col>
                    <xdr:colOff>12700</xdr:colOff>
                    <xdr:row>6</xdr:row>
                    <xdr:rowOff>317500</xdr:rowOff>
                  </to>
                </anchor>
              </controlPr>
            </control>
          </mc:Choice>
        </mc:AlternateContent>
        <mc:AlternateContent xmlns:mc="http://schemas.openxmlformats.org/markup-compatibility/2006">
          <mc:Choice Requires="x14">
            <control shapeId="155699" r:id="rId52" name="Check Box 51">
              <controlPr locked="0" defaultSize="0" autoFill="0" autoLine="0" autoPict="0">
                <anchor moveWithCells="1">
                  <from>
                    <xdr:col>34</xdr:col>
                    <xdr:colOff>31750</xdr:colOff>
                    <xdr:row>7</xdr:row>
                    <xdr:rowOff>76200</xdr:rowOff>
                  </from>
                  <to>
                    <xdr:col>35</xdr:col>
                    <xdr:colOff>12700</xdr:colOff>
                    <xdr:row>7</xdr:row>
                    <xdr:rowOff>317500</xdr:rowOff>
                  </to>
                </anchor>
              </controlPr>
            </control>
          </mc:Choice>
        </mc:AlternateContent>
        <mc:AlternateContent xmlns:mc="http://schemas.openxmlformats.org/markup-compatibility/2006">
          <mc:Choice Requires="x14">
            <control shapeId="155700" r:id="rId53" name="Check Box 52">
              <controlPr locked="0" defaultSize="0" autoFill="0" autoLine="0" autoPict="0">
                <anchor moveWithCells="1">
                  <from>
                    <xdr:col>34</xdr:col>
                    <xdr:colOff>31750</xdr:colOff>
                    <xdr:row>8</xdr:row>
                    <xdr:rowOff>76200</xdr:rowOff>
                  </from>
                  <to>
                    <xdr:col>35</xdr:col>
                    <xdr:colOff>12700</xdr:colOff>
                    <xdr:row>8</xdr:row>
                    <xdr:rowOff>317500</xdr:rowOff>
                  </to>
                </anchor>
              </controlPr>
            </control>
          </mc:Choice>
        </mc:AlternateContent>
        <mc:AlternateContent xmlns:mc="http://schemas.openxmlformats.org/markup-compatibility/2006">
          <mc:Choice Requires="x14">
            <control shapeId="155701" r:id="rId54" name="Check Box 53">
              <controlPr locked="0" defaultSize="0" autoFill="0" autoLine="0" autoPict="0">
                <anchor moveWithCells="1">
                  <from>
                    <xdr:col>34</xdr:col>
                    <xdr:colOff>31750</xdr:colOff>
                    <xdr:row>9</xdr:row>
                    <xdr:rowOff>76200</xdr:rowOff>
                  </from>
                  <to>
                    <xdr:col>35</xdr:col>
                    <xdr:colOff>12700</xdr:colOff>
                    <xdr:row>9</xdr:row>
                    <xdr:rowOff>317500</xdr:rowOff>
                  </to>
                </anchor>
              </controlPr>
            </control>
          </mc:Choice>
        </mc:AlternateContent>
        <mc:AlternateContent xmlns:mc="http://schemas.openxmlformats.org/markup-compatibility/2006">
          <mc:Choice Requires="x14">
            <control shapeId="155702" r:id="rId55" name="Check Box 54">
              <controlPr locked="0" defaultSize="0" autoFill="0" autoLine="0" autoPict="0">
                <anchor moveWithCells="1">
                  <from>
                    <xdr:col>34</xdr:col>
                    <xdr:colOff>31750</xdr:colOff>
                    <xdr:row>10</xdr:row>
                    <xdr:rowOff>76200</xdr:rowOff>
                  </from>
                  <to>
                    <xdr:col>35</xdr:col>
                    <xdr:colOff>12700</xdr:colOff>
                    <xdr:row>10</xdr:row>
                    <xdr:rowOff>317500</xdr:rowOff>
                  </to>
                </anchor>
              </controlPr>
            </control>
          </mc:Choice>
        </mc:AlternateContent>
        <mc:AlternateContent xmlns:mc="http://schemas.openxmlformats.org/markup-compatibility/2006">
          <mc:Choice Requires="x14">
            <control shapeId="155703" r:id="rId56" name="Check Box 55">
              <controlPr locked="0" defaultSize="0" autoFill="0" autoLine="0" autoPict="0">
                <anchor moveWithCells="1">
                  <from>
                    <xdr:col>34</xdr:col>
                    <xdr:colOff>31750</xdr:colOff>
                    <xdr:row>11</xdr:row>
                    <xdr:rowOff>76200</xdr:rowOff>
                  </from>
                  <to>
                    <xdr:col>35</xdr:col>
                    <xdr:colOff>12700</xdr:colOff>
                    <xdr:row>11</xdr:row>
                    <xdr:rowOff>317500</xdr:rowOff>
                  </to>
                </anchor>
              </controlPr>
            </control>
          </mc:Choice>
        </mc:AlternateContent>
        <mc:AlternateContent xmlns:mc="http://schemas.openxmlformats.org/markup-compatibility/2006">
          <mc:Choice Requires="x14">
            <control shapeId="155704" r:id="rId57" name="Check Box 56">
              <controlPr locked="0" defaultSize="0" autoFill="0" autoLine="0" autoPict="0">
                <anchor moveWithCells="1">
                  <from>
                    <xdr:col>34</xdr:col>
                    <xdr:colOff>31750</xdr:colOff>
                    <xdr:row>12</xdr:row>
                    <xdr:rowOff>76200</xdr:rowOff>
                  </from>
                  <to>
                    <xdr:col>35</xdr:col>
                    <xdr:colOff>12700</xdr:colOff>
                    <xdr:row>12</xdr:row>
                    <xdr:rowOff>317500</xdr:rowOff>
                  </to>
                </anchor>
              </controlPr>
            </control>
          </mc:Choice>
        </mc:AlternateContent>
        <mc:AlternateContent xmlns:mc="http://schemas.openxmlformats.org/markup-compatibility/2006">
          <mc:Choice Requires="x14">
            <control shapeId="155705" r:id="rId58" name="Check Box 57">
              <controlPr locked="0" defaultSize="0" autoFill="0" autoLine="0" autoPict="0">
                <anchor moveWithCells="1">
                  <from>
                    <xdr:col>34</xdr:col>
                    <xdr:colOff>31750</xdr:colOff>
                    <xdr:row>13</xdr:row>
                    <xdr:rowOff>76200</xdr:rowOff>
                  </from>
                  <to>
                    <xdr:col>35</xdr:col>
                    <xdr:colOff>12700</xdr:colOff>
                    <xdr:row>13</xdr:row>
                    <xdr:rowOff>317500</xdr:rowOff>
                  </to>
                </anchor>
              </controlPr>
            </control>
          </mc:Choice>
        </mc:AlternateContent>
        <mc:AlternateContent xmlns:mc="http://schemas.openxmlformats.org/markup-compatibility/2006">
          <mc:Choice Requires="x14">
            <control shapeId="155706" r:id="rId59" name="Check Box 58">
              <controlPr locked="0" defaultSize="0" autoFill="0" autoLine="0" autoPict="0">
                <anchor moveWithCells="1">
                  <from>
                    <xdr:col>34</xdr:col>
                    <xdr:colOff>31750</xdr:colOff>
                    <xdr:row>14</xdr:row>
                    <xdr:rowOff>76200</xdr:rowOff>
                  </from>
                  <to>
                    <xdr:col>35</xdr:col>
                    <xdr:colOff>12700</xdr:colOff>
                    <xdr:row>14</xdr:row>
                    <xdr:rowOff>317500</xdr:rowOff>
                  </to>
                </anchor>
              </controlPr>
            </control>
          </mc:Choice>
        </mc:AlternateContent>
        <mc:AlternateContent xmlns:mc="http://schemas.openxmlformats.org/markup-compatibility/2006">
          <mc:Choice Requires="x14">
            <control shapeId="155707" r:id="rId60" name="Check Box 59">
              <controlPr locked="0" defaultSize="0" autoFill="0" autoLine="0" autoPict="0">
                <anchor moveWithCells="1">
                  <from>
                    <xdr:col>34</xdr:col>
                    <xdr:colOff>31750</xdr:colOff>
                    <xdr:row>15</xdr:row>
                    <xdr:rowOff>76200</xdr:rowOff>
                  </from>
                  <to>
                    <xdr:col>35</xdr:col>
                    <xdr:colOff>12700</xdr:colOff>
                    <xdr:row>15</xdr:row>
                    <xdr:rowOff>317500</xdr:rowOff>
                  </to>
                </anchor>
              </controlPr>
            </control>
          </mc:Choice>
        </mc:AlternateContent>
        <mc:AlternateContent xmlns:mc="http://schemas.openxmlformats.org/markup-compatibility/2006">
          <mc:Choice Requires="x14">
            <control shapeId="155708" r:id="rId61" name="Check Box 60">
              <controlPr locked="0" defaultSize="0" autoFill="0" autoLine="0" autoPict="0">
                <anchor moveWithCells="1">
                  <from>
                    <xdr:col>34</xdr:col>
                    <xdr:colOff>31750</xdr:colOff>
                    <xdr:row>16</xdr:row>
                    <xdr:rowOff>76200</xdr:rowOff>
                  </from>
                  <to>
                    <xdr:col>35</xdr:col>
                    <xdr:colOff>12700</xdr:colOff>
                    <xdr:row>16</xdr:row>
                    <xdr:rowOff>317500</xdr:rowOff>
                  </to>
                </anchor>
              </controlPr>
            </control>
          </mc:Choice>
        </mc:AlternateContent>
        <mc:AlternateContent xmlns:mc="http://schemas.openxmlformats.org/markup-compatibility/2006">
          <mc:Choice Requires="x14">
            <control shapeId="155709" r:id="rId62" name="Check Box 61">
              <controlPr locked="0" defaultSize="0" autoFill="0" autoLine="0" autoPict="0">
                <anchor moveWithCells="1">
                  <from>
                    <xdr:col>34</xdr:col>
                    <xdr:colOff>31750</xdr:colOff>
                    <xdr:row>17</xdr:row>
                    <xdr:rowOff>76200</xdr:rowOff>
                  </from>
                  <to>
                    <xdr:col>35</xdr:col>
                    <xdr:colOff>12700</xdr:colOff>
                    <xdr:row>17</xdr:row>
                    <xdr:rowOff>317500</xdr:rowOff>
                  </to>
                </anchor>
              </controlPr>
            </control>
          </mc:Choice>
        </mc:AlternateContent>
        <mc:AlternateContent xmlns:mc="http://schemas.openxmlformats.org/markup-compatibility/2006">
          <mc:Choice Requires="x14">
            <control shapeId="155710" r:id="rId63" name="Check Box 62">
              <controlPr locked="0" defaultSize="0" autoFill="0" autoLine="0" autoPict="0">
                <anchor moveWithCells="1">
                  <from>
                    <xdr:col>37</xdr:col>
                    <xdr:colOff>31750</xdr:colOff>
                    <xdr:row>4</xdr:row>
                    <xdr:rowOff>76200</xdr:rowOff>
                  </from>
                  <to>
                    <xdr:col>38</xdr:col>
                    <xdr:colOff>12700</xdr:colOff>
                    <xdr:row>4</xdr:row>
                    <xdr:rowOff>317500</xdr:rowOff>
                  </to>
                </anchor>
              </controlPr>
            </control>
          </mc:Choice>
        </mc:AlternateContent>
        <mc:AlternateContent xmlns:mc="http://schemas.openxmlformats.org/markup-compatibility/2006">
          <mc:Choice Requires="x14">
            <control shapeId="155711" r:id="rId64" name="Check Box 63">
              <controlPr locked="0" defaultSize="0" autoFill="0" autoLine="0" autoPict="0">
                <anchor moveWithCells="1">
                  <from>
                    <xdr:col>37</xdr:col>
                    <xdr:colOff>31750</xdr:colOff>
                    <xdr:row>5</xdr:row>
                    <xdr:rowOff>76200</xdr:rowOff>
                  </from>
                  <to>
                    <xdr:col>38</xdr:col>
                    <xdr:colOff>12700</xdr:colOff>
                    <xdr:row>5</xdr:row>
                    <xdr:rowOff>317500</xdr:rowOff>
                  </to>
                </anchor>
              </controlPr>
            </control>
          </mc:Choice>
        </mc:AlternateContent>
        <mc:AlternateContent xmlns:mc="http://schemas.openxmlformats.org/markup-compatibility/2006">
          <mc:Choice Requires="x14">
            <control shapeId="155712" r:id="rId65" name="Check Box 64">
              <controlPr locked="0" defaultSize="0" autoFill="0" autoLine="0" autoPict="0">
                <anchor moveWithCells="1">
                  <from>
                    <xdr:col>37</xdr:col>
                    <xdr:colOff>31750</xdr:colOff>
                    <xdr:row>6</xdr:row>
                    <xdr:rowOff>76200</xdr:rowOff>
                  </from>
                  <to>
                    <xdr:col>38</xdr:col>
                    <xdr:colOff>12700</xdr:colOff>
                    <xdr:row>6</xdr:row>
                    <xdr:rowOff>317500</xdr:rowOff>
                  </to>
                </anchor>
              </controlPr>
            </control>
          </mc:Choice>
        </mc:AlternateContent>
        <mc:AlternateContent xmlns:mc="http://schemas.openxmlformats.org/markup-compatibility/2006">
          <mc:Choice Requires="x14">
            <control shapeId="155713" r:id="rId66" name="Check Box 65">
              <controlPr locked="0" defaultSize="0" autoFill="0" autoLine="0" autoPict="0">
                <anchor moveWithCells="1">
                  <from>
                    <xdr:col>37</xdr:col>
                    <xdr:colOff>31750</xdr:colOff>
                    <xdr:row>7</xdr:row>
                    <xdr:rowOff>76200</xdr:rowOff>
                  </from>
                  <to>
                    <xdr:col>38</xdr:col>
                    <xdr:colOff>12700</xdr:colOff>
                    <xdr:row>7</xdr:row>
                    <xdr:rowOff>317500</xdr:rowOff>
                  </to>
                </anchor>
              </controlPr>
            </control>
          </mc:Choice>
        </mc:AlternateContent>
        <mc:AlternateContent xmlns:mc="http://schemas.openxmlformats.org/markup-compatibility/2006">
          <mc:Choice Requires="x14">
            <control shapeId="155714" r:id="rId67" name="Check Box 66">
              <controlPr locked="0" defaultSize="0" autoFill="0" autoLine="0" autoPict="0">
                <anchor moveWithCells="1">
                  <from>
                    <xdr:col>37</xdr:col>
                    <xdr:colOff>31750</xdr:colOff>
                    <xdr:row>8</xdr:row>
                    <xdr:rowOff>76200</xdr:rowOff>
                  </from>
                  <to>
                    <xdr:col>38</xdr:col>
                    <xdr:colOff>12700</xdr:colOff>
                    <xdr:row>8</xdr:row>
                    <xdr:rowOff>317500</xdr:rowOff>
                  </to>
                </anchor>
              </controlPr>
            </control>
          </mc:Choice>
        </mc:AlternateContent>
        <mc:AlternateContent xmlns:mc="http://schemas.openxmlformats.org/markup-compatibility/2006">
          <mc:Choice Requires="x14">
            <control shapeId="155715" r:id="rId68" name="Check Box 67">
              <controlPr locked="0" defaultSize="0" autoFill="0" autoLine="0" autoPict="0">
                <anchor moveWithCells="1">
                  <from>
                    <xdr:col>37</xdr:col>
                    <xdr:colOff>31750</xdr:colOff>
                    <xdr:row>9</xdr:row>
                    <xdr:rowOff>76200</xdr:rowOff>
                  </from>
                  <to>
                    <xdr:col>38</xdr:col>
                    <xdr:colOff>12700</xdr:colOff>
                    <xdr:row>9</xdr:row>
                    <xdr:rowOff>317500</xdr:rowOff>
                  </to>
                </anchor>
              </controlPr>
            </control>
          </mc:Choice>
        </mc:AlternateContent>
        <mc:AlternateContent xmlns:mc="http://schemas.openxmlformats.org/markup-compatibility/2006">
          <mc:Choice Requires="x14">
            <control shapeId="155716" r:id="rId69" name="Check Box 68">
              <controlPr locked="0" defaultSize="0" autoFill="0" autoLine="0" autoPict="0">
                <anchor moveWithCells="1">
                  <from>
                    <xdr:col>37</xdr:col>
                    <xdr:colOff>31750</xdr:colOff>
                    <xdr:row>10</xdr:row>
                    <xdr:rowOff>76200</xdr:rowOff>
                  </from>
                  <to>
                    <xdr:col>38</xdr:col>
                    <xdr:colOff>12700</xdr:colOff>
                    <xdr:row>10</xdr:row>
                    <xdr:rowOff>317500</xdr:rowOff>
                  </to>
                </anchor>
              </controlPr>
            </control>
          </mc:Choice>
        </mc:AlternateContent>
        <mc:AlternateContent xmlns:mc="http://schemas.openxmlformats.org/markup-compatibility/2006">
          <mc:Choice Requires="x14">
            <control shapeId="155717" r:id="rId70" name="Check Box 69">
              <controlPr locked="0" defaultSize="0" autoFill="0" autoLine="0" autoPict="0">
                <anchor moveWithCells="1">
                  <from>
                    <xdr:col>37</xdr:col>
                    <xdr:colOff>31750</xdr:colOff>
                    <xdr:row>11</xdr:row>
                    <xdr:rowOff>76200</xdr:rowOff>
                  </from>
                  <to>
                    <xdr:col>38</xdr:col>
                    <xdr:colOff>12700</xdr:colOff>
                    <xdr:row>11</xdr:row>
                    <xdr:rowOff>317500</xdr:rowOff>
                  </to>
                </anchor>
              </controlPr>
            </control>
          </mc:Choice>
        </mc:AlternateContent>
        <mc:AlternateContent xmlns:mc="http://schemas.openxmlformats.org/markup-compatibility/2006">
          <mc:Choice Requires="x14">
            <control shapeId="155718" r:id="rId71" name="Check Box 70">
              <controlPr locked="0" defaultSize="0" autoFill="0" autoLine="0" autoPict="0">
                <anchor moveWithCells="1">
                  <from>
                    <xdr:col>37</xdr:col>
                    <xdr:colOff>31750</xdr:colOff>
                    <xdr:row>12</xdr:row>
                    <xdr:rowOff>76200</xdr:rowOff>
                  </from>
                  <to>
                    <xdr:col>38</xdr:col>
                    <xdr:colOff>12700</xdr:colOff>
                    <xdr:row>12</xdr:row>
                    <xdr:rowOff>317500</xdr:rowOff>
                  </to>
                </anchor>
              </controlPr>
            </control>
          </mc:Choice>
        </mc:AlternateContent>
        <mc:AlternateContent xmlns:mc="http://schemas.openxmlformats.org/markup-compatibility/2006">
          <mc:Choice Requires="x14">
            <control shapeId="155719" r:id="rId72" name="Check Box 71">
              <controlPr locked="0" defaultSize="0" autoFill="0" autoLine="0" autoPict="0">
                <anchor moveWithCells="1">
                  <from>
                    <xdr:col>37</xdr:col>
                    <xdr:colOff>31750</xdr:colOff>
                    <xdr:row>13</xdr:row>
                    <xdr:rowOff>76200</xdr:rowOff>
                  </from>
                  <to>
                    <xdr:col>38</xdr:col>
                    <xdr:colOff>12700</xdr:colOff>
                    <xdr:row>13</xdr:row>
                    <xdr:rowOff>317500</xdr:rowOff>
                  </to>
                </anchor>
              </controlPr>
            </control>
          </mc:Choice>
        </mc:AlternateContent>
        <mc:AlternateContent xmlns:mc="http://schemas.openxmlformats.org/markup-compatibility/2006">
          <mc:Choice Requires="x14">
            <control shapeId="155720" r:id="rId73" name="Check Box 72">
              <controlPr locked="0" defaultSize="0" autoFill="0" autoLine="0" autoPict="0">
                <anchor moveWithCells="1">
                  <from>
                    <xdr:col>37</xdr:col>
                    <xdr:colOff>31750</xdr:colOff>
                    <xdr:row>14</xdr:row>
                    <xdr:rowOff>76200</xdr:rowOff>
                  </from>
                  <to>
                    <xdr:col>38</xdr:col>
                    <xdr:colOff>12700</xdr:colOff>
                    <xdr:row>14</xdr:row>
                    <xdr:rowOff>317500</xdr:rowOff>
                  </to>
                </anchor>
              </controlPr>
            </control>
          </mc:Choice>
        </mc:AlternateContent>
        <mc:AlternateContent xmlns:mc="http://schemas.openxmlformats.org/markup-compatibility/2006">
          <mc:Choice Requires="x14">
            <control shapeId="155721" r:id="rId74" name="Check Box 73">
              <controlPr locked="0" defaultSize="0" autoFill="0" autoLine="0" autoPict="0">
                <anchor moveWithCells="1">
                  <from>
                    <xdr:col>37</xdr:col>
                    <xdr:colOff>31750</xdr:colOff>
                    <xdr:row>15</xdr:row>
                    <xdr:rowOff>76200</xdr:rowOff>
                  </from>
                  <to>
                    <xdr:col>38</xdr:col>
                    <xdr:colOff>12700</xdr:colOff>
                    <xdr:row>15</xdr:row>
                    <xdr:rowOff>317500</xdr:rowOff>
                  </to>
                </anchor>
              </controlPr>
            </control>
          </mc:Choice>
        </mc:AlternateContent>
        <mc:AlternateContent xmlns:mc="http://schemas.openxmlformats.org/markup-compatibility/2006">
          <mc:Choice Requires="x14">
            <control shapeId="155722" r:id="rId75" name="Check Box 74">
              <controlPr locked="0" defaultSize="0" autoFill="0" autoLine="0" autoPict="0">
                <anchor moveWithCells="1">
                  <from>
                    <xdr:col>37</xdr:col>
                    <xdr:colOff>31750</xdr:colOff>
                    <xdr:row>16</xdr:row>
                    <xdr:rowOff>76200</xdr:rowOff>
                  </from>
                  <to>
                    <xdr:col>38</xdr:col>
                    <xdr:colOff>12700</xdr:colOff>
                    <xdr:row>16</xdr:row>
                    <xdr:rowOff>317500</xdr:rowOff>
                  </to>
                </anchor>
              </controlPr>
            </control>
          </mc:Choice>
        </mc:AlternateContent>
        <mc:AlternateContent xmlns:mc="http://schemas.openxmlformats.org/markup-compatibility/2006">
          <mc:Choice Requires="x14">
            <control shapeId="155723" r:id="rId76" name="Check Box 75">
              <controlPr locked="0" defaultSize="0" autoFill="0" autoLine="0" autoPict="0">
                <anchor moveWithCells="1">
                  <from>
                    <xdr:col>37</xdr:col>
                    <xdr:colOff>31750</xdr:colOff>
                    <xdr:row>17</xdr:row>
                    <xdr:rowOff>76200</xdr:rowOff>
                  </from>
                  <to>
                    <xdr:col>38</xdr:col>
                    <xdr:colOff>12700</xdr:colOff>
                    <xdr:row>17</xdr:row>
                    <xdr:rowOff>317500</xdr:rowOff>
                  </to>
                </anchor>
              </controlPr>
            </control>
          </mc:Choice>
        </mc:AlternateContent>
        <mc:AlternateContent xmlns:mc="http://schemas.openxmlformats.org/markup-compatibility/2006">
          <mc:Choice Requires="x14">
            <control shapeId="155724" r:id="rId77" name="Check Box 76">
              <controlPr locked="0" defaultSize="0" autoFill="0" autoLine="0" autoPict="0">
                <anchor moveWithCells="1">
                  <from>
                    <xdr:col>40</xdr:col>
                    <xdr:colOff>31750</xdr:colOff>
                    <xdr:row>4</xdr:row>
                    <xdr:rowOff>76200</xdr:rowOff>
                  </from>
                  <to>
                    <xdr:col>41</xdr:col>
                    <xdr:colOff>12700</xdr:colOff>
                    <xdr:row>4</xdr:row>
                    <xdr:rowOff>317500</xdr:rowOff>
                  </to>
                </anchor>
              </controlPr>
            </control>
          </mc:Choice>
        </mc:AlternateContent>
        <mc:AlternateContent xmlns:mc="http://schemas.openxmlformats.org/markup-compatibility/2006">
          <mc:Choice Requires="x14">
            <control shapeId="155725" r:id="rId78" name="Check Box 77">
              <controlPr locked="0" defaultSize="0" autoFill="0" autoLine="0" autoPict="0">
                <anchor moveWithCells="1">
                  <from>
                    <xdr:col>40</xdr:col>
                    <xdr:colOff>31750</xdr:colOff>
                    <xdr:row>5</xdr:row>
                    <xdr:rowOff>76200</xdr:rowOff>
                  </from>
                  <to>
                    <xdr:col>41</xdr:col>
                    <xdr:colOff>12700</xdr:colOff>
                    <xdr:row>5</xdr:row>
                    <xdr:rowOff>317500</xdr:rowOff>
                  </to>
                </anchor>
              </controlPr>
            </control>
          </mc:Choice>
        </mc:AlternateContent>
        <mc:AlternateContent xmlns:mc="http://schemas.openxmlformats.org/markup-compatibility/2006">
          <mc:Choice Requires="x14">
            <control shapeId="155726" r:id="rId79" name="Check Box 78">
              <controlPr locked="0" defaultSize="0" autoFill="0" autoLine="0" autoPict="0">
                <anchor moveWithCells="1">
                  <from>
                    <xdr:col>40</xdr:col>
                    <xdr:colOff>31750</xdr:colOff>
                    <xdr:row>6</xdr:row>
                    <xdr:rowOff>76200</xdr:rowOff>
                  </from>
                  <to>
                    <xdr:col>41</xdr:col>
                    <xdr:colOff>12700</xdr:colOff>
                    <xdr:row>6</xdr:row>
                    <xdr:rowOff>317500</xdr:rowOff>
                  </to>
                </anchor>
              </controlPr>
            </control>
          </mc:Choice>
        </mc:AlternateContent>
        <mc:AlternateContent xmlns:mc="http://schemas.openxmlformats.org/markup-compatibility/2006">
          <mc:Choice Requires="x14">
            <control shapeId="155727" r:id="rId80" name="Check Box 79">
              <controlPr locked="0" defaultSize="0" autoFill="0" autoLine="0" autoPict="0">
                <anchor moveWithCells="1">
                  <from>
                    <xdr:col>40</xdr:col>
                    <xdr:colOff>31750</xdr:colOff>
                    <xdr:row>7</xdr:row>
                    <xdr:rowOff>76200</xdr:rowOff>
                  </from>
                  <to>
                    <xdr:col>41</xdr:col>
                    <xdr:colOff>12700</xdr:colOff>
                    <xdr:row>7</xdr:row>
                    <xdr:rowOff>317500</xdr:rowOff>
                  </to>
                </anchor>
              </controlPr>
            </control>
          </mc:Choice>
        </mc:AlternateContent>
        <mc:AlternateContent xmlns:mc="http://schemas.openxmlformats.org/markup-compatibility/2006">
          <mc:Choice Requires="x14">
            <control shapeId="155728" r:id="rId81" name="Check Box 80">
              <controlPr locked="0" defaultSize="0" autoFill="0" autoLine="0" autoPict="0">
                <anchor moveWithCells="1">
                  <from>
                    <xdr:col>40</xdr:col>
                    <xdr:colOff>31750</xdr:colOff>
                    <xdr:row>8</xdr:row>
                    <xdr:rowOff>76200</xdr:rowOff>
                  </from>
                  <to>
                    <xdr:col>41</xdr:col>
                    <xdr:colOff>12700</xdr:colOff>
                    <xdr:row>8</xdr:row>
                    <xdr:rowOff>317500</xdr:rowOff>
                  </to>
                </anchor>
              </controlPr>
            </control>
          </mc:Choice>
        </mc:AlternateContent>
        <mc:AlternateContent xmlns:mc="http://schemas.openxmlformats.org/markup-compatibility/2006">
          <mc:Choice Requires="x14">
            <control shapeId="155729" r:id="rId82" name="Check Box 81">
              <controlPr locked="0" defaultSize="0" autoFill="0" autoLine="0" autoPict="0">
                <anchor moveWithCells="1">
                  <from>
                    <xdr:col>40</xdr:col>
                    <xdr:colOff>31750</xdr:colOff>
                    <xdr:row>9</xdr:row>
                    <xdr:rowOff>76200</xdr:rowOff>
                  </from>
                  <to>
                    <xdr:col>41</xdr:col>
                    <xdr:colOff>12700</xdr:colOff>
                    <xdr:row>9</xdr:row>
                    <xdr:rowOff>317500</xdr:rowOff>
                  </to>
                </anchor>
              </controlPr>
            </control>
          </mc:Choice>
        </mc:AlternateContent>
        <mc:AlternateContent xmlns:mc="http://schemas.openxmlformats.org/markup-compatibility/2006">
          <mc:Choice Requires="x14">
            <control shapeId="155730" r:id="rId83" name="Check Box 82">
              <controlPr locked="0" defaultSize="0" autoFill="0" autoLine="0" autoPict="0">
                <anchor moveWithCells="1">
                  <from>
                    <xdr:col>40</xdr:col>
                    <xdr:colOff>31750</xdr:colOff>
                    <xdr:row>10</xdr:row>
                    <xdr:rowOff>76200</xdr:rowOff>
                  </from>
                  <to>
                    <xdr:col>41</xdr:col>
                    <xdr:colOff>12700</xdr:colOff>
                    <xdr:row>10</xdr:row>
                    <xdr:rowOff>317500</xdr:rowOff>
                  </to>
                </anchor>
              </controlPr>
            </control>
          </mc:Choice>
        </mc:AlternateContent>
        <mc:AlternateContent xmlns:mc="http://schemas.openxmlformats.org/markup-compatibility/2006">
          <mc:Choice Requires="x14">
            <control shapeId="155731" r:id="rId84" name="Check Box 83">
              <controlPr locked="0" defaultSize="0" autoFill="0" autoLine="0" autoPict="0">
                <anchor moveWithCells="1">
                  <from>
                    <xdr:col>40</xdr:col>
                    <xdr:colOff>31750</xdr:colOff>
                    <xdr:row>11</xdr:row>
                    <xdr:rowOff>76200</xdr:rowOff>
                  </from>
                  <to>
                    <xdr:col>41</xdr:col>
                    <xdr:colOff>12700</xdr:colOff>
                    <xdr:row>11</xdr:row>
                    <xdr:rowOff>317500</xdr:rowOff>
                  </to>
                </anchor>
              </controlPr>
            </control>
          </mc:Choice>
        </mc:AlternateContent>
        <mc:AlternateContent xmlns:mc="http://schemas.openxmlformats.org/markup-compatibility/2006">
          <mc:Choice Requires="x14">
            <control shapeId="155732" r:id="rId85" name="Check Box 84">
              <controlPr locked="0" defaultSize="0" autoFill="0" autoLine="0" autoPict="0">
                <anchor moveWithCells="1">
                  <from>
                    <xdr:col>40</xdr:col>
                    <xdr:colOff>31750</xdr:colOff>
                    <xdr:row>12</xdr:row>
                    <xdr:rowOff>76200</xdr:rowOff>
                  </from>
                  <to>
                    <xdr:col>41</xdr:col>
                    <xdr:colOff>12700</xdr:colOff>
                    <xdr:row>12</xdr:row>
                    <xdr:rowOff>317500</xdr:rowOff>
                  </to>
                </anchor>
              </controlPr>
            </control>
          </mc:Choice>
        </mc:AlternateContent>
        <mc:AlternateContent xmlns:mc="http://schemas.openxmlformats.org/markup-compatibility/2006">
          <mc:Choice Requires="x14">
            <control shapeId="155733" r:id="rId86" name="Check Box 85">
              <controlPr locked="0" defaultSize="0" autoFill="0" autoLine="0" autoPict="0">
                <anchor moveWithCells="1">
                  <from>
                    <xdr:col>40</xdr:col>
                    <xdr:colOff>31750</xdr:colOff>
                    <xdr:row>13</xdr:row>
                    <xdr:rowOff>76200</xdr:rowOff>
                  </from>
                  <to>
                    <xdr:col>41</xdr:col>
                    <xdr:colOff>12700</xdr:colOff>
                    <xdr:row>13</xdr:row>
                    <xdr:rowOff>317500</xdr:rowOff>
                  </to>
                </anchor>
              </controlPr>
            </control>
          </mc:Choice>
        </mc:AlternateContent>
        <mc:AlternateContent xmlns:mc="http://schemas.openxmlformats.org/markup-compatibility/2006">
          <mc:Choice Requires="x14">
            <control shapeId="155734" r:id="rId87" name="Check Box 86">
              <controlPr locked="0" defaultSize="0" autoFill="0" autoLine="0" autoPict="0">
                <anchor moveWithCells="1">
                  <from>
                    <xdr:col>40</xdr:col>
                    <xdr:colOff>31750</xdr:colOff>
                    <xdr:row>14</xdr:row>
                    <xdr:rowOff>76200</xdr:rowOff>
                  </from>
                  <to>
                    <xdr:col>41</xdr:col>
                    <xdr:colOff>12700</xdr:colOff>
                    <xdr:row>14</xdr:row>
                    <xdr:rowOff>317500</xdr:rowOff>
                  </to>
                </anchor>
              </controlPr>
            </control>
          </mc:Choice>
        </mc:AlternateContent>
        <mc:AlternateContent xmlns:mc="http://schemas.openxmlformats.org/markup-compatibility/2006">
          <mc:Choice Requires="x14">
            <control shapeId="155735" r:id="rId88" name="Check Box 87">
              <controlPr locked="0" defaultSize="0" autoFill="0" autoLine="0" autoPict="0">
                <anchor moveWithCells="1">
                  <from>
                    <xdr:col>40</xdr:col>
                    <xdr:colOff>31750</xdr:colOff>
                    <xdr:row>15</xdr:row>
                    <xdr:rowOff>76200</xdr:rowOff>
                  </from>
                  <to>
                    <xdr:col>41</xdr:col>
                    <xdr:colOff>12700</xdr:colOff>
                    <xdr:row>15</xdr:row>
                    <xdr:rowOff>317500</xdr:rowOff>
                  </to>
                </anchor>
              </controlPr>
            </control>
          </mc:Choice>
        </mc:AlternateContent>
        <mc:AlternateContent xmlns:mc="http://schemas.openxmlformats.org/markup-compatibility/2006">
          <mc:Choice Requires="x14">
            <control shapeId="155736" r:id="rId89" name="Check Box 88">
              <controlPr locked="0" defaultSize="0" autoFill="0" autoLine="0" autoPict="0">
                <anchor moveWithCells="1">
                  <from>
                    <xdr:col>40</xdr:col>
                    <xdr:colOff>31750</xdr:colOff>
                    <xdr:row>16</xdr:row>
                    <xdr:rowOff>76200</xdr:rowOff>
                  </from>
                  <to>
                    <xdr:col>41</xdr:col>
                    <xdr:colOff>12700</xdr:colOff>
                    <xdr:row>16</xdr:row>
                    <xdr:rowOff>317500</xdr:rowOff>
                  </to>
                </anchor>
              </controlPr>
            </control>
          </mc:Choice>
        </mc:AlternateContent>
        <mc:AlternateContent xmlns:mc="http://schemas.openxmlformats.org/markup-compatibility/2006">
          <mc:Choice Requires="x14">
            <control shapeId="155737" r:id="rId90" name="Check Box 89">
              <controlPr locked="0" defaultSize="0" autoFill="0" autoLine="0" autoPict="0">
                <anchor moveWithCells="1">
                  <from>
                    <xdr:col>40</xdr:col>
                    <xdr:colOff>31750</xdr:colOff>
                    <xdr:row>17</xdr:row>
                    <xdr:rowOff>76200</xdr:rowOff>
                  </from>
                  <to>
                    <xdr:col>41</xdr:col>
                    <xdr:colOff>12700</xdr:colOff>
                    <xdr:row>17</xdr:row>
                    <xdr:rowOff>317500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pageSetUpPr fitToPage="1"/>
  </sheetPr>
  <dimension ref="B1:AT47"/>
  <sheetViews>
    <sheetView showGridLines="0" zoomScaleNormal="100" workbookViewId="0">
      <selection activeCell="U39" sqref="U39:AC39"/>
    </sheetView>
  </sheetViews>
  <sheetFormatPr defaultColWidth="9" defaultRowHeight="15.5"/>
  <cols>
    <col min="1" max="1" width="2.08203125" style="969" customWidth="1"/>
    <col min="2" max="44" width="3.58203125" style="969" customWidth="1"/>
    <col min="45" max="45" width="2.08203125" style="969" customWidth="1"/>
    <col min="46" max="47" width="3.58203125" style="969" customWidth="1"/>
    <col min="48" max="48" width="2.08203125" style="969" customWidth="1"/>
    <col min="49" max="262" width="3.58203125" style="969" customWidth="1"/>
    <col min="263" max="16384" width="9" style="969"/>
  </cols>
  <sheetData>
    <row r="1" spans="2:44" ht="12" customHeight="1"/>
    <row r="2" spans="2:44" s="681" customFormat="1" ht="16.5" customHeight="1">
      <c r="B2" s="627" t="s">
        <v>11810</v>
      </c>
      <c r="C2" s="628"/>
      <c r="D2" s="628"/>
      <c r="E2" s="628"/>
      <c r="F2" s="628"/>
      <c r="G2" s="628"/>
      <c r="H2" s="628"/>
      <c r="I2" s="628"/>
      <c r="J2" s="628"/>
      <c r="K2" s="628"/>
      <c r="L2" s="628"/>
      <c r="M2" s="628"/>
      <c r="N2" s="628"/>
      <c r="O2" s="628"/>
      <c r="P2" s="628"/>
      <c r="Q2" s="628"/>
      <c r="R2" s="628"/>
      <c r="S2" s="629"/>
      <c r="T2" s="629"/>
      <c r="U2" s="629"/>
      <c r="V2" s="629"/>
      <c r="W2" s="629"/>
      <c r="X2" s="629"/>
      <c r="Y2" s="629"/>
      <c r="Z2" s="629"/>
      <c r="AA2" s="629"/>
      <c r="AB2" s="629"/>
      <c r="AC2" s="629"/>
      <c r="AD2" s="629"/>
      <c r="AE2" s="629"/>
      <c r="AF2" s="629"/>
      <c r="AG2" s="629"/>
      <c r="AH2" s="629"/>
      <c r="AI2" s="629"/>
      <c r="AJ2" s="629"/>
      <c r="AK2" s="629"/>
      <c r="AL2" s="629"/>
    </row>
    <row r="3" spans="2:44" s="588" customFormat="1" ht="17" thickBot="1">
      <c r="B3" s="1244" t="s">
        <v>905</v>
      </c>
    </row>
    <row r="4" spans="2:44" s="568" customFormat="1" ht="17.5" thickTop="1" thickBot="1">
      <c r="B4" s="3629" t="s">
        <v>1846</v>
      </c>
      <c r="C4" s="3630"/>
      <c r="D4" s="3630"/>
      <c r="E4" s="3630"/>
      <c r="F4" s="3630"/>
      <c r="G4" s="3630"/>
      <c r="H4" s="3630"/>
      <c r="I4" s="3630"/>
      <c r="J4" s="3630"/>
      <c r="K4" s="3630"/>
      <c r="L4" s="3630"/>
      <c r="M4" s="3630"/>
      <c r="N4" s="3630"/>
      <c r="O4" s="3630"/>
      <c r="P4" s="3630"/>
      <c r="Q4" s="3630"/>
      <c r="R4" s="3630"/>
      <c r="S4" s="3630"/>
      <c r="T4" s="3631"/>
      <c r="U4" s="3627">
        <v>2021</v>
      </c>
      <c r="V4" s="3625"/>
      <c r="W4" s="3625"/>
      <c r="X4" s="3625"/>
      <c r="Y4" s="3625"/>
      <c r="Z4" s="3625"/>
      <c r="AA4" s="3625"/>
      <c r="AB4" s="3625"/>
      <c r="AC4" s="3625"/>
      <c r="AD4" s="3625"/>
      <c r="AE4" s="3625"/>
      <c r="AF4" s="3625"/>
      <c r="AG4" s="3625"/>
      <c r="AH4" s="3628"/>
      <c r="AI4" s="3625">
        <v>2022</v>
      </c>
      <c r="AJ4" s="3625"/>
      <c r="AK4" s="3625"/>
      <c r="AL4" s="3625"/>
      <c r="AM4" s="3625"/>
      <c r="AN4" s="3625"/>
      <c r="AO4" s="3625"/>
      <c r="AP4" s="3625"/>
      <c r="AQ4" s="3625"/>
      <c r="AR4" s="3626"/>
    </row>
    <row r="5" spans="2:44" s="568" customFormat="1" ht="17" thickBot="1">
      <c r="B5" s="3632"/>
      <c r="C5" s="3633"/>
      <c r="D5" s="3633"/>
      <c r="E5" s="3633"/>
      <c r="F5" s="3633"/>
      <c r="G5" s="3633"/>
      <c r="H5" s="3633"/>
      <c r="I5" s="3633"/>
      <c r="J5" s="3633"/>
      <c r="K5" s="3633"/>
      <c r="L5" s="3633"/>
      <c r="M5" s="3633"/>
      <c r="N5" s="3633"/>
      <c r="O5" s="3633"/>
      <c r="P5" s="3633"/>
      <c r="Q5" s="3633"/>
      <c r="R5" s="3633"/>
      <c r="S5" s="3633"/>
      <c r="T5" s="3634"/>
      <c r="U5" s="3635" t="s">
        <v>184</v>
      </c>
      <c r="V5" s="3614"/>
      <c r="W5" s="3614" t="s">
        <v>185</v>
      </c>
      <c r="X5" s="3614"/>
      <c r="Y5" s="3614" t="s">
        <v>186</v>
      </c>
      <c r="Z5" s="3614"/>
      <c r="AA5" s="3614" t="s">
        <v>187</v>
      </c>
      <c r="AB5" s="3614"/>
      <c r="AC5" s="3614" t="s">
        <v>188</v>
      </c>
      <c r="AD5" s="3614"/>
      <c r="AE5" s="3614" t="s">
        <v>189</v>
      </c>
      <c r="AF5" s="3614"/>
      <c r="AG5" s="3614" t="s">
        <v>190</v>
      </c>
      <c r="AH5" s="3615"/>
      <c r="AI5" s="3619" t="s">
        <v>191</v>
      </c>
      <c r="AJ5" s="3614"/>
      <c r="AK5" s="3614" t="s">
        <v>192</v>
      </c>
      <c r="AL5" s="3614"/>
      <c r="AM5" s="3614" t="s">
        <v>193</v>
      </c>
      <c r="AN5" s="3614"/>
      <c r="AO5" s="3614" t="s">
        <v>116</v>
      </c>
      <c r="AP5" s="3614"/>
      <c r="AQ5" s="3614" t="s">
        <v>117</v>
      </c>
      <c r="AR5" s="3620"/>
    </row>
    <row r="6" spans="2:44" s="588" customFormat="1" ht="17" thickTop="1">
      <c r="B6" s="58" t="s">
        <v>767</v>
      </c>
      <c r="C6" s="59"/>
      <c r="D6" s="59"/>
      <c r="E6" s="60"/>
      <c r="F6" s="60"/>
      <c r="G6" s="60"/>
      <c r="H6" s="60"/>
      <c r="I6" s="60"/>
      <c r="J6" s="60"/>
      <c r="K6" s="60"/>
      <c r="L6" s="60"/>
      <c r="M6" s="60"/>
      <c r="N6" s="60"/>
      <c r="O6" s="60"/>
      <c r="P6" s="60"/>
      <c r="Q6" s="60"/>
      <c r="R6" s="60"/>
      <c r="S6" s="60"/>
      <c r="T6" s="61"/>
      <c r="U6" s="3616"/>
      <c r="V6" s="3617"/>
      <c r="W6" s="3617"/>
      <c r="X6" s="3617"/>
      <c r="Y6" s="3617"/>
      <c r="Z6" s="3617"/>
      <c r="AA6" s="3617"/>
      <c r="AB6" s="3617"/>
      <c r="AC6" s="3617"/>
      <c r="AD6" s="3617"/>
      <c r="AE6" s="3617"/>
      <c r="AF6" s="3617"/>
      <c r="AG6" s="3617"/>
      <c r="AH6" s="3617"/>
      <c r="AI6" s="3617"/>
      <c r="AJ6" s="3617"/>
      <c r="AK6" s="3617"/>
      <c r="AL6" s="3617"/>
      <c r="AM6" s="3617"/>
      <c r="AN6" s="3617"/>
      <c r="AO6" s="3617"/>
      <c r="AP6" s="3617"/>
      <c r="AQ6" s="3617"/>
      <c r="AR6" s="3618"/>
    </row>
    <row r="7" spans="2:44" s="588" customFormat="1" ht="25" customHeight="1">
      <c r="B7" s="1247"/>
      <c r="C7" s="3600" t="s">
        <v>101</v>
      </c>
      <c r="D7" s="3600"/>
      <c r="E7" s="3600"/>
      <c r="F7" s="3600"/>
      <c r="G7" s="3600"/>
      <c r="H7" s="3600"/>
      <c r="I7" s="3600"/>
      <c r="J7" s="3600"/>
      <c r="K7" s="3600"/>
      <c r="L7" s="3600"/>
      <c r="M7" s="3600"/>
      <c r="N7" s="3600"/>
      <c r="O7" s="3600"/>
      <c r="P7" s="3600"/>
      <c r="Q7" s="3600"/>
      <c r="R7" s="3600"/>
      <c r="S7" s="3600"/>
      <c r="T7" s="1249"/>
      <c r="U7" s="3603">
        <v>0</v>
      </c>
      <c r="V7" s="3604"/>
      <c r="W7" s="3601">
        <v>0</v>
      </c>
      <c r="X7" s="3602"/>
      <c r="Y7" s="3601">
        <v>0</v>
      </c>
      <c r="Z7" s="3602"/>
      <c r="AA7" s="3601">
        <v>0</v>
      </c>
      <c r="AB7" s="3602"/>
      <c r="AC7" s="3601">
        <v>0</v>
      </c>
      <c r="AD7" s="3602"/>
      <c r="AE7" s="3601">
        <v>0</v>
      </c>
      <c r="AF7" s="3602"/>
      <c r="AG7" s="3601">
        <v>0</v>
      </c>
      <c r="AH7" s="3608"/>
      <c r="AI7" s="3604">
        <v>0</v>
      </c>
      <c r="AJ7" s="3602"/>
      <c r="AK7" s="3601">
        <v>0</v>
      </c>
      <c r="AL7" s="3602"/>
      <c r="AM7" s="3601">
        <v>0</v>
      </c>
      <c r="AN7" s="3602"/>
      <c r="AO7" s="3601">
        <v>0</v>
      </c>
      <c r="AP7" s="3602"/>
      <c r="AQ7" s="3601">
        <v>0</v>
      </c>
      <c r="AR7" s="3621"/>
    </row>
    <row r="8" spans="2:44" s="588" customFormat="1" ht="25" customHeight="1">
      <c r="B8" s="1247"/>
      <c r="C8" s="3600" t="s">
        <v>102</v>
      </c>
      <c r="D8" s="3600"/>
      <c r="E8" s="3600"/>
      <c r="F8" s="3600"/>
      <c r="G8" s="3600"/>
      <c r="H8" s="3600"/>
      <c r="I8" s="3600"/>
      <c r="J8" s="3600"/>
      <c r="K8" s="3600"/>
      <c r="L8" s="3600"/>
      <c r="M8" s="3600"/>
      <c r="N8" s="3600"/>
      <c r="O8" s="3600"/>
      <c r="P8" s="3600"/>
      <c r="Q8" s="3600"/>
      <c r="R8" s="3600"/>
      <c r="S8" s="3600"/>
      <c r="T8" s="1249"/>
      <c r="U8" s="3603">
        <v>0</v>
      </c>
      <c r="V8" s="3604"/>
      <c r="W8" s="3601">
        <v>0</v>
      </c>
      <c r="X8" s="3602"/>
      <c r="Y8" s="3601">
        <v>0</v>
      </c>
      <c r="Z8" s="3602"/>
      <c r="AA8" s="3601">
        <v>0</v>
      </c>
      <c r="AB8" s="3602"/>
      <c r="AC8" s="3601">
        <v>0</v>
      </c>
      <c r="AD8" s="3602"/>
      <c r="AE8" s="3601">
        <v>0</v>
      </c>
      <c r="AF8" s="3602"/>
      <c r="AG8" s="3601">
        <v>0</v>
      </c>
      <c r="AH8" s="3608"/>
      <c r="AI8" s="3604">
        <v>0</v>
      </c>
      <c r="AJ8" s="3602"/>
      <c r="AK8" s="3601">
        <v>0</v>
      </c>
      <c r="AL8" s="3602"/>
      <c r="AM8" s="3601">
        <v>0</v>
      </c>
      <c r="AN8" s="3602"/>
      <c r="AO8" s="3601">
        <v>0</v>
      </c>
      <c r="AP8" s="3602"/>
      <c r="AQ8" s="3601">
        <v>0</v>
      </c>
      <c r="AR8" s="3621"/>
    </row>
    <row r="9" spans="2:44" s="588" customFormat="1" ht="25" customHeight="1">
      <c r="B9" s="1247"/>
      <c r="C9" s="3600" t="s">
        <v>1845</v>
      </c>
      <c r="D9" s="3600"/>
      <c r="E9" s="3600"/>
      <c r="F9" s="3600"/>
      <c r="G9" s="3600"/>
      <c r="H9" s="3600"/>
      <c r="I9" s="3600"/>
      <c r="J9" s="3600"/>
      <c r="K9" s="3600"/>
      <c r="L9" s="3600"/>
      <c r="M9" s="3600"/>
      <c r="N9" s="3600"/>
      <c r="O9" s="3600"/>
      <c r="P9" s="3600"/>
      <c r="Q9" s="3600"/>
      <c r="R9" s="3600"/>
      <c r="S9" s="3600"/>
      <c r="T9" s="1248"/>
      <c r="U9" s="3603">
        <v>0</v>
      </c>
      <c r="V9" s="3604"/>
      <c r="W9" s="3601">
        <v>0</v>
      </c>
      <c r="X9" s="3602"/>
      <c r="Y9" s="3601">
        <v>0</v>
      </c>
      <c r="Z9" s="3602"/>
      <c r="AA9" s="3601">
        <v>0</v>
      </c>
      <c r="AB9" s="3602"/>
      <c r="AC9" s="3601">
        <v>0</v>
      </c>
      <c r="AD9" s="3602"/>
      <c r="AE9" s="3601">
        <v>0</v>
      </c>
      <c r="AF9" s="3602"/>
      <c r="AG9" s="3601">
        <v>0</v>
      </c>
      <c r="AH9" s="3608"/>
      <c r="AI9" s="3604">
        <v>0</v>
      </c>
      <c r="AJ9" s="3602"/>
      <c r="AK9" s="3601">
        <v>0</v>
      </c>
      <c r="AL9" s="3602"/>
      <c r="AM9" s="3601">
        <v>0</v>
      </c>
      <c r="AN9" s="3602"/>
      <c r="AO9" s="3601">
        <v>0</v>
      </c>
      <c r="AP9" s="3602"/>
      <c r="AQ9" s="3601">
        <v>0</v>
      </c>
      <c r="AR9" s="3621"/>
    </row>
    <row r="10" spans="2:44" s="588" customFormat="1" ht="25" customHeight="1">
      <c r="B10" s="1247"/>
      <c r="C10" s="3600" t="s">
        <v>100</v>
      </c>
      <c r="D10" s="3600"/>
      <c r="E10" s="3600"/>
      <c r="F10" s="3600"/>
      <c r="G10" s="3600"/>
      <c r="H10" s="3600"/>
      <c r="I10" s="3600"/>
      <c r="J10" s="3600"/>
      <c r="K10" s="3600"/>
      <c r="L10" s="3600"/>
      <c r="M10" s="3600"/>
      <c r="N10" s="3600"/>
      <c r="O10" s="3600"/>
      <c r="P10" s="3600"/>
      <c r="Q10" s="3600"/>
      <c r="R10" s="3600"/>
      <c r="S10" s="3600"/>
      <c r="T10" s="1249"/>
      <c r="U10" s="3603">
        <v>0</v>
      </c>
      <c r="V10" s="3604"/>
      <c r="W10" s="3601">
        <v>0</v>
      </c>
      <c r="X10" s="3602"/>
      <c r="Y10" s="3601">
        <v>0</v>
      </c>
      <c r="Z10" s="3602"/>
      <c r="AA10" s="3601">
        <v>0</v>
      </c>
      <c r="AB10" s="3602"/>
      <c r="AC10" s="3601">
        <v>0</v>
      </c>
      <c r="AD10" s="3602"/>
      <c r="AE10" s="3601">
        <v>0</v>
      </c>
      <c r="AF10" s="3602"/>
      <c r="AG10" s="3601">
        <v>0</v>
      </c>
      <c r="AH10" s="3608"/>
      <c r="AI10" s="3604">
        <v>0</v>
      </c>
      <c r="AJ10" s="3602"/>
      <c r="AK10" s="3601">
        <v>0</v>
      </c>
      <c r="AL10" s="3602"/>
      <c r="AM10" s="3601">
        <v>0</v>
      </c>
      <c r="AN10" s="3602"/>
      <c r="AO10" s="3601">
        <v>0</v>
      </c>
      <c r="AP10" s="3602"/>
      <c r="AQ10" s="3601">
        <v>0</v>
      </c>
      <c r="AR10" s="3621"/>
    </row>
    <row r="11" spans="2:44" s="215" customFormat="1" ht="25" customHeight="1">
      <c r="B11" s="1250"/>
      <c r="C11" s="3600" t="s">
        <v>104</v>
      </c>
      <c r="D11" s="3600"/>
      <c r="E11" s="3600"/>
      <c r="F11" s="3600"/>
      <c r="G11" s="3600"/>
      <c r="H11" s="3600"/>
      <c r="I11" s="3600"/>
      <c r="J11" s="3600"/>
      <c r="K11" s="3600"/>
      <c r="L11" s="3600"/>
      <c r="M11" s="3600"/>
      <c r="N11" s="3600"/>
      <c r="O11" s="3600"/>
      <c r="P11" s="3600"/>
      <c r="Q11" s="3600"/>
      <c r="R11" s="3600"/>
      <c r="S11" s="3600"/>
      <c r="T11" s="1249"/>
      <c r="U11" s="3603">
        <v>0</v>
      </c>
      <c r="V11" s="3604"/>
      <c r="W11" s="3601">
        <v>0</v>
      </c>
      <c r="X11" s="3602"/>
      <c r="Y11" s="3601">
        <v>0</v>
      </c>
      <c r="Z11" s="3602"/>
      <c r="AA11" s="3601">
        <v>0</v>
      </c>
      <c r="AB11" s="3602"/>
      <c r="AC11" s="3601">
        <v>0</v>
      </c>
      <c r="AD11" s="3602"/>
      <c r="AE11" s="3601">
        <v>0</v>
      </c>
      <c r="AF11" s="3602"/>
      <c r="AG11" s="3601">
        <v>0</v>
      </c>
      <c r="AH11" s="3608"/>
      <c r="AI11" s="3604">
        <v>0</v>
      </c>
      <c r="AJ11" s="3602"/>
      <c r="AK11" s="3601">
        <v>0</v>
      </c>
      <c r="AL11" s="3602"/>
      <c r="AM11" s="3601">
        <v>0</v>
      </c>
      <c r="AN11" s="3602"/>
      <c r="AO11" s="3601">
        <v>0</v>
      </c>
      <c r="AP11" s="3602"/>
      <c r="AQ11" s="3601">
        <v>0</v>
      </c>
      <c r="AR11" s="3621"/>
    </row>
    <row r="12" spans="2:44" s="588" customFormat="1" ht="24.75" customHeight="1">
      <c r="B12" s="1247"/>
      <c r="C12" s="3600" t="s">
        <v>768</v>
      </c>
      <c r="D12" s="3600"/>
      <c r="E12" s="3600"/>
      <c r="F12" s="3600"/>
      <c r="G12" s="3600"/>
      <c r="H12" s="3600"/>
      <c r="I12" s="3600"/>
      <c r="J12" s="3600"/>
      <c r="K12" s="3600"/>
      <c r="L12" s="3600"/>
      <c r="M12" s="3600"/>
      <c r="N12" s="3600"/>
      <c r="O12" s="3600"/>
      <c r="P12" s="3600"/>
      <c r="Q12" s="3600"/>
      <c r="R12" s="3600"/>
      <c r="S12" s="3600"/>
      <c r="T12" s="1248"/>
      <c r="U12" s="3603">
        <v>0</v>
      </c>
      <c r="V12" s="3604"/>
      <c r="W12" s="3601">
        <v>0</v>
      </c>
      <c r="X12" s="3602"/>
      <c r="Y12" s="3601">
        <v>0</v>
      </c>
      <c r="Z12" s="3602"/>
      <c r="AA12" s="3601">
        <v>0</v>
      </c>
      <c r="AB12" s="3602"/>
      <c r="AC12" s="3601">
        <v>0</v>
      </c>
      <c r="AD12" s="3602"/>
      <c r="AE12" s="3601">
        <v>0</v>
      </c>
      <c r="AF12" s="3602"/>
      <c r="AG12" s="3601">
        <v>0</v>
      </c>
      <c r="AH12" s="3608"/>
      <c r="AI12" s="3604">
        <v>0</v>
      </c>
      <c r="AJ12" s="3602"/>
      <c r="AK12" s="3601">
        <v>0</v>
      </c>
      <c r="AL12" s="3602"/>
      <c r="AM12" s="3601">
        <v>0</v>
      </c>
      <c r="AN12" s="3602"/>
      <c r="AO12" s="3601">
        <v>0</v>
      </c>
      <c r="AP12" s="3602"/>
      <c r="AQ12" s="3601">
        <v>0</v>
      </c>
      <c r="AR12" s="3621"/>
    </row>
    <row r="13" spans="2:44" s="588" customFormat="1" ht="25" customHeight="1">
      <c r="B13" s="1247"/>
      <c r="C13" s="3600" t="s">
        <v>1522</v>
      </c>
      <c r="D13" s="3600"/>
      <c r="E13" s="3600"/>
      <c r="F13" s="3600"/>
      <c r="G13" s="3600"/>
      <c r="H13" s="3600"/>
      <c r="I13" s="3600"/>
      <c r="J13" s="3600"/>
      <c r="K13" s="3600"/>
      <c r="L13" s="3600"/>
      <c r="M13" s="3600"/>
      <c r="N13" s="3600"/>
      <c r="O13" s="3600"/>
      <c r="P13" s="3600"/>
      <c r="Q13" s="3600"/>
      <c r="R13" s="3600"/>
      <c r="S13" s="3600"/>
      <c r="T13" s="1248"/>
      <c r="U13" s="3603">
        <v>0</v>
      </c>
      <c r="V13" s="3604"/>
      <c r="W13" s="3601">
        <v>0</v>
      </c>
      <c r="X13" s="3602"/>
      <c r="Y13" s="3601">
        <v>0</v>
      </c>
      <c r="Z13" s="3602"/>
      <c r="AA13" s="3601">
        <v>0</v>
      </c>
      <c r="AB13" s="3602"/>
      <c r="AC13" s="3601">
        <v>0</v>
      </c>
      <c r="AD13" s="3602"/>
      <c r="AE13" s="3601">
        <v>0</v>
      </c>
      <c r="AF13" s="3602"/>
      <c r="AG13" s="3601">
        <v>0</v>
      </c>
      <c r="AH13" s="3608"/>
      <c r="AI13" s="3604">
        <v>0</v>
      </c>
      <c r="AJ13" s="3602"/>
      <c r="AK13" s="3601">
        <v>0</v>
      </c>
      <c r="AL13" s="3602"/>
      <c r="AM13" s="3601">
        <v>0</v>
      </c>
      <c r="AN13" s="3602"/>
      <c r="AO13" s="3601">
        <v>0</v>
      </c>
      <c r="AP13" s="3602"/>
      <c r="AQ13" s="3601">
        <v>0</v>
      </c>
      <c r="AR13" s="3621"/>
    </row>
    <row r="14" spans="2:44" s="588" customFormat="1" ht="25" customHeight="1">
      <c r="B14" s="1247"/>
      <c r="C14" s="3600" t="s">
        <v>99</v>
      </c>
      <c r="D14" s="3600"/>
      <c r="E14" s="3600"/>
      <c r="F14" s="3600"/>
      <c r="G14" s="3600"/>
      <c r="H14" s="3600"/>
      <c r="I14" s="3600"/>
      <c r="J14" s="3600"/>
      <c r="K14" s="3600"/>
      <c r="L14" s="3600"/>
      <c r="M14" s="3600"/>
      <c r="N14" s="3600"/>
      <c r="O14" s="3600"/>
      <c r="P14" s="3600"/>
      <c r="Q14" s="3600"/>
      <c r="R14" s="3600"/>
      <c r="S14" s="3600"/>
      <c r="T14" s="1249"/>
      <c r="U14" s="3603">
        <v>0</v>
      </c>
      <c r="V14" s="3604"/>
      <c r="W14" s="3601">
        <v>0</v>
      </c>
      <c r="X14" s="3602"/>
      <c r="Y14" s="3601">
        <v>0</v>
      </c>
      <c r="Z14" s="3602"/>
      <c r="AA14" s="3601">
        <v>0</v>
      </c>
      <c r="AB14" s="3602"/>
      <c r="AC14" s="3601">
        <v>0</v>
      </c>
      <c r="AD14" s="3602"/>
      <c r="AE14" s="3601">
        <v>0</v>
      </c>
      <c r="AF14" s="3602"/>
      <c r="AG14" s="3601">
        <v>0</v>
      </c>
      <c r="AH14" s="3608"/>
      <c r="AI14" s="3604">
        <v>0</v>
      </c>
      <c r="AJ14" s="3602"/>
      <c r="AK14" s="3601">
        <v>0</v>
      </c>
      <c r="AL14" s="3602"/>
      <c r="AM14" s="3601">
        <v>0</v>
      </c>
      <c r="AN14" s="3602"/>
      <c r="AO14" s="3601">
        <v>0</v>
      </c>
      <c r="AP14" s="3602"/>
      <c r="AQ14" s="3601">
        <v>0</v>
      </c>
      <c r="AR14" s="3621"/>
    </row>
    <row r="15" spans="2:44" s="588" customFormat="1" ht="25" customHeight="1">
      <c r="B15" s="1247"/>
      <c r="C15" s="3600" t="s">
        <v>103</v>
      </c>
      <c r="D15" s="3600"/>
      <c r="E15" s="3600"/>
      <c r="F15" s="3600"/>
      <c r="G15" s="3600"/>
      <c r="H15" s="3600"/>
      <c r="I15" s="3600"/>
      <c r="J15" s="3600"/>
      <c r="K15" s="3600"/>
      <c r="L15" s="3600"/>
      <c r="M15" s="3600"/>
      <c r="N15" s="3600"/>
      <c r="O15" s="3600"/>
      <c r="P15" s="3600"/>
      <c r="Q15" s="3600"/>
      <c r="R15" s="3600"/>
      <c r="S15" s="3600"/>
      <c r="T15" s="1249"/>
      <c r="U15" s="3603">
        <v>0</v>
      </c>
      <c r="V15" s="3604"/>
      <c r="W15" s="3601">
        <v>0</v>
      </c>
      <c r="X15" s="3602"/>
      <c r="Y15" s="3601">
        <v>0</v>
      </c>
      <c r="Z15" s="3602"/>
      <c r="AA15" s="3601">
        <v>0</v>
      </c>
      <c r="AB15" s="3602"/>
      <c r="AC15" s="3601">
        <v>0</v>
      </c>
      <c r="AD15" s="3602"/>
      <c r="AE15" s="3601">
        <v>0</v>
      </c>
      <c r="AF15" s="3602"/>
      <c r="AG15" s="3601">
        <v>0</v>
      </c>
      <c r="AH15" s="3608"/>
      <c r="AI15" s="3604">
        <v>0</v>
      </c>
      <c r="AJ15" s="3602"/>
      <c r="AK15" s="3601">
        <v>0</v>
      </c>
      <c r="AL15" s="3602"/>
      <c r="AM15" s="3601">
        <v>0</v>
      </c>
      <c r="AN15" s="3602"/>
      <c r="AO15" s="3601">
        <v>0</v>
      </c>
      <c r="AP15" s="3602"/>
      <c r="AQ15" s="3601">
        <v>0</v>
      </c>
      <c r="AR15" s="3621"/>
    </row>
    <row r="16" spans="2:44" s="588" customFormat="1" ht="16.5">
      <c r="B16" s="57" t="s">
        <v>769</v>
      </c>
      <c r="C16" s="54"/>
      <c r="D16" s="54"/>
      <c r="E16" s="55"/>
      <c r="F16" s="55"/>
      <c r="G16" s="55"/>
      <c r="H16" s="55"/>
      <c r="I16" s="55"/>
      <c r="J16" s="55"/>
      <c r="K16" s="55"/>
      <c r="L16" s="55"/>
      <c r="M16" s="55"/>
      <c r="N16" s="55"/>
      <c r="O16" s="55"/>
      <c r="P16" s="55"/>
      <c r="Q16" s="55"/>
      <c r="R16" s="55"/>
      <c r="S16" s="55"/>
      <c r="T16" s="56"/>
      <c r="U16" s="3622"/>
      <c r="V16" s="3623"/>
      <c r="W16" s="3623"/>
      <c r="X16" s="3623"/>
      <c r="Y16" s="3623"/>
      <c r="Z16" s="3623"/>
      <c r="AA16" s="3623"/>
      <c r="AB16" s="3623"/>
      <c r="AC16" s="3623"/>
      <c r="AD16" s="3623"/>
      <c r="AE16" s="3623"/>
      <c r="AF16" s="3623"/>
      <c r="AG16" s="3623"/>
      <c r="AH16" s="3623"/>
      <c r="AI16" s="3623"/>
      <c r="AJ16" s="3623"/>
      <c r="AK16" s="3623"/>
      <c r="AL16" s="3623"/>
      <c r="AM16" s="3623"/>
      <c r="AN16" s="3623"/>
      <c r="AO16" s="3623"/>
      <c r="AP16" s="3623"/>
      <c r="AQ16" s="3623"/>
      <c r="AR16" s="3624"/>
    </row>
    <row r="17" spans="2:44" s="588" customFormat="1" ht="24.75" customHeight="1">
      <c r="B17" s="1247"/>
      <c r="C17" s="3600" t="s">
        <v>770</v>
      </c>
      <c r="D17" s="3600"/>
      <c r="E17" s="3600"/>
      <c r="F17" s="3600"/>
      <c r="G17" s="3600"/>
      <c r="H17" s="3600"/>
      <c r="I17" s="3600"/>
      <c r="J17" s="3600"/>
      <c r="K17" s="3600"/>
      <c r="L17" s="3600"/>
      <c r="M17" s="3600"/>
      <c r="N17" s="3600"/>
      <c r="O17" s="3600"/>
      <c r="P17" s="3600"/>
      <c r="Q17" s="3600"/>
      <c r="R17" s="3600"/>
      <c r="S17" s="3600"/>
      <c r="T17" s="1248"/>
      <c r="U17" s="3603">
        <v>0</v>
      </c>
      <c r="V17" s="3604"/>
      <c r="W17" s="3601">
        <v>0</v>
      </c>
      <c r="X17" s="3602"/>
      <c r="Y17" s="3601">
        <v>0</v>
      </c>
      <c r="Z17" s="3602"/>
      <c r="AA17" s="3601">
        <v>0</v>
      </c>
      <c r="AB17" s="3602"/>
      <c r="AC17" s="3601">
        <v>0</v>
      </c>
      <c r="AD17" s="3602"/>
      <c r="AE17" s="3601">
        <v>0</v>
      </c>
      <c r="AF17" s="3602"/>
      <c r="AG17" s="3601">
        <v>0</v>
      </c>
      <c r="AH17" s="3608"/>
      <c r="AI17" s="3604">
        <v>0</v>
      </c>
      <c r="AJ17" s="3602"/>
      <c r="AK17" s="3601">
        <v>0</v>
      </c>
      <c r="AL17" s="3602"/>
      <c r="AM17" s="3601">
        <v>0</v>
      </c>
      <c r="AN17" s="3602"/>
      <c r="AO17" s="3601">
        <v>0</v>
      </c>
      <c r="AP17" s="3602"/>
      <c r="AQ17" s="3601">
        <v>0</v>
      </c>
      <c r="AR17" s="3621"/>
    </row>
    <row r="18" spans="2:44" s="588" customFormat="1" ht="24.75" customHeight="1">
      <c r="B18" s="1247"/>
      <c r="C18" s="3600" t="s">
        <v>771</v>
      </c>
      <c r="D18" s="3600"/>
      <c r="E18" s="3600"/>
      <c r="F18" s="3600"/>
      <c r="G18" s="3600"/>
      <c r="H18" s="3600"/>
      <c r="I18" s="3600"/>
      <c r="J18" s="3600"/>
      <c r="K18" s="3600"/>
      <c r="L18" s="3600"/>
      <c r="M18" s="3600"/>
      <c r="N18" s="3600"/>
      <c r="O18" s="3600"/>
      <c r="P18" s="3600"/>
      <c r="Q18" s="3600"/>
      <c r="R18" s="3600"/>
      <c r="S18" s="3600"/>
      <c r="T18" s="1248"/>
      <c r="U18" s="3603">
        <v>0</v>
      </c>
      <c r="V18" s="3604"/>
      <c r="W18" s="3601">
        <v>0</v>
      </c>
      <c r="X18" s="3602"/>
      <c r="Y18" s="3601">
        <v>0</v>
      </c>
      <c r="Z18" s="3602"/>
      <c r="AA18" s="3601">
        <v>0</v>
      </c>
      <c r="AB18" s="3602"/>
      <c r="AC18" s="3601">
        <v>0</v>
      </c>
      <c r="AD18" s="3602"/>
      <c r="AE18" s="3601">
        <v>0</v>
      </c>
      <c r="AF18" s="3602"/>
      <c r="AG18" s="3601">
        <v>0</v>
      </c>
      <c r="AH18" s="3608"/>
      <c r="AI18" s="3604">
        <v>0</v>
      </c>
      <c r="AJ18" s="3602"/>
      <c r="AK18" s="3601">
        <v>0</v>
      </c>
      <c r="AL18" s="3602"/>
      <c r="AM18" s="3601">
        <v>0</v>
      </c>
      <c r="AN18" s="3602"/>
      <c r="AO18" s="3601">
        <v>0</v>
      </c>
      <c r="AP18" s="3602"/>
      <c r="AQ18" s="3601">
        <v>0</v>
      </c>
      <c r="AR18" s="3621"/>
    </row>
    <row r="19" spans="2:44" s="588" customFormat="1" ht="24.75" customHeight="1">
      <c r="B19" s="1247"/>
      <c r="C19" s="3600" t="s">
        <v>772</v>
      </c>
      <c r="D19" s="3600"/>
      <c r="E19" s="3600"/>
      <c r="F19" s="3600"/>
      <c r="G19" s="3600"/>
      <c r="H19" s="3600"/>
      <c r="I19" s="3600"/>
      <c r="J19" s="3600"/>
      <c r="K19" s="3600"/>
      <c r="L19" s="3600"/>
      <c r="M19" s="3600"/>
      <c r="N19" s="3600"/>
      <c r="O19" s="3600"/>
      <c r="P19" s="3600"/>
      <c r="Q19" s="3600"/>
      <c r="R19" s="3600"/>
      <c r="S19" s="3600"/>
      <c r="T19" s="1249"/>
      <c r="U19" s="3603">
        <v>0</v>
      </c>
      <c r="V19" s="3604"/>
      <c r="W19" s="3601">
        <v>0</v>
      </c>
      <c r="X19" s="3602"/>
      <c r="Y19" s="3601">
        <v>0</v>
      </c>
      <c r="Z19" s="3602"/>
      <c r="AA19" s="3601">
        <v>0</v>
      </c>
      <c r="AB19" s="3602"/>
      <c r="AC19" s="3601">
        <v>0</v>
      </c>
      <c r="AD19" s="3602"/>
      <c r="AE19" s="3601">
        <v>0</v>
      </c>
      <c r="AF19" s="3602"/>
      <c r="AG19" s="3601">
        <v>0</v>
      </c>
      <c r="AH19" s="3608"/>
      <c r="AI19" s="3604">
        <v>0</v>
      </c>
      <c r="AJ19" s="3602"/>
      <c r="AK19" s="3601">
        <v>0</v>
      </c>
      <c r="AL19" s="3602"/>
      <c r="AM19" s="3601">
        <v>0</v>
      </c>
      <c r="AN19" s="3602"/>
      <c r="AO19" s="3601">
        <v>0</v>
      </c>
      <c r="AP19" s="3602"/>
      <c r="AQ19" s="3601">
        <v>0</v>
      </c>
      <c r="AR19" s="3621"/>
    </row>
    <row r="20" spans="2:44" s="588" customFormat="1" ht="24.75" customHeight="1">
      <c r="B20" s="1247"/>
      <c r="C20" s="3600" t="s">
        <v>773</v>
      </c>
      <c r="D20" s="3600"/>
      <c r="E20" s="3600"/>
      <c r="F20" s="3600"/>
      <c r="G20" s="3600"/>
      <c r="H20" s="3600"/>
      <c r="I20" s="3600"/>
      <c r="J20" s="3600"/>
      <c r="K20" s="3600"/>
      <c r="L20" s="3600"/>
      <c r="M20" s="3600"/>
      <c r="N20" s="3600"/>
      <c r="O20" s="3600"/>
      <c r="P20" s="3600"/>
      <c r="Q20" s="3600"/>
      <c r="R20" s="3600"/>
      <c r="S20" s="3600"/>
      <c r="T20" s="1249"/>
      <c r="U20" s="3603">
        <v>0</v>
      </c>
      <c r="V20" s="3604"/>
      <c r="W20" s="3601">
        <v>0</v>
      </c>
      <c r="X20" s="3602"/>
      <c r="Y20" s="3601">
        <v>0</v>
      </c>
      <c r="Z20" s="3602"/>
      <c r="AA20" s="3601">
        <v>0</v>
      </c>
      <c r="AB20" s="3602"/>
      <c r="AC20" s="3601">
        <v>0</v>
      </c>
      <c r="AD20" s="3602"/>
      <c r="AE20" s="3601">
        <v>0</v>
      </c>
      <c r="AF20" s="3602"/>
      <c r="AG20" s="3601">
        <v>0</v>
      </c>
      <c r="AH20" s="3608"/>
      <c r="AI20" s="3604">
        <v>0</v>
      </c>
      <c r="AJ20" s="3602"/>
      <c r="AK20" s="3601">
        <v>0</v>
      </c>
      <c r="AL20" s="3602"/>
      <c r="AM20" s="3601">
        <v>0</v>
      </c>
      <c r="AN20" s="3602"/>
      <c r="AO20" s="3601">
        <v>0</v>
      </c>
      <c r="AP20" s="3602"/>
      <c r="AQ20" s="3601">
        <v>0</v>
      </c>
      <c r="AR20" s="3621"/>
    </row>
    <row r="21" spans="2:44" s="588" customFormat="1" ht="24.75" customHeight="1">
      <c r="B21" s="1247"/>
      <c r="C21" s="3600" t="s">
        <v>774</v>
      </c>
      <c r="D21" s="3600"/>
      <c r="E21" s="3600"/>
      <c r="F21" s="3600"/>
      <c r="G21" s="3600"/>
      <c r="H21" s="3600"/>
      <c r="I21" s="3600"/>
      <c r="J21" s="3600"/>
      <c r="K21" s="3600"/>
      <c r="L21" s="3600"/>
      <c r="M21" s="3600"/>
      <c r="N21" s="3600"/>
      <c r="O21" s="3600"/>
      <c r="P21" s="3600"/>
      <c r="Q21" s="3600"/>
      <c r="R21" s="3600"/>
      <c r="S21" s="3600"/>
      <c r="T21" s="1249"/>
      <c r="U21" s="3603">
        <v>0</v>
      </c>
      <c r="V21" s="3604"/>
      <c r="W21" s="3601">
        <v>0</v>
      </c>
      <c r="X21" s="3602"/>
      <c r="Y21" s="3601">
        <v>0</v>
      </c>
      <c r="Z21" s="3602"/>
      <c r="AA21" s="3601">
        <v>0</v>
      </c>
      <c r="AB21" s="3602"/>
      <c r="AC21" s="3601">
        <v>0</v>
      </c>
      <c r="AD21" s="3602"/>
      <c r="AE21" s="3601">
        <v>0</v>
      </c>
      <c r="AF21" s="3602"/>
      <c r="AG21" s="3601">
        <v>0</v>
      </c>
      <c r="AH21" s="3608"/>
      <c r="AI21" s="3604">
        <v>0</v>
      </c>
      <c r="AJ21" s="3602"/>
      <c r="AK21" s="3601">
        <v>0</v>
      </c>
      <c r="AL21" s="3602"/>
      <c r="AM21" s="3601">
        <v>0</v>
      </c>
      <c r="AN21" s="3602"/>
      <c r="AO21" s="3601">
        <v>0</v>
      </c>
      <c r="AP21" s="3602"/>
      <c r="AQ21" s="3601">
        <v>0</v>
      </c>
      <c r="AR21" s="3621"/>
    </row>
    <row r="22" spans="2:44" s="588" customFormat="1" ht="24.75" customHeight="1">
      <c r="B22" s="1247"/>
      <c r="C22" s="3600" t="s">
        <v>775</v>
      </c>
      <c r="D22" s="3600"/>
      <c r="E22" s="3600"/>
      <c r="F22" s="3600"/>
      <c r="G22" s="3600"/>
      <c r="H22" s="3600"/>
      <c r="I22" s="3600"/>
      <c r="J22" s="3600"/>
      <c r="K22" s="3600"/>
      <c r="L22" s="3600"/>
      <c r="M22" s="3600"/>
      <c r="N22" s="3600"/>
      <c r="O22" s="3600"/>
      <c r="P22" s="3600"/>
      <c r="Q22" s="3600"/>
      <c r="R22" s="3600"/>
      <c r="S22" s="3600"/>
      <c r="T22" s="1249"/>
      <c r="U22" s="3603">
        <v>0</v>
      </c>
      <c r="V22" s="3604"/>
      <c r="W22" s="3601">
        <v>0</v>
      </c>
      <c r="X22" s="3602"/>
      <c r="Y22" s="3601">
        <v>0</v>
      </c>
      <c r="Z22" s="3602"/>
      <c r="AA22" s="3601">
        <v>0</v>
      </c>
      <c r="AB22" s="3602"/>
      <c r="AC22" s="3601">
        <v>0</v>
      </c>
      <c r="AD22" s="3602"/>
      <c r="AE22" s="3601">
        <v>0</v>
      </c>
      <c r="AF22" s="3602"/>
      <c r="AG22" s="3601">
        <v>1</v>
      </c>
      <c r="AH22" s="3608"/>
      <c r="AI22" s="3604">
        <v>0</v>
      </c>
      <c r="AJ22" s="3602"/>
      <c r="AK22" s="3601">
        <v>0</v>
      </c>
      <c r="AL22" s="3602"/>
      <c r="AM22" s="3601">
        <v>0</v>
      </c>
      <c r="AN22" s="3602"/>
      <c r="AO22" s="3601">
        <v>0</v>
      </c>
      <c r="AP22" s="3602"/>
      <c r="AQ22" s="3601">
        <v>1</v>
      </c>
      <c r="AR22" s="3621"/>
    </row>
    <row r="23" spans="2:44" s="588" customFormat="1" ht="24.75" customHeight="1">
      <c r="B23" s="1250"/>
      <c r="C23" s="3600" t="s">
        <v>776</v>
      </c>
      <c r="D23" s="3600"/>
      <c r="E23" s="3600"/>
      <c r="F23" s="3600"/>
      <c r="G23" s="3600"/>
      <c r="H23" s="3600"/>
      <c r="I23" s="3600"/>
      <c r="J23" s="3600"/>
      <c r="K23" s="3600"/>
      <c r="L23" s="3600"/>
      <c r="M23" s="3600"/>
      <c r="N23" s="3600"/>
      <c r="O23" s="3600"/>
      <c r="P23" s="3600"/>
      <c r="Q23" s="3600"/>
      <c r="R23" s="3600"/>
      <c r="S23" s="3600"/>
      <c r="T23" s="1249"/>
      <c r="U23" s="3603">
        <v>0</v>
      </c>
      <c r="V23" s="3604"/>
      <c r="W23" s="3601">
        <v>0</v>
      </c>
      <c r="X23" s="3602"/>
      <c r="Y23" s="3601">
        <v>0</v>
      </c>
      <c r="Z23" s="3602"/>
      <c r="AA23" s="3601">
        <v>0</v>
      </c>
      <c r="AB23" s="3602"/>
      <c r="AC23" s="3601">
        <v>0</v>
      </c>
      <c r="AD23" s="3602"/>
      <c r="AE23" s="3601">
        <v>0</v>
      </c>
      <c r="AF23" s="3602"/>
      <c r="AG23" s="3601">
        <v>0</v>
      </c>
      <c r="AH23" s="3608"/>
      <c r="AI23" s="3604">
        <v>0</v>
      </c>
      <c r="AJ23" s="3602"/>
      <c r="AK23" s="3601">
        <v>0</v>
      </c>
      <c r="AL23" s="3602"/>
      <c r="AM23" s="3601">
        <v>0</v>
      </c>
      <c r="AN23" s="3602"/>
      <c r="AO23" s="3601">
        <v>0</v>
      </c>
      <c r="AP23" s="3602"/>
      <c r="AQ23" s="3601">
        <v>0</v>
      </c>
      <c r="AR23" s="3621"/>
    </row>
    <row r="24" spans="2:44" s="588" customFormat="1" ht="24.75" customHeight="1">
      <c r="B24" s="1250"/>
      <c r="C24" s="3600" t="s">
        <v>1243</v>
      </c>
      <c r="D24" s="3600"/>
      <c r="E24" s="3600"/>
      <c r="F24" s="3600"/>
      <c r="G24" s="3600"/>
      <c r="H24" s="3600"/>
      <c r="I24" s="3600"/>
      <c r="J24" s="3600"/>
      <c r="K24" s="3600"/>
      <c r="L24" s="3600"/>
      <c r="M24" s="3600"/>
      <c r="N24" s="3600"/>
      <c r="O24" s="3600"/>
      <c r="P24" s="3600"/>
      <c r="Q24" s="3600"/>
      <c r="R24" s="3600"/>
      <c r="S24" s="3600"/>
      <c r="T24" s="1251"/>
      <c r="U24" s="3603">
        <v>0</v>
      </c>
      <c r="V24" s="3604"/>
      <c r="W24" s="3601">
        <v>0</v>
      </c>
      <c r="X24" s="3602"/>
      <c r="Y24" s="3601">
        <v>0</v>
      </c>
      <c r="Z24" s="3602"/>
      <c r="AA24" s="3601">
        <v>0</v>
      </c>
      <c r="AB24" s="3602"/>
      <c r="AC24" s="3601">
        <v>0</v>
      </c>
      <c r="AD24" s="3602"/>
      <c r="AE24" s="3601">
        <v>0</v>
      </c>
      <c r="AF24" s="3602"/>
      <c r="AG24" s="3601">
        <v>0</v>
      </c>
      <c r="AH24" s="3608"/>
      <c r="AI24" s="3604">
        <v>0</v>
      </c>
      <c r="AJ24" s="3602"/>
      <c r="AK24" s="3601">
        <v>0</v>
      </c>
      <c r="AL24" s="3602"/>
      <c r="AM24" s="3601">
        <v>0</v>
      </c>
      <c r="AN24" s="3602"/>
      <c r="AO24" s="3601">
        <v>0</v>
      </c>
      <c r="AP24" s="3602"/>
      <c r="AQ24" s="3601">
        <v>0</v>
      </c>
      <c r="AR24" s="3621"/>
    </row>
    <row r="25" spans="2:44" s="588" customFormat="1" ht="51" customHeight="1">
      <c r="B25" s="1250"/>
      <c r="C25" s="3600" t="s">
        <v>1844</v>
      </c>
      <c r="D25" s="3600"/>
      <c r="E25" s="3600"/>
      <c r="F25" s="3600"/>
      <c r="G25" s="3600"/>
      <c r="H25" s="3600"/>
      <c r="I25" s="3600"/>
      <c r="J25" s="3600"/>
      <c r="K25" s="3600"/>
      <c r="L25" s="3600"/>
      <c r="M25" s="3600"/>
      <c r="N25" s="3600"/>
      <c r="O25" s="3600"/>
      <c r="P25" s="3600"/>
      <c r="Q25" s="3600"/>
      <c r="R25" s="3600"/>
      <c r="S25" s="3600"/>
      <c r="T25" s="1249"/>
      <c r="U25" s="3603">
        <v>0</v>
      </c>
      <c r="V25" s="3604"/>
      <c r="W25" s="3601">
        <v>0</v>
      </c>
      <c r="X25" s="3602"/>
      <c r="Y25" s="3601">
        <v>0</v>
      </c>
      <c r="Z25" s="3602"/>
      <c r="AA25" s="3601">
        <v>0</v>
      </c>
      <c r="AB25" s="3602"/>
      <c r="AC25" s="3601">
        <v>0</v>
      </c>
      <c r="AD25" s="3602"/>
      <c r="AE25" s="3601">
        <v>0</v>
      </c>
      <c r="AF25" s="3602"/>
      <c r="AG25" s="3601">
        <v>0</v>
      </c>
      <c r="AH25" s="3608"/>
      <c r="AI25" s="3604">
        <v>0</v>
      </c>
      <c r="AJ25" s="3602"/>
      <c r="AK25" s="3601">
        <v>0</v>
      </c>
      <c r="AL25" s="3602"/>
      <c r="AM25" s="3601">
        <v>0</v>
      </c>
      <c r="AN25" s="3602"/>
      <c r="AO25" s="3601">
        <v>0</v>
      </c>
      <c r="AP25" s="3602"/>
      <c r="AQ25" s="3601">
        <v>0</v>
      </c>
      <c r="AR25" s="3621"/>
    </row>
    <row r="26" spans="2:44" s="588" customFormat="1" ht="36.75" customHeight="1">
      <c r="B26" s="1247"/>
      <c r="C26" s="3600" t="s">
        <v>1244</v>
      </c>
      <c r="D26" s="3600"/>
      <c r="E26" s="3600"/>
      <c r="F26" s="3600"/>
      <c r="G26" s="3600"/>
      <c r="H26" s="3600"/>
      <c r="I26" s="3600"/>
      <c r="J26" s="3600"/>
      <c r="K26" s="3600"/>
      <c r="L26" s="3600"/>
      <c r="M26" s="3600"/>
      <c r="N26" s="3600"/>
      <c r="O26" s="3600"/>
      <c r="P26" s="3600"/>
      <c r="Q26" s="3600"/>
      <c r="R26" s="3600"/>
      <c r="S26" s="3600"/>
      <c r="T26" s="1249"/>
      <c r="U26" s="3603">
        <v>0</v>
      </c>
      <c r="V26" s="3604"/>
      <c r="W26" s="3601">
        <v>0</v>
      </c>
      <c r="X26" s="3602"/>
      <c r="Y26" s="3601">
        <v>0</v>
      </c>
      <c r="Z26" s="3602"/>
      <c r="AA26" s="3601">
        <v>0</v>
      </c>
      <c r="AB26" s="3602"/>
      <c r="AC26" s="3601">
        <v>0</v>
      </c>
      <c r="AD26" s="3602"/>
      <c r="AE26" s="3601">
        <v>0</v>
      </c>
      <c r="AF26" s="3602"/>
      <c r="AG26" s="3601">
        <v>0</v>
      </c>
      <c r="AH26" s="3608"/>
      <c r="AI26" s="3604">
        <v>0</v>
      </c>
      <c r="AJ26" s="3602"/>
      <c r="AK26" s="3601">
        <v>0</v>
      </c>
      <c r="AL26" s="3602"/>
      <c r="AM26" s="3601">
        <v>0</v>
      </c>
      <c r="AN26" s="3602"/>
      <c r="AO26" s="3601">
        <v>0</v>
      </c>
      <c r="AP26" s="3602"/>
      <c r="AQ26" s="3601">
        <v>0</v>
      </c>
      <c r="AR26" s="3621"/>
    </row>
    <row r="27" spans="2:44" s="588" customFormat="1" ht="24.75" customHeight="1">
      <c r="B27" s="1247"/>
      <c r="C27" s="3600" t="s">
        <v>777</v>
      </c>
      <c r="D27" s="3600"/>
      <c r="E27" s="3600"/>
      <c r="F27" s="3600"/>
      <c r="G27" s="3600"/>
      <c r="H27" s="3600"/>
      <c r="I27" s="3600"/>
      <c r="J27" s="3600"/>
      <c r="K27" s="3600"/>
      <c r="L27" s="3600"/>
      <c r="M27" s="3600"/>
      <c r="N27" s="3600"/>
      <c r="O27" s="3600"/>
      <c r="P27" s="3600"/>
      <c r="Q27" s="3600"/>
      <c r="R27" s="3600"/>
      <c r="S27" s="3600"/>
      <c r="T27" s="1248"/>
      <c r="U27" s="3603">
        <v>0</v>
      </c>
      <c r="V27" s="3604"/>
      <c r="W27" s="3601">
        <v>0</v>
      </c>
      <c r="X27" s="3602"/>
      <c r="Y27" s="3601">
        <v>0</v>
      </c>
      <c r="Z27" s="3602"/>
      <c r="AA27" s="3601">
        <v>0</v>
      </c>
      <c r="AB27" s="3602"/>
      <c r="AC27" s="3601">
        <v>0</v>
      </c>
      <c r="AD27" s="3602"/>
      <c r="AE27" s="3601">
        <v>0</v>
      </c>
      <c r="AF27" s="3602"/>
      <c r="AG27" s="3601">
        <v>0</v>
      </c>
      <c r="AH27" s="3608"/>
      <c r="AI27" s="3604">
        <v>0</v>
      </c>
      <c r="AJ27" s="3602"/>
      <c r="AK27" s="3601">
        <v>0</v>
      </c>
      <c r="AL27" s="3602"/>
      <c r="AM27" s="3601">
        <v>0</v>
      </c>
      <c r="AN27" s="3602"/>
      <c r="AO27" s="3601">
        <v>0</v>
      </c>
      <c r="AP27" s="3602"/>
      <c r="AQ27" s="3601">
        <v>0</v>
      </c>
      <c r="AR27" s="3621"/>
    </row>
    <row r="28" spans="2:44" s="588" customFormat="1" ht="24.75" customHeight="1">
      <c r="B28" s="1250"/>
      <c r="C28" s="3600" t="s">
        <v>778</v>
      </c>
      <c r="D28" s="3600"/>
      <c r="E28" s="3600"/>
      <c r="F28" s="3600"/>
      <c r="G28" s="3600"/>
      <c r="H28" s="3600"/>
      <c r="I28" s="3600"/>
      <c r="J28" s="3600"/>
      <c r="K28" s="3600"/>
      <c r="L28" s="3600"/>
      <c r="M28" s="3600"/>
      <c r="N28" s="3600"/>
      <c r="O28" s="3600"/>
      <c r="P28" s="3600"/>
      <c r="Q28" s="3600"/>
      <c r="R28" s="3600"/>
      <c r="S28" s="3600"/>
      <c r="T28" s="1249"/>
      <c r="U28" s="3603">
        <v>0</v>
      </c>
      <c r="V28" s="3604"/>
      <c r="W28" s="3601">
        <v>0</v>
      </c>
      <c r="X28" s="3602"/>
      <c r="Y28" s="3601">
        <v>0</v>
      </c>
      <c r="Z28" s="3602"/>
      <c r="AA28" s="3601">
        <v>0</v>
      </c>
      <c r="AB28" s="3602"/>
      <c r="AC28" s="3601">
        <v>0</v>
      </c>
      <c r="AD28" s="3602"/>
      <c r="AE28" s="3601">
        <v>0</v>
      </c>
      <c r="AF28" s="3602"/>
      <c r="AG28" s="3601">
        <v>0</v>
      </c>
      <c r="AH28" s="3608"/>
      <c r="AI28" s="3604">
        <v>0</v>
      </c>
      <c r="AJ28" s="3602"/>
      <c r="AK28" s="3601">
        <v>0</v>
      </c>
      <c r="AL28" s="3602"/>
      <c r="AM28" s="3601">
        <v>0</v>
      </c>
      <c r="AN28" s="3602"/>
      <c r="AO28" s="3601">
        <v>0</v>
      </c>
      <c r="AP28" s="3602"/>
      <c r="AQ28" s="3601">
        <v>0</v>
      </c>
      <c r="AR28" s="3621"/>
    </row>
    <row r="29" spans="2:44" s="588" customFormat="1" ht="24.75" customHeight="1">
      <c r="B29" s="1247"/>
      <c r="C29" s="3600" t="s">
        <v>1843</v>
      </c>
      <c r="D29" s="3600"/>
      <c r="E29" s="3600"/>
      <c r="F29" s="3600"/>
      <c r="G29" s="3600"/>
      <c r="H29" s="3600"/>
      <c r="I29" s="3600"/>
      <c r="J29" s="3600"/>
      <c r="K29" s="3600"/>
      <c r="L29" s="3600"/>
      <c r="M29" s="3600"/>
      <c r="N29" s="3600"/>
      <c r="O29" s="3600"/>
      <c r="P29" s="3600"/>
      <c r="Q29" s="3600"/>
      <c r="R29" s="3600"/>
      <c r="S29" s="3600"/>
      <c r="T29" s="1249"/>
      <c r="U29" s="3603">
        <v>0</v>
      </c>
      <c r="V29" s="3604"/>
      <c r="W29" s="3601">
        <v>0</v>
      </c>
      <c r="X29" s="3602"/>
      <c r="Y29" s="3601">
        <v>0</v>
      </c>
      <c r="Z29" s="3602"/>
      <c r="AA29" s="3601">
        <v>0</v>
      </c>
      <c r="AB29" s="3602"/>
      <c r="AC29" s="3601">
        <v>0</v>
      </c>
      <c r="AD29" s="3602"/>
      <c r="AE29" s="3601">
        <v>0</v>
      </c>
      <c r="AF29" s="3602"/>
      <c r="AG29" s="3601">
        <v>0</v>
      </c>
      <c r="AH29" s="3608"/>
      <c r="AI29" s="3604">
        <v>0</v>
      </c>
      <c r="AJ29" s="3602"/>
      <c r="AK29" s="3601">
        <v>0</v>
      </c>
      <c r="AL29" s="3602"/>
      <c r="AM29" s="3601">
        <v>0</v>
      </c>
      <c r="AN29" s="3602"/>
      <c r="AO29" s="3601">
        <v>0</v>
      </c>
      <c r="AP29" s="3602"/>
      <c r="AQ29" s="3601">
        <v>0</v>
      </c>
      <c r="AR29" s="3621"/>
    </row>
    <row r="30" spans="2:44" s="588" customFormat="1" ht="20.149999999999999" customHeight="1">
      <c r="B30" s="1246"/>
      <c r="C30" s="3639" t="s">
        <v>908</v>
      </c>
      <c r="D30" s="3639"/>
      <c r="E30" s="3639"/>
      <c r="F30" s="3639"/>
      <c r="G30" s="3639"/>
      <c r="H30" s="3639"/>
      <c r="I30" s="3639"/>
      <c r="J30" s="3639"/>
      <c r="K30" s="3639"/>
      <c r="L30" s="3639"/>
      <c r="M30" s="3639"/>
      <c r="N30" s="3639"/>
      <c r="O30" s="3639"/>
      <c r="P30" s="3639"/>
      <c r="Q30" s="3639"/>
      <c r="R30" s="3639"/>
      <c r="S30" s="3639"/>
      <c r="T30" s="1245"/>
      <c r="U30" s="3612"/>
      <c r="V30" s="3613"/>
      <c r="W30" s="3605"/>
      <c r="X30" s="3613"/>
      <c r="Y30" s="3605"/>
      <c r="Z30" s="3613"/>
      <c r="AA30" s="3605"/>
      <c r="AB30" s="3613"/>
      <c r="AC30" s="3605"/>
      <c r="AD30" s="3613"/>
      <c r="AE30" s="3605"/>
      <c r="AF30" s="3613"/>
      <c r="AG30" s="3605"/>
      <c r="AH30" s="3611"/>
      <c r="AI30" s="3612"/>
      <c r="AJ30" s="3613"/>
      <c r="AK30" s="3605"/>
      <c r="AL30" s="3613"/>
      <c r="AM30" s="3605"/>
      <c r="AN30" s="3613"/>
      <c r="AO30" s="3605"/>
      <c r="AP30" s="3613"/>
      <c r="AQ30" s="3605"/>
      <c r="AR30" s="3606"/>
    </row>
    <row r="31" spans="2:44" s="588" customFormat="1" ht="20.149999999999999" customHeight="1">
      <c r="B31" s="1246"/>
      <c r="C31" s="3641"/>
      <c r="D31" s="3641"/>
      <c r="E31" s="3641"/>
      <c r="F31" s="3641"/>
      <c r="G31" s="3641"/>
      <c r="H31" s="3641"/>
      <c r="I31" s="3641"/>
      <c r="J31" s="3641"/>
      <c r="K31" s="3641"/>
      <c r="L31" s="3641"/>
      <c r="M31" s="3641"/>
      <c r="N31" s="3641"/>
      <c r="O31" s="3641"/>
      <c r="P31" s="3641"/>
      <c r="Q31" s="3641"/>
      <c r="R31" s="3641"/>
      <c r="S31" s="3641"/>
      <c r="T31" s="1245"/>
      <c r="U31" s="3612"/>
      <c r="V31" s="3613"/>
      <c r="W31" s="3605"/>
      <c r="X31" s="3613"/>
      <c r="Y31" s="3605"/>
      <c r="Z31" s="3613"/>
      <c r="AA31" s="3605"/>
      <c r="AB31" s="3613"/>
      <c r="AC31" s="3605"/>
      <c r="AD31" s="3613"/>
      <c r="AE31" s="3605"/>
      <c r="AF31" s="3613"/>
      <c r="AG31" s="3605"/>
      <c r="AH31" s="3611"/>
      <c r="AI31" s="3612"/>
      <c r="AJ31" s="3613"/>
      <c r="AK31" s="3605"/>
      <c r="AL31" s="3613"/>
      <c r="AM31" s="3605"/>
      <c r="AN31" s="3613"/>
      <c r="AO31" s="3605"/>
      <c r="AP31" s="3613"/>
      <c r="AQ31" s="3605"/>
      <c r="AR31" s="3606"/>
    </row>
    <row r="32" spans="2:44" s="588" customFormat="1" ht="5.15" customHeight="1" thickBot="1">
      <c r="B32" s="1238"/>
      <c r="C32" s="3637"/>
      <c r="D32" s="3637"/>
      <c r="E32" s="3637"/>
      <c r="F32" s="3637"/>
      <c r="G32" s="3637"/>
      <c r="H32" s="3637"/>
      <c r="I32" s="3637"/>
      <c r="J32" s="3637"/>
      <c r="K32" s="3637"/>
      <c r="L32" s="3637"/>
      <c r="M32" s="3637"/>
      <c r="N32" s="3637"/>
      <c r="O32" s="3637"/>
      <c r="P32" s="3637"/>
      <c r="Q32" s="3637"/>
      <c r="R32" s="3637"/>
      <c r="S32" s="3637"/>
      <c r="T32" s="1239"/>
      <c r="U32" s="3638"/>
      <c r="V32" s="3636"/>
      <c r="W32" s="3598"/>
      <c r="X32" s="3609"/>
      <c r="Y32" s="3598"/>
      <c r="Z32" s="3609"/>
      <c r="AA32" s="3598"/>
      <c r="AB32" s="3609"/>
      <c r="AC32" s="3598"/>
      <c r="AD32" s="3609"/>
      <c r="AE32" s="3598"/>
      <c r="AF32" s="3609"/>
      <c r="AG32" s="3598"/>
      <c r="AH32" s="3599"/>
      <c r="AI32" s="3636"/>
      <c r="AJ32" s="3609"/>
      <c r="AK32" s="3598"/>
      <c r="AL32" s="3609"/>
      <c r="AM32" s="3598"/>
      <c r="AN32" s="3609"/>
      <c r="AO32" s="3598"/>
      <c r="AP32" s="3609"/>
      <c r="AQ32" s="3598"/>
      <c r="AR32" s="3610"/>
    </row>
    <row r="33" spans="2:46" s="588" customFormat="1" ht="15" customHeight="1" thickTop="1">
      <c r="B33" s="1240"/>
      <c r="C33" s="3597" t="str">
        <f>IF(AND(ISBLANK(disastercalamities_human_induced_others_specify), SUM(U30:AR31)&gt;0), "Please specify.", IF(AND(disastercalamities_human_induced_others_specify&gt;0, SUM(U30:AR31)=0), "Please provide details.", ""))</f>
        <v/>
      </c>
      <c r="D33" s="3597"/>
      <c r="E33" s="3597"/>
      <c r="F33" s="3597"/>
      <c r="G33" s="3597"/>
      <c r="H33" s="3597"/>
      <c r="I33" s="1241"/>
      <c r="J33" s="1241"/>
      <c r="K33" s="1241"/>
      <c r="L33" s="1241"/>
      <c r="M33" s="1241"/>
      <c r="N33" s="1241"/>
      <c r="O33" s="1241"/>
      <c r="P33" s="1241"/>
      <c r="Q33" s="1241"/>
      <c r="R33" s="1241"/>
      <c r="S33" s="1241"/>
      <c r="T33" s="124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2:46" s="681" customFormat="1" ht="16.5">
      <c r="B34" s="187" t="s">
        <v>1245</v>
      </c>
      <c r="C34" s="1244"/>
      <c r="D34" s="1240"/>
      <c r="E34" s="1240"/>
      <c r="F34" s="1240"/>
      <c r="G34" s="1240"/>
      <c r="H34" s="1240"/>
      <c r="I34" s="1240"/>
      <c r="J34" s="1240"/>
      <c r="K34" s="1240"/>
      <c r="L34" s="1240"/>
      <c r="M34" s="1240"/>
      <c r="N34" s="1240"/>
      <c r="O34" s="1240"/>
      <c r="P34" s="1240"/>
      <c r="Q34" s="1240"/>
      <c r="R34" s="1240"/>
      <c r="S34" s="1240"/>
      <c r="T34" s="1240"/>
    </row>
    <row r="35" spans="2:46"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2:46" s="1235" customFormat="1" ht="14">
      <c r="B36" s="169" t="s">
        <v>847</v>
      </c>
      <c r="Q36" s="169" t="s">
        <v>747</v>
      </c>
      <c r="AF36" s="169" t="s">
        <v>783</v>
      </c>
    </row>
    <row r="37" spans="2:46" s="1235" customFormat="1" ht="21.75" customHeight="1">
      <c r="B37" s="169" t="s">
        <v>756</v>
      </c>
      <c r="F37" s="3607" t="str">
        <f>activesheet!E29</f>
        <v>RICO S. MISPEROS</v>
      </c>
      <c r="G37" s="3607"/>
      <c r="H37" s="3607"/>
      <c r="I37" s="3607"/>
      <c r="J37" s="3607"/>
      <c r="K37" s="3607"/>
      <c r="L37" s="3607"/>
      <c r="M37" s="3607"/>
      <c r="N37" s="3607"/>
      <c r="Q37" s="3640" t="s">
        <v>11874</v>
      </c>
      <c r="R37" s="3640"/>
      <c r="S37" s="3640"/>
      <c r="T37" s="3640"/>
      <c r="U37" s="3640"/>
      <c r="V37" s="3640"/>
      <c r="W37" s="3640"/>
      <c r="X37" s="3640"/>
      <c r="Y37" s="3640"/>
      <c r="Z37" s="3640"/>
      <c r="AA37" s="3640"/>
      <c r="AB37" s="3640"/>
      <c r="AC37" s="3640"/>
      <c r="AF37" s="1956" t="str">
        <f>activesheet!E31</f>
        <v>MICHAEL T. JAMIS</v>
      </c>
      <c r="AG37" s="1956"/>
      <c r="AH37" s="1956"/>
      <c r="AI37" s="1956"/>
      <c r="AJ37" s="1956"/>
      <c r="AK37" s="1956"/>
      <c r="AL37" s="1956"/>
      <c r="AM37" s="1956"/>
      <c r="AN37" s="1956"/>
      <c r="AO37" s="1956"/>
      <c r="AP37" s="1956"/>
      <c r="AQ37" s="1956"/>
      <c r="AR37" s="1956"/>
    </row>
    <row r="38" spans="2:46" s="1237"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57"/>
      <c r="AG38" s="1957"/>
      <c r="AH38" s="1957"/>
      <c r="AI38" s="1957"/>
      <c r="AJ38" s="1957"/>
      <c r="AK38" s="1957"/>
      <c r="AL38" s="1957"/>
      <c r="AM38" s="1957"/>
      <c r="AN38" s="1957"/>
      <c r="AO38" s="1957"/>
      <c r="AP38" s="1957"/>
      <c r="AQ38" s="1957"/>
      <c r="AR38" s="1957"/>
    </row>
    <row r="39" spans="2:46" s="1235" customFormat="1" ht="21.75" customHeight="1">
      <c r="B39" s="169" t="s">
        <v>71</v>
      </c>
      <c r="F39" s="3607" t="str">
        <f>activesheet!E30</f>
        <v>SCHOOL PRINCIPAL II</v>
      </c>
      <c r="G39" s="3607"/>
      <c r="H39" s="3607"/>
      <c r="I39" s="3607"/>
      <c r="J39" s="3607"/>
      <c r="K39" s="3607"/>
      <c r="L39" s="3607"/>
      <c r="M39" s="3607"/>
      <c r="N39" s="3607"/>
      <c r="P39" s="1236"/>
      <c r="Q39" s="169" t="s">
        <v>71</v>
      </c>
      <c r="U39" s="3640" t="s">
        <v>11875</v>
      </c>
      <c r="V39" s="3640"/>
      <c r="W39" s="3640"/>
      <c r="X39" s="3640"/>
      <c r="Y39" s="3640"/>
      <c r="Z39" s="3640"/>
      <c r="AA39" s="3640"/>
      <c r="AB39" s="3640"/>
      <c r="AC39" s="3640"/>
      <c r="AF39" s="1764" t="s">
        <v>741</v>
      </c>
      <c r="AG39" s="1764"/>
      <c r="AH39" s="1764"/>
      <c r="AI39" s="1764"/>
      <c r="AJ39" s="1764"/>
      <c r="AK39" s="1764"/>
      <c r="AL39" s="1764"/>
      <c r="AM39" s="1764"/>
      <c r="AN39" s="1764"/>
      <c r="AO39" s="1764"/>
      <c r="AP39" s="1764"/>
      <c r="AQ39" s="1764"/>
      <c r="AR39" s="1764"/>
    </row>
    <row r="40" spans="2:46">
      <c r="P40" s="211"/>
      <c r="Q40" s="211"/>
      <c r="R40" s="211"/>
      <c r="S40" s="211"/>
      <c r="T40" s="211"/>
      <c r="U40" s="211"/>
      <c r="V40" s="211"/>
      <c r="W40" s="211"/>
      <c r="X40" s="211"/>
      <c r="AF40" s="1235"/>
      <c r="AG40" s="1235"/>
      <c r="AH40" s="1235"/>
      <c r="AI40" s="1235"/>
      <c r="AJ40" s="1235"/>
      <c r="AK40" s="1235"/>
      <c r="AL40" s="1235"/>
      <c r="AM40" s="1235"/>
      <c r="AN40" s="1235"/>
      <c r="AO40" s="1235"/>
      <c r="AP40" s="1235"/>
      <c r="AQ40" s="1235"/>
      <c r="AR40" s="1235"/>
    </row>
    <row r="41" spans="2:46" s="652" customFormat="1">
      <c r="AE41" s="969"/>
      <c r="AF41" s="969"/>
      <c r="AG41" s="969"/>
      <c r="AH41" s="211"/>
      <c r="AI41" s="211"/>
      <c r="AJ41" s="211"/>
      <c r="AK41" s="211"/>
      <c r="AL41" s="211"/>
      <c r="AM41" s="969"/>
      <c r="AN41" s="969"/>
      <c r="AO41" s="969"/>
      <c r="AP41" s="969"/>
      <c r="AQ41" s="969"/>
      <c r="AR41" s="969"/>
    </row>
    <row r="42" spans="2:46" s="652" customFormat="1" ht="19.5" customHeight="1"/>
    <row r="43" spans="2:46" s="652" customFormat="1"/>
    <row r="44" spans="2:46" s="652" customFormat="1"/>
    <row r="45" spans="2:46" ht="18" customHeight="1">
      <c r="AE45" s="652"/>
      <c r="AF45" s="652"/>
      <c r="AG45" s="652"/>
      <c r="AH45" s="652"/>
      <c r="AI45" s="652"/>
      <c r="AJ45" s="652"/>
      <c r="AK45" s="652"/>
      <c r="AL45" s="652"/>
      <c r="AM45" s="652"/>
      <c r="AN45" s="652"/>
      <c r="AO45" s="652"/>
      <c r="AP45" s="652"/>
      <c r="AQ45" s="652"/>
      <c r="AR45" s="652"/>
    </row>
    <row r="47" spans="2:46">
      <c r="AT47" s="655"/>
    </row>
  </sheetData>
  <sheetProtection algorithmName="SHA-512" hashValue="eM+jwHjy5hcYSHGWCEq4h+Zuy3SwjW99M2Qj+w703Kue/DR+jMRcdaEInkeVkylAklKyQKPO8Epug6qEp7SA3g==" saltValue="jZzaaNWJf6D/T7+PD6xAjg==" spinCount="100000" sheet="1" objects="1" scenarios="1" selectLockedCells="1"/>
  <mergeCells count="339">
    <mergeCell ref="F39:N39"/>
    <mergeCell ref="U24:V24"/>
    <mergeCell ref="W24:X24"/>
    <mergeCell ref="Y24:Z24"/>
    <mergeCell ref="AA24:AB24"/>
    <mergeCell ref="AC24:AD24"/>
    <mergeCell ref="AE24:AF24"/>
    <mergeCell ref="AG24:AH24"/>
    <mergeCell ref="AF39:AR39"/>
    <mergeCell ref="AM32:AN32"/>
    <mergeCell ref="AM30:AN31"/>
    <mergeCell ref="AO30:AP31"/>
    <mergeCell ref="AO26:AP26"/>
    <mergeCell ref="AO27:AP27"/>
    <mergeCell ref="AO28:AP28"/>
    <mergeCell ref="AO29:AP29"/>
    <mergeCell ref="AI26:AJ26"/>
    <mergeCell ref="AK25:AL25"/>
    <mergeCell ref="AM25:AN25"/>
    <mergeCell ref="U39:AC39"/>
    <mergeCell ref="AQ26:AR26"/>
    <mergeCell ref="Q38:AC38"/>
    <mergeCell ref="AF37:AR38"/>
    <mergeCell ref="AE32:AF32"/>
    <mergeCell ref="C29:S29"/>
    <mergeCell ref="AI32:AJ32"/>
    <mergeCell ref="F38:N38"/>
    <mergeCell ref="AK32:AL32"/>
    <mergeCell ref="C27:S27"/>
    <mergeCell ref="C32:S32"/>
    <mergeCell ref="U32:V32"/>
    <mergeCell ref="W32:X32"/>
    <mergeCell ref="Y32:Z32"/>
    <mergeCell ref="C30:S30"/>
    <mergeCell ref="AC32:AD32"/>
    <mergeCell ref="Q37:AC37"/>
    <mergeCell ref="U28:V28"/>
    <mergeCell ref="W28:X28"/>
    <mergeCell ref="U27:V27"/>
    <mergeCell ref="AA32:AB32"/>
    <mergeCell ref="AK30:AL31"/>
    <mergeCell ref="AA30:AB31"/>
    <mergeCell ref="AC30:AD31"/>
    <mergeCell ref="AE30:AF31"/>
    <mergeCell ref="C31:S31"/>
    <mergeCell ref="U30:V31"/>
    <mergeCell ref="W30:X31"/>
    <mergeCell ref="Y30:Z31"/>
    <mergeCell ref="AQ28:AR28"/>
    <mergeCell ref="AM29:AN29"/>
    <mergeCell ref="AQ29:AR29"/>
    <mergeCell ref="AM28:AN28"/>
    <mergeCell ref="AM26:AN26"/>
    <mergeCell ref="AM27:AN27"/>
    <mergeCell ref="AI29:AJ29"/>
    <mergeCell ref="AG29:AH29"/>
    <mergeCell ref="AG26:AH26"/>
    <mergeCell ref="AK28:AL28"/>
    <mergeCell ref="AQ27:AR27"/>
    <mergeCell ref="AK27:AL27"/>
    <mergeCell ref="U26:V26"/>
    <mergeCell ref="Y13:Z13"/>
    <mergeCell ref="Y14:Z14"/>
    <mergeCell ref="W19:X19"/>
    <mergeCell ref="C18:S18"/>
    <mergeCell ref="C17:S17"/>
    <mergeCell ref="C19:S19"/>
    <mergeCell ref="U19:V19"/>
    <mergeCell ref="Y25:Z25"/>
    <mergeCell ref="W26:X26"/>
    <mergeCell ref="W17:X17"/>
    <mergeCell ref="W18:X18"/>
    <mergeCell ref="W14:X14"/>
    <mergeCell ref="W21:X21"/>
    <mergeCell ref="W20:X20"/>
    <mergeCell ref="W23:X23"/>
    <mergeCell ref="W22:X22"/>
    <mergeCell ref="W25:X25"/>
    <mergeCell ref="Y20:Z20"/>
    <mergeCell ref="Y23:Z23"/>
    <mergeCell ref="Y22:Z22"/>
    <mergeCell ref="Y19:Z19"/>
    <mergeCell ref="Y17:Z17"/>
    <mergeCell ref="Y21:Z21"/>
    <mergeCell ref="U7:V7"/>
    <mergeCell ref="U10:V10"/>
    <mergeCell ref="U12:V12"/>
    <mergeCell ref="U9:V9"/>
    <mergeCell ref="U18:V18"/>
    <mergeCell ref="U17:V17"/>
    <mergeCell ref="U25:V25"/>
    <mergeCell ref="W11:X11"/>
    <mergeCell ref="W8:X8"/>
    <mergeCell ref="W13:X13"/>
    <mergeCell ref="W9:X9"/>
    <mergeCell ref="AM24:AN24"/>
    <mergeCell ref="AO24:AP24"/>
    <mergeCell ref="AQ24:AR24"/>
    <mergeCell ref="W27:X27"/>
    <mergeCell ref="AI25:AJ25"/>
    <mergeCell ref="AO25:AP25"/>
    <mergeCell ref="AQ25:AR25"/>
    <mergeCell ref="AG25:AH25"/>
    <mergeCell ref="AE25:AF25"/>
    <mergeCell ref="Y26:Z26"/>
    <mergeCell ref="AC25:AD25"/>
    <mergeCell ref="AA26:AB26"/>
    <mergeCell ref="AA25:AB25"/>
    <mergeCell ref="AE26:AF26"/>
    <mergeCell ref="AA27:AB27"/>
    <mergeCell ref="AC26:AD26"/>
    <mergeCell ref="AI4:AR4"/>
    <mergeCell ref="U4:AH4"/>
    <mergeCell ref="B4:T5"/>
    <mergeCell ref="AK29:AL29"/>
    <mergeCell ref="U5:V5"/>
    <mergeCell ref="C25:S25"/>
    <mergeCell ref="C21:S21"/>
    <mergeCell ref="C20:S20"/>
    <mergeCell ref="C23:S23"/>
    <mergeCell ref="C22:S22"/>
    <mergeCell ref="C15:S15"/>
    <mergeCell ref="U21:V21"/>
    <mergeCell ref="U20:V20"/>
    <mergeCell ref="U23:V23"/>
    <mergeCell ref="U22:V22"/>
    <mergeCell ref="U11:V11"/>
    <mergeCell ref="U8:V8"/>
    <mergeCell ref="U13:V13"/>
    <mergeCell ref="U14:V14"/>
    <mergeCell ref="U15:V15"/>
    <mergeCell ref="AG13:AH13"/>
    <mergeCell ref="AG14:AH14"/>
    <mergeCell ref="AI13:AJ13"/>
    <mergeCell ref="AI14:AJ14"/>
    <mergeCell ref="AE13:AF13"/>
    <mergeCell ref="AC15:AD15"/>
    <mergeCell ref="AG15:AH15"/>
    <mergeCell ref="AG18:AH18"/>
    <mergeCell ref="AO22:AP22"/>
    <mergeCell ref="AG21:AH21"/>
    <mergeCell ref="AG20:AH20"/>
    <mergeCell ref="AM14:AN14"/>
    <mergeCell ref="AM15:AN15"/>
    <mergeCell ref="AC18:AD18"/>
    <mergeCell ref="AC17:AD17"/>
    <mergeCell ref="AM19:AN19"/>
    <mergeCell ref="AO23:AP23"/>
    <mergeCell ref="AI21:AJ21"/>
    <mergeCell ref="AI20:AJ20"/>
    <mergeCell ref="AI23:AJ23"/>
    <mergeCell ref="AI22:AJ22"/>
    <mergeCell ref="AI19:AJ19"/>
    <mergeCell ref="AM21:AN21"/>
    <mergeCell ref="AM20:AN20"/>
    <mergeCell ref="AM23:AN23"/>
    <mergeCell ref="AQ21:AR21"/>
    <mergeCell ref="AQ20:AR20"/>
    <mergeCell ref="AQ23:AR23"/>
    <mergeCell ref="AQ22:AR22"/>
    <mergeCell ref="AQ19:AR19"/>
    <mergeCell ref="AQ13:AR13"/>
    <mergeCell ref="AQ14:AR14"/>
    <mergeCell ref="AK18:AL18"/>
    <mergeCell ref="AK21:AL21"/>
    <mergeCell ref="AO21:AP21"/>
    <mergeCell ref="AO20:AP20"/>
    <mergeCell ref="AO19:AP19"/>
    <mergeCell ref="AK17:AL17"/>
    <mergeCell ref="AQ18:AR18"/>
    <mergeCell ref="AQ17:AR17"/>
    <mergeCell ref="AO15:AP15"/>
    <mergeCell ref="AO18:AP18"/>
    <mergeCell ref="AO17:AP17"/>
    <mergeCell ref="AK15:AL15"/>
    <mergeCell ref="AM17:AN17"/>
    <mergeCell ref="AM18:AN18"/>
    <mergeCell ref="AM22:AN22"/>
    <mergeCell ref="U16:AR16"/>
    <mergeCell ref="AE23:AF23"/>
    <mergeCell ref="AQ5:AR5"/>
    <mergeCell ref="AQ7:AR7"/>
    <mergeCell ref="AQ10:AR10"/>
    <mergeCell ref="AQ12:AR12"/>
    <mergeCell ref="AQ9:AR9"/>
    <mergeCell ref="AQ11:AR11"/>
    <mergeCell ref="AQ8:AR8"/>
    <mergeCell ref="AO14:AP14"/>
    <mergeCell ref="AQ15:AR15"/>
    <mergeCell ref="AM5:AN5"/>
    <mergeCell ref="AO5:AP5"/>
    <mergeCell ref="AO7:AP7"/>
    <mergeCell ref="AO10:AP10"/>
    <mergeCell ref="AO12:AP12"/>
    <mergeCell ref="AO9:AP9"/>
    <mergeCell ref="AO11:AP11"/>
    <mergeCell ref="AO8:AP8"/>
    <mergeCell ref="AO13:AP13"/>
    <mergeCell ref="AI12:AJ12"/>
    <mergeCell ref="AI9:AJ9"/>
    <mergeCell ref="AI11:AJ11"/>
    <mergeCell ref="AI8:AJ8"/>
    <mergeCell ref="AG12:AH12"/>
    <mergeCell ref="AG9:AH9"/>
    <mergeCell ref="AG11:AH11"/>
    <mergeCell ref="AG8:AH8"/>
    <mergeCell ref="W5:X5"/>
    <mergeCell ref="W7:X7"/>
    <mergeCell ref="W10:X10"/>
    <mergeCell ref="AA5:AB5"/>
    <mergeCell ref="AC8:AD8"/>
    <mergeCell ref="AC5:AD5"/>
    <mergeCell ref="AC7:AD7"/>
    <mergeCell ref="AC10:AD10"/>
    <mergeCell ref="Y5:Z5"/>
    <mergeCell ref="Y7:Z7"/>
    <mergeCell ref="Y10:Z10"/>
    <mergeCell ref="Y12:Z12"/>
    <mergeCell ref="Y9:Z9"/>
    <mergeCell ref="Y11:Z11"/>
    <mergeCell ref="Y8:Z8"/>
    <mergeCell ref="W12:X12"/>
    <mergeCell ref="C10:S10"/>
    <mergeCell ref="C12:S12"/>
    <mergeCell ref="C9:S9"/>
    <mergeCell ref="C11:S11"/>
    <mergeCell ref="C8:S8"/>
    <mergeCell ref="C13:S13"/>
    <mergeCell ref="AC14:AD14"/>
    <mergeCell ref="AM7:AN7"/>
    <mergeCell ref="AM10:AN10"/>
    <mergeCell ref="AM12:AN12"/>
    <mergeCell ref="AM9:AN9"/>
    <mergeCell ref="AM11:AN11"/>
    <mergeCell ref="AM8:AN8"/>
    <mergeCell ref="AM13:AN13"/>
    <mergeCell ref="AE12:AF12"/>
    <mergeCell ref="AE9:AF9"/>
    <mergeCell ref="AE11:AF11"/>
    <mergeCell ref="AE8:AF8"/>
    <mergeCell ref="AE14:AF14"/>
    <mergeCell ref="AE7:AF7"/>
    <mergeCell ref="AA7:AB7"/>
    <mergeCell ref="AA10:AB10"/>
    <mergeCell ref="AA12:AB12"/>
    <mergeCell ref="AA9:AB9"/>
    <mergeCell ref="AE10:AF10"/>
    <mergeCell ref="AG5:AH5"/>
    <mergeCell ref="AG7:AH7"/>
    <mergeCell ref="AG10:AH10"/>
    <mergeCell ref="AE5:AF5"/>
    <mergeCell ref="AC12:AD12"/>
    <mergeCell ref="AC9:AD9"/>
    <mergeCell ref="AC11:AD11"/>
    <mergeCell ref="AA13:AB13"/>
    <mergeCell ref="AA11:AB11"/>
    <mergeCell ref="AA8:AB8"/>
    <mergeCell ref="U6:AR6"/>
    <mergeCell ref="AC13:AD13"/>
    <mergeCell ref="AK5:AL5"/>
    <mergeCell ref="AK7:AL7"/>
    <mergeCell ref="AK10:AL10"/>
    <mergeCell ref="AK12:AL12"/>
    <mergeCell ref="AK9:AL9"/>
    <mergeCell ref="AK11:AL11"/>
    <mergeCell ref="AK8:AL8"/>
    <mergeCell ref="AK13:AL13"/>
    <mergeCell ref="AI5:AJ5"/>
    <mergeCell ref="AI7:AJ7"/>
    <mergeCell ref="AI10:AJ10"/>
    <mergeCell ref="Y18:Z18"/>
    <mergeCell ref="AG30:AH31"/>
    <mergeCell ref="AI30:AJ31"/>
    <mergeCell ref="AE22:AF22"/>
    <mergeCell ref="AE19:AF19"/>
    <mergeCell ref="AE21:AF21"/>
    <mergeCell ref="AE20:AF20"/>
    <mergeCell ref="AE15:AF15"/>
    <mergeCell ref="AI18:AJ18"/>
    <mergeCell ref="AI17:AJ17"/>
    <mergeCell ref="AG17:AH17"/>
    <mergeCell ref="AG23:AH23"/>
    <mergeCell ref="AG22:AH22"/>
    <mergeCell ref="AG19:AH19"/>
    <mergeCell ref="AI15:AJ15"/>
    <mergeCell ref="AE18:AF18"/>
    <mergeCell ref="AE17:AF17"/>
    <mergeCell ref="AI24:AJ24"/>
    <mergeCell ref="AA28:AB28"/>
    <mergeCell ref="Y28:Z28"/>
    <mergeCell ref="AE29:AF29"/>
    <mergeCell ref="AQ32:AR32"/>
    <mergeCell ref="C14:S14"/>
    <mergeCell ref="Y29:Z29"/>
    <mergeCell ref="AC29:AD29"/>
    <mergeCell ref="AA29:AB29"/>
    <mergeCell ref="AK14:AL14"/>
    <mergeCell ref="AK26:AL26"/>
    <mergeCell ref="AK20:AL20"/>
    <mergeCell ref="AK23:AL23"/>
    <mergeCell ref="AK22:AL22"/>
    <mergeCell ref="AG27:AH27"/>
    <mergeCell ref="W15:X15"/>
    <mergeCell ref="AA17:AB17"/>
    <mergeCell ref="AA18:AB18"/>
    <mergeCell ref="AA14:AB14"/>
    <mergeCell ref="AC23:AD23"/>
    <mergeCell ref="AC22:AD22"/>
    <mergeCell ref="Y15:Z15"/>
    <mergeCell ref="AC21:AD21"/>
    <mergeCell ref="AC20:AD20"/>
    <mergeCell ref="AK19:AL19"/>
    <mergeCell ref="C24:S24"/>
    <mergeCell ref="AK24:AL24"/>
    <mergeCell ref="C26:S26"/>
    <mergeCell ref="C33:H33"/>
    <mergeCell ref="AG32:AH32"/>
    <mergeCell ref="C28:S28"/>
    <mergeCell ref="W29:X29"/>
    <mergeCell ref="U29:V29"/>
    <mergeCell ref="AQ30:AR31"/>
    <mergeCell ref="C7:S7"/>
    <mergeCell ref="F37:N37"/>
    <mergeCell ref="AI27:AJ27"/>
    <mergeCell ref="AC28:AD28"/>
    <mergeCell ref="Y27:Z27"/>
    <mergeCell ref="AE27:AF27"/>
    <mergeCell ref="AE28:AF28"/>
    <mergeCell ref="AC27:AD27"/>
    <mergeCell ref="AG28:AH28"/>
    <mergeCell ref="AI28:AJ28"/>
    <mergeCell ref="AA19:AB19"/>
    <mergeCell ref="AC19:AD19"/>
    <mergeCell ref="AA15:AB15"/>
    <mergeCell ref="AA21:AB21"/>
    <mergeCell ref="AA20:AB20"/>
    <mergeCell ref="AA23:AB23"/>
    <mergeCell ref="AA22:AB22"/>
    <mergeCell ref="AO32:AP32"/>
  </mergeCells>
  <dataValidations count="1">
    <dataValidation type="whole" allowBlank="1" showInputMessage="1" showErrorMessage="1" errorTitle="GESP SY 2022-2023" error="Please enter valid number between 0 - 999." sqref="U7:AR15 U17:AR31" xr:uid="{00000000-0002-0000-2C00-000000000000}">
      <formula1>0</formula1>
      <formula2>999</formula2>
    </dataValidation>
  </dataValidations>
  <printOptions horizontalCentered="1" verticalCentered="1"/>
  <pageMargins left="0.25" right="0.25" top="0.2" bottom="0.2" header="0" footer="0.1"/>
  <pageSetup paperSize="9" scale="57" orientation="landscape" r:id="rId1"/>
  <headerFooter alignWithMargins="0">
    <oddFooter>&amp;L&amp;10&amp;F &amp;A&amp;R&amp;10Page 44 of 60</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pageSetUpPr fitToPage="1"/>
  </sheetPr>
  <dimension ref="A1:BX296"/>
  <sheetViews>
    <sheetView showGridLines="0" zoomScaleNormal="100" zoomScaleSheetLayoutView="100" workbookViewId="0">
      <selection activeCell="B2" sqref="B2"/>
    </sheetView>
  </sheetViews>
  <sheetFormatPr defaultColWidth="8" defaultRowHeight="15.5"/>
  <cols>
    <col min="1" max="1" width="2.08203125" style="1252" customWidth="1"/>
    <col min="2" max="17" width="3.58203125" style="1252" customWidth="1"/>
    <col min="18" max="49" width="3.58203125" style="1253" customWidth="1"/>
    <col min="50" max="50" width="2.08203125" style="1253" customWidth="1"/>
    <col min="51" max="78" width="3.58203125" style="1253" customWidth="1"/>
    <col min="79" max="16384" width="8" style="1253"/>
  </cols>
  <sheetData>
    <row r="1" spans="2:76" ht="12" customHeight="1"/>
    <row r="2" spans="2:76" s="215" customFormat="1" ht="15.75" customHeight="1">
      <c r="B2" s="1254" t="s">
        <v>1521</v>
      </c>
      <c r="C2" s="216"/>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1255"/>
      <c r="AY2" s="1255"/>
      <c r="AZ2" s="1255"/>
      <c r="BA2" s="1255"/>
      <c r="BB2" s="1255"/>
      <c r="BC2" s="1255"/>
      <c r="BD2" s="1255"/>
      <c r="BE2" s="1255"/>
      <c r="BF2" s="1255"/>
      <c r="BG2" s="1255"/>
      <c r="BH2" s="1255"/>
      <c r="BX2" s="1256"/>
    </row>
    <row r="3" spans="2:76" s="215" customFormat="1" ht="11.5" customHeight="1">
      <c r="B3" s="1254"/>
      <c r="C3" s="216"/>
      <c r="D3" s="216"/>
      <c r="E3" s="216"/>
      <c r="F3" s="216"/>
      <c r="G3" s="216"/>
      <c r="H3" s="216"/>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1255"/>
      <c r="AY3" s="1255"/>
      <c r="AZ3" s="1255"/>
      <c r="BA3" s="1255"/>
      <c r="BB3" s="1255"/>
      <c r="BC3" s="1255"/>
      <c r="BD3" s="1255"/>
      <c r="BE3" s="1255"/>
      <c r="BF3" s="1255"/>
      <c r="BG3" s="1255"/>
      <c r="BH3" s="1255"/>
      <c r="BX3" s="1256"/>
    </row>
    <row r="4" spans="2:76" s="1257" customFormat="1" ht="15" customHeight="1">
      <c r="B4" s="1258" t="s">
        <v>1524</v>
      </c>
      <c r="C4" s="187"/>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255"/>
      <c r="AY4" s="1255"/>
      <c r="AZ4" s="1255"/>
      <c r="BA4" s="1255"/>
      <c r="BB4" s="1255"/>
      <c r="BC4" s="1255"/>
      <c r="BD4" s="1255"/>
      <c r="BE4" s="1255"/>
      <c r="BF4" s="1255"/>
      <c r="BG4" s="1255"/>
      <c r="BH4" s="1255"/>
      <c r="BX4" s="1256"/>
    </row>
    <row r="5" spans="2:76" ht="37.75" customHeight="1">
      <c r="B5" s="1259" t="s">
        <v>151</v>
      </c>
      <c r="C5" s="3642" t="s">
        <v>1306</v>
      </c>
      <c r="D5" s="3642"/>
      <c r="E5" s="3642"/>
      <c r="F5" s="3642"/>
      <c r="G5" s="3642"/>
      <c r="H5" s="3642"/>
      <c r="I5" s="3642"/>
      <c r="J5" s="3642"/>
      <c r="K5" s="3642"/>
      <c r="L5" s="3642"/>
      <c r="M5" s="3642"/>
      <c r="N5" s="3642"/>
      <c r="O5" s="3642"/>
      <c r="P5" s="3642"/>
      <c r="Q5" s="3642"/>
      <c r="R5" s="3642"/>
      <c r="S5" s="3642"/>
      <c r="T5" s="3642"/>
      <c r="U5" s="3642"/>
      <c r="V5" s="3642"/>
      <c r="W5" s="3642"/>
      <c r="X5" s="3642"/>
      <c r="Y5" s="3642"/>
      <c r="Z5" s="3642"/>
      <c r="AA5" s="3642"/>
      <c r="AB5" s="3642"/>
      <c r="AC5" s="3642"/>
      <c r="AD5" s="3642"/>
      <c r="AE5" s="3642"/>
      <c r="AF5" s="3642"/>
      <c r="AG5" s="3642"/>
      <c r="AH5" s="3642"/>
      <c r="AI5" s="3642"/>
      <c r="AJ5" s="3642"/>
      <c r="AK5" s="3642"/>
      <c r="AL5" s="3642"/>
      <c r="AM5" s="3642"/>
      <c r="AN5" s="3642"/>
      <c r="AO5" s="3642"/>
      <c r="AP5" s="3642"/>
      <c r="AQ5" s="3642"/>
      <c r="AR5" s="3642"/>
      <c r="AS5" s="3642"/>
      <c r="AT5" s="3642"/>
      <c r="AU5" s="3642"/>
      <c r="AV5" s="3642"/>
      <c r="AW5" s="3642"/>
      <c r="AY5" s="1260"/>
      <c r="AZ5" s="1260"/>
      <c r="BA5" s="1260"/>
      <c r="BB5" s="1260"/>
      <c r="BC5" s="1260"/>
      <c r="BD5" s="1260"/>
      <c r="BE5" s="1260"/>
      <c r="BF5" s="1260"/>
    </row>
    <row r="6" spans="2:76" ht="39" customHeight="1">
      <c r="B6" s="1259" t="s">
        <v>152</v>
      </c>
      <c r="C6" s="3642" t="s">
        <v>1307</v>
      </c>
      <c r="D6" s="3642"/>
      <c r="E6" s="3642"/>
      <c r="F6" s="3642"/>
      <c r="G6" s="3642"/>
      <c r="H6" s="3642"/>
      <c r="I6" s="3642"/>
      <c r="J6" s="3642"/>
      <c r="K6" s="3642"/>
      <c r="L6" s="3642"/>
      <c r="M6" s="3642"/>
      <c r="N6" s="3642"/>
      <c r="O6" s="3642"/>
      <c r="P6" s="3642"/>
      <c r="Q6" s="3642"/>
      <c r="R6" s="3642"/>
      <c r="S6" s="3642"/>
      <c r="T6" s="3642"/>
      <c r="U6" s="3642"/>
      <c r="V6" s="3642"/>
      <c r="W6" s="3642"/>
      <c r="X6" s="3642"/>
      <c r="Y6" s="3642"/>
      <c r="Z6" s="3642"/>
      <c r="AA6" s="3642"/>
      <c r="AB6" s="3642"/>
      <c r="AC6" s="3642"/>
      <c r="AD6" s="3642"/>
      <c r="AE6" s="3642"/>
      <c r="AF6" s="3642"/>
      <c r="AG6" s="3642"/>
      <c r="AH6" s="3642"/>
      <c r="AI6" s="3642"/>
      <c r="AJ6" s="3642"/>
      <c r="AK6" s="3642"/>
      <c r="AL6" s="3642"/>
      <c r="AM6" s="3642"/>
      <c r="AN6" s="3642"/>
      <c r="AO6" s="3642"/>
      <c r="AP6" s="3642"/>
      <c r="AQ6" s="3642"/>
      <c r="AR6" s="3642"/>
      <c r="AS6" s="3642"/>
      <c r="AT6" s="3642"/>
      <c r="AU6" s="3642"/>
      <c r="AY6" s="1260"/>
      <c r="AZ6" s="1260"/>
      <c r="BA6" s="1260"/>
      <c r="BB6" s="1260"/>
      <c r="BC6" s="1260"/>
      <c r="BD6" s="1260"/>
      <c r="BE6" s="1260"/>
      <c r="BF6" s="1260"/>
    </row>
    <row r="7" spans="2:76" ht="51.65" customHeight="1">
      <c r="B7" s="1259" t="s">
        <v>153</v>
      </c>
      <c r="C7" s="3642" t="s">
        <v>1305</v>
      </c>
      <c r="D7" s="3642"/>
      <c r="E7" s="3642"/>
      <c r="F7" s="3642"/>
      <c r="G7" s="3642"/>
      <c r="H7" s="3642"/>
      <c r="I7" s="3642"/>
      <c r="J7" s="3642"/>
      <c r="K7" s="3642"/>
      <c r="L7" s="3642"/>
      <c r="M7" s="3642"/>
      <c r="N7" s="3642"/>
      <c r="O7" s="3642"/>
      <c r="P7" s="3642"/>
      <c r="Q7" s="3642"/>
      <c r="R7" s="3642"/>
      <c r="S7" s="3642"/>
      <c r="T7" s="3642"/>
      <c r="U7" s="3642"/>
      <c r="V7" s="3642"/>
      <c r="W7" s="3642"/>
      <c r="X7" s="3642"/>
      <c r="Y7" s="3642"/>
      <c r="Z7" s="3642"/>
      <c r="AA7" s="3642"/>
      <c r="AB7" s="3642"/>
      <c r="AC7" s="3642"/>
      <c r="AD7" s="3642"/>
      <c r="AE7" s="3642"/>
      <c r="AF7" s="3642"/>
      <c r="AG7" s="3642"/>
      <c r="AH7" s="3642"/>
      <c r="AI7" s="3642"/>
      <c r="AJ7" s="3642"/>
      <c r="AK7" s="3642"/>
      <c r="AL7" s="3642"/>
      <c r="AM7" s="3642"/>
      <c r="AN7" s="3642"/>
      <c r="AO7" s="3642"/>
      <c r="AP7" s="3642"/>
      <c r="AQ7" s="3642"/>
      <c r="AR7" s="3642"/>
      <c r="AS7" s="3642"/>
      <c r="AT7" s="3642"/>
      <c r="AU7" s="3642"/>
    </row>
    <row r="8" spans="2:76" ht="65.5" customHeight="1">
      <c r="B8" s="1259" t="s">
        <v>154</v>
      </c>
      <c r="C8" s="3642" t="s">
        <v>1525</v>
      </c>
      <c r="D8" s="3642"/>
      <c r="E8" s="3642"/>
      <c r="F8" s="3642"/>
      <c r="G8" s="3642"/>
      <c r="H8" s="3642"/>
      <c r="I8" s="3642"/>
      <c r="J8" s="3642"/>
      <c r="K8" s="3642"/>
      <c r="L8" s="3642"/>
      <c r="M8" s="3642"/>
      <c r="N8" s="3642"/>
      <c r="O8" s="3642"/>
      <c r="P8" s="3642"/>
      <c r="Q8" s="3642"/>
      <c r="R8" s="3642"/>
      <c r="S8" s="3642"/>
      <c r="T8" s="3642"/>
      <c r="U8" s="3642"/>
      <c r="V8" s="3642"/>
      <c r="W8" s="3642"/>
      <c r="X8" s="3642"/>
      <c r="Y8" s="3642"/>
      <c r="Z8" s="3642"/>
      <c r="AA8" s="3642"/>
      <c r="AB8" s="3642"/>
      <c r="AC8" s="3642"/>
      <c r="AD8" s="3642"/>
      <c r="AE8" s="3642"/>
      <c r="AF8" s="3642"/>
      <c r="AG8" s="3642"/>
      <c r="AH8" s="3642"/>
      <c r="AI8" s="3642"/>
      <c r="AJ8" s="3642"/>
      <c r="AK8" s="3642"/>
      <c r="AL8" s="3642"/>
      <c r="AM8" s="3642"/>
      <c r="AN8" s="3642"/>
      <c r="AO8" s="3642"/>
      <c r="AP8" s="3642"/>
      <c r="AQ8" s="3642"/>
      <c r="AR8" s="3642"/>
      <c r="AS8" s="3642"/>
      <c r="AT8" s="3642"/>
    </row>
    <row r="9" spans="2:76" ht="51.65" customHeight="1">
      <c r="B9" s="1259" t="s">
        <v>155</v>
      </c>
      <c r="C9" s="3642" t="s">
        <v>1308</v>
      </c>
      <c r="D9" s="3642"/>
      <c r="E9" s="3642"/>
      <c r="F9" s="3642"/>
      <c r="G9" s="3642"/>
      <c r="H9" s="3642"/>
      <c r="I9" s="3642"/>
      <c r="J9" s="3642"/>
      <c r="K9" s="3642"/>
      <c r="L9" s="3642"/>
      <c r="M9" s="3642"/>
      <c r="N9" s="3642"/>
      <c r="O9" s="3642"/>
      <c r="P9" s="3642"/>
      <c r="Q9" s="3642"/>
      <c r="R9" s="3642"/>
      <c r="S9" s="3642"/>
      <c r="T9" s="3642"/>
      <c r="U9" s="3642"/>
      <c r="V9" s="3642"/>
      <c r="W9" s="3642"/>
      <c r="X9" s="3642"/>
      <c r="Y9" s="3642"/>
      <c r="Z9" s="3642"/>
      <c r="AA9" s="3642"/>
      <c r="AB9" s="3642"/>
      <c r="AC9" s="3642"/>
      <c r="AD9" s="3642"/>
      <c r="AE9" s="3642"/>
      <c r="AF9" s="3642"/>
      <c r="AG9" s="3642"/>
      <c r="AH9" s="3642"/>
      <c r="AI9" s="3642"/>
      <c r="AJ9" s="3642"/>
      <c r="AK9" s="3642"/>
      <c r="AL9" s="3642"/>
      <c r="AM9" s="3642"/>
      <c r="AN9" s="3642"/>
      <c r="AO9" s="3642"/>
      <c r="AP9" s="3642"/>
      <c r="AQ9" s="3642"/>
      <c r="AR9" s="3642"/>
      <c r="AS9" s="3642"/>
      <c r="AT9" s="3642"/>
    </row>
    <row r="10" spans="2:76" ht="84" customHeight="1">
      <c r="B10" s="1259" t="s">
        <v>156</v>
      </c>
      <c r="C10" s="3642" t="s">
        <v>1526</v>
      </c>
      <c r="D10" s="3642"/>
      <c r="E10" s="3642"/>
      <c r="F10" s="3642"/>
      <c r="G10" s="3642"/>
      <c r="H10" s="3642"/>
      <c r="I10" s="3642"/>
      <c r="J10" s="3642"/>
      <c r="K10" s="3642"/>
      <c r="L10" s="3642"/>
      <c r="M10" s="3642"/>
      <c r="N10" s="3642"/>
      <c r="O10" s="3642"/>
      <c r="P10" s="3642"/>
      <c r="Q10" s="3642"/>
      <c r="R10" s="3642"/>
      <c r="S10" s="3642"/>
      <c r="T10" s="3642"/>
      <c r="U10" s="3642"/>
      <c r="V10" s="3642"/>
      <c r="W10" s="3642"/>
      <c r="X10" s="3642"/>
      <c r="Y10" s="3642"/>
      <c r="Z10" s="3642"/>
      <c r="AA10" s="3642"/>
      <c r="AB10" s="3642"/>
      <c r="AC10" s="3642"/>
      <c r="AD10" s="3642"/>
      <c r="AE10" s="3642"/>
      <c r="AF10" s="3642"/>
      <c r="AG10" s="3642"/>
      <c r="AH10" s="3642"/>
      <c r="AI10" s="3642"/>
      <c r="AJ10" s="3642"/>
      <c r="AK10" s="3642"/>
      <c r="AL10" s="3642"/>
      <c r="AM10" s="3642"/>
      <c r="AN10" s="3642"/>
      <c r="AO10" s="3642"/>
      <c r="AP10" s="3642"/>
      <c r="AQ10" s="3642"/>
      <c r="AR10" s="3642"/>
      <c r="AS10" s="3642"/>
      <c r="AT10" s="3642"/>
      <c r="AU10" s="3642"/>
    </row>
    <row r="11" spans="2:76" ht="52.75" customHeight="1">
      <c r="B11" s="1259" t="s">
        <v>157</v>
      </c>
      <c r="C11" s="3642" t="s">
        <v>1309</v>
      </c>
      <c r="D11" s="3642"/>
      <c r="E11" s="3642"/>
      <c r="F11" s="3642"/>
      <c r="G11" s="3642"/>
      <c r="H11" s="3642"/>
      <c r="I11" s="3642"/>
      <c r="J11" s="3642"/>
      <c r="K11" s="3642"/>
      <c r="L11" s="3642"/>
      <c r="M11" s="3642"/>
      <c r="N11" s="3642"/>
      <c r="O11" s="3642"/>
      <c r="P11" s="3642"/>
      <c r="Q11" s="3642"/>
      <c r="R11" s="3642"/>
      <c r="S11" s="3642"/>
      <c r="T11" s="3642"/>
      <c r="U11" s="3642"/>
      <c r="V11" s="3642"/>
      <c r="W11" s="3642"/>
      <c r="X11" s="3642"/>
      <c r="Y11" s="3642"/>
      <c r="Z11" s="3642"/>
      <c r="AA11" s="3642"/>
      <c r="AB11" s="3642"/>
      <c r="AC11" s="3642"/>
      <c r="AD11" s="3642"/>
      <c r="AE11" s="3642"/>
      <c r="AF11" s="3642"/>
      <c r="AG11" s="3642"/>
      <c r="AH11" s="3642"/>
      <c r="AI11" s="3642"/>
      <c r="AJ11" s="3642"/>
      <c r="AK11" s="3642"/>
      <c r="AL11" s="3642"/>
      <c r="AM11" s="3642"/>
      <c r="AN11" s="3642"/>
      <c r="AO11" s="3642"/>
      <c r="AP11" s="3642"/>
      <c r="AQ11" s="3642"/>
      <c r="AR11" s="3642"/>
      <c r="AS11" s="3642"/>
      <c r="AT11" s="3642"/>
    </row>
    <row r="12" spans="2:76" ht="116.5" customHeight="1">
      <c r="B12" s="1261" t="s">
        <v>158</v>
      </c>
      <c r="C12" s="3642" t="s">
        <v>1527</v>
      </c>
      <c r="D12" s="3642"/>
      <c r="E12" s="3642"/>
      <c r="F12" s="3642"/>
      <c r="G12" s="3642"/>
      <c r="H12" s="3642"/>
      <c r="I12" s="3642"/>
      <c r="J12" s="3642"/>
      <c r="K12" s="3642"/>
      <c r="L12" s="3642"/>
      <c r="M12" s="3642"/>
      <c r="N12" s="3642"/>
      <c r="O12" s="3642"/>
      <c r="P12" s="3642"/>
      <c r="Q12" s="3642"/>
      <c r="R12" s="3642"/>
      <c r="S12" s="3642"/>
      <c r="T12" s="3642"/>
      <c r="U12" s="3642"/>
      <c r="V12" s="3642"/>
      <c r="W12" s="3642"/>
      <c r="X12" s="3642"/>
      <c r="Y12" s="3642"/>
      <c r="Z12" s="3642"/>
      <c r="AA12" s="3642"/>
      <c r="AB12" s="3642"/>
      <c r="AC12" s="3642"/>
      <c r="AD12" s="3642"/>
      <c r="AE12" s="3642"/>
      <c r="AF12" s="3642"/>
      <c r="AG12" s="3642"/>
      <c r="AH12" s="3642"/>
      <c r="AI12" s="3642"/>
      <c r="AJ12" s="3642"/>
      <c r="AK12" s="3642"/>
      <c r="AL12" s="3642"/>
      <c r="AM12" s="3642"/>
      <c r="AN12" s="3642"/>
      <c r="AO12" s="3642"/>
      <c r="AP12" s="3642"/>
      <c r="AQ12" s="3642"/>
      <c r="AR12" s="3642"/>
      <c r="AS12" s="3642"/>
      <c r="AT12" s="3642"/>
    </row>
    <row r="13" spans="2:76" ht="55.4" customHeight="1">
      <c r="B13" s="1261" t="s">
        <v>159</v>
      </c>
      <c r="C13" s="3642" t="s">
        <v>1310</v>
      </c>
      <c r="D13" s="3642"/>
      <c r="E13" s="3642"/>
      <c r="F13" s="3642"/>
      <c r="G13" s="3642"/>
      <c r="H13" s="3642"/>
      <c r="I13" s="3642"/>
      <c r="J13" s="3642"/>
      <c r="K13" s="3642"/>
      <c r="L13" s="3642"/>
      <c r="M13" s="3642"/>
      <c r="N13" s="3642"/>
      <c r="O13" s="3642"/>
      <c r="P13" s="3642"/>
      <c r="Q13" s="3642"/>
      <c r="R13" s="3642"/>
      <c r="S13" s="3642"/>
      <c r="T13" s="3642"/>
      <c r="U13" s="3642"/>
      <c r="V13" s="3642"/>
      <c r="W13" s="3642"/>
      <c r="X13" s="3642"/>
      <c r="Y13" s="3642"/>
      <c r="Z13" s="3642"/>
      <c r="AA13" s="3642"/>
      <c r="AB13" s="3642"/>
      <c r="AC13" s="3642"/>
      <c r="AD13" s="3642"/>
      <c r="AE13" s="3642"/>
      <c r="AF13" s="3642"/>
      <c r="AG13" s="3642"/>
      <c r="AH13" s="3642"/>
      <c r="AI13" s="3642"/>
      <c r="AJ13" s="3642"/>
      <c r="AK13" s="3642"/>
      <c r="AL13" s="3642"/>
      <c r="AM13" s="3642"/>
      <c r="AN13" s="3642"/>
      <c r="AO13" s="3642"/>
      <c r="AP13" s="3642"/>
      <c r="AQ13" s="3642"/>
      <c r="AR13" s="3642"/>
      <c r="AS13" s="3642"/>
      <c r="AT13" s="3642"/>
    </row>
    <row r="14" spans="2:76" ht="37.75" customHeight="1">
      <c r="B14" s="1261" t="s">
        <v>160</v>
      </c>
      <c r="C14" s="3642" t="s">
        <v>1311</v>
      </c>
      <c r="D14" s="3642"/>
      <c r="E14" s="3642"/>
      <c r="F14" s="3642"/>
      <c r="G14" s="3642"/>
      <c r="H14" s="3642"/>
      <c r="I14" s="3642"/>
      <c r="J14" s="3642"/>
      <c r="K14" s="3642"/>
      <c r="L14" s="3642"/>
      <c r="M14" s="3642"/>
      <c r="N14" s="3642"/>
      <c r="O14" s="3642"/>
      <c r="P14" s="3642"/>
      <c r="Q14" s="3642"/>
      <c r="R14" s="3642"/>
      <c r="S14" s="3642"/>
      <c r="T14" s="3642"/>
      <c r="U14" s="3642"/>
      <c r="V14" s="3642"/>
      <c r="W14" s="3642"/>
      <c r="X14" s="3642"/>
      <c r="Y14" s="3642"/>
      <c r="Z14" s="3642"/>
      <c r="AA14" s="3642"/>
      <c r="AB14" s="3642"/>
      <c r="AC14" s="3642"/>
      <c r="AD14" s="3642"/>
      <c r="AE14" s="3642"/>
      <c r="AF14" s="3642"/>
      <c r="AG14" s="3642"/>
      <c r="AH14" s="3642"/>
      <c r="AI14" s="3642"/>
      <c r="AJ14" s="3642"/>
      <c r="AK14" s="3642"/>
      <c r="AL14" s="3642"/>
      <c r="AM14" s="3642"/>
      <c r="AN14" s="3642"/>
      <c r="AO14" s="3642"/>
      <c r="AP14" s="3642"/>
      <c r="AQ14" s="3642"/>
      <c r="AR14" s="3642"/>
      <c r="AS14" s="3642"/>
      <c r="AT14" s="3642"/>
    </row>
    <row r="15" spans="2:76" ht="59.5" customHeight="1">
      <c r="B15" s="1261" t="s">
        <v>161</v>
      </c>
      <c r="C15" s="3642" t="s">
        <v>1528</v>
      </c>
      <c r="D15" s="3642"/>
      <c r="E15" s="3642"/>
      <c r="F15" s="3642"/>
      <c r="G15" s="3642"/>
      <c r="H15" s="3642"/>
      <c r="I15" s="3642"/>
      <c r="J15" s="3642"/>
      <c r="K15" s="3642"/>
      <c r="L15" s="3642"/>
      <c r="M15" s="3642"/>
      <c r="N15" s="3642"/>
      <c r="O15" s="3642"/>
      <c r="P15" s="3642"/>
      <c r="Q15" s="3642"/>
      <c r="R15" s="3642"/>
      <c r="S15" s="3642"/>
      <c r="T15" s="3642"/>
      <c r="U15" s="3642"/>
      <c r="V15" s="3642"/>
      <c r="W15" s="3642"/>
      <c r="X15" s="3642"/>
      <c r="Y15" s="3642"/>
      <c r="Z15" s="3642"/>
      <c r="AA15" s="3642"/>
      <c r="AB15" s="3642"/>
      <c r="AC15" s="3642"/>
      <c r="AD15" s="3642"/>
      <c r="AE15" s="3642"/>
      <c r="AF15" s="3642"/>
      <c r="AG15" s="3642"/>
      <c r="AH15" s="3642"/>
      <c r="AI15" s="3642"/>
      <c r="AJ15" s="3642"/>
      <c r="AK15" s="3642"/>
      <c r="AL15" s="3642"/>
      <c r="AM15" s="3642"/>
      <c r="AN15" s="3642"/>
      <c r="AO15" s="3642"/>
      <c r="AP15" s="3642"/>
      <c r="AQ15" s="3642"/>
      <c r="AR15" s="3642"/>
      <c r="AS15" s="3642"/>
      <c r="AT15" s="3642"/>
    </row>
    <row r="16" spans="2:76" ht="41.5" customHeight="1">
      <c r="B16" s="1261" t="s">
        <v>162</v>
      </c>
      <c r="C16" s="3642" t="s">
        <v>1312</v>
      </c>
      <c r="D16" s="3642"/>
      <c r="E16" s="3642"/>
      <c r="F16" s="3642"/>
      <c r="G16" s="3642"/>
      <c r="H16" s="3642"/>
      <c r="I16" s="3642"/>
      <c r="J16" s="3642"/>
      <c r="K16" s="3642"/>
      <c r="L16" s="3642"/>
      <c r="M16" s="3642"/>
      <c r="N16" s="3642"/>
      <c r="O16" s="3642"/>
      <c r="P16" s="3642"/>
      <c r="Q16" s="3642"/>
      <c r="R16" s="3642"/>
      <c r="S16" s="3642"/>
      <c r="T16" s="3642"/>
      <c r="U16" s="3642"/>
      <c r="V16" s="3642"/>
      <c r="W16" s="3642"/>
      <c r="X16" s="3642"/>
      <c r="Y16" s="3642"/>
      <c r="Z16" s="3642"/>
      <c r="AA16" s="3642"/>
      <c r="AB16" s="3642"/>
      <c r="AC16" s="3642"/>
      <c r="AD16" s="3642"/>
      <c r="AE16" s="3642"/>
      <c r="AF16" s="3642"/>
      <c r="AG16" s="3642"/>
      <c r="AH16" s="3642"/>
      <c r="AI16" s="3642"/>
      <c r="AJ16" s="3642"/>
      <c r="AK16" s="3642"/>
      <c r="AL16" s="3642"/>
      <c r="AM16" s="3642"/>
      <c r="AN16" s="3642"/>
      <c r="AO16" s="3642"/>
      <c r="AP16" s="3642"/>
      <c r="AQ16" s="3642"/>
      <c r="AR16" s="3642"/>
      <c r="AS16" s="3642"/>
      <c r="AT16" s="3642"/>
    </row>
    <row r="17" spans="2:46" ht="54" customHeight="1">
      <c r="B17" s="1261" t="s">
        <v>163</v>
      </c>
      <c r="C17" s="3642" t="s">
        <v>1313</v>
      </c>
      <c r="D17" s="3642"/>
      <c r="E17" s="3642"/>
      <c r="F17" s="3642"/>
      <c r="G17" s="3642"/>
      <c r="H17" s="3642"/>
      <c r="I17" s="3642"/>
      <c r="J17" s="3642"/>
      <c r="K17" s="3642"/>
      <c r="L17" s="3642"/>
      <c r="M17" s="3642"/>
      <c r="N17" s="3642"/>
      <c r="O17" s="3642"/>
      <c r="P17" s="3642"/>
      <c r="Q17" s="3642"/>
      <c r="R17" s="3642"/>
      <c r="S17" s="3642"/>
      <c r="T17" s="3642"/>
      <c r="U17" s="3642"/>
      <c r="V17" s="3642"/>
      <c r="W17" s="3642"/>
      <c r="X17" s="3642"/>
      <c r="Y17" s="3642"/>
      <c r="Z17" s="3642"/>
      <c r="AA17" s="3642"/>
      <c r="AB17" s="3642"/>
      <c r="AC17" s="3642"/>
      <c r="AD17" s="3642"/>
      <c r="AE17" s="3642"/>
      <c r="AF17" s="3642"/>
      <c r="AG17" s="3642"/>
      <c r="AH17" s="3642"/>
      <c r="AI17" s="3642"/>
      <c r="AJ17" s="3642"/>
      <c r="AK17" s="3642"/>
      <c r="AL17" s="3642"/>
      <c r="AM17" s="3642"/>
      <c r="AN17" s="3642"/>
      <c r="AO17" s="3642"/>
      <c r="AP17" s="3642"/>
      <c r="AQ17" s="3642"/>
      <c r="AR17" s="3642"/>
      <c r="AS17" s="3642"/>
      <c r="AT17" s="3642"/>
    </row>
    <row r="18" spans="2:46">
      <c r="B18" s="147"/>
      <c r="C18" s="147"/>
      <c r="D18" s="147"/>
      <c r="E18" s="147"/>
      <c r="F18" s="147"/>
      <c r="G18" s="147"/>
      <c r="H18" s="147"/>
      <c r="I18" s="147"/>
      <c r="J18" s="147"/>
      <c r="K18" s="147"/>
      <c r="L18" s="147"/>
      <c r="M18" s="147"/>
      <c r="N18" s="147"/>
      <c r="O18" s="147"/>
      <c r="P18" s="147"/>
    </row>
    <row r="19" spans="2:46">
      <c r="B19" s="147"/>
      <c r="C19" s="147"/>
      <c r="D19" s="147"/>
      <c r="E19" s="147"/>
      <c r="F19" s="147"/>
      <c r="G19" s="147"/>
      <c r="H19" s="147"/>
      <c r="I19" s="147"/>
      <c r="J19" s="147"/>
      <c r="K19" s="147"/>
      <c r="L19" s="147"/>
      <c r="M19" s="147"/>
      <c r="N19" s="147"/>
      <c r="O19" s="147"/>
      <c r="P19" s="147"/>
    </row>
    <row r="20" spans="2:46">
      <c r="B20" s="147"/>
      <c r="C20" s="147"/>
      <c r="D20" s="147"/>
      <c r="E20" s="147"/>
      <c r="F20" s="147"/>
      <c r="G20" s="147"/>
      <c r="H20" s="147"/>
      <c r="I20" s="147"/>
      <c r="J20" s="147"/>
      <c r="K20" s="147"/>
      <c r="L20" s="147"/>
      <c r="M20" s="147"/>
      <c r="N20" s="147"/>
      <c r="O20" s="147"/>
      <c r="P20" s="147"/>
    </row>
    <row r="21" spans="2:46">
      <c r="B21" s="147"/>
      <c r="C21" s="147"/>
      <c r="D21" s="147"/>
      <c r="E21" s="147"/>
      <c r="F21" s="147"/>
      <c r="G21" s="147"/>
      <c r="H21" s="147"/>
      <c r="I21" s="147"/>
      <c r="J21" s="147"/>
      <c r="K21" s="147"/>
      <c r="L21" s="147"/>
      <c r="M21" s="147"/>
      <c r="N21" s="147"/>
      <c r="O21" s="147"/>
      <c r="P21" s="147"/>
    </row>
    <row r="22" spans="2:46">
      <c r="B22" s="147"/>
      <c r="C22" s="147"/>
      <c r="D22" s="147"/>
      <c r="E22" s="147"/>
      <c r="F22" s="147"/>
      <c r="G22" s="147"/>
      <c r="H22" s="147"/>
      <c r="I22" s="147"/>
      <c r="J22" s="147"/>
      <c r="K22" s="147"/>
      <c r="L22" s="147"/>
      <c r="M22" s="147"/>
      <c r="N22" s="147"/>
      <c r="O22" s="147"/>
      <c r="P22" s="147"/>
    </row>
    <row r="23" spans="2:46">
      <c r="B23" s="147"/>
      <c r="C23" s="147"/>
      <c r="D23" s="147"/>
      <c r="E23" s="147"/>
      <c r="F23" s="147"/>
      <c r="G23" s="147"/>
      <c r="H23" s="147"/>
      <c r="I23" s="147"/>
      <c r="J23" s="147"/>
      <c r="K23" s="147"/>
      <c r="L23" s="147"/>
      <c r="M23" s="147"/>
      <c r="N23" s="147"/>
      <c r="O23" s="147"/>
      <c r="P23" s="147"/>
    </row>
    <row r="24" spans="2:46">
      <c r="B24" s="147"/>
      <c r="C24" s="147"/>
      <c r="D24" s="147"/>
      <c r="E24" s="147"/>
      <c r="F24" s="147"/>
      <c r="G24" s="147"/>
      <c r="H24" s="147"/>
      <c r="I24" s="147"/>
      <c r="J24" s="147"/>
      <c r="K24" s="147"/>
      <c r="L24" s="147"/>
      <c r="M24" s="147"/>
      <c r="N24" s="147"/>
      <c r="O24" s="147"/>
      <c r="P24" s="147"/>
    </row>
    <row r="25" spans="2:46">
      <c r="B25" s="147"/>
      <c r="C25" s="147"/>
      <c r="D25" s="147"/>
      <c r="E25" s="147"/>
      <c r="F25" s="147"/>
      <c r="G25" s="147"/>
      <c r="H25" s="147"/>
      <c r="I25" s="147"/>
      <c r="J25" s="147"/>
      <c r="K25" s="147"/>
      <c r="L25" s="147"/>
      <c r="M25" s="147"/>
      <c r="N25" s="147"/>
      <c r="O25" s="147"/>
      <c r="P25" s="147"/>
    </row>
    <row r="26" spans="2:46">
      <c r="B26" s="147"/>
      <c r="C26" s="147"/>
      <c r="D26" s="147"/>
      <c r="E26" s="147"/>
      <c r="F26" s="147"/>
      <c r="G26" s="147"/>
      <c r="H26" s="147"/>
      <c r="I26" s="147"/>
      <c r="J26" s="147"/>
      <c r="K26" s="147"/>
      <c r="L26" s="147"/>
      <c r="M26" s="147"/>
      <c r="N26" s="147"/>
      <c r="O26" s="147"/>
      <c r="P26" s="147"/>
    </row>
    <row r="27" spans="2:46">
      <c r="B27" s="147"/>
      <c r="C27" s="147"/>
      <c r="D27" s="147"/>
      <c r="E27" s="147"/>
      <c r="F27" s="147"/>
      <c r="G27" s="147"/>
      <c r="H27" s="147"/>
      <c r="I27" s="147"/>
      <c r="J27" s="147"/>
      <c r="K27" s="147"/>
      <c r="L27" s="147"/>
      <c r="M27" s="147"/>
      <c r="N27" s="147"/>
      <c r="O27" s="147"/>
      <c r="P27" s="147"/>
    </row>
    <row r="28" spans="2:46">
      <c r="B28" s="147"/>
      <c r="C28" s="147"/>
      <c r="D28" s="147"/>
      <c r="E28" s="147"/>
      <c r="F28" s="147"/>
      <c r="G28" s="147"/>
      <c r="H28" s="147"/>
      <c r="I28" s="147"/>
      <c r="J28" s="147"/>
      <c r="K28" s="147"/>
      <c r="L28" s="147"/>
      <c r="M28" s="147"/>
      <c r="N28" s="147"/>
      <c r="O28" s="147"/>
      <c r="P28" s="147"/>
    </row>
    <row r="29" spans="2:46">
      <c r="B29" s="147"/>
      <c r="C29" s="147"/>
      <c r="D29" s="147"/>
      <c r="E29" s="147"/>
      <c r="F29" s="147"/>
      <c r="G29" s="147"/>
      <c r="H29" s="147"/>
      <c r="I29" s="147"/>
      <c r="J29" s="147"/>
      <c r="K29" s="147"/>
      <c r="L29" s="147"/>
      <c r="M29" s="147"/>
      <c r="N29" s="147"/>
      <c r="O29" s="147"/>
      <c r="P29" s="147"/>
    </row>
    <row r="30" spans="2:46">
      <c r="B30" s="147"/>
      <c r="C30" s="147"/>
      <c r="D30" s="147"/>
      <c r="E30" s="147"/>
      <c r="F30" s="147"/>
      <c r="G30" s="147"/>
      <c r="H30" s="147"/>
      <c r="I30" s="147"/>
      <c r="J30" s="147"/>
      <c r="K30" s="147"/>
      <c r="L30" s="147"/>
      <c r="M30" s="147"/>
      <c r="N30" s="147"/>
      <c r="O30" s="147"/>
      <c r="P30" s="147"/>
    </row>
    <row r="31" spans="2:46">
      <c r="B31" s="147"/>
      <c r="C31" s="147"/>
      <c r="D31" s="147"/>
      <c r="E31" s="147"/>
      <c r="F31" s="147"/>
      <c r="G31" s="147"/>
      <c r="H31" s="147"/>
      <c r="I31" s="147"/>
      <c r="J31" s="147"/>
      <c r="K31" s="147"/>
      <c r="L31" s="147"/>
      <c r="M31" s="147"/>
      <c r="N31" s="147"/>
      <c r="O31" s="147"/>
      <c r="P31" s="147"/>
    </row>
    <row r="32" spans="2:46">
      <c r="B32" s="147"/>
      <c r="C32" s="147"/>
      <c r="D32" s="147"/>
      <c r="E32" s="147"/>
      <c r="F32" s="147"/>
      <c r="G32" s="147"/>
      <c r="H32" s="147"/>
      <c r="I32" s="147"/>
      <c r="J32" s="147"/>
      <c r="K32" s="147"/>
      <c r="L32" s="147"/>
      <c r="M32" s="147"/>
      <c r="N32" s="147"/>
      <c r="O32" s="147"/>
      <c r="P32" s="147"/>
    </row>
    <row r="33" spans="2:16">
      <c r="B33" s="147"/>
      <c r="C33" s="147"/>
      <c r="D33" s="147"/>
      <c r="E33" s="147"/>
      <c r="F33" s="147"/>
      <c r="G33" s="147"/>
      <c r="H33" s="147"/>
      <c r="I33" s="147"/>
      <c r="J33" s="147"/>
      <c r="K33" s="147"/>
      <c r="L33" s="147"/>
      <c r="M33" s="147"/>
      <c r="N33" s="147"/>
      <c r="O33" s="147"/>
      <c r="P33" s="147"/>
    </row>
    <row r="34" spans="2:16">
      <c r="B34" s="147"/>
      <c r="C34" s="147"/>
      <c r="D34" s="147"/>
      <c r="E34" s="147"/>
      <c r="F34" s="147"/>
      <c r="G34" s="147"/>
      <c r="H34" s="147"/>
      <c r="I34" s="147"/>
      <c r="J34" s="147"/>
      <c r="K34" s="147"/>
      <c r="L34" s="147"/>
      <c r="M34" s="147"/>
      <c r="N34" s="147"/>
      <c r="O34" s="147"/>
      <c r="P34" s="147"/>
    </row>
    <row r="35" spans="2:16">
      <c r="B35" s="147"/>
      <c r="C35" s="147"/>
      <c r="D35" s="147"/>
      <c r="E35" s="147"/>
      <c r="F35" s="147"/>
      <c r="G35" s="147"/>
      <c r="H35" s="147"/>
      <c r="I35" s="147"/>
      <c r="J35" s="147"/>
      <c r="K35" s="147"/>
      <c r="L35" s="147"/>
      <c r="M35" s="147"/>
      <c r="N35" s="147"/>
      <c r="O35" s="147"/>
      <c r="P35" s="147"/>
    </row>
    <row r="36" spans="2:16">
      <c r="B36" s="147"/>
      <c r="C36" s="147"/>
      <c r="D36" s="147"/>
      <c r="E36" s="147"/>
      <c r="F36" s="147"/>
      <c r="G36" s="147"/>
      <c r="H36" s="147"/>
      <c r="I36" s="147"/>
      <c r="J36" s="147"/>
      <c r="K36" s="147"/>
      <c r="L36" s="147"/>
      <c r="M36" s="147"/>
      <c r="N36" s="147"/>
      <c r="O36" s="147"/>
      <c r="P36" s="147"/>
    </row>
    <row r="37" spans="2:16">
      <c r="B37" s="147"/>
      <c r="C37" s="147"/>
      <c r="D37" s="147"/>
      <c r="E37" s="147"/>
      <c r="F37" s="147"/>
      <c r="G37" s="147"/>
      <c r="H37" s="147"/>
      <c r="I37" s="147"/>
      <c r="J37" s="147"/>
      <c r="K37" s="147"/>
      <c r="L37" s="147"/>
      <c r="M37" s="147"/>
      <c r="N37" s="147"/>
      <c r="O37" s="147"/>
      <c r="P37" s="147"/>
    </row>
    <row r="38" spans="2:16">
      <c r="B38" s="147"/>
      <c r="C38" s="147"/>
      <c r="D38" s="147"/>
      <c r="E38" s="147"/>
      <c r="F38" s="147"/>
      <c r="G38" s="147"/>
      <c r="H38" s="147"/>
      <c r="I38" s="147"/>
      <c r="J38" s="147"/>
      <c r="K38" s="147"/>
      <c r="L38" s="147"/>
      <c r="M38" s="147"/>
      <c r="N38" s="147"/>
      <c r="O38" s="147"/>
      <c r="P38" s="147"/>
    </row>
    <row r="39" spans="2:16">
      <c r="B39" s="147"/>
      <c r="C39" s="147"/>
      <c r="D39" s="147"/>
      <c r="E39" s="147"/>
      <c r="F39" s="147"/>
      <c r="G39" s="147"/>
      <c r="H39" s="147"/>
      <c r="I39" s="147"/>
      <c r="J39" s="147"/>
      <c r="K39" s="147"/>
      <c r="L39" s="147"/>
      <c r="M39" s="147"/>
      <c r="N39" s="147"/>
      <c r="O39" s="147"/>
      <c r="P39" s="147"/>
    </row>
    <row r="40" spans="2:16">
      <c r="B40" s="147"/>
      <c r="C40" s="147"/>
      <c r="D40" s="147"/>
      <c r="E40" s="147"/>
      <c r="F40" s="147"/>
      <c r="G40" s="147"/>
      <c r="H40" s="147"/>
      <c r="I40" s="147"/>
      <c r="J40" s="147"/>
      <c r="K40" s="147"/>
      <c r="L40" s="147"/>
      <c r="M40" s="147"/>
      <c r="N40" s="147"/>
      <c r="O40" s="147"/>
      <c r="P40" s="147"/>
    </row>
    <row r="41" spans="2:16">
      <c r="B41" s="147"/>
      <c r="C41" s="147"/>
      <c r="D41" s="147"/>
      <c r="E41" s="147"/>
      <c r="F41" s="147"/>
      <c r="G41" s="147"/>
      <c r="H41" s="147"/>
      <c r="I41" s="147"/>
      <c r="J41" s="147"/>
      <c r="K41" s="147"/>
      <c r="L41" s="147"/>
      <c r="M41" s="147"/>
      <c r="N41" s="147"/>
      <c r="O41" s="147"/>
      <c r="P41" s="147"/>
    </row>
    <row r="42" spans="2:16">
      <c r="B42" s="147"/>
      <c r="C42" s="147"/>
      <c r="D42" s="147"/>
      <c r="E42" s="147"/>
      <c r="F42" s="147"/>
      <c r="G42" s="147"/>
      <c r="H42" s="147"/>
      <c r="I42" s="147"/>
      <c r="J42" s="147"/>
      <c r="K42" s="147"/>
      <c r="L42" s="147"/>
      <c r="M42" s="147"/>
      <c r="N42" s="147"/>
      <c r="O42" s="147"/>
      <c r="P42" s="147"/>
    </row>
    <row r="43" spans="2:16">
      <c r="B43" s="147"/>
      <c r="C43" s="147"/>
      <c r="D43" s="147"/>
      <c r="E43" s="147"/>
      <c r="F43" s="147"/>
      <c r="G43" s="147"/>
      <c r="H43" s="147"/>
      <c r="I43" s="147"/>
      <c r="J43" s="147"/>
      <c r="K43" s="147"/>
      <c r="L43" s="147"/>
      <c r="M43" s="147"/>
      <c r="N43" s="147"/>
      <c r="O43" s="147"/>
      <c r="P43" s="147"/>
    </row>
    <row r="44" spans="2:16">
      <c r="B44" s="147"/>
      <c r="C44" s="147"/>
      <c r="D44" s="147"/>
      <c r="E44" s="147"/>
      <c r="F44" s="147"/>
      <c r="G44" s="147"/>
      <c r="H44" s="147"/>
      <c r="I44" s="147"/>
      <c r="J44" s="147"/>
      <c r="K44" s="147"/>
      <c r="L44" s="147"/>
      <c r="M44" s="147"/>
      <c r="N44" s="147"/>
      <c r="O44" s="147"/>
      <c r="P44" s="147"/>
    </row>
    <row r="45" spans="2:16">
      <c r="B45" s="147"/>
      <c r="C45" s="147"/>
      <c r="D45" s="147"/>
      <c r="E45" s="147"/>
      <c r="F45" s="147"/>
      <c r="G45" s="147"/>
      <c r="H45" s="147"/>
      <c r="I45" s="147"/>
      <c r="J45" s="147"/>
      <c r="K45" s="147"/>
      <c r="L45" s="147"/>
      <c r="M45" s="147"/>
      <c r="N45" s="147"/>
      <c r="O45" s="147"/>
      <c r="P45" s="147"/>
    </row>
    <row r="46" spans="2:16">
      <c r="B46" s="147"/>
      <c r="C46" s="147"/>
      <c r="D46" s="147"/>
      <c r="E46" s="147"/>
      <c r="F46" s="147"/>
      <c r="G46" s="147"/>
      <c r="H46" s="147"/>
      <c r="I46" s="147"/>
      <c r="J46" s="147"/>
      <c r="K46" s="147"/>
      <c r="L46" s="147"/>
      <c r="M46" s="147"/>
      <c r="N46" s="147"/>
      <c r="O46" s="147"/>
      <c r="P46" s="147"/>
    </row>
    <row r="47" spans="2:16">
      <c r="B47" s="147"/>
      <c r="C47" s="147"/>
      <c r="D47" s="147"/>
      <c r="E47" s="147"/>
      <c r="F47" s="147"/>
      <c r="G47" s="147"/>
      <c r="H47" s="147"/>
      <c r="I47" s="147"/>
      <c r="J47" s="147"/>
      <c r="K47" s="147"/>
      <c r="L47" s="147"/>
      <c r="M47" s="147"/>
      <c r="N47" s="147"/>
      <c r="O47" s="147"/>
      <c r="P47" s="147"/>
    </row>
    <row r="48" spans="2:16">
      <c r="B48" s="147"/>
      <c r="C48" s="147"/>
      <c r="D48" s="147"/>
      <c r="E48" s="147"/>
      <c r="F48" s="147"/>
      <c r="G48" s="147"/>
      <c r="H48" s="147"/>
      <c r="I48" s="147"/>
      <c r="J48" s="147"/>
      <c r="K48" s="147"/>
      <c r="L48" s="147"/>
      <c r="M48" s="147"/>
      <c r="N48" s="147"/>
      <c r="O48" s="147"/>
      <c r="P48" s="147"/>
    </row>
    <row r="49" spans="2:16">
      <c r="B49" s="147"/>
      <c r="C49" s="147"/>
      <c r="D49" s="147"/>
      <c r="E49" s="147"/>
      <c r="F49" s="147"/>
      <c r="G49" s="147"/>
      <c r="H49" s="147"/>
      <c r="I49" s="147"/>
      <c r="J49" s="147"/>
      <c r="K49" s="147"/>
      <c r="L49" s="147"/>
      <c r="M49" s="147"/>
      <c r="N49" s="147"/>
      <c r="O49" s="147"/>
      <c r="P49" s="147"/>
    </row>
    <row r="50" spans="2:16">
      <c r="B50" s="147"/>
      <c r="C50" s="147"/>
      <c r="D50" s="147"/>
      <c r="E50" s="147"/>
      <c r="F50" s="147"/>
      <c r="G50" s="147"/>
      <c r="H50" s="147"/>
      <c r="I50" s="147"/>
      <c r="J50" s="147"/>
      <c r="K50" s="147"/>
      <c r="L50" s="147"/>
      <c r="M50" s="147"/>
      <c r="N50" s="147"/>
      <c r="O50" s="147"/>
      <c r="P50" s="147"/>
    </row>
    <row r="51" spans="2:16">
      <c r="B51" s="147"/>
      <c r="C51" s="147"/>
      <c r="D51" s="147"/>
      <c r="E51" s="147"/>
      <c r="F51" s="147"/>
      <c r="G51" s="147"/>
      <c r="H51" s="147"/>
      <c r="I51" s="147"/>
      <c r="J51" s="147"/>
      <c r="K51" s="147"/>
      <c r="L51" s="147"/>
      <c r="M51" s="147"/>
      <c r="N51" s="147"/>
      <c r="O51" s="147"/>
      <c r="P51" s="147"/>
    </row>
    <row r="52" spans="2:16">
      <c r="B52" s="147"/>
      <c r="C52" s="147"/>
      <c r="D52" s="147"/>
      <c r="E52" s="147"/>
      <c r="F52" s="147"/>
      <c r="G52" s="147"/>
      <c r="H52" s="147"/>
      <c r="I52" s="147"/>
      <c r="J52" s="147"/>
      <c r="K52" s="147"/>
      <c r="L52" s="147"/>
      <c r="M52" s="147"/>
      <c r="N52" s="147"/>
      <c r="O52" s="147"/>
      <c r="P52" s="147"/>
    </row>
    <row r="53" spans="2:16">
      <c r="B53" s="147"/>
      <c r="C53" s="147"/>
      <c r="D53" s="147"/>
      <c r="E53" s="147"/>
      <c r="F53" s="147"/>
      <c r="G53" s="147"/>
      <c r="H53" s="147"/>
      <c r="I53" s="147"/>
      <c r="J53" s="147"/>
      <c r="K53" s="147"/>
      <c r="L53" s="147"/>
      <c r="M53" s="147"/>
      <c r="N53" s="147"/>
      <c r="O53" s="147"/>
      <c r="P53" s="147"/>
    </row>
    <row r="54" spans="2:16">
      <c r="B54" s="147"/>
      <c r="C54" s="147"/>
      <c r="D54" s="147"/>
      <c r="E54" s="147"/>
      <c r="F54" s="147"/>
      <c r="G54" s="147"/>
      <c r="H54" s="147"/>
      <c r="I54" s="147"/>
      <c r="J54" s="147"/>
      <c r="K54" s="147"/>
      <c r="L54" s="147"/>
      <c r="M54" s="147"/>
      <c r="N54" s="147"/>
      <c r="O54" s="147"/>
      <c r="P54" s="147"/>
    </row>
    <row r="55" spans="2:16">
      <c r="B55" s="147"/>
      <c r="C55" s="147"/>
      <c r="D55" s="147"/>
      <c r="E55" s="147"/>
      <c r="F55" s="147"/>
      <c r="G55" s="147"/>
      <c r="H55" s="147"/>
      <c r="I55" s="147"/>
      <c r="J55" s="147"/>
      <c r="K55" s="147"/>
      <c r="L55" s="147"/>
      <c r="M55" s="147"/>
      <c r="N55" s="147"/>
      <c r="O55" s="147"/>
      <c r="P55" s="147"/>
    </row>
    <row r="56" spans="2:16">
      <c r="B56" s="147"/>
      <c r="C56" s="147"/>
      <c r="D56" s="147"/>
      <c r="E56" s="147"/>
      <c r="F56" s="147"/>
      <c r="G56" s="147"/>
      <c r="H56" s="147"/>
      <c r="I56" s="147"/>
      <c r="J56" s="147"/>
      <c r="K56" s="147"/>
      <c r="L56" s="147"/>
      <c r="M56" s="147"/>
      <c r="N56" s="147"/>
      <c r="O56" s="147"/>
      <c r="P56" s="147"/>
    </row>
    <row r="57" spans="2:16">
      <c r="B57" s="147"/>
      <c r="C57" s="147"/>
      <c r="D57" s="147"/>
      <c r="E57" s="147"/>
      <c r="F57" s="147"/>
      <c r="G57" s="147"/>
      <c r="H57" s="147"/>
      <c r="I57" s="147"/>
      <c r="J57" s="147"/>
      <c r="K57" s="147"/>
      <c r="L57" s="147"/>
      <c r="M57" s="147"/>
      <c r="N57" s="147"/>
      <c r="O57" s="147"/>
      <c r="P57" s="147"/>
    </row>
    <row r="58" spans="2:16">
      <c r="B58" s="147"/>
      <c r="C58" s="147"/>
      <c r="D58" s="147"/>
      <c r="E58" s="147"/>
      <c r="F58" s="147"/>
      <c r="G58" s="147"/>
      <c r="H58" s="147"/>
      <c r="I58" s="147"/>
      <c r="J58" s="147"/>
      <c r="K58" s="147"/>
      <c r="L58" s="147"/>
      <c r="M58" s="147"/>
      <c r="N58" s="147"/>
      <c r="O58" s="147"/>
      <c r="P58" s="147"/>
    </row>
    <row r="59" spans="2:16">
      <c r="B59" s="147"/>
      <c r="C59" s="147"/>
      <c r="D59" s="147"/>
      <c r="E59" s="147"/>
      <c r="F59" s="147"/>
      <c r="G59" s="147"/>
      <c r="H59" s="147"/>
      <c r="I59" s="147"/>
      <c r="J59" s="147"/>
      <c r="K59" s="147"/>
      <c r="L59" s="147"/>
      <c r="M59" s="147"/>
      <c r="N59" s="147"/>
      <c r="O59" s="147"/>
      <c r="P59" s="147"/>
    </row>
    <row r="60" spans="2:16">
      <c r="B60" s="147"/>
      <c r="C60" s="147"/>
      <c r="D60" s="147"/>
      <c r="E60" s="147"/>
      <c r="F60" s="147"/>
      <c r="G60" s="147"/>
      <c r="H60" s="147"/>
      <c r="I60" s="147"/>
      <c r="J60" s="147"/>
      <c r="K60" s="147"/>
      <c r="L60" s="147"/>
      <c r="M60" s="147"/>
      <c r="N60" s="147"/>
      <c r="O60" s="147"/>
      <c r="P60" s="147"/>
    </row>
    <row r="61" spans="2:16">
      <c r="B61" s="147"/>
      <c r="C61" s="147"/>
      <c r="D61" s="147"/>
      <c r="E61" s="147"/>
      <c r="F61" s="147"/>
      <c r="G61" s="147"/>
      <c r="H61" s="147"/>
      <c r="I61" s="147"/>
      <c r="J61" s="147"/>
      <c r="K61" s="147"/>
      <c r="L61" s="147"/>
      <c r="M61" s="147"/>
      <c r="N61" s="147"/>
      <c r="O61" s="147"/>
      <c r="P61" s="147"/>
    </row>
    <row r="62" spans="2:16">
      <c r="B62" s="147"/>
      <c r="C62" s="147"/>
      <c r="D62" s="147"/>
      <c r="E62" s="147"/>
      <c r="F62" s="147"/>
      <c r="G62" s="147"/>
      <c r="H62" s="147"/>
      <c r="I62" s="147"/>
      <c r="J62" s="147"/>
      <c r="K62" s="147"/>
      <c r="L62" s="147"/>
      <c r="M62" s="147"/>
      <c r="N62" s="147"/>
      <c r="O62" s="147"/>
      <c r="P62" s="147"/>
    </row>
    <row r="63" spans="2:16">
      <c r="B63" s="147"/>
      <c r="C63" s="147"/>
      <c r="D63" s="147"/>
      <c r="E63" s="147"/>
      <c r="F63" s="147"/>
      <c r="G63" s="147"/>
      <c r="H63" s="147"/>
      <c r="I63" s="147"/>
      <c r="J63" s="147"/>
      <c r="K63" s="147"/>
      <c r="L63" s="147"/>
      <c r="M63" s="147"/>
      <c r="N63" s="147"/>
      <c r="O63" s="147"/>
      <c r="P63" s="147"/>
    </row>
    <row r="64" spans="2:16">
      <c r="B64" s="147"/>
      <c r="C64" s="147"/>
      <c r="D64" s="147"/>
      <c r="E64" s="147"/>
      <c r="F64" s="147"/>
      <c r="G64" s="147"/>
      <c r="H64" s="147"/>
      <c r="I64" s="147"/>
      <c r="J64" s="147"/>
      <c r="K64" s="147"/>
      <c r="L64" s="147"/>
      <c r="M64" s="147"/>
      <c r="N64" s="147"/>
      <c r="O64" s="147"/>
      <c r="P64" s="147"/>
    </row>
    <row r="65" spans="2:16">
      <c r="B65" s="147"/>
      <c r="C65" s="147"/>
      <c r="D65" s="147"/>
      <c r="E65" s="147"/>
      <c r="F65" s="147"/>
      <c r="G65" s="147"/>
      <c r="H65" s="147"/>
      <c r="I65" s="147"/>
      <c r="J65" s="147"/>
      <c r="K65" s="147"/>
      <c r="L65" s="147"/>
      <c r="M65" s="147"/>
      <c r="N65" s="147"/>
      <c r="O65" s="147"/>
      <c r="P65" s="147"/>
    </row>
    <row r="66" spans="2:16">
      <c r="B66" s="147"/>
      <c r="C66" s="147"/>
      <c r="D66" s="147"/>
      <c r="E66" s="147"/>
      <c r="F66" s="147"/>
      <c r="G66" s="147"/>
      <c r="H66" s="147"/>
      <c r="I66" s="147"/>
      <c r="J66" s="147"/>
      <c r="K66" s="147"/>
      <c r="L66" s="147"/>
      <c r="M66" s="147"/>
      <c r="N66" s="147"/>
      <c r="O66" s="147"/>
      <c r="P66" s="147"/>
    </row>
    <row r="67" spans="2:16">
      <c r="B67" s="147"/>
      <c r="C67" s="147"/>
      <c r="D67" s="147"/>
      <c r="E67" s="147"/>
      <c r="F67" s="147"/>
      <c r="G67" s="147"/>
      <c r="H67" s="147"/>
      <c r="I67" s="147"/>
      <c r="J67" s="147"/>
      <c r="K67" s="147"/>
      <c r="L67" s="147"/>
      <c r="M67" s="147"/>
      <c r="N67" s="147"/>
      <c r="O67" s="147"/>
      <c r="P67" s="147"/>
    </row>
    <row r="68" spans="2:16">
      <c r="B68" s="147"/>
      <c r="C68" s="147"/>
      <c r="D68" s="147"/>
      <c r="E68" s="147"/>
      <c r="F68" s="147"/>
      <c r="G68" s="147"/>
      <c r="H68" s="147"/>
      <c r="I68" s="147"/>
      <c r="J68" s="147"/>
      <c r="K68" s="147"/>
      <c r="L68" s="147"/>
      <c r="M68" s="147"/>
      <c r="N68" s="147"/>
      <c r="O68" s="147"/>
      <c r="P68" s="147"/>
    </row>
    <row r="69" spans="2:16">
      <c r="B69" s="147"/>
      <c r="C69" s="147"/>
      <c r="D69" s="147"/>
      <c r="E69" s="147"/>
      <c r="F69" s="147"/>
      <c r="G69" s="147"/>
      <c r="H69" s="147"/>
      <c r="I69" s="147"/>
      <c r="J69" s="147"/>
      <c r="K69" s="147"/>
      <c r="L69" s="147"/>
      <c r="M69" s="147"/>
      <c r="N69" s="147"/>
      <c r="O69" s="147"/>
      <c r="P69" s="147"/>
    </row>
    <row r="70" spans="2:16">
      <c r="B70" s="147"/>
      <c r="C70" s="147"/>
      <c r="D70" s="147"/>
      <c r="E70" s="147"/>
      <c r="F70" s="147"/>
      <c r="G70" s="147"/>
      <c r="H70" s="147"/>
      <c r="I70" s="147"/>
      <c r="J70" s="147"/>
      <c r="K70" s="147"/>
      <c r="L70" s="147"/>
      <c r="M70" s="147"/>
      <c r="N70" s="147"/>
      <c r="O70" s="147"/>
      <c r="P70" s="147"/>
    </row>
    <row r="71" spans="2:16">
      <c r="B71" s="147"/>
      <c r="C71" s="147"/>
      <c r="D71" s="147"/>
      <c r="E71" s="147"/>
      <c r="F71" s="147"/>
      <c r="G71" s="147"/>
      <c r="H71" s="147"/>
      <c r="I71" s="147"/>
      <c r="J71" s="147"/>
      <c r="K71" s="147"/>
      <c r="L71" s="147"/>
      <c r="M71" s="147"/>
      <c r="N71" s="147"/>
      <c r="O71" s="147"/>
      <c r="P71" s="147"/>
    </row>
    <row r="72" spans="2:16">
      <c r="B72" s="147"/>
      <c r="C72" s="147"/>
      <c r="D72" s="147"/>
      <c r="E72" s="147"/>
      <c r="F72" s="147"/>
      <c r="G72" s="147"/>
      <c r="H72" s="147"/>
      <c r="I72" s="147"/>
      <c r="J72" s="147"/>
      <c r="K72" s="147"/>
      <c r="L72" s="147"/>
      <c r="M72" s="147"/>
      <c r="N72" s="147"/>
      <c r="O72" s="147"/>
      <c r="P72" s="147"/>
    </row>
    <row r="73" spans="2:16">
      <c r="B73" s="147"/>
      <c r="C73" s="147"/>
      <c r="D73" s="147"/>
      <c r="E73" s="147"/>
      <c r="F73" s="147"/>
      <c r="G73" s="147"/>
      <c r="H73" s="147"/>
      <c r="I73" s="147"/>
      <c r="J73" s="147"/>
      <c r="K73" s="147"/>
      <c r="L73" s="147"/>
      <c r="M73" s="147"/>
      <c r="N73" s="147"/>
      <c r="O73" s="147"/>
      <c r="P73" s="147"/>
    </row>
    <row r="74" spans="2:16">
      <c r="B74" s="147"/>
      <c r="C74" s="147"/>
      <c r="D74" s="147"/>
      <c r="E74" s="147"/>
      <c r="F74" s="147"/>
      <c r="G74" s="147"/>
      <c r="H74" s="147"/>
      <c r="I74" s="147"/>
      <c r="J74" s="147"/>
      <c r="K74" s="147"/>
      <c r="L74" s="147"/>
      <c r="M74" s="147"/>
      <c r="N74" s="147"/>
      <c r="O74" s="147"/>
      <c r="P74" s="147"/>
    </row>
    <row r="75" spans="2:16">
      <c r="B75" s="147"/>
      <c r="C75" s="147"/>
      <c r="D75" s="147"/>
      <c r="E75" s="147"/>
      <c r="F75" s="147"/>
      <c r="G75" s="147"/>
      <c r="H75" s="147"/>
      <c r="I75" s="147"/>
      <c r="J75" s="147"/>
      <c r="K75" s="147"/>
      <c r="L75" s="147"/>
      <c r="M75" s="147"/>
      <c r="N75" s="147"/>
      <c r="O75" s="147"/>
      <c r="P75" s="147"/>
    </row>
    <row r="76" spans="2:16">
      <c r="B76" s="147"/>
      <c r="C76" s="147"/>
      <c r="D76" s="147"/>
      <c r="E76" s="147"/>
      <c r="F76" s="147"/>
      <c r="G76" s="147"/>
      <c r="H76" s="147"/>
      <c r="I76" s="147"/>
      <c r="J76" s="147"/>
      <c r="K76" s="147"/>
      <c r="L76" s="147"/>
      <c r="M76" s="147"/>
      <c r="N76" s="147"/>
      <c r="O76" s="147"/>
      <c r="P76" s="147"/>
    </row>
    <row r="77" spans="2:16">
      <c r="B77" s="147"/>
      <c r="C77" s="147"/>
      <c r="D77" s="147"/>
      <c r="E77" s="147"/>
      <c r="F77" s="147"/>
      <c r="G77" s="147"/>
      <c r="H77" s="147"/>
      <c r="I77" s="147"/>
      <c r="J77" s="147"/>
      <c r="K77" s="147"/>
      <c r="L77" s="147"/>
      <c r="M77" s="147"/>
      <c r="N77" s="147"/>
      <c r="O77" s="147"/>
      <c r="P77" s="147"/>
    </row>
    <row r="78" spans="2:16">
      <c r="B78" s="147"/>
      <c r="C78" s="147"/>
      <c r="D78" s="147"/>
      <c r="E78" s="147"/>
      <c r="F78" s="147"/>
      <c r="G78" s="147"/>
      <c r="H78" s="147"/>
      <c r="I78" s="147"/>
      <c r="J78" s="147"/>
      <c r="K78" s="147"/>
      <c r="L78" s="147"/>
      <c r="M78" s="147"/>
      <c r="N78" s="147"/>
      <c r="O78" s="147"/>
      <c r="P78" s="147"/>
    </row>
    <row r="79" spans="2:16">
      <c r="B79" s="147"/>
      <c r="C79" s="147"/>
      <c r="D79" s="147"/>
      <c r="E79" s="147"/>
      <c r="F79" s="147"/>
      <c r="G79" s="147"/>
      <c r="H79" s="147"/>
      <c r="I79" s="147"/>
      <c r="J79" s="147"/>
      <c r="K79" s="147"/>
      <c r="L79" s="147"/>
      <c r="M79" s="147"/>
      <c r="N79" s="147"/>
      <c r="O79" s="147"/>
      <c r="P79" s="147"/>
    </row>
    <row r="80" spans="2:16">
      <c r="B80" s="147"/>
      <c r="C80" s="147"/>
      <c r="D80" s="147"/>
      <c r="E80" s="147"/>
      <c r="F80" s="147"/>
      <c r="G80" s="147"/>
      <c r="H80" s="147"/>
      <c r="I80" s="147"/>
      <c r="J80" s="147"/>
      <c r="K80" s="147"/>
      <c r="L80" s="147"/>
      <c r="M80" s="147"/>
      <c r="N80" s="147"/>
      <c r="O80" s="147"/>
      <c r="P80" s="147"/>
    </row>
    <row r="81" spans="2:16">
      <c r="B81" s="147"/>
      <c r="C81" s="147"/>
      <c r="D81" s="147"/>
      <c r="E81" s="147"/>
      <c r="F81" s="147"/>
      <c r="G81" s="147"/>
      <c r="H81" s="147"/>
      <c r="I81" s="147"/>
      <c r="J81" s="147"/>
      <c r="K81" s="147"/>
      <c r="L81" s="147"/>
      <c r="M81" s="147"/>
      <c r="N81" s="147"/>
      <c r="O81" s="147"/>
      <c r="P81" s="147"/>
    </row>
    <row r="82" spans="2:16">
      <c r="B82" s="147"/>
      <c r="C82" s="147"/>
      <c r="D82" s="147"/>
      <c r="E82" s="147"/>
      <c r="F82" s="147"/>
      <c r="G82" s="147"/>
      <c r="H82" s="147"/>
      <c r="I82" s="147"/>
      <c r="J82" s="147"/>
      <c r="K82" s="147"/>
      <c r="L82" s="147"/>
      <c r="M82" s="147"/>
      <c r="N82" s="147"/>
      <c r="O82" s="147"/>
      <c r="P82" s="147"/>
    </row>
    <row r="83" spans="2:16">
      <c r="B83" s="147"/>
      <c r="C83" s="147"/>
      <c r="D83" s="147"/>
      <c r="E83" s="147"/>
      <c r="F83" s="147"/>
      <c r="G83" s="147"/>
      <c r="H83" s="147"/>
      <c r="I83" s="147"/>
      <c r="J83" s="147"/>
      <c r="K83" s="147"/>
      <c r="L83" s="147"/>
      <c r="M83" s="147"/>
      <c r="N83" s="147"/>
      <c r="O83" s="147"/>
      <c r="P83" s="147"/>
    </row>
    <row r="84" spans="2:16">
      <c r="B84" s="147"/>
      <c r="C84" s="147"/>
      <c r="D84" s="147"/>
      <c r="E84" s="147"/>
      <c r="F84" s="147"/>
      <c r="G84" s="147"/>
      <c r="H84" s="147"/>
      <c r="I84" s="147"/>
      <c r="J84" s="147"/>
      <c r="K84" s="147"/>
      <c r="L84" s="147"/>
      <c r="M84" s="147"/>
      <c r="N84" s="147"/>
      <c r="O84" s="147"/>
      <c r="P84" s="147"/>
    </row>
    <row r="85" spans="2:16">
      <c r="B85" s="147"/>
      <c r="C85" s="147"/>
      <c r="D85" s="147"/>
      <c r="E85" s="147"/>
      <c r="F85" s="147"/>
      <c r="G85" s="147"/>
      <c r="H85" s="147"/>
      <c r="I85" s="147"/>
      <c r="J85" s="147"/>
      <c r="K85" s="147"/>
      <c r="L85" s="147"/>
      <c r="M85" s="147"/>
      <c r="N85" s="147"/>
      <c r="O85" s="147"/>
      <c r="P85" s="147"/>
    </row>
    <row r="86" spans="2:16">
      <c r="B86" s="147"/>
      <c r="C86" s="147"/>
      <c r="D86" s="147"/>
      <c r="E86" s="147"/>
      <c r="F86" s="147"/>
      <c r="G86" s="147"/>
      <c r="H86" s="147"/>
      <c r="I86" s="147"/>
      <c r="J86" s="147"/>
      <c r="K86" s="147"/>
      <c r="L86" s="147"/>
      <c r="M86" s="147"/>
      <c r="N86" s="147"/>
      <c r="O86" s="147"/>
      <c r="P86" s="147"/>
    </row>
    <row r="87" spans="2:16">
      <c r="B87" s="147"/>
      <c r="C87" s="147"/>
      <c r="D87" s="147"/>
      <c r="E87" s="147"/>
      <c r="F87" s="147"/>
      <c r="G87" s="147"/>
      <c r="H87" s="147"/>
      <c r="I87" s="147"/>
      <c r="J87" s="147"/>
      <c r="K87" s="147"/>
      <c r="L87" s="147"/>
      <c r="M87" s="147"/>
      <c r="N87" s="147"/>
      <c r="O87" s="147"/>
      <c r="P87" s="147"/>
    </row>
    <row r="88" spans="2:16">
      <c r="B88" s="147"/>
      <c r="C88" s="147"/>
      <c r="D88" s="147"/>
      <c r="E88" s="147"/>
      <c r="F88" s="147"/>
      <c r="G88" s="147"/>
      <c r="H88" s="147"/>
      <c r="I88" s="147"/>
      <c r="J88" s="147"/>
      <c r="K88" s="147"/>
      <c r="L88" s="147"/>
      <c r="M88" s="147"/>
      <c r="N88" s="147"/>
      <c r="O88" s="147"/>
      <c r="P88" s="147"/>
    </row>
    <row r="89" spans="2:16">
      <c r="B89" s="147"/>
      <c r="C89" s="147"/>
      <c r="D89" s="147"/>
      <c r="E89" s="147"/>
      <c r="F89" s="147"/>
      <c r="G89" s="147"/>
      <c r="H89" s="147"/>
      <c r="I89" s="147"/>
      <c r="J89" s="147"/>
      <c r="K89" s="147"/>
      <c r="L89" s="147"/>
      <c r="M89" s="147"/>
      <c r="N89" s="147"/>
      <c r="O89" s="147"/>
      <c r="P89" s="147"/>
    </row>
    <row r="90" spans="2:16">
      <c r="B90" s="147"/>
      <c r="C90" s="147"/>
      <c r="D90" s="147"/>
      <c r="E90" s="147"/>
      <c r="F90" s="147"/>
      <c r="G90" s="147"/>
      <c r="H90" s="147"/>
      <c r="I90" s="147"/>
      <c r="J90" s="147"/>
      <c r="K90" s="147"/>
      <c r="L90" s="147"/>
      <c r="M90" s="147"/>
      <c r="N90" s="147"/>
      <c r="O90" s="147"/>
      <c r="P90" s="147"/>
    </row>
    <row r="91" spans="2:16">
      <c r="B91" s="147"/>
      <c r="C91" s="147"/>
      <c r="D91" s="147"/>
      <c r="E91" s="147"/>
      <c r="F91" s="147"/>
      <c r="G91" s="147"/>
      <c r="H91" s="147"/>
      <c r="I91" s="147"/>
      <c r="J91" s="147"/>
      <c r="K91" s="147"/>
      <c r="L91" s="147"/>
      <c r="M91" s="147"/>
      <c r="N91" s="147"/>
      <c r="O91" s="147"/>
      <c r="P91" s="147"/>
    </row>
    <row r="92" spans="2:16">
      <c r="B92" s="147"/>
      <c r="C92" s="147"/>
      <c r="D92" s="147"/>
      <c r="E92" s="147"/>
      <c r="F92" s="147"/>
      <c r="G92" s="147"/>
      <c r="H92" s="147"/>
      <c r="I92" s="147"/>
      <c r="J92" s="147"/>
      <c r="K92" s="147"/>
      <c r="L92" s="147"/>
      <c r="M92" s="147"/>
      <c r="N92" s="147"/>
      <c r="O92" s="147"/>
      <c r="P92" s="147"/>
    </row>
    <row r="93" spans="2:16">
      <c r="B93" s="147"/>
      <c r="C93" s="147"/>
      <c r="D93" s="147"/>
      <c r="E93" s="147"/>
      <c r="F93" s="147"/>
      <c r="G93" s="147"/>
      <c r="H93" s="147"/>
      <c r="I93" s="147"/>
      <c r="J93" s="147"/>
      <c r="K93" s="147"/>
      <c r="L93" s="147"/>
      <c r="M93" s="147"/>
      <c r="N93" s="147"/>
      <c r="O93" s="147"/>
      <c r="P93" s="147"/>
    </row>
    <row r="94" spans="2:16">
      <c r="B94" s="147"/>
      <c r="C94" s="147"/>
      <c r="D94" s="147"/>
      <c r="E94" s="147"/>
      <c r="F94" s="147"/>
      <c r="G94" s="147"/>
      <c r="H94" s="147"/>
      <c r="I94" s="147"/>
      <c r="J94" s="147"/>
      <c r="K94" s="147"/>
      <c r="L94" s="147"/>
      <c r="M94" s="147"/>
      <c r="N94" s="147"/>
      <c r="O94" s="147"/>
      <c r="P94" s="147"/>
    </row>
    <row r="95" spans="2:16">
      <c r="B95" s="147"/>
      <c r="C95" s="147"/>
      <c r="D95" s="147"/>
      <c r="E95" s="147"/>
      <c r="F95" s="147"/>
      <c r="G95" s="147"/>
      <c r="H95" s="147"/>
      <c r="I95" s="147"/>
      <c r="J95" s="147"/>
      <c r="K95" s="147"/>
      <c r="L95" s="147"/>
      <c r="M95" s="147"/>
      <c r="N95" s="147"/>
      <c r="O95" s="147"/>
      <c r="P95" s="147"/>
    </row>
    <row r="96" spans="2:16">
      <c r="B96" s="147"/>
      <c r="C96" s="147"/>
      <c r="D96" s="147"/>
      <c r="E96" s="147"/>
      <c r="F96" s="147"/>
      <c r="G96" s="147"/>
      <c r="H96" s="147"/>
      <c r="I96" s="147"/>
      <c r="J96" s="147"/>
      <c r="K96" s="147"/>
      <c r="L96" s="147"/>
      <c r="M96" s="147"/>
      <c r="N96" s="147"/>
      <c r="O96" s="147"/>
      <c r="P96" s="147"/>
    </row>
    <row r="97" spans="2:16">
      <c r="B97" s="147"/>
      <c r="C97" s="147"/>
      <c r="D97" s="147"/>
      <c r="E97" s="147"/>
      <c r="F97" s="147"/>
      <c r="G97" s="147"/>
      <c r="H97" s="147"/>
      <c r="I97" s="147"/>
      <c r="J97" s="147"/>
      <c r="K97" s="147"/>
      <c r="L97" s="147"/>
      <c r="M97" s="147"/>
      <c r="N97" s="147"/>
      <c r="O97" s="147"/>
      <c r="P97" s="147"/>
    </row>
    <row r="98" spans="2:16">
      <c r="B98" s="147"/>
      <c r="C98" s="147"/>
      <c r="D98" s="147"/>
      <c r="E98" s="147"/>
      <c r="F98" s="147"/>
      <c r="G98" s="147"/>
      <c r="H98" s="147"/>
      <c r="I98" s="147"/>
      <c r="J98" s="147"/>
      <c r="K98" s="147"/>
      <c r="L98" s="147"/>
      <c r="M98" s="147"/>
      <c r="N98" s="147"/>
      <c r="O98" s="147"/>
      <c r="P98" s="147"/>
    </row>
    <row r="99" spans="2:16">
      <c r="B99" s="147"/>
      <c r="C99" s="147"/>
      <c r="D99" s="147"/>
      <c r="E99" s="147"/>
      <c r="F99" s="147"/>
      <c r="G99" s="147"/>
      <c r="H99" s="147"/>
      <c r="I99" s="147"/>
      <c r="J99" s="147"/>
      <c r="K99" s="147"/>
      <c r="L99" s="147"/>
      <c r="M99" s="147"/>
      <c r="N99" s="147"/>
      <c r="O99" s="147"/>
      <c r="P99" s="147"/>
    </row>
    <row r="100" spans="2:16">
      <c r="B100" s="147"/>
      <c r="C100" s="147"/>
      <c r="D100" s="147"/>
      <c r="E100" s="147"/>
      <c r="F100" s="147"/>
      <c r="G100" s="147"/>
      <c r="H100" s="147"/>
      <c r="I100" s="147"/>
      <c r="J100" s="147"/>
      <c r="K100" s="147"/>
      <c r="L100" s="147"/>
      <c r="M100" s="147"/>
      <c r="N100" s="147"/>
      <c r="O100" s="147"/>
      <c r="P100" s="147"/>
    </row>
    <row r="101" spans="2:16">
      <c r="B101" s="147"/>
      <c r="C101" s="147"/>
      <c r="D101" s="147"/>
      <c r="E101" s="147"/>
      <c r="F101" s="147"/>
      <c r="G101" s="147"/>
      <c r="H101" s="147"/>
      <c r="I101" s="147"/>
      <c r="J101" s="147"/>
      <c r="K101" s="147"/>
      <c r="L101" s="147"/>
      <c r="M101" s="147"/>
      <c r="N101" s="147"/>
      <c r="O101" s="147"/>
      <c r="P101" s="147"/>
    </row>
    <row r="102" spans="2:16">
      <c r="B102" s="147"/>
      <c r="C102" s="147"/>
      <c r="D102" s="147"/>
      <c r="E102" s="147"/>
      <c r="F102" s="147"/>
      <c r="G102" s="147"/>
      <c r="H102" s="147"/>
      <c r="I102" s="147"/>
      <c r="J102" s="147"/>
      <c r="K102" s="147"/>
      <c r="L102" s="147"/>
      <c r="M102" s="147"/>
      <c r="N102" s="147"/>
      <c r="O102" s="147"/>
      <c r="P102" s="147"/>
    </row>
    <row r="103" spans="2:16">
      <c r="B103" s="147"/>
      <c r="C103" s="147"/>
      <c r="D103" s="147"/>
      <c r="E103" s="147"/>
      <c r="F103" s="147"/>
      <c r="G103" s="147"/>
      <c r="H103" s="147"/>
      <c r="I103" s="147"/>
      <c r="J103" s="147"/>
      <c r="K103" s="147"/>
      <c r="L103" s="147"/>
      <c r="M103" s="147"/>
      <c r="N103" s="147"/>
      <c r="O103" s="147"/>
      <c r="P103" s="147"/>
    </row>
    <row r="104" spans="2:16">
      <c r="B104" s="147"/>
      <c r="C104" s="147"/>
      <c r="D104" s="147"/>
      <c r="E104" s="147"/>
      <c r="F104" s="147"/>
      <c r="G104" s="147"/>
      <c r="H104" s="147"/>
      <c r="I104" s="147"/>
      <c r="J104" s="147"/>
      <c r="K104" s="147"/>
      <c r="L104" s="147"/>
      <c r="M104" s="147"/>
      <c r="N104" s="147"/>
      <c r="O104" s="147"/>
      <c r="P104" s="147"/>
    </row>
    <row r="105" spans="2:16">
      <c r="B105" s="147"/>
      <c r="C105" s="147"/>
      <c r="D105" s="147"/>
      <c r="E105" s="147"/>
      <c r="F105" s="147"/>
      <c r="G105" s="147"/>
      <c r="H105" s="147"/>
      <c r="I105" s="147"/>
      <c r="J105" s="147"/>
      <c r="K105" s="147"/>
      <c r="L105" s="147"/>
      <c r="M105" s="147"/>
      <c r="N105" s="147"/>
      <c r="O105" s="147"/>
      <c r="P105" s="147"/>
    </row>
    <row r="106" spans="2:16">
      <c r="B106" s="147"/>
      <c r="C106" s="147"/>
      <c r="D106" s="147"/>
      <c r="E106" s="147"/>
      <c r="F106" s="147"/>
      <c r="G106" s="147"/>
      <c r="H106" s="147"/>
      <c r="I106" s="147"/>
      <c r="J106" s="147"/>
      <c r="K106" s="147"/>
      <c r="L106" s="147"/>
      <c r="M106" s="147"/>
      <c r="N106" s="147"/>
      <c r="O106" s="147"/>
      <c r="P106" s="147"/>
    </row>
    <row r="107" spans="2:16">
      <c r="B107" s="147"/>
      <c r="C107" s="147"/>
      <c r="D107" s="147"/>
      <c r="E107" s="147"/>
      <c r="F107" s="147"/>
      <c r="G107" s="147"/>
      <c r="H107" s="147"/>
      <c r="I107" s="147"/>
      <c r="J107" s="147"/>
      <c r="K107" s="147"/>
      <c r="L107" s="147"/>
      <c r="M107" s="147"/>
      <c r="N107" s="147"/>
      <c r="O107" s="147"/>
      <c r="P107" s="147"/>
    </row>
    <row r="108" spans="2:16">
      <c r="B108" s="147"/>
      <c r="C108" s="147"/>
      <c r="D108" s="147"/>
      <c r="E108" s="147"/>
      <c r="F108" s="147"/>
      <c r="G108" s="147"/>
      <c r="H108" s="147"/>
      <c r="I108" s="147"/>
      <c r="J108" s="147"/>
      <c r="K108" s="147"/>
      <c r="L108" s="147"/>
      <c r="M108" s="147"/>
      <c r="N108" s="147"/>
      <c r="O108" s="147"/>
      <c r="P108" s="147"/>
    </row>
    <row r="109" spans="2:16">
      <c r="B109" s="147"/>
      <c r="C109" s="147"/>
      <c r="D109" s="147"/>
      <c r="E109" s="147"/>
      <c r="F109" s="147"/>
      <c r="G109" s="147"/>
      <c r="H109" s="147"/>
      <c r="I109" s="147"/>
      <c r="J109" s="147"/>
      <c r="K109" s="147"/>
      <c r="L109" s="147"/>
      <c r="M109" s="147"/>
      <c r="N109" s="147"/>
      <c r="O109" s="147"/>
      <c r="P109" s="147"/>
    </row>
    <row r="110" spans="2:16">
      <c r="B110" s="147"/>
      <c r="C110" s="147"/>
      <c r="D110" s="147"/>
      <c r="E110" s="147"/>
      <c r="F110" s="147"/>
      <c r="G110" s="147"/>
      <c r="H110" s="147"/>
      <c r="I110" s="147"/>
      <c r="J110" s="147"/>
      <c r="K110" s="147"/>
      <c r="L110" s="147"/>
      <c r="M110" s="147"/>
      <c r="N110" s="147"/>
      <c r="O110" s="147"/>
      <c r="P110" s="147"/>
    </row>
    <row r="111" spans="2:16">
      <c r="B111" s="147"/>
      <c r="C111" s="147"/>
      <c r="D111" s="147"/>
      <c r="E111" s="147"/>
      <c r="F111" s="147"/>
      <c r="G111" s="147"/>
      <c r="H111" s="147"/>
      <c r="I111" s="147"/>
      <c r="J111" s="147"/>
      <c r="K111" s="147"/>
      <c r="L111" s="147"/>
      <c r="M111" s="147"/>
      <c r="N111" s="147"/>
      <c r="O111" s="147"/>
      <c r="P111" s="147"/>
    </row>
    <row r="112" spans="2:16">
      <c r="B112" s="147"/>
      <c r="C112" s="147"/>
      <c r="D112" s="147"/>
      <c r="E112" s="147"/>
      <c r="F112" s="147"/>
      <c r="G112" s="147"/>
      <c r="H112" s="147"/>
      <c r="I112" s="147"/>
      <c r="J112" s="147"/>
      <c r="K112" s="147"/>
      <c r="L112" s="147"/>
      <c r="M112" s="147"/>
      <c r="N112" s="147"/>
      <c r="O112" s="147"/>
      <c r="P112" s="147"/>
    </row>
    <row r="113" spans="2:16">
      <c r="B113" s="147"/>
      <c r="C113" s="147"/>
      <c r="D113" s="147"/>
      <c r="E113" s="147"/>
      <c r="F113" s="147"/>
      <c r="G113" s="147"/>
      <c r="H113" s="147"/>
      <c r="I113" s="147"/>
      <c r="J113" s="147"/>
      <c r="K113" s="147"/>
      <c r="L113" s="147"/>
      <c r="M113" s="147"/>
      <c r="N113" s="147"/>
      <c r="O113" s="147"/>
      <c r="P113" s="147"/>
    </row>
    <row r="114" spans="2:16">
      <c r="B114" s="147"/>
      <c r="C114" s="147"/>
      <c r="D114" s="147"/>
      <c r="E114" s="147"/>
      <c r="F114" s="147"/>
      <c r="G114" s="147"/>
      <c r="H114" s="147"/>
      <c r="I114" s="147"/>
      <c r="J114" s="147"/>
      <c r="K114" s="147"/>
      <c r="L114" s="147"/>
      <c r="M114" s="147"/>
      <c r="N114" s="147"/>
      <c r="O114" s="147"/>
      <c r="P114" s="147"/>
    </row>
    <row r="115" spans="2:16">
      <c r="B115" s="147"/>
      <c r="C115" s="147"/>
      <c r="D115" s="147"/>
      <c r="E115" s="147"/>
      <c r="F115" s="147"/>
      <c r="G115" s="147"/>
      <c r="H115" s="147"/>
      <c r="I115" s="147"/>
      <c r="J115" s="147"/>
      <c r="K115" s="147"/>
      <c r="L115" s="147"/>
      <c r="M115" s="147"/>
      <c r="N115" s="147"/>
      <c r="O115" s="147"/>
      <c r="P115" s="147"/>
    </row>
    <row r="116" spans="2:16">
      <c r="B116" s="147"/>
      <c r="C116" s="147"/>
      <c r="D116" s="147"/>
      <c r="E116" s="147"/>
      <c r="F116" s="147"/>
      <c r="G116" s="147"/>
      <c r="H116" s="147"/>
      <c r="I116" s="147"/>
      <c r="J116" s="147"/>
      <c r="K116" s="147"/>
      <c r="L116" s="147"/>
      <c r="M116" s="147"/>
      <c r="N116" s="147"/>
      <c r="O116" s="147"/>
      <c r="P116" s="147"/>
    </row>
    <row r="117" spans="2:16">
      <c r="B117" s="147"/>
      <c r="C117" s="147"/>
      <c r="D117" s="147"/>
      <c r="E117" s="147"/>
      <c r="F117" s="147"/>
      <c r="G117" s="147"/>
      <c r="H117" s="147"/>
      <c r="I117" s="147"/>
      <c r="J117" s="147"/>
      <c r="K117" s="147"/>
      <c r="L117" s="147"/>
      <c r="M117" s="147"/>
      <c r="N117" s="147"/>
      <c r="O117" s="147"/>
      <c r="P117" s="147"/>
    </row>
    <row r="118" spans="2:16">
      <c r="B118" s="147"/>
      <c r="C118" s="147"/>
      <c r="D118" s="147"/>
      <c r="E118" s="147"/>
      <c r="F118" s="147"/>
      <c r="G118" s="147"/>
      <c r="H118" s="147"/>
      <c r="I118" s="147"/>
      <c r="J118" s="147"/>
      <c r="K118" s="147"/>
      <c r="L118" s="147"/>
      <c r="M118" s="147"/>
      <c r="N118" s="147"/>
      <c r="O118" s="147"/>
      <c r="P118" s="147"/>
    </row>
    <row r="119" spans="2:16">
      <c r="B119" s="147"/>
      <c r="C119" s="147"/>
      <c r="D119" s="147"/>
      <c r="E119" s="147"/>
      <c r="F119" s="147"/>
      <c r="G119" s="147"/>
      <c r="H119" s="147"/>
      <c r="I119" s="147"/>
      <c r="J119" s="147"/>
      <c r="K119" s="147"/>
      <c r="L119" s="147"/>
      <c r="M119" s="147"/>
      <c r="N119" s="147"/>
      <c r="O119" s="147"/>
      <c r="P119" s="147"/>
    </row>
    <row r="120" spans="2:16">
      <c r="B120" s="147"/>
      <c r="C120" s="147"/>
      <c r="D120" s="147"/>
      <c r="E120" s="147"/>
      <c r="F120" s="147"/>
      <c r="G120" s="147"/>
      <c r="H120" s="147"/>
      <c r="I120" s="147"/>
      <c r="J120" s="147"/>
      <c r="K120" s="147"/>
      <c r="L120" s="147"/>
      <c r="M120" s="147"/>
      <c r="N120" s="147"/>
      <c r="O120" s="147"/>
      <c r="P120" s="147"/>
    </row>
    <row r="121" spans="2:16">
      <c r="B121" s="147"/>
      <c r="C121" s="147"/>
      <c r="D121" s="147"/>
      <c r="E121" s="147"/>
      <c r="F121" s="147"/>
      <c r="G121" s="147"/>
      <c r="H121" s="147"/>
      <c r="I121" s="147"/>
      <c r="J121" s="147"/>
      <c r="K121" s="147"/>
      <c r="L121" s="147"/>
      <c r="M121" s="147"/>
      <c r="N121" s="147"/>
      <c r="O121" s="147"/>
      <c r="P121" s="147"/>
    </row>
    <row r="122" spans="2:16">
      <c r="B122" s="147"/>
      <c r="C122" s="147"/>
      <c r="D122" s="147"/>
      <c r="E122" s="147"/>
      <c r="F122" s="147"/>
      <c r="G122" s="147"/>
      <c r="H122" s="147"/>
      <c r="I122" s="147"/>
      <c r="J122" s="147"/>
      <c r="K122" s="147"/>
      <c r="L122" s="147"/>
      <c r="M122" s="147"/>
      <c r="N122" s="147"/>
      <c r="O122" s="147"/>
      <c r="P122" s="147"/>
    </row>
    <row r="123" spans="2:16">
      <c r="B123" s="147"/>
      <c r="C123" s="147"/>
      <c r="D123" s="147"/>
      <c r="E123" s="147"/>
      <c r="F123" s="147"/>
      <c r="G123" s="147"/>
      <c r="H123" s="147"/>
      <c r="I123" s="147"/>
      <c r="J123" s="147"/>
      <c r="K123" s="147"/>
      <c r="L123" s="147"/>
      <c r="M123" s="147"/>
      <c r="N123" s="147"/>
      <c r="O123" s="147"/>
      <c r="P123" s="147"/>
    </row>
    <row r="124" spans="2:16">
      <c r="B124" s="147"/>
      <c r="C124" s="147"/>
      <c r="D124" s="147"/>
      <c r="E124" s="147"/>
      <c r="F124" s="147"/>
      <c r="G124" s="147"/>
      <c r="H124" s="147"/>
      <c r="I124" s="147"/>
      <c r="J124" s="147"/>
      <c r="K124" s="147"/>
      <c r="L124" s="147"/>
      <c r="M124" s="147"/>
      <c r="N124" s="147"/>
      <c r="O124" s="147"/>
      <c r="P124" s="147"/>
    </row>
    <row r="125" spans="2:16">
      <c r="B125" s="147"/>
      <c r="C125" s="147"/>
      <c r="D125" s="147"/>
      <c r="E125" s="147"/>
      <c r="F125" s="147"/>
      <c r="G125" s="147"/>
      <c r="H125" s="147"/>
      <c r="I125" s="147"/>
      <c r="J125" s="147"/>
      <c r="K125" s="147"/>
      <c r="L125" s="147"/>
      <c r="M125" s="147"/>
      <c r="N125" s="147"/>
      <c r="O125" s="147"/>
      <c r="P125" s="147"/>
    </row>
    <row r="126" spans="2:16">
      <c r="B126" s="147"/>
      <c r="C126" s="147"/>
      <c r="D126" s="147"/>
      <c r="E126" s="147"/>
      <c r="F126" s="147"/>
      <c r="G126" s="147"/>
      <c r="H126" s="147"/>
      <c r="I126" s="147"/>
      <c r="J126" s="147"/>
      <c r="K126" s="147"/>
      <c r="L126" s="147"/>
      <c r="M126" s="147"/>
      <c r="N126" s="147"/>
      <c r="O126" s="147"/>
      <c r="P126" s="147"/>
    </row>
    <row r="127" spans="2:16">
      <c r="B127" s="147"/>
      <c r="C127" s="147"/>
      <c r="D127" s="147"/>
      <c r="E127" s="147"/>
      <c r="F127" s="147"/>
      <c r="G127" s="147"/>
      <c r="H127" s="147"/>
      <c r="I127" s="147"/>
      <c r="J127" s="147"/>
      <c r="K127" s="147"/>
      <c r="L127" s="147"/>
      <c r="M127" s="147"/>
      <c r="N127" s="147"/>
      <c r="O127" s="147"/>
      <c r="P127" s="147"/>
    </row>
    <row r="128" spans="2:16">
      <c r="B128" s="147"/>
      <c r="C128" s="147"/>
      <c r="D128" s="147"/>
      <c r="E128" s="147"/>
      <c r="F128" s="147"/>
      <c r="G128" s="147"/>
      <c r="H128" s="147"/>
      <c r="I128" s="147"/>
      <c r="J128" s="147"/>
      <c r="K128" s="147"/>
      <c r="L128" s="147"/>
      <c r="M128" s="147"/>
      <c r="N128" s="147"/>
      <c r="O128" s="147"/>
      <c r="P128" s="147"/>
    </row>
    <row r="129" spans="2:16">
      <c r="B129" s="147"/>
      <c r="C129" s="147"/>
      <c r="D129" s="147"/>
      <c r="E129" s="147"/>
      <c r="F129" s="147"/>
      <c r="G129" s="147"/>
      <c r="H129" s="147"/>
      <c r="I129" s="147"/>
      <c r="J129" s="147"/>
      <c r="K129" s="147"/>
      <c r="L129" s="147"/>
      <c r="M129" s="147"/>
      <c r="N129" s="147"/>
      <c r="O129" s="147"/>
      <c r="P129" s="147"/>
    </row>
    <row r="130" spans="2:16">
      <c r="B130" s="147"/>
      <c r="C130" s="147"/>
      <c r="D130" s="147"/>
      <c r="E130" s="147"/>
      <c r="F130" s="147"/>
      <c r="G130" s="147"/>
      <c r="H130" s="147"/>
      <c r="I130" s="147"/>
      <c r="J130" s="147"/>
      <c r="K130" s="147"/>
      <c r="L130" s="147"/>
      <c r="M130" s="147"/>
      <c r="N130" s="147"/>
      <c r="O130" s="147"/>
      <c r="P130" s="147"/>
    </row>
    <row r="131" spans="2:16">
      <c r="B131" s="147"/>
      <c r="C131" s="147"/>
      <c r="D131" s="147"/>
      <c r="E131" s="147"/>
      <c r="F131" s="147"/>
      <c r="G131" s="147"/>
      <c r="H131" s="147"/>
      <c r="I131" s="147"/>
      <c r="J131" s="147"/>
      <c r="K131" s="147"/>
      <c r="L131" s="147"/>
      <c r="M131" s="147"/>
      <c r="N131" s="147"/>
      <c r="O131" s="147"/>
      <c r="P131" s="147"/>
    </row>
    <row r="132" spans="2:16">
      <c r="B132" s="147"/>
      <c r="C132" s="147"/>
      <c r="D132" s="147"/>
      <c r="E132" s="147"/>
      <c r="F132" s="147"/>
      <c r="G132" s="147"/>
      <c r="H132" s="147"/>
      <c r="I132" s="147"/>
      <c r="J132" s="147"/>
      <c r="K132" s="147"/>
      <c r="L132" s="147"/>
      <c r="M132" s="147"/>
      <c r="N132" s="147"/>
      <c r="O132" s="147"/>
      <c r="P132" s="147"/>
    </row>
    <row r="133" spans="2:16">
      <c r="B133" s="147"/>
      <c r="C133" s="147"/>
      <c r="D133" s="147"/>
      <c r="E133" s="147"/>
      <c r="F133" s="147"/>
      <c r="G133" s="147"/>
      <c r="H133" s="147"/>
      <c r="I133" s="147"/>
      <c r="J133" s="147"/>
      <c r="K133" s="147"/>
      <c r="L133" s="147"/>
      <c r="M133" s="147"/>
      <c r="N133" s="147"/>
      <c r="O133" s="147"/>
      <c r="P133" s="147"/>
    </row>
    <row r="134" spans="2:16">
      <c r="B134" s="147"/>
      <c r="C134" s="147"/>
      <c r="D134" s="147"/>
      <c r="E134" s="147"/>
      <c r="F134" s="147"/>
      <c r="G134" s="147"/>
      <c r="H134" s="147"/>
      <c r="I134" s="147"/>
      <c r="J134" s="147"/>
      <c r="K134" s="147"/>
      <c r="L134" s="147"/>
      <c r="M134" s="147"/>
      <c r="N134" s="147"/>
      <c r="O134" s="147"/>
      <c r="P134" s="147"/>
    </row>
    <row r="135" spans="2:16">
      <c r="B135" s="147"/>
      <c r="C135" s="147"/>
      <c r="D135" s="147"/>
      <c r="E135" s="147"/>
      <c r="F135" s="147"/>
      <c r="G135" s="147"/>
      <c r="H135" s="147"/>
      <c r="I135" s="147"/>
      <c r="J135" s="147"/>
      <c r="K135" s="147"/>
      <c r="L135" s="147"/>
      <c r="M135" s="147"/>
      <c r="N135" s="147"/>
      <c r="O135" s="147"/>
      <c r="P135" s="147"/>
    </row>
    <row r="136" spans="2:16">
      <c r="B136" s="147"/>
      <c r="C136" s="147"/>
      <c r="D136" s="147"/>
      <c r="E136" s="147"/>
      <c r="F136" s="147"/>
      <c r="G136" s="147"/>
      <c r="H136" s="147"/>
      <c r="I136" s="147"/>
      <c r="J136" s="147"/>
      <c r="K136" s="147"/>
      <c r="L136" s="147"/>
      <c r="M136" s="147"/>
      <c r="N136" s="147"/>
      <c r="O136" s="147"/>
      <c r="P136" s="147"/>
    </row>
    <row r="137" spans="2:16">
      <c r="B137" s="147"/>
      <c r="C137" s="147"/>
      <c r="D137" s="147"/>
      <c r="E137" s="147"/>
      <c r="F137" s="147"/>
      <c r="G137" s="147"/>
      <c r="H137" s="147"/>
      <c r="I137" s="147"/>
      <c r="J137" s="147"/>
      <c r="K137" s="147"/>
      <c r="L137" s="147"/>
      <c r="M137" s="147"/>
      <c r="N137" s="147"/>
      <c r="O137" s="147"/>
      <c r="P137" s="147"/>
    </row>
    <row r="138" spans="2:16">
      <c r="B138" s="147"/>
      <c r="C138" s="147"/>
      <c r="D138" s="147"/>
      <c r="E138" s="147"/>
      <c r="F138" s="147"/>
      <c r="G138" s="147"/>
      <c r="H138" s="147"/>
      <c r="I138" s="147"/>
      <c r="J138" s="147"/>
      <c r="K138" s="147"/>
      <c r="L138" s="147"/>
      <c r="M138" s="147"/>
      <c r="N138" s="147"/>
      <c r="O138" s="147"/>
      <c r="P138" s="147"/>
    </row>
    <row r="139" spans="2:16">
      <c r="B139" s="147"/>
      <c r="C139" s="147"/>
      <c r="D139" s="147"/>
      <c r="E139" s="147"/>
      <c r="F139" s="147"/>
      <c r="G139" s="147"/>
      <c r="H139" s="147"/>
      <c r="I139" s="147"/>
      <c r="J139" s="147"/>
      <c r="K139" s="147"/>
      <c r="L139" s="147"/>
      <c r="M139" s="147"/>
      <c r="N139" s="147"/>
      <c r="O139" s="147"/>
      <c r="P139" s="147"/>
    </row>
    <row r="140" spans="2:16">
      <c r="B140" s="147"/>
      <c r="C140" s="147"/>
      <c r="D140" s="147"/>
      <c r="E140" s="147"/>
      <c r="F140" s="147"/>
      <c r="G140" s="147"/>
      <c r="H140" s="147"/>
      <c r="I140" s="147"/>
      <c r="J140" s="147"/>
      <c r="K140" s="147"/>
      <c r="L140" s="147"/>
      <c r="M140" s="147"/>
      <c r="N140" s="147"/>
      <c r="O140" s="147"/>
      <c r="P140" s="147"/>
    </row>
    <row r="141" spans="2:16">
      <c r="B141" s="147"/>
      <c r="C141" s="147"/>
      <c r="D141" s="147"/>
      <c r="E141" s="147"/>
      <c r="F141" s="147"/>
      <c r="G141" s="147"/>
      <c r="H141" s="147"/>
      <c r="I141" s="147"/>
      <c r="J141" s="147"/>
      <c r="K141" s="147"/>
      <c r="L141" s="147"/>
      <c r="M141" s="147"/>
      <c r="N141" s="147"/>
      <c r="O141" s="147"/>
      <c r="P141" s="147"/>
    </row>
    <row r="142" spans="2:16">
      <c r="B142" s="147"/>
      <c r="C142" s="147"/>
      <c r="D142" s="147"/>
      <c r="E142" s="147"/>
      <c r="F142" s="147"/>
      <c r="G142" s="147"/>
      <c r="H142" s="147"/>
      <c r="I142" s="147"/>
      <c r="J142" s="147"/>
      <c r="K142" s="147"/>
      <c r="L142" s="147"/>
      <c r="M142" s="147"/>
      <c r="N142" s="147"/>
      <c r="O142" s="147"/>
      <c r="P142" s="147"/>
    </row>
    <row r="143" spans="2:16">
      <c r="B143" s="147"/>
      <c r="C143" s="147"/>
      <c r="D143" s="147"/>
      <c r="E143" s="147"/>
      <c r="F143" s="147"/>
      <c r="G143" s="147"/>
      <c r="H143" s="147"/>
      <c r="I143" s="147"/>
      <c r="J143" s="147"/>
      <c r="K143" s="147"/>
      <c r="L143" s="147"/>
      <c r="M143" s="147"/>
      <c r="N143" s="147"/>
      <c r="O143" s="147"/>
      <c r="P143" s="147"/>
    </row>
    <row r="144" spans="2:16">
      <c r="B144" s="147"/>
      <c r="C144" s="147"/>
      <c r="D144" s="147"/>
      <c r="E144" s="147"/>
      <c r="F144" s="147"/>
      <c r="G144" s="147"/>
      <c r="H144" s="147"/>
      <c r="I144" s="147"/>
      <c r="J144" s="147"/>
      <c r="K144" s="147"/>
      <c r="L144" s="147"/>
      <c r="M144" s="147"/>
      <c r="N144" s="147"/>
      <c r="O144" s="147"/>
      <c r="P144" s="147"/>
    </row>
    <row r="145" spans="2:16">
      <c r="B145" s="147"/>
      <c r="C145" s="147"/>
      <c r="D145" s="147"/>
      <c r="E145" s="147"/>
      <c r="F145" s="147"/>
      <c r="G145" s="147"/>
      <c r="H145" s="147"/>
      <c r="I145" s="147"/>
      <c r="J145" s="147"/>
      <c r="K145" s="147"/>
      <c r="L145" s="147"/>
      <c r="M145" s="147"/>
      <c r="N145" s="147"/>
      <c r="O145" s="147"/>
      <c r="P145" s="147"/>
    </row>
    <row r="146" spans="2:16">
      <c r="B146" s="147"/>
      <c r="C146" s="147"/>
      <c r="D146" s="147"/>
      <c r="E146" s="147"/>
      <c r="F146" s="147"/>
      <c r="G146" s="147"/>
      <c r="H146" s="147"/>
      <c r="I146" s="147"/>
      <c r="J146" s="147"/>
      <c r="K146" s="147"/>
      <c r="L146" s="147"/>
      <c r="M146" s="147"/>
      <c r="N146" s="147"/>
      <c r="O146" s="147"/>
      <c r="P146" s="147"/>
    </row>
    <row r="147" spans="2:16">
      <c r="B147" s="147"/>
      <c r="C147" s="147"/>
      <c r="D147" s="147"/>
      <c r="E147" s="147"/>
      <c r="F147" s="147"/>
      <c r="G147" s="147"/>
      <c r="H147" s="147"/>
      <c r="I147" s="147"/>
      <c r="J147" s="147"/>
      <c r="K147" s="147"/>
      <c r="L147" s="147"/>
      <c r="M147" s="147"/>
      <c r="N147" s="147"/>
      <c r="O147" s="147"/>
      <c r="P147" s="147"/>
    </row>
    <row r="148" spans="2:16">
      <c r="B148" s="147"/>
      <c r="C148" s="147"/>
      <c r="D148" s="147"/>
      <c r="E148" s="147"/>
      <c r="F148" s="147"/>
      <c r="G148" s="147"/>
      <c r="H148" s="147"/>
      <c r="I148" s="147"/>
      <c r="J148" s="147"/>
      <c r="K148" s="147"/>
      <c r="L148" s="147"/>
      <c r="M148" s="147"/>
      <c r="N148" s="147"/>
      <c r="O148" s="147"/>
      <c r="P148" s="147"/>
    </row>
    <row r="149" spans="2:16">
      <c r="B149" s="147"/>
      <c r="C149" s="147"/>
      <c r="D149" s="147"/>
      <c r="E149" s="147"/>
      <c r="F149" s="147"/>
      <c r="G149" s="147"/>
      <c r="H149" s="147"/>
      <c r="I149" s="147"/>
      <c r="J149" s="147"/>
      <c r="K149" s="147"/>
      <c r="L149" s="147"/>
      <c r="M149" s="147"/>
      <c r="N149" s="147"/>
      <c r="O149" s="147"/>
      <c r="P149" s="147"/>
    </row>
    <row r="150" spans="2:16">
      <c r="B150" s="147"/>
      <c r="C150" s="147"/>
      <c r="D150" s="147"/>
      <c r="E150" s="147"/>
      <c r="F150" s="147"/>
      <c r="G150" s="147"/>
      <c r="H150" s="147"/>
      <c r="I150" s="147"/>
      <c r="J150" s="147"/>
      <c r="K150" s="147"/>
      <c r="L150" s="147"/>
      <c r="M150" s="147"/>
      <c r="N150" s="147"/>
      <c r="O150" s="147"/>
      <c r="P150" s="147"/>
    </row>
    <row r="151" spans="2:16">
      <c r="B151" s="147"/>
      <c r="C151" s="147"/>
      <c r="D151" s="147"/>
      <c r="E151" s="147"/>
      <c r="F151" s="147"/>
      <c r="G151" s="147"/>
      <c r="H151" s="147"/>
      <c r="I151" s="147"/>
      <c r="J151" s="147"/>
      <c r="K151" s="147"/>
      <c r="L151" s="147"/>
      <c r="M151" s="147"/>
      <c r="N151" s="147"/>
      <c r="O151" s="147"/>
      <c r="P151" s="147"/>
    </row>
    <row r="152" spans="2:16">
      <c r="B152" s="147"/>
      <c r="C152" s="147"/>
      <c r="D152" s="147"/>
      <c r="E152" s="147"/>
      <c r="F152" s="147"/>
      <c r="G152" s="147"/>
      <c r="H152" s="147"/>
      <c r="I152" s="147"/>
      <c r="J152" s="147"/>
      <c r="K152" s="147"/>
      <c r="L152" s="147"/>
      <c r="M152" s="147"/>
      <c r="N152" s="147"/>
      <c r="O152" s="147"/>
      <c r="P152" s="147"/>
    </row>
    <row r="153" spans="2:16">
      <c r="B153" s="147"/>
      <c r="C153" s="147"/>
      <c r="D153" s="147"/>
      <c r="E153" s="147"/>
      <c r="F153" s="147"/>
      <c r="G153" s="147"/>
      <c r="H153" s="147"/>
      <c r="I153" s="147"/>
      <c r="J153" s="147"/>
      <c r="K153" s="147"/>
      <c r="L153" s="147"/>
      <c r="M153" s="147"/>
      <c r="N153" s="147"/>
      <c r="O153" s="147"/>
      <c r="P153" s="147"/>
    </row>
    <row r="154" spans="2:16">
      <c r="B154" s="147"/>
      <c r="C154" s="147"/>
      <c r="D154" s="147"/>
      <c r="E154" s="147"/>
      <c r="F154" s="147"/>
      <c r="G154" s="147"/>
      <c r="H154" s="147"/>
      <c r="I154" s="147"/>
      <c r="J154" s="147"/>
      <c r="K154" s="147"/>
      <c r="L154" s="147"/>
      <c r="M154" s="147"/>
      <c r="N154" s="147"/>
      <c r="O154" s="147"/>
      <c r="P154" s="147"/>
    </row>
    <row r="155" spans="2:16">
      <c r="B155" s="147"/>
      <c r="C155" s="147"/>
      <c r="D155" s="147"/>
      <c r="E155" s="147"/>
      <c r="F155" s="147"/>
      <c r="G155" s="147"/>
      <c r="H155" s="147"/>
      <c r="I155" s="147"/>
      <c r="J155" s="147"/>
      <c r="K155" s="147"/>
      <c r="L155" s="147"/>
      <c r="M155" s="147"/>
      <c r="N155" s="147"/>
      <c r="O155" s="147"/>
      <c r="P155" s="147"/>
    </row>
    <row r="156" spans="2:16">
      <c r="B156" s="147"/>
      <c r="C156" s="147"/>
      <c r="D156" s="147"/>
      <c r="E156" s="147"/>
      <c r="F156" s="147"/>
      <c r="G156" s="147"/>
      <c r="H156" s="147"/>
      <c r="I156" s="147"/>
      <c r="J156" s="147"/>
      <c r="K156" s="147"/>
      <c r="L156" s="147"/>
      <c r="M156" s="147"/>
      <c r="N156" s="147"/>
      <c r="O156" s="147"/>
      <c r="P156" s="147"/>
    </row>
    <row r="157" spans="2:16">
      <c r="B157" s="147"/>
      <c r="C157" s="147"/>
      <c r="D157" s="147"/>
      <c r="E157" s="147"/>
      <c r="F157" s="147"/>
      <c r="G157" s="147"/>
      <c r="H157" s="147"/>
      <c r="I157" s="147"/>
      <c r="J157" s="147"/>
      <c r="K157" s="147"/>
      <c r="L157" s="147"/>
      <c r="M157" s="147"/>
      <c r="N157" s="147"/>
      <c r="O157" s="147"/>
      <c r="P157" s="147"/>
    </row>
    <row r="158" spans="2:16">
      <c r="B158" s="147"/>
      <c r="C158" s="147"/>
      <c r="D158" s="147"/>
      <c r="E158" s="147"/>
      <c r="F158" s="147"/>
      <c r="G158" s="147"/>
      <c r="H158" s="147"/>
      <c r="I158" s="147"/>
      <c r="J158" s="147"/>
      <c r="K158" s="147"/>
      <c r="L158" s="147"/>
      <c r="M158" s="147"/>
      <c r="N158" s="147"/>
      <c r="O158" s="147"/>
      <c r="P158" s="147"/>
    </row>
    <row r="159" spans="2:16">
      <c r="B159" s="147"/>
      <c r="C159" s="147"/>
      <c r="D159" s="147"/>
      <c r="E159" s="147"/>
      <c r="F159" s="147"/>
      <c r="G159" s="147"/>
      <c r="H159" s="147"/>
      <c r="I159" s="147"/>
      <c r="J159" s="147"/>
      <c r="K159" s="147"/>
      <c r="L159" s="147"/>
      <c r="M159" s="147"/>
      <c r="N159" s="147"/>
      <c r="O159" s="147"/>
      <c r="P159" s="147"/>
    </row>
    <row r="160" spans="2:16">
      <c r="B160" s="147"/>
      <c r="C160" s="147"/>
      <c r="D160" s="147"/>
      <c r="E160" s="147"/>
      <c r="F160" s="147"/>
      <c r="G160" s="147"/>
      <c r="H160" s="147"/>
      <c r="I160" s="147"/>
      <c r="J160" s="147"/>
      <c r="K160" s="147"/>
      <c r="L160" s="147"/>
      <c r="M160" s="147"/>
      <c r="N160" s="147"/>
      <c r="O160" s="147"/>
      <c r="P160" s="147"/>
    </row>
    <row r="161" spans="2:16">
      <c r="B161" s="147"/>
      <c r="C161" s="147"/>
      <c r="D161" s="147"/>
      <c r="E161" s="147"/>
      <c r="F161" s="147"/>
      <c r="G161" s="147"/>
      <c r="H161" s="147"/>
      <c r="I161" s="147"/>
      <c r="J161" s="147"/>
      <c r="K161" s="147"/>
      <c r="L161" s="147"/>
      <c r="M161" s="147"/>
      <c r="N161" s="147"/>
      <c r="O161" s="147"/>
      <c r="P161" s="147"/>
    </row>
    <row r="162" spans="2:16">
      <c r="B162" s="147"/>
      <c r="C162" s="147"/>
      <c r="D162" s="147"/>
      <c r="E162" s="147"/>
      <c r="F162" s="147"/>
      <c r="G162" s="147"/>
      <c r="H162" s="147"/>
      <c r="I162" s="147"/>
      <c r="J162" s="147"/>
      <c r="K162" s="147"/>
      <c r="L162" s="147"/>
      <c r="M162" s="147"/>
      <c r="N162" s="147"/>
      <c r="O162" s="147"/>
      <c r="P162" s="147"/>
    </row>
    <row r="163" spans="2:16">
      <c r="B163" s="147"/>
      <c r="C163" s="147"/>
      <c r="D163" s="147"/>
      <c r="E163" s="147"/>
      <c r="F163" s="147"/>
      <c r="G163" s="147"/>
      <c r="H163" s="147"/>
      <c r="I163" s="147"/>
      <c r="J163" s="147"/>
      <c r="K163" s="147"/>
      <c r="L163" s="147"/>
      <c r="M163" s="147"/>
      <c r="N163" s="147"/>
      <c r="O163" s="147"/>
      <c r="P163" s="147"/>
    </row>
    <row r="164" spans="2:16">
      <c r="B164" s="147"/>
      <c r="C164" s="147"/>
      <c r="D164" s="147"/>
      <c r="E164" s="147"/>
      <c r="F164" s="147"/>
      <c r="G164" s="147"/>
      <c r="H164" s="147"/>
      <c r="I164" s="147"/>
      <c r="J164" s="147"/>
      <c r="K164" s="147"/>
      <c r="L164" s="147"/>
      <c r="M164" s="147"/>
      <c r="N164" s="147"/>
      <c r="O164" s="147"/>
      <c r="P164" s="147"/>
    </row>
    <row r="165" spans="2:16">
      <c r="B165" s="147"/>
      <c r="C165" s="147"/>
      <c r="D165" s="147"/>
      <c r="E165" s="147"/>
      <c r="F165" s="147"/>
      <c r="G165" s="147"/>
      <c r="H165" s="147"/>
      <c r="I165" s="147"/>
      <c r="J165" s="147"/>
      <c r="K165" s="147"/>
      <c r="L165" s="147"/>
      <c r="M165" s="147"/>
      <c r="N165" s="147"/>
      <c r="O165" s="147"/>
      <c r="P165" s="147"/>
    </row>
    <row r="166" spans="2:16">
      <c r="B166" s="147"/>
      <c r="C166" s="147"/>
      <c r="D166" s="147"/>
      <c r="E166" s="147"/>
      <c r="F166" s="147"/>
      <c r="G166" s="147"/>
      <c r="H166" s="147"/>
      <c r="I166" s="147"/>
      <c r="J166" s="147"/>
      <c r="K166" s="147"/>
      <c r="L166" s="147"/>
      <c r="M166" s="147"/>
      <c r="N166" s="147"/>
      <c r="O166" s="147"/>
      <c r="P166" s="147"/>
    </row>
    <row r="167" spans="2:16">
      <c r="B167" s="147"/>
      <c r="C167" s="147"/>
      <c r="D167" s="147"/>
      <c r="E167" s="147"/>
      <c r="F167" s="147"/>
      <c r="G167" s="147"/>
      <c r="H167" s="147"/>
      <c r="I167" s="147"/>
      <c r="J167" s="147"/>
      <c r="K167" s="147"/>
      <c r="L167" s="147"/>
      <c r="M167" s="147"/>
      <c r="N167" s="147"/>
      <c r="O167" s="147"/>
      <c r="P167" s="147"/>
    </row>
    <row r="168" spans="2:16">
      <c r="B168" s="147"/>
      <c r="C168" s="147"/>
      <c r="D168" s="147"/>
      <c r="E168" s="147"/>
      <c r="F168" s="147"/>
      <c r="G168" s="147"/>
      <c r="H168" s="147"/>
      <c r="I168" s="147"/>
      <c r="J168" s="147"/>
      <c r="K168" s="147"/>
      <c r="L168" s="147"/>
      <c r="M168" s="147"/>
      <c r="N168" s="147"/>
      <c r="O168" s="147"/>
      <c r="P168" s="147"/>
    </row>
    <row r="169" spans="2:16">
      <c r="B169" s="147"/>
      <c r="C169" s="147"/>
      <c r="D169" s="147"/>
      <c r="E169" s="147"/>
      <c r="F169" s="147"/>
      <c r="G169" s="147"/>
      <c r="H169" s="147"/>
      <c r="I169" s="147"/>
      <c r="J169" s="147"/>
      <c r="K169" s="147"/>
      <c r="L169" s="147"/>
      <c r="M169" s="147"/>
      <c r="N169" s="147"/>
      <c r="O169" s="147"/>
      <c r="P169" s="147"/>
    </row>
    <row r="170" spans="2:16">
      <c r="B170" s="147"/>
      <c r="C170" s="147"/>
      <c r="D170" s="147"/>
      <c r="E170" s="147"/>
      <c r="F170" s="147"/>
      <c r="G170" s="147"/>
      <c r="H170" s="147"/>
      <c r="I170" s="147"/>
      <c r="J170" s="147"/>
      <c r="K170" s="147"/>
      <c r="L170" s="147"/>
      <c r="M170" s="147"/>
      <c r="N170" s="147"/>
      <c r="O170" s="147"/>
      <c r="P170" s="147"/>
    </row>
    <row r="171" spans="2:16">
      <c r="B171" s="147"/>
      <c r="C171" s="147"/>
      <c r="D171" s="147"/>
      <c r="E171" s="147"/>
      <c r="F171" s="147"/>
      <c r="G171" s="147"/>
      <c r="H171" s="147"/>
      <c r="I171" s="147"/>
      <c r="J171" s="147"/>
      <c r="K171" s="147"/>
      <c r="L171" s="147"/>
      <c r="M171" s="147"/>
      <c r="N171" s="147"/>
      <c r="O171" s="147"/>
      <c r="P171" s="147"/>
    </row>
    <row r="172" spans="2:16">
      <c r="B172" s="147"/>
      <c r="C172" s="147"/>
      <c r="D172" s="147"/>
      <c r="E172" s="147"/>
      <c r="F172" s="147"/>
      <c r="G172" s="147"/>
      <c r="H172" s="147"/>
      <c r="I172" s="147"/>
      <c r="J172" s="147"/>
      <c r="K172" s="147"/>
      <c r="L172" s="147"/>
      <c r="M172" s="147"/>
      <c r="N172" s="147"/>
      <c r="O172" s="147"/>
      <c r="P172" s="147"/>
    </row>
    <row r="173" spans="2:16">
      <c r="B173" s="147"/>
      <c r="C173" s="147"/>
      <c r="D173" s="147"/>
      <c r="E173" s="147"/>
      <c r="F173" s="147"/>
      <c r="G173" s="147"/>
      <c r="H173" s="147"/>
      <c r="I173" s="147"/>
      <c r="J173" s="147"/>
      <c r="K173" s="147"/>
      <c r="L173" s="147"/>
      <c r="M173" s="147"/>
      <c r="N173" s="147"/>
      <c r="O173" s="147"/>
      <c r="P173" s="147"/>
    </row>
    <row r="174" spans="2:16">
      <c r="B174" s="147"/>
      <c r="C174" s="147"/>
      <c r="D174" s="147"/>
      <c r="E174" s="147"/>
      <c r="F174" s="147"/>
      <c r="G174" s="147"/>
      <c r="H174" s="147"/>
      <c r="I174" s="147"/>
      <c r="J174" s="147"/>
      <c r="K174" s="147"/>
      <c r="L174" s="147"/>
      <c r="M174" s="147"/>
      <c r="N174" s="147"/>
      <c r="O174" s="147"/>
      <c r="P174" s="147"/>
    </row>
    <row r="175" spans="2:16">
      <c r="B175" s="147"/>
      <c r="C175" s="147"/>
      <c r="D175" s="147"/>
      <c r="E175" s="147"/>
      <c r="F175" s="147"/>
      <c r="G175" s="147"/>
      <c r="H175" s="147"/>
      <c r="I175" s="147"/>
      <c r="J175" s="147"/>
      <c r="K175" s="147"/>
      <c r="L175" s="147"/>
      <c r="M175" s="147"/>
      <c r="N175" s="147"/>
      <c r="O175" s="147"/>
      <c r="P175" s="147"/>
    </row>
    <row r="176" spans="2:16">
      <c r="B176" s="147"/>
      <c r="C176" s="147"/>
      <c r="D176" s="147"/>
      <c r="E176" s="147"/>
      <c r="F176" s="147"/>
      <c r="G176" s="147"/>
      <c r="H176" s="147"/>
      <c r="I176" s="147"/>
      <c r="J176" s="147"/>
      <c r="K176" s="147"/>
      <c r="L176" s="147"/>
      <c r="M176" s="147"/>
      <c r="N176" s="147"/>
      <c r="O176" s="147"/>
      <c r="P176" s="147"/>
    </row>
    <row r="177" spans="2:16">
      <c r="B177" s="147"/>
      <c r="C177" s="147"/>
      <c r="D177" s="147"/>
      <c r="E177" s="147"/>
      <c r="F177" s="147"/>
      <c r="G177" s="147"/>
      <c r="H177" s="147"/>
      <c r="I177" s="147"/>
      <c r="J177" s="147"/>
      <c r="K177" s="147"/>
      <c r="L177" s="147"/>
      <c r="M177" s="147"/>
      <c r="N177" s="147"/>
      <c r="O177" s="147"/>
      <c r="P177" s="147"/>
    </row>
    <row r="178" spans="2:16">
      <c r="B178" s="147"/>
      <c r="C178" s="147"/>
      <c r="D178" s="147"/>
      <c r="E178" s="147"/>
      <c r="F178" s="147"/>
      <c r="G178" s="147"/>
      <c r="H178" s="147"/>
      <c r="I178" s="147"/>
      <c r="J178" s="147"/>
      <c r="K178" s="147"/>
      <c r="L178" s="147"/>
      <c r="M178" s="147"/>
      <c r="N178" s="147"/>
      <c r="O178" s="147"/>
      <c r="P178" s="147"/>
    </row>
    <row r="179" spans="2:16">
      <c r="B179" s="147"/>
      <c r="C179" s="147"/>
      <c r="D179" s="147"/>
      <c r="E179" s="147"/>
      <c r="F179" s="147"/>
      <c r="G179" s="147"/>
      <c r="H179" s="147"/>
      <c r="I179" s="147"/>
      <c r="J179" s="147"/>
      <c r="K179" s="147"/>
      <c r="L179" s="147"/>
      <c r="M179" s="147"/>
      <c r="N179" s="147"/>
      <c r="O179" s="147"/>
      <c r="P179" s="147"/>
    </row>
    <row r="180" spans="2:16">
      <c r="B180" s="147"/>
      <c r="C180" s="147"/>
      <c r="D180" s="147"/>
      <c r="E180" s="147"/>
      <c r="F180" s="147"/>
      <c r="G180" s="147"/>
      <c r="H180" s="147"/>
      <c r="I180" s="147"/>
      <c r="J180" s="147"/>
      <c r="K180" s="147"/>
      <c r="L180" s="147"/>
      <c r="M180" s="147"/>
      <c r="N180" s="147"/>
      <c r="O180" s="147"/>
      <c r="P180" s="147"/>
    </row>
    <row r="181" spans="2:16">
      <c r="B181" s="147"/>
      <c r="C181" s="147"/>
      <c r="D181" s="147"/>
      <c r="E181" s="147"/>
      <c r="F181" s="147"/>
      <c r="G181" s="147"/>
      <c r="H181" s="147"/>
      <c r="I181" s="147"/>
      <c r="J181" s="147"/>
      <c r="K181" s="147"/>
      <c r="L181" s="147"/>
      <c r="M181" s="147"/>
      <c r="N181" s="147"/>
      <c r="O181" s="147"/>
      <c r="P181" s="147"/>
    </row>
    <row r="182" spans="2:16">
      <c r="B182" s="147"/>
      <c r="C182" s="147"/>
      <c r="D182" s="147"/>
      <c r="E182" s="147"/>
      <c r="F182" s="147"/>
      <c r="G182" s="147"/>
      <c r="H182" s="147"/>
      <c r="I182" s="147"/>
      <c r="J182" s="147"/>
      <c r="K182" s="147"/>
      <c r="L182" s="147"/>
      <c r="M182" s="147"/>
      <c r="N182" s="147"/>
      <c r="O182" s="147"/>
      <c r="P182" s="147"/>
    </row>
    <row r="183" spans="2:16">
      <c r="B183" s="147"/>
      <c r="C183" s="147"/>
      <c r="D183" s="147"/>
      <c r="E183" s="147"/>
      <c r="F183" s="147"/>
      <c r="G183" s="147"/>
      <c r="H183" s="147"/>
      <c r="I183" s="147"/>
      <c r="J183" s="147"/>
      <c r="K183" s="147"/>
      <c r="L183" s="147"/>
      <c r="M183" s="147"/>
      <c r="N183" s="147"/>
      <c r="O183" s="147"/>
      <c r="P183" s="147"/>
    </row>
    <row r="184" spans="2:16">
      <c r="B184" s="147"/>
      <c r="C184" s="147"/>
      <c r="D184" s="147"/>
      <c r="E184" s="147"/>
      <c r="F184" s="147"/>
      <c r="G184" s="147"/>
      <c r="H184" s="147"/>
      <c r="I184" s="147"/>
      <c r="J184" s="147"/>
      <c r="K184" s="147"/>
      <c r="L184" s="147"/>
      <c r="M184" s="147"/>
      <c r="N184" s="147"/>
      <c r="O184" s="147"/>
      <c r="P184" s="147"/>
    </row>
    <row r="185" spans="2:16">
      <c r="B185" s="147"/>
      <c r="C185" s="147"/>
      <c r="D185" s="147"/>
      <c r="E185" s="147"/>
      <c r="F185" s="147"/>
      <c r="G185" s="147"/>
      <c r="H185" s="147"/>
      <c r="I185" s="147"/>
      <c r="J185" s="147"/>
      <c r="K185" s="147"/>
      <c r="L185" s="147"/>
      <c r="M185" s="147"/>
      <c r="N185" s="147"/>
      <c r="O185" s="147"/>
      <c r="P185" s="147"/>
    </row>
    <row r="186" spans="2:16">
      <c r="B186" s="147"/>
      <c r="C186" s="147"/>
      <c r="D186" s="147"/>
      <c r="E186" s="147"/>
      <c r="F186" s="147"/>
      <c r="G186" s="147"/>
      <c r="H186" s="147"/>
      <c r="I186" s="147"/>
      <c r="J186" s="147"/>
      <c r="K186" s="147"/>
      <c r="L186" s="147"/>
      <c r="M186" s="147"/>
      <c r="N186" s="147"/>
      <c r="O186" s="147"/>
      <c r="P186" s="147"/>
    </row>
    <row r="187" spans="2:16">
      <c r="B187" s="147"/>
      <c r="C187" s="147"/>
      <c r="D187" s="147"/>
      <c r="E187" s="147"/>
      <c r="F187" s="147"/>
      <c r="G187" s="147"/>
      <c r="H187" s="147"/>
      <c r="I187" s="147"/>
      <c r="J187" s="147"/>
      <c r="K187" s="147"/>
      <c r="L187" s="147"/>
      <c r="M187" s="147"/>
      <c r="N187" s="147"/>
      <c r="O187" s="147"/>
      <c r="P187" s="147"/>
    </row>
    <row r="188" spans="2:16">
      <c r="B188" s="147"/>
      <c r="C188" s="147"/>
      <c r="D188" s="147"/>
      <c r="E188" s="147"/>
      <c r="F188" s="147"/>
      <c r="G188" s="147"/>
      <c r="H188" s="147"/>
      <c r="I188" s="147"/>
      <c r="J188" s="147"/>
      <c r="K188" s="147"/>
      <c r="L188" s="147"/>
      <c r="M188" s="147"/>
      <c r="N188" s="147"/>
      <c r="O188" s="147"/>
      <c r="P188" s="147"/>
    </row>
    <row r="189" spans="2:16">
      <c r="B189" s="147"/>
      <c r="C189" s="147"/>
      <c r="D189" s="147"/>
      <c r="E189" s="147"/>
      <c r="F189" s="147"/>
      <c r="G189" s="147"/>
      <c r="H189" s="147"/>
      <c r="I189" s="147"/>
      <c r="J189" s="147"/>
      <c r="K189" s="147"/>
      <c r="L189" s="147"/>
      <c r="M189" s="147"/>
      <c r="N189" s="147"/>
      <c r="O189" s="147"/>
      <c r="P189" s="147"/>
    </row>
    <row r="190" spans="2:16">
      <c r="B190" s="147"/>
      <c r="C190" s="147"/>
      <c r="D190" s="147"/>
      <c r="E190" s="147"/>
      <c r="F190" s="147"/>
      <c r="G190" s="147"/>
      <c r="H190" s="147"/>
      <c r="I190" s="147"/>
      <c r="J190" s="147"/>
      <c r="K190" s="147"/>
      <c r="L190" s="147"/>
      <c r="M190" s="147"/>
      <c r="N190" s="147"/>
      <c r="O190" s="147"/>
      <c r="P190" s="147"/>
    </row>
    <row r="191" spans="2:16">
      <c r="B191" s="147"/>
      <c r="C191" s="147"/>
      <c r="D191" s="147"/>
      <c r="E191" s="147"/>
      <c r="F191" s="147"/>
      <c r="G191" s="147"/>
      <c r="H191" s="147"/>
      <c r="I191" s="147"/>
      <c r="J191" s="147"/>
      <c r="K191" s="147"/>
      <c r="L191" s="147"/>
      <c r="M191" s="147"/>
      <c r="N191" s="147"/>
      <c r="O191" s="147"/>
      <c r="P191" s="147"/>
    </row>
    <row r="192" spans="2:16">
      <c r="B192" s="147"/>
      <c r="C192" s="147"/>
      <c r="D192" s="147"/>
      <c r="E192" s="147"/>
      <c r="F192" s="147"/>
      <c r="G192" s="147"/>
      <c r="H192" s="147"/>
      <c r="I192" s="147"/>
      <c r="J192" s="147"/>
      <c r="K192" s="147"/>
      <c r="L192" s="147"/>
      <c r="M192" s="147"/>
      <c r="N192" s="147"/>
      <c r="O192" s="147"/>
      <c r="P192" s="147"/>
    </row>
    <row r="193" spans="2:16">
      <c r="B193" s="147"/>
      <c r="C193" s="147"/>
      <c r="D193" s="147"/>
      <c r="E193" s="147"/>
      <c r="F193" s="147"/>
      <c r="G193" s="147"/>
      <c r="H193" s="147"/>
      <c r="I193" s="147"/>
      <c r="J193" s="147"/>
      <c r="K193" s="147"/>
      <c r="L193" s="147"/>
      <c r="M193" s="147"/>
      <c r="N193" s="147"/>
      <c r="O193" s="147"/>
      <c r="P193" s="147"/>
    </row>
    <row r="194" spans="2:16">
      <c r="B194" s="147"/>
      <c r="C194" s="147"/>
      <c r="D194" s="147"/>
      <c r="E194" s="147"/>
      <c r="F194" s="147"/>
      <c r="G194" s="147"/>
      <c r="H194" s="147"/>
      <c r="I194" s="147"/>
      <c r="J194" s="147"/>
      <c r="K194" s="147"/>
      <c r="L194" s="147"/>
      <c r="M194" s="147"/>
      <c r="N194" s="147"/>
      <c r="O194" s="147"/>
      <c r="P194" s="147"/>
    </row>
    <row r="195" spans="2:16">
      <c r="B195" s="147"/>
      <c r="C195" s="147"/>
      <c r="D195" s="147"/>
      <c r="E195" s="147"/>
      <c r="F195" s="147"/>
      <c r="G195" s="147"/>
      <c r="H195" s="147"/>
      <c r="I195" s="147"/>
      <c r="J195" s="147"/>
      <c r="K195" s="147"/>
      <c r="L195" s="147"/>
      <c r="M195" s="147"/>
      <c r="N195" s="147"/>
      <c r="O195" s="147"/>
      <c r="P195" s="147"/>
    </row>
    <row r="196" spans="2:16">
      <c r="B196" s="147"/>
      <c r="C196" s="147"/>
      <c r="D196" s="147"/>
      <c r="E196" s="147"/>
      <c r="F196" s="147"/>
      <c r="G196" s="147"/>
      <c r="H196" s="147"/>
      <c r="I196" s="147"/>
      <c r="J196" s="147"/>
      <c r="K196" s="147"/>
      <c r="L196" s="147"/>
      <c r="M196" s="147"/>
      <c r="N196" s="147"/>
      <c r="O196" s="147"/>
      <c r="P196" s="147"/>
    </row>
    <row r="197" spans="2:16">
      <c r="B197" s="147"/>
      <c r="C197" s="147"/>
      <c r="D197" s="147"/>
      <c r="E197" s="147"/>
      <c r="F197" s="147"/>
      <c r="G197" s="147"/>
      <c r="H197" s="147"/>
      <c r="I197" s="147"/>
      <c r="J197" s="147"/>
      <c r="K197" s="147"/>
      <c r="L197" s="147"/>
      <c r="M197" s="147"/>
      <c r="N197" s="147"/>
      <c r="O197" s="147"/>
      <c r="P197" s="147"/>
    </row>
    <row r="198" spans="2:16">
      <c r="B198" s="147"/>
      <c r="C198" s="147"/>
      <c r="D198" s="147"/>
      <c r="E198" s="147"/>
      <c r="F198" s="147"/>
      <c r="G198" s="147"/>
      <c r="H198" s="147"/>
      <c r="I198" s="147"/>
      <c r="J198" s="147"/>
      <c r="K198" s="147"/>
      <c r="L198" s="147"/>
      <c r="M198" s="147"/>
      <c r="N198" s="147"/>
      <c r="O198" s="147"/>
      <c r="P198" s="147"/>
    </row>
    <row r="199" spans="2:16">
      <c r="B199" s="147"/>
      <c r="C199" s="147"/>
      <c r="D199" s="147"/>
      <c r="E199" s="147"/>
      <c r="F199" s="147"/>
      <c r="G199" s="147"/>
      <c r="H199" s="147"/>
      <c r="I199" s="147"/>
      <c r="J199" s="147"/>
      <c r="K199" s="147"/>
      <c r="L199" s="147"/>
      <c r="M199" s="147"/>
      <c r="N199" s="147"/>
      <c r="O199" s="147"/>
      <c r="P199" s="147"/>
    </row>
    <row r="200" spans="2:16">
      <c r="B200" s="147"/>
      <c r="C200" s="147"/>
      <c r="D200" s="147"/>
      <c r="E200" s="147"/>
      <c r="F200" s="147"/>
      <c r="G200" s="147"/>
      <c r="H200" s="147"/>
      <c r="I200" s="147"/>
      <c r="J200" s="147"/>
      <c r="K200" s="147"/>
      <c r="L200" s="147"/>
      <c r="M200" s="147"/>
      <c r="N200" s="147"/>
      <c r="O200" s="147"/>
      <c r="P200" s="147"/>
    </row>
    <row r="201" spans="2:16">
      <c r="B201" s="147"/>
      <c r="C201" s="147"/>
      <c r="D201" s="147"/>
      <c r="E201" s="147"/>
      <c r="F201" s="147"/>
      <c r="G201" s="147"/>
      <c r="H201" s="147"/>
      <c r="I201" s="147"/>
      <c r="J201" s="147"/>
      <c r="K201" s="147"/>
      <c r="L201" s="147"/>
      <c r="M201" s="147"/>
      <c r="N201" s="147"/>
      <c r="O201" s="147"/>
      <c r="P201" s="147"/>
    </row>
    <row r="202" spans="2:16">
      <c r="B202" s="147"/>
      <c r="C202" s="147"/>
      <c r="D202" s="147"/>
      <c r="E202" s="147"/>
      <c r="F202" s="147"/>
      <c r="G202" s="147"/>
      <c r="H202" s="147"/>
      <c r="I202" s="147"/>
      <c r="J202" s="147"/>
      <c r="K202" s="147"/>
      <c r="L202" s="147"/>
      <c r="M202" s="147"/>
      <c r="N202" s="147"/>
      <c r="O202" s="147"/>
      <c r="P202" s="147"/>
    </row>
    <row r="203" spans="2:16">
      <c r="B203" s="147"/>
      <c r="C203" s="147"/>
      <c r="D203" s="147"/>
      <c r="E203" s="147"/>
      <c r="F203" s="147"/>
      <c r="G203" s="147"/>
      <c r="H203" s="147"/>
      <c r="I203" s="147"/>
      <c r="J203" s="147"/>
      <c r="K203" s="147"/>
      <c r="L203" s="147"/>
      <c r="M203" s="147"/>
      <c r="N203" s="147"/>
      <c r="O203" s="147"/>
      <c r="P203" s="147"/>
    </row>
    <row r="204" spans="2:16">
      <c r="B204" s="147"/>
      <c r="C204" s="147"/>
      <c r="D204" s="147"/>
      <c r="E204" s="147"/>
      <c r="F204" s="147"/>
      <c r="G204" s="147"/>
      <c r="H204" s="147"/>
      <c r="I204" s="147"/>
      <c r="J204" s="147"/>
      <c r="K204" s="147"/>
      <c r="L204" s="147"/>
      <c r="M204" s="147"/>
      <c r="N204" s="147"/>
      <c r="O204" s="147"/>
      <c r="P204" s="147"/>
    </row>
    <row r="205" spans="2:16">
      <c r="B205" s="147"/>
      <c r="C205" s="147"/>
      <c r="D205" s="147"/>
      <c r="E205" s="147"/>
      <c r="F205" s="147"/>
      <c r="G205" s="147"/>
      <c r="H205" s="147"/>
      <c r="I205" s="147"/>
      <c r="J205" s="147"/>
      <c r="K205" s="147"/>
      <c r="L205" s="147"/>
      <c r="M205" s="147"/>
      <c r="N205" s="147"/>
      <c r="O205" s="147"/>
      <c r="P205" s="147"/>
    </row>
    <row r="206" spans="2:16">
      <c r="B206" s="147"/>
      <c r="C206" s="147"/>
      <c r="D206" s="147"/>
      <c r="E206" s="147"/>
      <c r="F206" s="147"/>
      <c r="G206" s="147"/>
      <c r="H206" s="147"/>
      <c r="I206" s="147"/>
      <c r="J206" s="147"/>
      <c r="K206" s="147"/>
      <c r="L206" s="147"/>
      <c r="M206" s="147"/>
      <c r="N206" s="147"/>
      <c r="O206" s="147"/>
      <c r="P206" s="147"/>
    </row>
    <row r="207" spans="2:16">
      <c r="B207" s="147"/>
      <c r="C207" s="147"/>
      <c r="D207" s="147"/>
      <c r="E207" s="147"/>
      <c r="F207" s="147"/>
      <c r="G207" s="147"/>
      <c r="H207" s="147"/>
      <c r="I207" s="147"/>
      <c r="J207" s="147"/>
      <c r="K207" s="147"/>
      <c r="L207" s="147"/>
      <c r="M207" s="147"/>
      <c r="N207" s="147"/>
      <c r="O207" s="147"/>
      <c r="P207" s="147"/>
    </row>
    <row r="208" spans="2:16">
      <c r="B208" s="147"/>
      <c r="C208" s="147"/>
      <c r="D208" s="147"/>
      <c r="E208" s="147"/>
      <c r="F208" s="147"/>
      <c r="G208" s="147"/>
      <c r="H208" s="147"/>
      <c r="I208" s="147"/>
      <c r="J208" s="147"/>
      <c r="K208" s="147"/>
      <c r="L208" s="147"/>
      <c r="M208" s="147"/>
      <c r="N208" s="147"/>
      <c r="O208" s="147"/>
      <c r="P208" s="147"/>
    </row>
    <row r="209" spans="2:16">
      <c r="B209" s="147"/>
      <c r="C209" s="147"/>
      <c r="D209" s="147"/>
      <c r="E209" s="147"/>
      <c r="F209" s="147"/>
      <c r="G209" s="147"/>
      <c r="H209" s="147"/>
      <c r="I209" s="147"/>
      <c r="J209" s="147"/>
      <c r="K209" s="147"/>
      <c r="L209" s="147"/>
      <c r="M209" s="147"/>
      <c r="N209" s="147"/>
      <c r="O209" s="147"/>
      <c r="P209" s="147"/>
    </row>
    <row r="210" spans="2:16">
      <c r="B210" s="147"/>
      <c r="C210" s="147"/>
      <c r="D210" s="147"/>
      <c r="E210" s="147"/>
      <c r="F210" s="147"/>
      <c r="G210" s="147"/>
      <c r="H210" s="147"/>
      <c r="I210" s="147"/>
      <c r="J210" s="147"/>
      <c r="K210" s="147"/>
      <c r="L210" s="147"/>
      <c r="M210" s="147"/>
      <c r="N210" s="147"/>
      <c r="O210" s="147"/>
      <c r="P210" s="147"/>
    </row>
    <row r="211" spans="2:16">
      <c r="B211" s="147"/>
      <c r="C211" s="147"/>
      <c r="D211" s="147"/>
      <c r="E211" s="147"/>
      <c r="F211" s="147"/>
      <c r="G211" s="147"/>
      <c r="H211" s="147"/>
      <c r="I211" s="147"/>
      <c r="J211" s="147"/>
      <c r="K211" s="147"/>
      <c r="L211" s="147"/>
      <c r="M211" s="147"/>
      <c r="N211" s="147"/>
      <c r="O211" s="147"/>
      <c r="P211" s="147"/>
    </row>
    <row r="212" spans="2:16">
      <c r="B212" s="147"/>
      <c r="C212" s="147"/>
      <c r="D212" s="147"/>
      <c r="E212" s="147"/>
      <c r="F212" s="147"/>
      <c r="G212" s="147"/>
      <c r="H212" s="147"/>
      <c r="I212" s="147"/>
      <c r="J212" s="147"/>
      <c r="K212" s="147"/>
      <c r="L212" s="147"/>
      <c r="M212" s="147"/>
      <c r="N212" s="147"/>
      <c r="O212" s="147"/>
      <c r="P212" s="147"/>
    </row>
    <row r="213" spans="2:16">
      <c r="B213" s="147"/>
      <c r="C213" s="147"/>
      <c r="D213" s="147"/>
      <c r="E213" s="147"/>
      <c r="F213" s="147"/>
      <c r="G213" s="147"/>
      <c r="H213" s="147"/>
      <c r="I213" s="147"/>
      <c r="J213" s="147"/>
      <c r="K213" s="147"/>
      <c r="L213" s="147"/>
      <c r="M213" s="147"/>
      <c r="N213" s="147"/>
      <c r="O213" s="147"/>
      <c r="P213" s="147"/>
    </row>
    <row r="214" spans="2:16">
      <c r="B214" s="147"/>
      <c r="C214" s="147"/>
      <c r="D214" s="147"/>
      <c r="E214" s="147"/>
      <c r="F214" s="147"/>
      <c r="G214" s="147"/>
      <c r="H214" s="147"/>
      <c r="I214" s="147"/>
      <c r="J214" s="147"/>
      <c r="K214" s="147"/>
      <c r="L214" s="147"/>
      <c r="M214" s="147"/>
      <c r="N214" s="147"/>
      <c r="O214" s="147"/>
      <c r="P214" s="147"/>
    </row>
    <row r="215" spans="2:16">
      <c r="B215" s="147"/>
      <c r="C215" s="147"/>
      <c r="D215" s="147"/>
      <c r="E215" s="147"/>
      <c r="F215" s="147"/>
      <c r="G215" s="147"/>
      <c r="H215" s="147"/>
      <c r="I215" s="147"/>
      <c r="J215" s="147"/>
      <c r="K215" s="147"/>
      <c r="L215" s="147"/>
      <c r="M215" s="147"/>
      <c r="N215" s="147"/>
      <c r="O215" s="147"/>
      <c r="P215" s="147"/>
    </row>
    <row r="216" spans="2:16">
      <c r="B216" s="147"/>
      <c r="C216" s="147"/>
      <c r="D216" s="147"/>
      <c r="E216" s="147"/>
      <c r="F216" s="147"/>
      <c r="G216" s="147"/>
      <c r="H216" s="147"/>
      <c r="I216" s="147"/>
      <c r="J216" s="147"/>
      <c r="K216" s="147"/>
      <c r="L216" s="147"/>
      <c r="M216" s="147"/>
      <c r="N216" s="147"/>
      <c r="O216" s="147"/>
      <c r="P216" s="147"/>
    </row>
    <row r="217" spans="2:16">
      <c r="B217" s="147"/>
      <c r="C217" s="147"/>
      <c r="D217" s="147"/>
      <c r="E217" s="147"/>
      <c r="F217" s="147"/>
      <c r="G217" s="147"/>
      <c r="H217" s="147"/>
      <c r="I217" s="147"/>
      <c r="J217" s="147"/>
      <c r="K217" s="147"/>
      <c r="L217" s="147"/>
      <c r="M217" s="147"/>
      <c r="N217" s="147"/>
      <c r="O217" s="147"/>
      <c r="P217" s="147"/>
    </row>
    <row r="218" spans="2:16">
      <c r="B218" s="147"/>
      <c r="C218" s="147"/>
      <c r="D218" s="147"/>
      <c r="E218" s="147"/>
      <c r="F218" s="147"/>
      <c r="G218" s="147"/>
      <c r="H218" s="147"/>
      <c r="I218" s="147"/>
      <c r="J218" s="147"/>
      <c r="K218" s="147"/>
      <c r="L218" s="147"/>
      <c r="M218" s="147"/>
      <c r="N218" s="147"/>
      <c r="O218" s="147"/>
      <c r="P218" s="147"/>
    </row>
    <row r="219" spans="2:16">
      <c r="B219" s="147"/>
      <c r="C219" s="147"/>
      <c r="D219" s="147"/>
      <c r="E219" s="147"/>
      <c r="F219" s="147"/>
      <c r="G219" s="147"/>
      <c r="H219" s="147"/>
      <c r="I219" s="147"/>
      <c r="J219" s="147"/>
      <c r="K219" s="147"/>
      <c r="L219" s="147"/>
      <c r="M219" s="147"/>
      <c r="N219" s="147"/>
      <c r="O219" s="147"/>
      <c r="P219" s="147"/>
    </row>
    <row r="220" spans="2:16">
      <c r="B220" s="147"/>
      <c r="C220" s="147"/>
      <c r="D220" s="147"/>
      <c r="E220" s="147"/>
      <c r="F220" s="147"/>
      <c r="G220" s="147"/>
      <c r="H220" s="147"/>
      <c r="I220" s="147"/>
      <c r="J220" s="147"/>
      <c r="K220" s="147"/>
      <c r="L220" s="147"/>
      <c r="M220" s="147"/>
      <c r="N220" s="147"/>
      <c r="O220" s="147"/>
      <c r="P220" s="147"/>
    </row>
    <row r="221" spans="2:16">
      <c r="B221" s="147"/>
      <c r="C221" s="147"/>
      <c r="D221" s="147"/>
      <c r="E221" s="147"/>
      <c r="F221" s="147"/>
      <c r="G221" s="147"/>
      <c r="H221" s="147"/>
      <c r="I221" s="147"/>
      <c r="J221" s="147"/>
      <c r="K221" s="147"/>
      <c r="L221" s="147"/>
      <c r="M221" s="147"/>
      <c r="N221" s="147"/>
      <c r="O221" s="147"/>
      <c r="P221" s="147"/>
    </row>
    <row r="222" spans="2:16">
      <c r="B222" s="147"/>
      <c r="C222" s="147"/>
      <c r="D222" s="147"/>
      <c r="E222" s="147"/>
      <c r="F222" s="147"/>
      <c r="G222" s="147"/>
      <c r="H222" s="147"/>
      <c r="I222" s="147"/>
      <c r="J222" s="147"/>
      <c r="K222" s="147"/>
      <c r="L222" s="147"/>
      <c r="M222" s="147"/>
      <c r="N222" s="147"/>
      <c r="O222" s="147"/>
      <c r="P222" s="147"/>
    </row>
    <row r="223" spans="2:16">
      <c r="B223" s="147"/>
      <c r="C223" s="147"/>
      <c r="D223" s="147"/>
      <c r="E223" s="147"/>
      <c r="F223" s="147"/>
      <c r="G223" s="147"/>
      <c r="H223" s="147"/>
      <c r="I223" s="147"/>
      <c r="J223" s="147"/>
      <c r="K223" s="147"/>
      <c r="L223" s="147"/>
      <c r="M223" s="147"/>
      <c r="N223" s="147"/>
      <c r="O223" s="147"/>
      <c r="P223" s="147"/>
    </row>
    <row r="224" spans="2:16">
      <c r="B224" s="147"/>
      <c r="C224" s="147"/>
      <c r="D224" s="147"/>
      <c r="E224" s="147"/>
      <c r="F224" s="147"/>
      <c r="G224" s="147"/>
      <c r="H224" s="147"/>
      <c r="I224" s="147"/>
      <c r="J224" s="147"/>
      <c r="K224" s="147"/>
      <c r="L224" s="147"/>
      <c r="M224" s="147"/>
      <c r="N224" s="147"/>
      <c r="O224" s="147"/>
      <c r="P224" s="147"/>
    </row>
    <row r="225" spans="2:16">
      <c r="B225" s="147"/>
      <c r="C225" s="147"/>
      <c r="D225" s="147"/>
      <c r="E225" s="147"/>
      <c r="F225" s="147"/>
      <c r="G225" s="147"/>
      <c r="H225" s="147"/>
      <c r="I225" s="147"/>
      <c r="J225" s="147"/>
      <c r="K225" s="147"/>
      <c r="L225" s="147"/>
      <c r="M225" s="147"/>
      <c r="N225" s="147"/>
      <c r="O225" s="147"/>
      <c r="P225" s="147"/>
    </row>
    <row r="226" spans="2:16">
      <c r="B226" s="147"/>
      <c r="C226" s="147"/>
      <c r="D226" s="147"/>
      <c r="E226" s="147"/>
      <c r="F226" s="147"/>
      <c r="G226" s="147"/>
      <c r="H226" s="147"/>
      <c r="I226" s="147"/>
      <c r="J226" s="147"/>
      <c r="K226" s="147"/>
      <c r="L226" s="147"/>
      <c r="M226" s="147"/>
      <c r="N226" s="147"/>
      <c r="O226" s="147"/>
      <c r="P226" s="147"/>
    </row>
    <row r="227" spans="2:16">
      <c r="B227" s="147"/>
      <c r="C227" s="147"/>
      <c r="D227" s="147"/>
      <c r="E227" s="147"/>
      <c r="F227" s="147"/>
      <c r="G227" s="147"/>
      <c r="H227" s="147"/>
      <c r="I227" s="147"/>
      <c r="J227" s="147"/>
      <c r="K227" s="147"/>
      <c r="L227" s="147"/>
      <c r="M227" s="147"/>
      <c r="N227" s="147"/>
      <c r="O227" s="147"/>
      <c r="P227" s="147"/>
    </row>
    <row r="228" spans="2:16">
      <c r="B228" s="147"/>
      <c r="C228" s="147"/>
      <c r="D228" s="147"/>
      <c r="E228" s="147"/>
      <c r="F228" s="147"/>
      <c r="G228" s="147"/>
      <c r="H228" s="147"/>
      <c r="I228" s="147"/>
      <c r="J228" s="147"/>
      <c r="K228" s="147"/>
      <c r="L228" s="147"/>
      <c r="M228" s="147"/>
      <c r="N228" s="147"/>
      <c r="O228" s="147"/>
      <c r="P228" s="147"/>
    </row>
    <row r="229" spans="2:16">
      <c r="B229" s="147"/>
      <c r="C229" s="147"/>
      <c r="D229" s="147"/>
      <c r="E229" s="147"/>
      <c r="F229" s="147"/>
      <c r="G229" s="147"/>
      <c r="H229" s="147"/>
      <c r="I229" s="147"/>
      <c r="J229" s="147"/>
      <c r="K229" s="147"/>
      <c r="L229" s="147"/>
      <c r="M229" s="147"/>
      <c r="N229" s="147"/>
      <c r="O229" s="147"/>
      <c r="P229" s="147"/>
    </row>
    <row r="230" spans="2:16">
      <c r="B230" s="147"/>
      <c r="C230" s="147"/>
      <c r="D230" s="147"/>
      <c r="E230" s="147"/>
      <c r="F230" s="147"/>
      <c r="G230" s="147"/>
      <c r="H230" s="147"/>
      <c r="I230" s="147"/>
      <c r="J230" s="147"/>
      <c r="K230" s="147"/>
      <c r="L230" s="147"/>
      <c r="M230" s="147"/>
      <c r="N230" s="147"/>
      <c r="O230" s="147"/>
      <c r="P230" s="147"/>
    </row>
    <row r="231" spans="2:16">
      <c r="B231" s="147"/>
      <c r="C231" s="147"/>
      <c r="D231" s="147"/>
      <c r="E231" s="147"/>
      <c r="F231" s="147"/>
      <c r="G231" s="147"/>
      <c r="H231" s="147"/>
      <c r="I231" s="147"/>
      <c r="J231" s="147"/>
      <c r="K231" s="147"/>
      <c r="L231" s="147"/>
      <c r="M231" s="147"/>
      <c r="N231" s="147"/>
      <c r="O231" s="147"/>
      <c r="P231" s="147"/>
    </row>
    <row r="232" spans="2:16">
      <c r="B232" s="147"/>
      <c r="C232" s="147"/>
      <c r="D232" s="147"/>
      <c r="E232" s="147"/>
      <c r="F232" s="147"/>
      <c r="G232" s="147"/>
      <c r="H232" s="147"/>
      <c r="I232" s="147"/>
      <c r="J232" s="147"/>
      <c r="K232" s="147"/>
      <c r="L232" s="147"/>
      <c r="M232" s="147"/>
      <c r="N232" s="147"/>
      <c r="O232" s="147"/>
      <c r="P232" s="147"/>
    </row>
    <row r="233" spans="2:16">
      <c r="B233" s="147"/>
      <c r="C233" s="147"/>
      <c r="D233" s="147"/>
      <c r="E233" s="147"/>
      <c r="F233" s="147"/>
      <c r="G233" s="147"/>
      <c r="H233" s="147"/>
      <c r="I233" s="147"/>
      <c r="J233" s="147"/>
      <c r="K233" s="147"/>
      <c r="L233" s="147"/>
      <c r="M233" s="147"/>
      <c r="N233" s="147"/>
      <c r="O233" s="147"/>
      <c r="P233" s="147"/>
    </row>
    <row r="234" spans="2:16">
      <c r="B234" s="147"/>
      <c r="C234" s="147"/>
      <c r="D234" s="147"/>
      <c r="E234" s="147"/>
      <c r="F234" s="147"/>
      <c r="G234" s="147"/>
      <c r="H234" s="147"/>
      <c r="I234" s="147"/>
      <c r="J234" s="147"/>
      <c r="K234" s="147"/>
      <c r="L234" s="147"/>
      <c r="M234" s="147"/>
      <c r="N234" s="147"/>
      <c r="O234" s="147"/>
      <c r="P234" s="147"/>
    </row>
    <row r="235" spans="2:16">
      <c r="B235" s="147"/>
      <c r="C235" s="147"/>
      <c r="D235" s="147"/>
      <c r="E235" s="147"/>
      <c r="F235" s="147"/>
      <c r="G235" s="147"/>
      <c r="H235" s="147"/>
      <c r="I235" s="147"/>
      <c r="J235" s="147"/>
      <c r="K235" s="147"/>
      <c r="L235" s="147"/>
      <c r="M235" s="147"/>
      <c r="N235" s="147"/>
      <c r="O235" s="147"/>
      <c r="P235" s="147"/>
    </row>
    <row r="236" spans="2:16">
      <c r="B236" s="147"/>
      <c r="C236" s="147"/>
      <c r="D236" s="147"/>
      <c r="E236" s="147"/>
      <c r="F236" s="147"/>
      <c r="G236" s="147"/>
      <c r="H236" s="147"/>
      <c r="I236" s="147"/>
      <c r="J236" s="147"/>
      <c r="K236" s="147"/>
      <c r="L236" s="147"/>
      <c r="M236" s="147"/>
      <c r="N236" s="147"/>
      <c r="O236" s="147"/>
      <c r="P236" s="147"/>
    </row>
    <row r="237" spans="2:16">
      <c r="B237" s="147"/>
      <c r="C237" s="147"/>
      <c r="D237" s="147"/>
      <c r="E237" s="147"/>
      <c r="F237" s="147"/>
      <c r="G237" s="147"/>
      <c r="H237" s="147"/>
      <c r="I237" s="147"/>
      <c r="J237" s="147"/>
      <c r="K237" s="147"/>
      <c r="L237" s="147"/>
      <c r="M237" s="147"/>
      <c r="N237" s="147"/>
      <c r="O237" s="147"/>
      <c r="P237" s="147"/>
    </row>
    <row r="238" spans="2:16">
      <c r="B238" s="147"/>
      <c r="C238" s="147"/>
      <c r="D238" s="147"/>
      <c r="E238" s="147"/>
      <c r="F238" s="147"/>
      <c r="G238" s="147"/>
      <c r="H238" s="147"/>
      <c r="I238" s="147"/>
      <c r="J238" s="147"/>
      <c r="K238" s="147"/>
      <c r="L238" s="147"/>
      <c r="M238" s="147"/>
      <c r="N238" s="147"/>
      <c r="O238" s="147"/>
      <c r="P238" s="147"/>
    </row>
    <row r="239" spans="2:16">
      <c r="B239" s="147"/>
      <c r="C239" s="147"/>
      <c r="D239" s="147"/>
      <c r="E239" s="147"/>
      <c r="F239" s="147"/>
      <c r="G239" s="147"/>
      <c r="H239" s="147"/>
      <c r="I239" s="147"/>
      <c r="J239" s="147"/>
      <c r="K239" s="147"/>
      <c r="L239" s="147"/>
      <c r="M239" s="147"/>
      <c r="N239" s="147"/>
      <c r="O239" s="147"/>
      <c r="P239" s="147"/>
    </row>
    <row r="240" spans="2:16">
      <c r="B240" s="147"/>
      <c r="C240" s="147"/>
      <c r="D240" s="147"/>
      <c r="E240" s="147"/>
      <c r="F240" s="147"/>
      <c r="G240" s="147"/>
      <c r="H240" s="147"/>
      <c r="I240" s="147"/>
      <c r="J240" s="147"/>
      <c r="K240" s="147"/>
      <c r="L240" s="147"/>
      <c r="M240" s="147"/>
      <c r="N240" s="147"/>
      <c r="O240" s="147"/>
      <c r="P240" s="147"/>
    </row>
    <row r="241" spans="2:16">
      <c r="B241" s="147"/>
      <c r="C241" s="147"/>
      <c r="D241" s="147"/>
      <c r="E241" s="147"/>
      <c r="F241" s="147"/>
      <c r="G241" s="147"/>
      <c r="H241" s="147"/>
      <c r="I241" s="147"/>
      <c r="J241" s="147"/>
      <c r="K241" s="147"/>
      <c r="L241" s="147"/>
      <c r="M241" s="147"/>
      <c r="N241" s="147"/>
      <c r="O241" s="147"/>
      <c r="P241" s="147"/>
    </row>
    <row r="242" spans="2:16">
      <c r="B242" s="147"/>
      <c r="C242" s="147"/>
      <c r="D242" s="147"/>
      <c r="E242" s="147"/>
      <c r="F242" s="147"/>
      <c r="G242" s="147"/>
      <c r="H242" s="147"/>
      <c r="I242" s="147"/>
      <c r="J242" s="147"/>
      <c r="K242" s="147"/>
      <c r="L242" s="147"/>
      <c r="M242" s="147"/>
      <c r="N242" s="147"/>
      <c r="O242" s="147"/>
      <c r="P242" s="147"/>
    </row>
    <row r="243" spans="2:16">
      <c r="B243" s="147"/>
      <c r="C243" s="147"/>
      <c r="D243" s="147"/>
      <c r="E243" s="147"/>
      <c r="F243" s="147"/>
      <c r="G243" s="147"/>
      <c r="H243" s="147"/>
      <c r="I243" s="147"/>
      <c r="J243" s="147"/>
      <c r="K243" s="147"/>
      <c r="L243" s="147"/>
      <c r="M243" s="147"/>
      <c r="N243" s="147"/>
      <c r="O243" s="147"/>
      <c r="P243" s="147"/>
    </row>
    <row r="244" spans="2:16">
      <c r="B244" s="147"/>
      <c r="C244" s="147"/>
      <c r="D244" s="147"/>
      <c r="E244" s="147"/>
      <c r="F244" s="147"/>
      <c r="G244" s="147"/>
      <c r="H244" s="147"/>
      <c r="I244" s="147"/>
      <c r="J244" s="147"/>
      <c r="K244" s="147"/>
      <c r="L244" s="147"/>
      <c r="M244" s="147"/>
      <c r="N244" s="147"/>
      <c r="O244" s="147"/>
      <c r="P244" s="147"/>
    </row>
    <row r="245" spans="2:16">
      <c r="B245" s="147"/>
      <c r="C245" s="147"/>
      <c r="D245" s="147"/>
      <c r="E245" s="147"/>
      <c r="F245" s="147"/>
      <c r="G245" s="147"/>
      <c r="H245" s="147"/>
      <c r="I245" s="147"/>
      <c r="J245" s="147"/>
      <c r="K245" s="147"/>
      <c r="L245" s="147"/>
      <c r="M245" s="147"/>
      <c r="N245" s="147"/>
      <c r="O245" s="147"/>
      <c r="P245" s="147"/>
    </row>
    <row r="246" spans="2:16">
      <c r="B246" s="147"/>
      <c r="C246" s="147"/>
      <c r="D246" s="147"/>
      <c r="E246" s="147"/>
      <c r="F246" s="147"/>
      <c r="G246" s="147"/>
      <c r="H246" s="147"/>
      <c r="I246" s="147"/>
      <c r="J246" s="147"/>
      <c r="K246" s="147"/>
      <c r="L246" s="147"/>
      <c r="M246" s="147"/>
      <c r="N246" s="147"/>
      <c r="O246" s="147"/>
      <c r="P246" s="147"/>
    </row>
    <row r="247" spans="2:16">
      <c r="B247" s="147"/>
      <c r="C247" s="147"/>
      <c r="D247" s="147"/>
      <c r="E247" s="147"/>
      <c r="F247" s="147"/>
      <c r="G247" s="147"/>
      <c r="H247" s="147"/>
      <c r="I247" s="147"/>
      <c r="J247" s="147"/>
      <c r="K247" s="147"/>
      <c r="L247" s="147"/>
      <c r="M247" s="147"/>
      <c r="N247" s="147"/>
      <c r="O247" s="147"/>
      <c r="P247" s="147"/>
    </row>
    <row r="248" spans="2:16">
      <c r="B248" s="147"/>
      <c r="C248" s="147"/>
      <c r="D248" s="147"/>
      <c r="E248" s="147"/>
      <c r="F248" s="147"/>
      <c r="G248" s="147"/>
      <c r="H248" s="147"/>
      <c r="I248" s="147"/>
      <c r="J248" s="147"/>
      <c r="K248" s="147"/>
      <c r="L248" s="147"/>
      <c r="M248" s="147"/>
      <c r="N248" s="147"/>
      <c r="O248" s="147"/>
      <c r="P248" s="147"/>
    </row>
    <row r="249" spans="2:16">
      <c r="B249" s="147"/>
      <c r="C249" s="147"/>
      <c r="D249" s="147"/>
      <c r="E249" s="147"/>
      <c r="F249" s="147"/>
      <c r="G249" s="147"/>
      <c r="H249" s="147"/>
      <c r="I249" s="147"/>
      <c r="J249" s="147"/>
      <c r="K249" s="147"/>
      <c r="L249" s="147"/>
      <c r="M249" s="147"/>
      <c r="N249" s="147"/>
      <c r="O249" s="147"/>
      <c r="P249" s="147"/>
    </row>
    <row r="250" spans="2:16">
      <c r="B250" s="147"/>
      <c r="C250" s="147"/>
      <c r="D250" s="147"/>
      <c r="E250" s="147"/>
      <c r="F250" s="147"/>
      <c r="G250" s="147"/>
      <c r="H250" s="147"/>
      <c r="I250" s="147"/>
      <c r="J250" s="147"/>
      <c r="K250" s="147"/>
      <c r="L250" s="147"/>
      <c r="M250" s="147"/>
      <c r="N250" s="147"/>
      <c r="O250" s="147"/>
      <c r="P250" s="147"/>
    </row>
    <row r="251" spans="2:16">
      <c r="B251" s="147"/>
      <c r="C251" s="147"/>
      <c r="D251" s="147"/>
      <c r="E251" s="147"/>
      <c r="F251" s="147"/>
      <c r="G251" s="147"/>
      <c r="H251" s="147"/>
      <c r="I251" s="147"/>
      <c r="J251" s="147"/>
      <c r="K251" s="147"/>
      <c r="L251" s="147"/>
      <c r="M251" s="147"/>
      <c r="N251" s="147"/>
      <c r="O251" s="147"/>
      <c r="P251" s="147"/>
    </row>
    <row r="252" spans="2:16">
      <c r="B252" s="147"/>
      <c r="C252" s="147"/>
      <c r="D252" s="147"/>
      <c r="E252" s="147"/>
      <c r="F252" s="147"/>
      <c r="G252" s="147"/>
      <c r="H252" s="147"/>
      <c r="I252" s="147"/>
      <c r="J252" s="147"/>
      <c r="K252" s="147"/>
      <c r="L252" s="147"/>
      <c r="M252" s="147"/>
      <c r="N252" s="147"/>
      <c r="O252" s="147"/>
      <c r="P252" s="147"/>
    </row>
    <row r="253" spans="2:16">
      <c r="B253" s="147"/>
      <c r="C253" s="147"/>
      <c r="D253" s="147"/>
      <c r="E253" s="147"/>
      <c r="F253" s="147"/>
      <c r="G253" s="147"/>
      <c r="H253" s="147"/>
      <c r="I253" s="147"/>
      <c r="J253" s="147"/>
      <c r="K253" s="147"/>
      <c r="L253" s="147"/>
      <c r="M253" s="147"/>
      <c r="N253" s="147"/>
      <c r="O253" s="147"/>
      <c r="P253" s="147"/>
    </row>
    <row r="254" spans="2:16">
      <c r="B254" s="147"/>
      <c r="C254" s="147"/>
      <c r="D254" s="147"/>
      <c r="E254" s="147"/>
      <c r="F254" s="147"/>
      <c r="G254" s="147"/>
      <c r="H254" s="147"/>
      <c r="I254" s="147"/>
      <c r="J254" s="147"/>
      <c r="K254" s="147"/>
      <c r="L254" s="147"/>
      <c r="M254" s="147"/>
      <c r="N254" s="147"/>
      <c r="O254" s="147"/>
      <c r="P254" s="147"/>
    </row>
    <row r="255" spans="2:16">
      <c r="B255" s="147"/>
      <c r="C255" s="147"/>
      <c r="D255" s="147"/>
      <c r="E255" s="147"/>
      <c r="F255" s="147"/>
      <c r="G255" s="147"/>
      <c r="H255" s="147"/>
      <c r="I255" s="147"/>
      <c r="J255" s="147"/>
      <c r="K255" s="147"/>
      <c r="L255" s="147"/>
      <c r="M255" s="147"/>
      <c r="N255" s="147"/>
      <c r="O255" s="147"/>
      <c r="P255" s="147"/>
    </row>
    <row r="256" spans="2:16">
      <c r="B256" s="147"/>
      <c r="C256" s="147"/>
      <c r="D256" s="147"/>
      <c r="E256" s="147"/>
      <c r="F256" s="147"/>
      <c r="G256" s="147"/>
      <c r="H256" s="147"/>
      <c r="I256" s="147"/>
      <c r="J256" s="147"/>
      <c r="K256" s="147"/>
      <c r="L256" s="147"/>
      <c r="M256" s="147"/>
      <c r="N256" s="147"/>
      <c r="O256" s="147"/>
      <c r="P256" s="147"/>
    </row>
    <row r="257" spans="2:16">
      <c r="B257" s="147"/>
      <c r="C257" s="147"/>
      <c r="D257" s="147"/>
      <c r="E257" s="147"/>
      <c r="F257" s="147"/>
      <c r="G257" s="147"/>
      <c r="H257" s="147"/>
      <c r="I257" s="147"/>
      <c r="J257" s="147"/>
      <c r="K257" s="147"/>
      <c r="L257" s="147"/>
      <c r="M257" s="147"/>
      <c r="N257" s="147"/>
      <c r="O257" s="147"/>
      <c r="P257" s="147"/>
    </row>
    <row r="258" spans="2:16">
      <c r="B258" s="147"/>
      <c r="C258" s="147"/>
      <c r="D258" s="147"/>
      <c r="E258" s="147"/>
      <c r="F258" s="147"/>
      <c r="G258" s="147"/>
      <c r="H258" s="147"/>
      <c r="I258" s="147"/>
      <c r="J258" s="147"/>
      <c r="K258" s="147"/>
      <c r="L258" s="147"/>
      <c r="M258" s="147"/>
      <c r="N258" s="147"/>
      <c r="O258" s="147"/>
      <c r="P258" s="147"/>
    </row>
    <row r="259" spans="2:16">
      <c r="B259" s="147"/>
      <c r="C259" s="147"/>
      <c r="D259" s="147"/>
      <c r="E259" s="147"/>
      <c r="F259" s="147"/>
      <c r="G259" s="147"/>
      <c r="H259" s="147"/>
      <c r="I259" s="147"/>
      <c r="J259" s="147"/>
      <c r="K259" s="147"/>
      <c r="L259" s="147"/>
      <c r="M259" s="147"/>
      <c r="N259" s="147"/>
      <c r="O259" s="147"/>
      <c r="P259" s="147"/>
    </row>
    <row r="260" spans="2:16">
      <c r="B260" s="147"/>
      <c r="C260" s="147"/>
      <c r="D260" s="147"/>
      <c r="E260" s="147"/>
      <c r="F260" s="147"/>
      <c r="G260" s="147"/>
      <c r="H260" s="147"/>
      <c r="I260" s="147"/>
      <c r="J260" s="147"/>
      <c r="K260" s="147"/>
      <c r="L260" s="147"/>
      <c r="M260" s="147"/>
      <c r="N260" s="147"/>
      <c r="O260" s="147"/>
      <c r="P260" s="147"/>
    </row>
    <row r="261" spans="2:16">
      <c r="B261" s="147"/>
      <c r="C261" s="147"/>
      <c r="D261" s="147"/>
      <c r="E261" s="147"/>
      <c r="F261" s="147"/>
      <c r="G261" s="147"/>
      <c r="H261" s="147"/>
      <c r="I261" s="147"/>
      <c r="J261" s="147"/>
      <c r="K261" s="147"/>
      <c r="L261" s="147"/>
      <c r="M261" s="147"/>
      <c r="N261" s="147"/>
      <c r="O261" s="147"/>
      <c r="P261" s="147"/>
    </row>
    <row r="262" spans="2:16">
      <c r="B262" s="147"/>
      <c r="C262" s="147"/>
      <c r="D262" s="147"/>
      <c r="E262" s="147"/>
      <c r="F262" s="147"/>
      <c r="G262" s="147"/>
      <c r="H262" s="147"/>
      <c r="I262" s="147"/>
      <c r="J262" s="147"/>
      <c r="K262" s="147"/>
      <c r="L262" s="147"/>
      <c r="M262" s="147"/>
      <c r="N262" s="147"/>
      <c r="O262" s="147"/>
      <c r="P262" s="147"/>
    </row>
    <row r="263" spans="2:16">
      <c r="B263" s="147"/>
      <c r="C263" s="147"/>
      <c r="D263" s="147"/>
      <c r="E263" s="147"/>
      <c r="F263" s="147"/>
      <c r="G263" s="147"/>
      <c r="H263" s="147"/>
      <c r="I263" s="147"/>
      <c r="J263" s="147"/>
      <c r="K263" s="147"/>
      <c r="L263" s="147"/>
      <c r="M263" s="147"/>
      <c r="N263" s="147"/>
      <c r="O263" s="147"/>
      <c r="P263" s="147"/>
    </row>
    <row r="264" spans="2:16">
      <c r="B264" s="147"/>
      <c r="C264" s="147"/>
      <c r="D264" s="147"/>
      <c r="E264" s="147"/>
      <c r="F264" s="147"/>
      <c r="G264" s="147"/>
      <c r="H264" s="147"/>
      <c r="I264" s="147"/>
      <c r="J264" s="147"/>
      <c r="K264" s="147"/>
      <c r="L264" s="147"/>
      <c r="M264" s="147"/>
      <c r="N264" s="147"/>
      <c r="O264" s="147"/>
      <c r="P264" s="147"/>
    </row>
    <row r="265" spans="2:16">
      <c r="B265" s="147"/>
      <c r="C265" s="147"/>
      <c r="D265" s="147"/>
      <c r="E265" s="147"/>
      <c r="F265" s="147"/>
      <c r="G265" s="147"/>
      <c r="H265" s="147"/>
      <c r="I265" s="147"/>
      <c r="J265" s="147"/>
      <c r="K265" s="147"/>
      <c r="L265" s="147"/>
      <c r="M265" s="147"/>
      <c r="N265" s="147"/>
      <c r="O265" s="147"/>
      <c r="P265" s="147"/>
    </row>
    <row r="266" spans="2:16">
      <c r="B266" s="147"/>
      <c r="C266" s="147"/>
      <c r="D266" s="147"/>
      <c r="E266" s="147"/>
      <c r="F266" s="147"/>
      <c r="G266" s="147"/>
      <c r="H266" s="147"/>
      <c r="I266" s="147"/>
      <c r="J266" s="147"/>
      <c r="K266" s="147"/>
      <c r="L266" s="147"/>
      <c r="M266" s="147"/>
      <c r="N266" s="147"/>
      <c r="O266" s="147"/>
      <c r="P266" s="147"/>
    </row>
    <row r="267" spans="2:16">
      <c r="B267" s="147"/>
      <c r="C267" s="147"/>
      <c r="D267" s="147"/>
      <c r="E267" s="147"/>
      <c r="F267" s="147"/>
      <c r="G267" s="147"/>
      <c r="H267" s="147"/>
      <c r="I267" s="147"/>
      <c r="J267" s="147"/>
      <c r="K267" s="147"/>
      <c r="L267" s="147"/>
      <c r="M267" s="147"/>
      <c r="N267" s="147"/>
      <c r="O267" s="147"/>
      <c r="P267" s="147"/>
    </row>
    <row r="268" spans="2:16">
      <c r="B268" s="147"/>
      <c r="C268" s="147"/>
      <c r="D268" s="147"/>
      <c r="E268" s="147"/>
      <c r="F268" s="147"/>
      <c r="G268" s="147"/>
      <c r="H268" s="147"/>
      <c r="I268" s="147"/>
      <c r="J268" s="147"/>
      <c r="K268" s="147"/>
      <c r="L268" s="147"/>
      <c r="M268" s="147"/>
      <c r="N268" s="147"/>
      <c r="O268" s="147"/>
      <c r="P268" s="147"/>
    </row>
    <row r="269" spans="2:16">
      <c r="B269" s="147"/>
      <c r="C269" s="147"/>
      <c r="D269" s="147"/>
      <c r="E269" s="147"/>
      <c r="F269" s="147"/>
      <c r="G269" s="147"/>
      <c r="H269" s="147"/>
      <c r="I269" s="147"/>
      <c r="J269" s="147"/>
      <c r="K269" s="147"/>
      <c r="L269" s="147"/>
      <c r="M269" s="147"/>
      <c r="N269" s="147"/>
      <c r="O269" s="147"/>
      <c r="P269" s="147"/>
    </row>
    <row r="270" spans="2:16">
      <c r="B270" s="147"/>
      <c r="C270" s="147"/>
      <c r="D270" s="147"/>
      <c r="E270" s="147"/>
      <c r="F270" s="147"/>
      <c r="G270" s="147"/>
      <c r="H270" s="147"/>
      <c r="I270" s="147"/>
      <c r="J270" s="147"/>
      <c r="K270" s="147"/>
      <c r="L270" s="147"/>
      <c r="M270" s="147"/>
      <c r="N270" s="147"/>
      <c r="O270" s="147"/>
      <c r="P270" s="147"/>
    </row>
    <row r="271" spans="2:16">
      <c r="B271" s="147"/>
      <c r="C271" s="147"/>
      <c r="D271" s="147"/>
      <c r="E271" s="147"/>
      <c r="F271" s="147"/>
      <c r="G271" s="147"/>
      <c r="H271" s="147"/>
      <c r="I271" s="147"/>
      <c r="J271" s="147"/>
      <c r="K271" s="147"/>
      <c r="L271" s="147"/>
      <c r="M271" s="147"/>
      <c r="N271" s="147"/>
      <c r="O271" s="147"/>
      <c r="P271" s="147"/>
    </row>
    <row r="272" spans="2:16">
      <c r="B272" s="147"/>
      <c r="C272" s="147"/>
      <c r="D272" s="147"/>
      <c r="E272" s="147"/>
      <c r="F272" s="147"/>
      <c r="G272" s="147"/>
      <c r="H272" s="147"/>
      <c r="I272" s="147"/>
      <c r="J272" s="147"/>
      <c r="K272" s="147"/>
      <c r="L272" s="147"/>
      <c r="M272" s="147"/>
      <c r="N272" s="147"/>
      <c r="O272" s="147"/>
      <c r="P272" s="147"/>
    </row>
    <row r="273" spans="2:16">
      <c r="B273" s="147"/>
      <c r="C273" s="147"/>
      <c r="D273" s="147"/>
      <c r="E273" s="147"/>
      <c r="F273" s="147"/>
      <c r="G273" s="147"/>
      <c r="H273" s="147"/>
      <c r="I273" s="147"/>
      <c r="J273" s="147"/>
      <c r="K273" s="147"/>
      <c r="L273" s="147"/>
      <c r="M273" s="147"/>
      <c r="N273" s="147"/>
      <c r="O273" s="147"/>
      <c r="P273" s="147"/>
    </row>
    <row r="274" spans="2:16">
      <c r="B274" s="147"/>
      <c r="C274" s="147"/>
      <c r="D274" s="147"/>
      <c r="E274" s="147"/>
      <c r="F274" s="147"/>
      <c r="G274" s="147"/>
      <c r="H274" s="147"/>
      <c r="I274" s="147"/>
      <c r="J274" s="147"/>
      <c r="K274" s="147"/>
      <c r="L274" s="147"/>
      <c r="M274" s="147"/>
      <c r="N274" s="147"/>
      <c r="O274" s="147"/>
      <c r="P274" s="147"/>
    </row>
    <row r="275" spans="2:16">
      <c r="B275" s="147"/>
      <c r="C275" s="147"/>
      <c r="D275" s="147"/>
      <c r="E275" s="147"/>
      <c r="F275" s="147"/>
      <c r="G275" s="147"/>
      <c r="H275" s="147"/>
      <c r="I275" s="147"/>
      <c r="J275" s="147"/>
      <c r="K275" s="147"/>
      <c r="L275" s="147"/>
      <c r="M275" s="147"/>
      <c r="N275" s="147"/>
      <c r="O275" s="147"/>
      <c r="P275" s="147"/>
    </row>
    <row r="276" spans="2:16">
      <c r="B276" s="147"/>
      <c r="C276" s="147"/>
      <c r="D276" s="147"/>
      <c r="E276" s="147"/>
      <c r="F276" s="147"/>
      <c r="G276" s="147"/>
      <c r="H276" s="147"/>
      <c r="I276" s="147"/>
      <c r="J276" s="147"/>
      <c r="K276" s="147"/>
      <c r="L276" s="147"/>
      <c r="M276" s="147"/>
      <c r="N276" s="147"/>
      <c r="O276" s="147"/>
      <c r="P276" s="147"/>
    </row>
    <row r="277" spans="2:16">
      <c r="B277" s="147"/>
      <c r="C277" s="147"/>
      <c r="D277" s="147"/>
      <c r="E277" s="147"/>
      <c r="F277" s="147"/>
      <c r="G277" s="147"/>
      <c r="H277" s="147"/>
      <c r="I277" s="147"/>
      <c r="J277" s="147"/>
      <c r="K277" s="147"/>
      <c r="L277" s="147"/>
      <c r="M277" s="147"/>
      <c r="N277" s="147"/>
      <c r="O277" s="147"/>
      <c r="P277" s="147"/>
    </row>
    <row r="278" spans="2:16">
      <c r="B278" s="147"/>
      <c r="C278" s="147"/>
      <c r="D278" s="147"/>
      <c r="E278" s="147"/>
      <c r="F278" s="147"/>
      <c r="G278" s="147"/>
      <c r="H278" s="147"/>
      <c r="I278" s="147"/>
      <c r="J278" s="147"/>
      <c r="K278" s="147"/>
      <c r="L278" s="147"/>
      <c r="M278" s="147"/>
      <c r="N278" s="147"/>
      <c r="O278" s="147"/>
      <c r="P278" s="147"/>
    </row>
    <row r="279" spans="2:16">
      <c r="B279" s="147"/>
      <c r="C279" s="147"/>
      <c r="D279" s="147"/>
      <c r="E279" s="147"/>
      <c r="F279" s="147"/>
      <c r="G279" s="147"/>
      <c r="H279" s="147"/>
      <c r="I279" s="147"/>
      <c r="J279" s="147"/>
      <c r="K279" s="147"/>
      <c r="L279" s="147"/>
      <c r="M279" s="147"/>
      <c r="N279" s="147"/>
      <c r="O279" s="147"/>
      <c r="P279" s="147"/>
    </row>
    <row r="280" spans="2:16">
      <c r="B280" s="147"/>
      <c r="C280" s="147"/>
      <c r="D280" s="147"/>
      <c r="E280" s="147"/>
      <c r="F280" s="147"/>
      <c r="G280" s="147"/>
      <c r="H280" s="147"/>
      <c r="I280" s="147"/>
      <c r="J280" s="147"/>
      <c r="K280" s="147"/>
      <c r="L280" s="147"/>
      <c r="M280" s="147"/>
      <c r="N280" s="147"/>
      <c r="O280" s="147"/>
      <c r="P280" s="147"/>
    </row>
    <row r="281" spans="2:16">
      <c r="B281" s="147"/>
      <c r="C281" s="147"/>
      <c r="D281" s="147"/>
      <c r="E281" s="147"/>
      <c r="F281" s="147"/>
      <c r="G281" s="147"/>
      <c r="H281" s="147"/>
      <c r="I281" s="147"/>
      <c r="J281" s="147"/>
      <c r="K281" s="147"/>
      <c r="L281" s="147"/>
      <c r="M281" s="147"/>
      <c r="N281" s="147"/>
      <c r="O281" s="147"/>
      <c r="P281" s="147"/>
    </row>
    <row r="282" spans="2:16">
      <c r="B282" s="147"/>
      <c r="C282" s="147"/>
      <c r="D282" s="147"/>
      <c r="E282" s="147"/>
      <c r="F282" s="147"/>
      <c r="G282" s="147"/>
      <c r="H282" s="147"/>
      <c r="I282" s="147"/>
      <c r="J282" s="147"/>
      <c r="K282" s="147"/>
      <c r="L282" s="147"/>
      <c r="M282" s="147"/>
      <c r="N282" s="147"/>
      <c r="O282" s="147"/>
      <c r="P282" s="147"/>
    </row>
    <row r="283" spans="2:16">
      <c r="B283" s="147"/>
      <c r="C283" s="147"/>
      <c r="D283" s="147"/>
      <c r="E283" s="147"/>
      <c r="F283" s="147"/>
      <c r="G283" s="147"/>
      <c r="H283" s="147"/>
      <c r="I283" s="147"/>
      <c r="J283" s="147"/>
      <c r="K283" s="147"/>
      <c r="L283" s="147"/>
      <c r="M283" s="147"/>
      <c r="N283" s="147"/>
      <c r="O283" s="147"/>
      <c r="P283" s="147"/>
    </row>
    <row r="284" spans="2:16">
      <c r="B284" s="147"/>
      <c r="C284" s="147"/>
      <c r="D284" s="147"/>
      <c r="E284" s="147"/>
      <c r="F284" s="147"/>
      <c r="G284" s="147"/>
      <c r="H284" s="147"/>
      <c r="I284" s="147"/>
      <c r="J284" s="147"/>
      <c r="K284" s="147"/>
      <c r="L284" s="147"/>
      <c r="M284" s="147"/>
      <c r="N284" s="147"/>
      <c r="O284" s="147"/>
      <c r="P284" s="147"/>
    </row>
    <row r="285" spans="2:16">
      <c r="B285" s="147"/>
      <c r="C285" s="147"/>
      <c r="D285" s="147"/>
      <c r="E285" s="147"/>
      <c r="F285" s="147"/>
      <c r="G285" s="147"/>
      <c r="H285" s="147"/>
      <c r="I285" s="147"/>
      <c r="J285" s="147"/>
      <c r="K285" s="147"/>
      <c r="L285" s="147"/>
      <c r="M285" s="147"/>
      <c r="N285" s="147"/>
      <c r="O285" s="147"/>
      <c r="P285" s="147"/>
    </row>
    <row r="286" spans="2:16">
      <c r="B286" s="147"/>
      <c r="C286" s="147"/>
      <c r="D286" s="147"/>
      <c r="E286" s="147"/>
      <c r="F286" s="147"/>
      <c r="G286" s="147"/>
      <c r="H286" s="147"/>
      <c r="I286" s="147"/>
      <c r="J286" s="147"/>
      <c r="K286" s="147"/>
      <c r="L286" s="147"/>
      <c r="M286" s="147"/>
      <c r="N286" s="147"/>
      <c r="O286" s="147"/>
      <c r="P286" s="147"/>
    </row>
    <row r="287" spans="2:16">
      <c r="B287" s="147"/>
      <c r="C287" s="147"/>
      <c r="D287" s="147"/>
      <c r="E287" s="147"/>
      <c r="F287" s="147"/>
      <c r="G287" s="147"/>
      <c r="H287" s="147"/>
      <c r="I287" s="147"/>
      <c r="J287" s="147"/>
      <c r="K287" s="147"/>
      <c r="L287" s="147"/>
      <c r="M287" s="147"/>
      <c r="N287" s="147"/>
      <c r="O287" s="147"/>
      <c r="P287" s="147"/>
    </row>
    <row r="288" spans="2:16">
      <c r="B288" s="147"/>
      <c r="C288" s="147"/>
      <c r="D288" s="147"/>
      <c r="E288" s="147"/>
      <c r="F288" s="147"/>
      <c r="G288" s="147"/>
      <c r="H288" s="147"/>
      <c r="I288" s="147"/>
      <c r="J288" s="147"/>
      <c r="K288" s="147"/>
      <c r="L288" s="147"/>
      <c r="M288" s="147"/>
      <c r="N288" s="147"/>
      <c r="O288" s="147"/>
      <c r="P288" s="147"/>
    </row>
    <row r="289" spans="2:16">
      <c r="B289" s="147"/>
      <c r="C289" s="147"/>
      <c r="D289" s="147"/>
      <c r="E289" s="147"/>
      <c r="F289" s="147"/>
      <c r="G289" s="147"/>
      <c r="H289" s="147"/>
      <c r="I289" s="147"/>
      <c r="J289" s="147"/>
      <c r="K289" s="147"/>
      <c r="L289" s="147"/>
      <c r="M289" s="147"/>
      <c r="N289" s="147"/>
      <c r="O289" s="147"/>
      <c r="P289" s="147"/>
    </row>
    <row r="290" spans="2:16">
      <c r="B290" s="147"/>
      <c r="C290" s="147"/>
      <c r="D290" s="147"/>
      <c r="E290" s="147"/>
      <c r="F290" s="147"/>
      <c r="G290" s="147"/>
      <c r="H290" s="147"/>
      <c r="I290" s="147"/>
      <c r="J290" s="147"/>
      <c r="K290" s="147"/>
      <c r="L290" s="147"/>
      <c r="M290" s="147"/>
      <c r="N290" s="147"/>
      <c r="O290" s="147"/>
      <c r="P290" s="147"/>
    </row>
    <row r="291" spans="2:16">
      <c r="B291" s="147"/>
      <c r="C291" s="147"/>
      <c r="D291" s="147"/>
      <c r="E291" s="147"/>
      <c r="F291" s="147"/>
      <c r="G291" s="147"/>
      <c r="H291" s="147"/>
      <c r="I291" s="147"/>
      <c r="J291" s="147"/>
      <c r="K291" s="147"/>
      <c r="L291" s="147"/>
      <c r="M291" s="147"/>
      <c r="N291" s="147"/>
      <c r="O291" s="147"/>
      <c r="P291" s="147"/>
    </row>
    <row r="292" spans="2:16">
      <c r="B292" s="147"/>
      <c r="C292" s="147"/>
      <c r="D292" s="147"/>
      <c r="E292" s="147"/>
      <c r="F292" s="147"/>
      <c r="G292" s="147"/>
      <c r="H292" s="147"/>
      <c r="I292" s="147"/>
      <c r="J292" s="147"/>
      <c r="K292" s="147"/>
      <c r="L292" s="147"/>
      <c r="M292" s="147"/>
      <c r="N292" s="147"/>
      <c r="O292" s="147"/>
      <c r="P292" s="147"/>
    </row>
    <row r="293" spans="2:16">
      <c r="B293" s="147"/>
      <c r="C293" s="147"/>
      <c r="D293" s="147"/>
      <c r="E293" s="147"/>
      <c r="F293" s="147"/>
      <c r="G293" s="147"/>
      <c r="H293" s="147"/>
      <c r="I293" s="147"/>
      <c r="J293" s="147"/>
      <c r="K293" s="147"/>
      <c r="L293" s="147"/>
      <c r="M293" s="147"/>
      <c r="N293" s="147"/>
      <c r="O293" s="147"/>
      <c r="P293" s="147"/>
    </row>
    <row r="294" spans="2:16">
      <c r="B294" s="147"/>
      <c r="C294" s="147"/>
      <c r="D294" s="147"/>
      <c r="E294" s="147"/>
      <c r="F294" s="147"/>
      <c r="G294" s="147"/>
      <c r="H294" s="147"/>
      <c r="I294" s="147"/>
      <c r="J294" s="147"/>
      <c r="K294" s="147"/>
      <c r="L294" s="147"/>
      <c r="M294" s="147"/>
      <c r="N294" s="147"/>
      <c r="O294" s="147"/>
      <c r="P294" s="147"/>
    </row>
    <row r="295" spans="2:16">
      <c r="B295" s="147"/>
      <c r="C295" s="147"/>
      <c r="D295" s="147"/>
      <c r="E295" s="147"/>
      <c r="F295" s="147"/>
      <c r="G295" s="147"/>
      <c r="H295" s="147"/>
      <c r="I295" s="147"/>
      <c r="J295" s="147"/>
      <c r="K295" s="147"/>
      <c r="L295" s="147"/>
      <c r="M295" s="147"/>
      <c r="N295" s="147"/>
      <c r="O295" s="147"/>
      <c r="P295" s="147"/>
    </row>
    <row r="296" spans="2:16">
      <c r="B296" s="147"/>
      <c r="C296" s="147"/>
      <c r="D296" s="147"/>
      <c r="E296" s="147"/>
      <c r="F296" s="147"/>
      <c r="G296" s="147"/>
      <c r="H296" s="147"/>
      <c r="I296" s="147"/>
      <c r="J296" s="147"/>
      <c r="K296" s="147"/>
      <c r="L296" s="147"/>
      <c r="M296" s="147"/>
      <c r="N296" s="147"/>
      <c r="O296" s="147"/>
      <c r="P296" s="147"/>
    </row>
  </sheetData>
  <sheetProtection algorithmName="SHA-512" hashValue="RJP418V7e0phwffw34DQNLn0JCr9+2oZi3/McQmikkaGXaVMdZ2WBpkpsb6lWgtZpNggQ2fCThaioF6DPxm+kQ==" saltValue="X0zpdYMMSQqrXv+6yvMoMw==" spinCount="100000" sheet="1" objects="1" scenarios="1" selectLockedCells="1"/>
  <mergeCells count="13">
    <mergeCell ref="C15:AT15"/>
    <mergeCell ref="C16:AT16"/>
    <mergeCell ref="C17:AT17"/>
    <mergeCell ref="C10:AU10"/>
    <mergeCell ref="C11:AT11"/>
    <mergeCell ref="C12:AT12"/>
    <mergeCell ref="C13:AT13"/>
    <mergeCell ref="C14:AT14"/>
    <mergeCell ref="C5:AW5"/>
    <mergeCell ref="C6:AU6"/>
    <mergeCell ref="C7:AU7"/>
    <mergeCell ref="C8:AT8"/>
    <mergeCell ref="C9:AT9"/>
  </mergeCells>
  <printOptions horizontalCentered="1" verticalCentered="1"/>
  <pageMargins left="0.25" right="0.25" top="0.2" bottom="0.3" header="0" footer="0.1"/>
  <pageSetup paperSize="9" scale="10" firstPageNumber="0" orientation="landscape" r:id="rId1"/>
  <headerFooter alignWithMargins="0">
    <oddFooter>&amp;L&amp;10&amp;F &amp;A&amp;R&amp;11Page 42 of 60</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pageSetUpPr fitToPage="1"/>
  </sheetPr>
  <dimension ref="A1:AS47"/>
  <sheetViews>
    <sheetView showGridLines="0" zoomScaleNormal="100" workbookViewId="0">
      <selection activeCell="AQ32" sqref="AQ32:AR32"/>
    </sheetView>
  </sheetViews>
  <sheetFormatPr defaultColWidth="9" defaultRowHeight="15.5"/>
  <cols>
    <col min="1" max="1" width="2.08203125" style="969" customWidth="1"/>
    <col min="2" max="44" width="3.58203125" style="969" customWidth="1"/>
    <col min="45" max="45" width="2.08203125" style="969" customWidth="1"/>
    <col min="46" max="261" width="3.58203125" style="969" customWidth="1"/>
    <col min="262" max="16384" width="9" style="969"/>
  </cols>
  <sheetData>
    <row r="1" spans="2:44" ht="15" customHeight="1"/>
    <row r="2" spans="2:44" s="681" customFormat="1" ht="16.5" customHeight="1">
      <c r="B2" s="627" t="s">
        <v>11811</v>
      </c>
      <c r="C2" s="627"/>
      <c r="D2" s="627"/>
      <c r="E2" s="627"/>
      <c r="F2" s="627"/>
      <c r="G2" s="627"/>
      <c r="H2" s="627"/>
      <c r="I2" s="627"/>
      <c r="J2" s="627"/>
      <c r="K2" s="627"/>
      <c r="L2" s="627"/>
      <c r="M2" s="627"/>
      <c r="N2" s="627"/>
      <c r="O2" s="627"/>
      <c r="P2" s="627"/>
      <c r="Q2" s="627"/>
      <c r="R2" s="627"/>
      <c r="S2" s="1277"/>
      <c r="T2" s="1277"/>
      <c r="U2" s="629"/>
      <c r="V2" s="629"/>
      <c r="W2" s="629"/>
      <c r="X2" s="629"/>
      <c r="Y2" s="629"/>
      <c r="Z2" s="629"/>
      <c r="AA2" s="629"/>
      <c r="AB2" s="629"/>
      <c r="AC2" s="629"/>
      <c r="AD2" s="629"/>
      <c r="AE2" s="629"/>
      <c r="AF2" s="629"/>
      <c r="AG2" s="629"/>
      <c r="AH2" s="629"/>
      <c r="AI2" s="629"/>
      <c r="AJ2" s="629"/>
      <c r="AK2" s="629"/>
      <c r="AL2" s="629"/>
    </row>
    <row r="3" spans="2:44" s="588" customFormat="1" ht="16" thickBot="1">
      <c r="B3" s="1278" t="s">
        <v>903</v>
      </c>
    </row>
    <row r="4" spans="2:44" s="568" customFormat="1" ht="16.5">
      <c r="B4" s="3649" t="s">
        <v>648</v>
      </c>
      <c r="C4" s="3650"/>
      <c r="D4" s="3650"/>
      <c r="E4" s="3650"/>
      <c r="F4" s="3650"/>
      <c r="G4" s="3650"/>
      <c r="H4" s="3650"/>
      <c r="I4" s="3650"/>
      <c r="J4" s="3650"/>
      <c r="K4" s="3650"/>
      <c r="L4" s="3650"/>
      <c r="M4" s="3650"/>
      <c r="N4" s="3650"/>
      <c r="O4" s="3650"/>
      <c r="P4" s="3650"/>
      <c r="Q4" s="3650"/>
      <c r="R4" s="3650"/>
      <c r="S4" s="3650"/>
      <c r="T4" s="3651"/>
      <c r="U4" s="3655">
        <v>2021</v>
      </c>
      <c r="V4" s="3656"/>
      <c r="W4" s="3656"/>
      <c r="X4" s="3656"/>
      <c r="Y4" s="3656"/>
      <c r="Z4" s="3656"/>
      <c r="AA4" s="3656"/>
      <c r="AB4" s="3656"/>
      <c r="AC4" s="3656"/>
      <c r="AD4" s="3656"/>
      <c r="AE4" s="3656"/>
      <c r="AF4" s="3656"/>
      <c r="AG4" s="3656"/>
      <c r="AH4" s="3657"/>
      <c r="AI4" s="3656">
        <v>2022</v>
      </c>
      <c r="AJ4" s="3656"/>
      <c r="AK4" s="3656"/>
      <c r="AL4" s="3656"/>
      <c r="AM4" s="3656"/>
      <c r="AN4" s="3656"/>
      <c r="AO4" s="3656"/>
      <c r="AP4" s="3656"/>
      <c r="AQ4" s="3656"/>
      <c r="AR4" s="3657"/>
    </row>
    <row r="5" spans="2:44" s="568" customFormat="1" ht="17" thickBot="1">
      <c r="B5" s="3652"/>
      <c r="C5" s="3653"/>
      <c r="D5" s="3653"/>
      <c r="E5" s="3653"/>
      <c r="F5" s="3653"/>
      <c r="G5" s="3653"/>
      <c r="H5" s="3653"/>
      <c r="I5" s="3653"/>
      <c r="J5" s="3653"/>
      <c r="K5" s="3653"/>
      <c r="L5" s="3653"/>
      <c r="M5" s="3653"/>
      <c r="N5" s="3653"/>
      <c r="O5" s="3653"/>
      <c r="P5" s="3653"/>
      <c r="Q5" s="3653"/>
      <c r="R5" s="3653"/>
      <c r="S5" s="3653"/>
      <c r="T5" s="3654"/>
      <c r="U5" s="3658" t="s">
        <v>184</v>
      </c>
      <c r="V5" s="3659"/>
      <c r="W5" s="3659" t="s">
        <v>185</v>
      </c>
      <c r="X5" s="3659"/>
      <c r="Y5" s="3659" t="s">
        <v>186</v>
      </c>
      <c r="Z5" s="3659"/>
      <c r="AA5" s="3659" t="s">
        <v>187</v>
      </c>
      <c r="AB5" s="3659"/>
      <c r="AC5" s="3659" t="s">
        <v>188</v>
      </c>
      <c r="AD5" s="3659"/>
      <c r="AE5" s="3659" t="s">
        <v>189</v>
      </c>
      <c r="AF5" s="3659"/>
      <c r="AG5" s="3659" t="s">
        <v>190</v>
      </c>
      <c r="AH5" s="3660"/>
      <c r="AI5" s="3661" t="s">
        <v>191</v>
      </c>
      <c r="AJ5" s="3659"/>
      <c r="AK5" s="3659" t="s">
        <v>192</v>
      </c>
      <c r="AL5" s="3659"/>
      <c r="AM5" s="3659" t="s">
        <v>193</v>
      </c>
      <c r="AN5" s="3659"/>
      <c r="AO5" s="3659" t="s">
        <v>116</v>
      </c>
      <c r="AP5" s="3659"/>
      <c r="AQ5" s="3659" t="s">
        <v>117</v>
      </c>
      <c r="AR5" s="3660"/>
    </row>
    <row r="6" spans="2:44" s="568" customFormat="1" ht="24.75" customHeight="1">
      <c r="B6" s="10" t="s">
        <v>151</v>
      </c>
      <c r="C6" s="3643" t="s">
        <v>682</v>
      </c>
      <c r="D6" s="3643"/>
      <c r="E6" s="3643"/>
      <c r="F6" s="3643"/>
      <c r="G6" s="3643"/>
      <c r="H6" s="3643"/>
      <c r="I6" s="3643"/>
      <c r="J6" s="3643"/>
      <c r="K6" s="3643"/>
      <c r="L6" s="3643"/>
      <c r="M6" s="3643"/>
      <c r="N6" s="3643"/>
      <c r="O6" s="3643"/>
      <c r="P6" s="3643"/>
      <c r="Q6" s="3643"/>
      <c r="R6" s="3643"/>
      <c r="S6" s="3643"/>
      <c r="T6" s="3643"/>
      <c r="U6" s="3643"/>
      <c r="V6" s="3643"/>
      <c r="W6" s="3643"/>
      <c r="X6" s="3643"/>
      <c r="Y6" s="3643"/>
      <c r="Z6" s="3643"/>
      <c r="AA6" s="3643"/>
      <c r="AB6" s="3643"/>
      <c r="AC6" s="3643"/>
      <c r="AD6" s="3643"/>
      <c r="AE6" s="3643"/>
      <c r="AF6" s="3643"/>
      <c r="AG6" s="3643"/>
      <c r="AH6" s="3643"/>
      <c r="AI6" s="3643"/>
      <c r="AJ6" s="3643"/>
      <c r="AK6" s="3643"/>
      <c r="AL6" s="3643"/>
      <c r="AM6" s="3643"/>
      <c r="AN6" s="3643"/>
      <c r="AO6" s="3643"/>
      <c r="AP6" s="3643"/>
      <c r="AQ6" s="3643"/>
      <c r="AR6" s="3644"/>
    </row>
    <row r="7" spans="2:44" s="568" customFormat="1" ht="24.75" customHeight="1">
      <c r="B7" s="11"/>
      <c r="C7" s="12" t="s">
        <v>742</v>
      </c>
      <c r="D7" s="3645" t="s">
        <v>1735</v>
      </c>
      <c r="E7" s="3645"/>
      <c r="F7" s="3645"/>
      <c r="G7" s="3645"/>
      <c r="H7" s="3645"/>
      <c r="I7" s="3645"/>
      <c r="J7" s="3645"/>
      <c r="K7" s="3645"/>
      <c r="L7" s="3645"/>
      <c r="M7" s="3645"/>
      <c r="N7" s="3645"/>
      <c r="O7" s="3645"/>
      <c r="P7" s="3645"/>
      <c r="Q7" s="3645"/>
      <c r="R7" s="3645"/>
      <c r="S7" s="3645"/>
      <c r="T7" s="3645"/>
      <c r="U7" s="3645"/>
      <c r="V7" s="3645"/>
      <c r="W7" s="3645"/>
      <c r="X7" s="3645"/>
      <c r="Y7" s="3645"/>
      <c r="Z7" s="3645"/>
      <c r="AA7" s="3645"/>
      <c r="AB7" s="3645"/>
      <c r="AC7" s="3645"/>
      <c r="AD7" s="3645"/>
      <c r="AE7" s="3645"/>
      <c r="AF7" s="3645"/>
      <c r="AG7" s="3645"/>
      <c r="AH7" s="3645"/>
      <c r="AI7" s="3645"/>
      <c r="AJ7" s="3645"/>
      <c r="AK7" s="3645"/>
      <c r="AL7" s="3645"/>
      <c r="AM7" s="3645"/>
      <c r="AN7" s="3645"/>
      <c r="AO7" s="3645"/>
      <c r="AP7" s="3645"/>
      <c r="AQ7" s="3645"/>
      <c r="AR7" s="3646"/>
    </row>
    <row r="8" spans="2:44" s="568" customFormat="1" ht="25" customHeight="1">
      <c r="B8" s="1274"/>
      <c r="C8" s="1275"/>
      <c r="D8" s="1275" t="s">
        <v>743</v>
      </c>
      <c r="E8" s="1275"/>
      <c r="F8" s="1275"/>
      <c r="G8" s="1275"/>
      <c r="H8" s="1275"/>
      <c r="I8" s="1275"/>
      <c r="J8" s="1275"/>
      <c r="K8" s="1275"/>
      <c r="L8" s="1275"/>
      <c r="M8" s="1275"/>
      <c r="N8" s="1275"/>
      <c r="O8" s="1275"/>
      <c r="P8" s="1275"/>
      <c r="Q8" s="1275"/>
      <c r="R8" s="1275"/>
      <c r="S8" s="1275"/>
      <c r="T8" s="1276"/>
      <c r="U8" s="3647">
        <v>0</v>
      </c>
      <c r="V8" s="3648"/>
      <c r="W8" s="3662">
        <v>0</v>
      </c>
      <c r="X8" s="3663"/>
      <c r="Y8" s="3662">
        <v>0</v>
      </c>
      <c r="Z8" s="3663"/>
      <c r="AA8" s="3662">
        <v>0</v>
      </c>
      <c r="AB8" s="3663"/>
      <c r="AC8" s="3662">
        <v>0</v>
      </c>
      <c r="AD8" s="3663"/>
      <c r="AE8" s="3662">
        <v>0</v>
      </c>
      <c r="AF8" s="3663"/>
      <c r="AG8" s="3662">
        <v>0</v>
      </c>
      <c r="AH8" s="3664"/>
      <c r="AI8" s="3648">
        <v>0</v>
      </c>
      <c r="AJ8" s="3663"/>
      <c r="AK8" s="3662">
        <v>0</v>
      </c>
      <c r="AL8" s="3663"/>
      <c r="AM8" s="3662">
        <v>0</v>
      </c>
      <c r="AN8" s="3663"/>
      <c r="AO8" s="3662">
        <v>0</v>
      </c>
      <c r="AP8" s="3663"/>
      <c r="AQ8" s="3662">
        <v>0</v>
      </c>
      <c r="AR8" s="3664"/>
    </row>
    <row r="9" spans="2:44" s="568" customFormat="1" ht="24.75" customHeight="1">
      <c r="B9" s="13"/>
      <c r="C9" s="14" t="s">
        <v>744</v>
      </c>
      <c r="D9" s="3665" t="s">
        <v>1736</v>
      </c>
      <c r="E9" s="3665"/>
      <c r="F9" s="3665"/>
      <c r="G9" s="3665"/>
      <c r="H9" s="3665"/>
      <c r="I9" s="3665"/>
      <c r="J9" s="3665"/>
      <c r="K9" s="3665"/>
      <c r="L9" s="3665"/>
      <c r="M9" s="3665"/>
      <c r="N9" s="3665"/>
      <c r="O9" s="3665"/>
      <c r="P9" s="3665"/>
      <c r="Q9" s="3665"/>
      <c r="R9" s="3665"/>
      <c r="S9" s="3665"/>
      <c r="T9" s="3665"/>
      <c r="U9" s="3665"/>
      <c r="V9" s="3665"/>
      <c r="W9" s="3665"/>
      <c r="X9" s="3665"/>
      <c r="Y9" s="3665"/>
      <c r="Z9" s="3665"/>
      <c r="AA9" s="3665"/>
      <c r="AB9" s="3665"/>
      <c r="AC9" s="3665"/>
      <c r="AD9" s="3665"/>
      <c r="AE9" s="3665"/>
      <c r="AF9" s="3665"/>
      <c r="AG9" s="3665"/>
      <c r="AH9" s="3665"/>
      <c r="AI9" s="3665"/>
      <c r="AJ9" s="3665"/>
      <c r="AK9" s="3665"/>
      <c r="AL9" s="3665"/>
      <c r="AM9" s="3665"/>
      <c r="AN9" s="3665"/>
      <c r="AO9" s="3665"/>
      <c r="AP9" s="3665"/>
      <c r="AQ9" s="3665"/>
      <c r="AR9" s="3666"/>
    </row>
    <row r="10" spans="2:44" s="568" customFormat="1" ht="24.75" customHeight="1">
      <c r="B10" s="15"/>
      <c r="C10" s="16"/>
      <c r="D10" s="16" t="s">
        <v>1247</v>
      </c>
      <c r="E10" s="17"/>
      <c r="F10" s="18"/>
      <c r="G10" s="19"/>
      <c r="H10" s="19"/>
      <c r="I10" s="19"/>
      <c r="J10" s="19"/>
      <c r="K10" s="19"/>
      <c r="L10" s="19"/>
      <c r="M10" s="19"/>
      <c r="N10" s="19"/>
      <c r="O10" s="19"/>
      <c r="P10" s="19"/>
      <c r="Q10" s="19"/>
      <c r="R10" s="19"/>
      <c r="S10" s="19"/>
      <c r="T10" s="19"/>
      <c r="U10" s="3667"/>
      <c r="V10" s="3667"/>
      <c r="W10" s="3667"/>
      <c r="X10" s="3667"/>
      <c r="Y10" s="3667"/>
      <c r="Z10" s="3667"/>
      <c r="AA10" s="3667"/>
      <c r="AB10" s="3667"/>
      <c r="AC10" s="3667"/>
      <c r="AD10" s="3667"/>
      <c r="AE10" s="3667"/>
      <c r="AF10" s="3667"/>
      <c r="AG10" s="3667"/>
      <c r="AH10" s="3667"/>
      <c r="AI10" s="3667"/>
      <c r="AJ10" s="3667"/>
      <c r="AK10" s="3667"/>
      <c r="AL10" s="3667"/>
      <c r="AM10" s="3667"/>
      <c r="AN10" s="3667"/>
      <c r="AO10" s="3667"/>
      <c r="AP10" s="3667"/>
      <c r="AQ10" s="3667"/>
      <c r="AR10" s="3668"/>
    </row>
    <row r="11" spans="2:44" s="588" customFormat="1" ht="25" customHeight="1">
      <c r="B11" s="1266"/>
      <c r="C11" s="1224"/>
      <c r="D11" s="1224"/>
      <c r="E11" s="1224"/>
      <c r="F11" s="1224" t="s">
        <v>409</v>
      </c>
      <c r="G11" s="1224"/>
      <c r="H11" s="1224"/>
      <c r="I11" s="1224"/>
      <c r="J11" s="1224"/>
      <c r="K11" s="1224"/>
      <c r="L11" s="1224"/>
      <c r="M11" s="1224"/>
      <c r="N11" s="1224"/>
      <c r="O11" s="1224"/>
      <c r="P11" s="1224"/>
      <c r="Q11" s="1224"/>
      <c r="R11" s="1224"/>
      <c r="S11" s="1224"/>
      <c r="T11" s="1267"/>
      <c r="U11" s="3603">
        <v>0</v>
      </c>
      <c r="V11" s="3604"/>
      <c r="W11" s="3601">
        <v>0</v>
      </c>
      <c r="X11" s="3602"/>
      <c r="Y11" s="3601">
        <v>0</v>
      </c>
      <c r="Z11" s="3602"/>
      <c r="AA11" s="3601">
        <v>0</v>
      </c>
      <c r="AB11" s="3602"/>
      <c r="AC11" s="3601">
        <v>0</v>
      </c>
      <c r="AD11" s="3602"/>
      <c r="AE11" s="3601">
        <v>0</v>
      </c>
      <c r="AF11" s="3602"/>
      <c r="AG11" s="3601">
        <v>0</v>
      </c>
      <c r="AH11" s="3608"/>
      <c r="AI11" s="3604">
        <v>0</v>
      </c>
      <c r="AJ11" s="3602"/>
      <c r="AK11" s="3601">
        <v>0</v>
      </c>
      <c r="AL11" s="3602"/>
      <c r="AM11" s="3601">
        <v>0</v>
      </c>
      <c r="AN11" s="3602"/>
      <c r="AO11" s="3601">
        <v>0</v>
      </c>
      <c r="AP11" s="3602"/>
      <c r="AQ11" s="3601">
        <v>0</v>
      </c>
      <c r="AR11" s="3608"/>
    </row>
    <row r="12" spans="2:44" s="588" customFormat="1" ht="25" customHeight="1">
      <c r="B12" s="1266"/>
      <c r="C12" s="1224"/>
      <c r="D12" s="1224"/>
      <c r="E12" s="1224"/>
      <c r="F12" s="3678" t="s">
        <v>340</v>
      </c>
      <c r="G12" s="3678"/>
      <c r="H12" s="3678"/>
      <c r="I12" s="3678"/>
      <c r="J12" s="3678"/>
      <c r="K12" s="3678"/>
      <c r="L12" s="3678"/>
      <c r="M12" s="3678"/>
      <c r="N12" s="3678"/>
      <c r="O12" s="3678"/>
      <c r="P12" s="3678"/>
      <c r="Q12" s="3678"/>
      <c r="R12" s="3678"/>
      <c r="S12" s="3678"/>
      <c r="T12" s="1267"/>
      <c r="U12" s="3603">
        <v>0</v>
      </c>
      <c r="V12" s="3604"/>
      <c r="W12" s="3601">
        <v>0</v>
      </c>
      <c r="X12" s="3602"/>
      <c r="Y12" s="3601">
        <v>0</v>
      </c>
      <c r="Z12" s="3602"/>
      <c r="AA12" s="3601">
        <v>0</v>
      </c>
      <c r="AB12" s="3602"/>
      <c r="AC12" s="3601">
        <v>0</v>
      </c>
      <c r="AD12" s="3602"/>
      <c r="AE12" s="3601">
        <v>0</v>
      </c>
      <c r="AF12" s="3602"/>
      <c r="AG12" s="3601">
        <v>0</v>
      </c>
      <c r="AH12" s="3608"/>
      <c r="AI12" s="3604">
        <v>0</v>
      </c>
      <c r="AJ12" s="3602"/>
      <c r="AK12" s="3601">
        <v>0</v>
      </c>
      <c r="AL12" s="3602"/>
      <c r="AM12" s="3601">
        <v>0</v>
      </c>
      <c r="AN12" s="3602"/>
      <c r="AO12" s="3601">
        <v>0</v>
      </c>
      <c r="AP12" s="3602"/>
      <c r="AQ12" s="3601">
        <v>0</v>
      </c>
      <c r="AR12" s="3608"/>
    </row>
    <row r="13" spans="2:44" s="588" customFormat="1" ht="21.75" customHeight="1">
      <c r="B13" s="1272"/>
      <c r="C13" s="1227"/>
      <c r="D13" s="1227"/>
      <c r="E13" s="1227"/>
      <c r="F13" s="3679" t="s">
        <v>908</v>
      </c>
      <c r="G13" s="3679"/>
      <c r="H13" s="3679"/>
      <c r="I13" s="3679"/>
      <c r="J13" s="3679"/>
      <c r="K13" s="3679"/>
      <c r="L13" s="3679"/>
      <c r="M13" s="3679"/>
      <c r="N13" s="3679"/>
      <c r="O13" s="3679"/>
      <c r="P13" s="3679"/>
      <c r="Q13" s="3679"/>
      <c r="R13" s="3679"/>
      <c r="S13" s="3679"/>
      <c r="T13" s="1273"/>
      <c r="U13" s="3675"/>
      <c r="V13" s="3670"/>
      <c r="W13" s="3669"/>
      <c r="X13" s="3670"/>
      <c r="Y13" s="3669"/>
      <c r="Z13" s="3670"/>
      <c r="AA13" s="3669"/>
      <c r="AB13" s="3670"/>
      <c r="AC13" s="3669"/>
      <c r="AD13" s="3670"/>
      <c r="AE13" s="3669"/>
      <c r="AF13" s="3670"/>
      <c r="AG13" s="3669"/>
      <c r="AH13" s="3673"/>
      <c r="AI13" s="3675"/>
      <c r="AJ13" s="3670"/>
      <c r="AK13" s="3669"/>
      <c r="AL13" s="3670"/>
      <c r="AM13" s="3669"/>
      <c r="AN13" s="3670"/>
      <c r="AO13" s="3669"/>
      <c r="AP13" s="3670"/>
      <c r="AQ13" s="3669"/>
      <c r="AR13" s="3673"/>
    </row>
    <row r="14" spans="2:44" s="588" customFormat="1" ht="19.75" customHeight="1">
      <c r="B14" s="1270"/>
      <c r="C14" s="1262"/>
      <c r="D14" s="1262"/>
      <c r="E14" s="1262"/>
      <c r="F14" s="3641"/>
      <c r="G14" s="3641"/>
      <c r="H14" s="3641"/>
      <c r="I14" s="3641"/>
      <c r="J14" s="3641"/>
      <c r="K14" s="3641"/>
      <c r="L14" s="3641"/>
      <c r="M14" s="3641"/>
      <c r="N14" s="3641"/>
      <c r="O14" s="3641"/>
      <c r="P14" s="3641"/>
      <c r="Q14" s="3641"/>
      <c r="R14" s="3641"/>
      <c r="S14" s="3641"/>
      <c r="T14" s="1271"/>
      <c r="U14" s="3612"/>
      <c r="V14" s="3613"/>
      <c r="W14" s="3605"/>
      <c r="X14" s="3613"/>
      <c r="Y14" s="3605"/>
      <c r="Z14" s="3613"/>
      <c r="AA14" s="3605"/>
      <c r="AB14" s="3613"/>
      <c r="AC14" s="3605"/>
      <c r="AD14" s="3613"/>
      <c r="AE14" s="3605"/>
      <c r="AF14" s="3613"/>
      <c r="AG14" s="3605"/>
      <c r="AH14" s="3611"/>
      <c r="AI14" s="3612"/>
      <c r="AJ14" s="3613"/>
      <c r="AK14" s="3605"/>
      <c r="AL14" s="3613"/>
      <c r="AM14" s="3605"/>
      <c r="AN14" s="3613"/>
      <c r="AO14" s="3605"/>
      <c r="AP14" s="3613"/>
      <c r="AQ14" s="3605"/>
      <c r="AR14" s="3611"/>
    </row>
    <row r="15" spans="2:44" s="588" customFormat="1" ht="15" customHeight="1">
      <c r="B15" s="1270"/>
      <c r="C15" s="1262"/>
      <c r="D15" s="1262"/>
      <c r="E15" s="1262"/>
      <c r="F15" s="3677" t="str">
        <f>IF(AND(ISBLANK(sch_disascal_hih_acsa_others_specify), SUM(U13:AR15)&gt;0), "Please specify.", IF(AND(sch_disascal_hih_acsa_others_specify&gt;0, SUM(U13:AR15)=0), "Please provide details.", ""))</f>
        <v/>
      </c>
      <c r="G15" s="3677"/>
      <c r="H15" s="3677"/>
      <c r="I15" s="3677"/>
      <c r="J15" s="3677"/>
      <c r="K15" s="3677"/>
      <c r="L15" s="3677"/>
      <c r="M15" s="3677"/>
      <c r="N15" s="3677"/>
      <c r="O15" s="3677"/>
      <c r="P15" s="3677"/>
      <c r="Q15" s="3677"/>
      <c r="R15" s="3677"/>
      <c r="S15" s="3677"/>
      <c r="T15" s="1271"/>
      <c r="U15" s="3676"/>
      <c r="V15" s="3672"/>
      <c r="W15" s="3671"/>
      <c r="X15" s="3672"/>
      <c r="Y15" s="3671"/>
      <c r="Z15" s="3672"/>
      <c r="AA15" s="3671"/>
      <c r="AB15" s="3672"/>
      <c r="AC15" s="3671"/>
      <c r="AD15" s="3672"/>
      <c r="AE15" s="3671"/>
      <c r="AF15" s="3672"/>
      <c r="AG15" s="3671"/>
      <c r="AH15" s="3674"/>
      <c r="AI15" s="3676"/>
      <c r="AJ15" s="3672"/>
      <c r="AK15" s="3671"/>
      <c r="AL15" s="3672"/>
      <c r="AM15" s="3671"/>
      <c r="AN15" s="3672"/>
      <c r="AO15" s="3671"/>
      <c r="AP15" s="3672"/>
      <c r="AQ15" s="3671"/>
      <c r="AR15" s="3674"/>
    </row>
    <row r="16" spans="2:44" s="568" customFormat="1" ht="24.75" customHeight="1">
      <c r="B16" s="20"/>
      <c r="C16" s="21"/>
      <c r="D16" s="21" t="s">
        <v>1248</v>
      </c>
      <c r="E16" s="22"/>
      <c r="F16" s="22"/>
      <c r="G16" s="23"/>
      <c r="H16" s="23"/>
      <c r="I16" s="23"/>
      <c r="J16" s="23"/>
      <c r="K16" s="23"/>
      <c r="L16" s="23"/>
      <c r="M16" s="23"/>
      <c r="N16" s="23"/>
      <c r="O16" s="23"/>
      <c r="P16" s="23"/>
      <c r="Q16" s="23"/>
      <c r="R16" s="23"/>
      <c r="S16" s="23"/>
      <c r="T16" s="23"/>
      <c r="U16" s="3680"/>
      <c r="V16" s="3680"/>
      <c r="W16" s="3680"/>
      <c r="X16" s="3680"/>
      <c r="Y16" s="3680"/>
      <c r="Z16" s="3680"/>
      <c r="AA16" s="3680"/>
      <c r="AB16" s="3680"/>
      <c r="AC16" s="3680"/>
      <c r="AD16" s="3680"/>
      <c r="AE16" s="3680"/>
      <c r="AF16" s="3680"/>
      <c r="AG16" s="3680"/>
      <c r="AH16" s="3680"/>
      <c r="AI16" s="3680"/>
      <c r="AJ16" s="3680"/>
      <c r="AK16" s="3680"/>
      <c r="AL16" s="3680"/>
      <c r="AM16" s="3680"/>
      <c r="AN16" s="3680"/>
      <c r="AO16" s="3680"/>
      <c r="AP16" s="3680"/>
      <c r="AQ16" s="3680"/>
      <c r="AR16" s="3681"/>
    </row>
    <row r="17" spans="2:44" s="588" customFormat="1" ht="25" customHeight="1">
      <c r="B17" s="1266"/>
      <c r="C17" s="1224"/>
      <c r="D17" s="1224"/>
      <c r="E17" s="1224"/>
      <c r="F17" s="3678" t="s">
        <v>730</v>
      </c>
      <c r="G17" s="3678"/>
      <c r="H17" s="3678"/>
      <c r="I17" s="3678"/>
      <c r="J17" s="3678"/>
      <c r="K17" s="3678"/>
      <c r="L17" s="3678"/>
      <c r="M17" s="3678"/>
      <c r="N17" s="3678"/>
      <c r="O17" s="3678"/>
      <c r="P17" s="3678"/>
      <c r="Q17" s="3678"/>
      <c r="R17" s="3678"/>
      <c r="S17" s="3678"/>
      <c r="T17" s="1267"/>
      <c r="U17" s="3603">
        <v>0</v>
      </c>
      <c r="V17" s="3604"/>
      <c r="W17" s="3601">
        <v>0</v>
      </c>
      <c r="X17" s="3602"/>
      <c r="Y17" s="3601">
        <v>0</v>
      </c>
      <c r="Z17" s="3602"/>
      <c r="AA17" s="3601">
        <v>0</v>
      </c>
      <c r="AB17" s="3602"/>
      <c r="AC17" s="3601">
        <v>0</v>
      </c>
      <c r="AD17" s="3602"/>
      <c r="AE17" s="3601">
        <v>0</v>
      </c>
      <c r="AF17" s="3602"/>
      <c r="AG17" s="3601">
        <v>0</v>
      </c>
      <c r="AH17" s="3608"/>
      <c r="AI17" s="3604">
        <v>0</v>
      </c>
      <c r="AJ17" s="3602"/>
      <c r="AK17" s="3601">
        <v>0</v>
      </c>
      <c r="AL17" s="3602"/>
      <c r="AM17" s="3601">
        <v>0</v>
      </c>
      <c r="AN17" s="3602"/>
      <c r="AO17" s="3601">
        <v>0</v>
      </c>
      <c r="AP17" s="3602"/>
      <c r="AQ17" s="3601">
        <v>0</v>
      </c>
      <c r="AR17" s="3608"/>
    </row>
    <row r="18" spans="2:44" s="588" customFormat="1" ht="25" customHeight="1">
      <c r="B18" s="1266"/>
      <c r="C18" s="1224"/>
      <c r="D18" s="1224"/>
      <c r="E18" s="1224"/>
      <c r="F18" s="3678" t="s">
        <v>728</v>
      </c>
      <c r="G18" s="3678"/>
      <c r="H18" s="3678"/>
      <c r="I18" s="3678"/>
      <c r="J18" s="3678"/>
      <c r="K18" s="3678"/>
      <c r="L18" s="3678"/>
      <c r="M18" s="3678"/>
      <c r="N18" s="3678"/>
      <c r="O18" s="3678"/>
      <c r="P18" s="3678"/>
      <c r="Q18" s="3678"/>
      <c r="R18" s="3678"/>
      <c r="S18" s="3678"/>
      <c r="T18" s="1267"/>
      <c r="U18" s="3603">
        <v>0</v>
      </c>
      <c r="V18" s="3604"/>
      <c r="W18" s="3601">
        <v>0</v>
      </c>
      <c r="X18" s="3602"/>
      <c r="Y18" s="3601">
        <v>0</v>
      </c>
      <c r="Z18" s="3602"/>
      <c r="AA18" s="3601">
        <v>0</v>
      </c>
      <c r="AB18" s="3602"/>
      <c r="AC18" s="3601">
        <v>0</v>
      </c>
      <c r="AD18" s="3602"/>
      <c r="AE18" s="3601">
        <v>0</v>
      </c>
      <c r="AF18" s="3602"/>
      <c r="AG18" s="3601">
        <v>0</v>
      </c>
      <c r="AH18" s="3608"/>
      <c r="AI18" s="3604">
        <v>0</v>
      </c>
      <c r="AJ18" s="3602"/>
      <c r="AK18" s="3601">
        <v>0</v>
      </c>
      <c r="AL18" s="3602"/>
      <c r="AM18" s="3601">
        <v>0</v>
      </c>
      <c r="AN18" s="3602"/>
      <c r="AO18" s="3601">
        <v>0</v>
      </c>
      <c r="AP18" s="3602"/>
      <c r="AQ18" s="3601">
        <v>0</v>
      </c>
      <c r="AR18" s="3608"/>
    </row>
    <row r="19" spans="2:44" s="588" customFormat="1" ht="55.5" customHeight="1">
      <c r="B19" s="1266"/>
      <c r="C19" s="1224"/>
      <c r="D19" s="1224"/>
      <c r="E19" s="1224"/>
      <c r="F19" s="3600" t="s">
        <v>745</v>
      </c>
      <c r="G19" s="3678"/>
      <c r="H19" s="3678"/>
      <c r="I19" s="3678"/>
      <c r="J19" s="3678"/>
      <c r="K19" s="3678"/>
      <c r="L19" s="3678"/>
      <c r="M19" s="3678"/>
      <c r="N19" s="3678"/>
      <c r="O19" s="3678"/>
      <c r="P19" s="3678"/>
      <c r="Q19" s="3678"/>
      <c r="R19" s="3678"/>
      <c r="S19" s="3678"/>
      <c r="T19" s="1267"/>
      <c r="U19" s="3603">
        <v>0</v>
      </c>
      <c r="V19" s="3604"/>
      <c r="W19" s="3601">
        <v>0</v>
      </c>
      <c r="X19" s="3602"/>
      <c r="Y19" s="3601">
        <v>0</v>
      </c>
      <c r="Z19" s="3602"/>
      <c r="AA19" s="3601">
        <v>0</v>
      </c>
      <c r="AB19" s="3602"/>
      <c r="AC19" s="3601">
        <v>0</v>
      </c>
      <c r="AD19" s="3602"/>
      <c r="AE19" s="3601">
        <v>0</v>
      </c>
      <c r="AF19" s="3602"/>
      <c r="AG19" s="3601">
        <v>0</v>
      </c>
      <c r="AH19" s="3608"/>
      <c r="AI19" s="3604">
        <v>0</v>
      </c>
      <c r="AJ19" s="3602"/>
      <c r="AK19" s="3601">
        <v>0</v>
      </c>
      <c r="AL19" s="3602"/>
      <c r="AM19" s="3601">
        <v>0</v>
      </c>
      <c r="AN19" s="3602"/>
      <c r="AO19" s="3601">
        <v>0</v>
      </c>
      <c r="AP19" s="3602"/>
      <c r="AQ19" s="3601">
        <v>0</v>
      </c>
      <c r="AR19" s="3608"/>
    </row>
    <row r="20" spans="2:44" s="588" customFormat="1" ht="25" customHeight="1">
      <c r="B20" s="1266"/>
      <c r="C20" s="1224"/>
      <c r="D20" s="1224"/>
      <c r="E20" s="1224"/>
      <c r="F20" s="3678" t="s">
        <v>729</v>
      </c>
      <c r="G20" s="3678"/>
      <c r="H20" s="3678"/>
      <c r="I20" s="3678"/>
      <c r="J20" s="3678"/>
      <c r="K20" s="3678"/>
      <c r="L20" s="3678"/>
      <c r="M20" s="3678"/>
      <c r="N20" s="3678"/>
      <c r="O20" s="3678"/>
      <c r="P20" s="3678"/>
      <c r="Q20" s="3678"/>
      <c r="R20" s="3678"/>
      <c r="S20" s="3678"/>
      <c r="T20" s="1267"/>
      <c r="U20" s="3603">
        <v>0</v>
      </c>
      <c r="V20" s="3604"/>
      <c r="W20" s="3601">
        <v>0</v>
      </c>
      <c r="X20" s="3602"/>
      <c r="Y20" s="3601">
        <v>0</v>
      </c>
      <c r="Z20" s="3602"/>
      <c r="AA20" s="3601">
        <v>0</v>
      </c>
      <c r="AB20" s="3602"/>
      <c r="AC20" s="3601">
        <v>0</v>
      </c>
      <c r="AD20" s="3602"/>
      <c r="AE20" s="3601">
        <v>0</v>
      </c>
      <c r="AF20" s="3602"/>
      <c r="AG20" s="3601">
        <v>0</v>
      </c>
      <c r="AH20" s="3608"/>
      <c r="AI20" s="3604">
        <v>0</v>
      </c>
      <c r="AJ20" s="3602"/>
      <c r="AK20" s="3601">
        <v>0</v>
      </c>
      <c r="AL20" s="3602"/>
      <c r="AM20" s="3601">
        <v>0</v>
      </c>
      <c r="AN20" s="3602"/>
      <c r="AO20" s="3601">
        <v>0</v>
      </c>
      <c r="AP20" s="3602"/>
      <c r="AQ20" s="3601">
        <v>0</v>
      </c>
      <c r="AR20" s="3608"/>
    </row>
    <row r="21" spans="2:44" s="588" customFormat="1" ht="25" customHeight="1">
      <c r="B21" s="1266"/>
      <c r="C21" s="1224"/>
      <c r="D21" s="1224"/>
      <c r="E21" s="1224"/>
      <c r="F21" s="3678" t="s">
        <v>727</v>
      </c>
      <c r="G21" s="3678"/>
      <c r="H21" s="3678"/>
      <c r="I21" s="3678"/>
      <c r="J21" s="3678"/>
      <c r="K21" s="3678"/>
      <c r="L21" s="3678"/>
      <c r="M21" s="3678"/>
      <c r="N21" s="3678"/>
      <c r="O21" s="3678"/>
      <c r="P21" s="3678"/>
      <c r="Q21" s="3678"/>
      <c r="R21" s="3678"/>
      <c r="S21" s="3678"/>
      <c r="T21" s="1267"/>
      <c r="U21" s="3603">
        <v>0</v>
      </c>
      <c r="V21" s="3604"/>
      <c r="W21" s="3601">
        <v>0</v>
      </c>
      <c r="X21" s="3602"/>
      <c r="Y21" s="3601">
        <v>0</v>
      </c>
      <c r="Z21" s="3602"/>
      <c r="AA21" s="3601">
        <v>0</v>
      </c>
      <c r="AB21" s="3602"/>
      <c r="AC21" s="3601">
        <v>0</v>
      </c>
      <c r="AD21" s="3602"/>
      <c r="AE21" s="3601">
        <v>0</v>
      </c>
      <c r="AF21" s="3602"/>
      <c r="AG21" s="3601">
        <v>0</v>
      </c>
      <c r="AH21" s="3608"/>
      <c r="AI21" s="3604">
        <v>0</v>
      </c>
      <c r="AJ21" s="3602"/>
      <c r="AK21" s="3601">
        <v>0</v>
      </c>
      <c r="AL21" s="3602"/>
      <c r="AM21" s="3601">
        <v>0</v>
      </c>
      <c r="AN21" s="3602"/>
      <c r="AO21" s="3601">
        <v>0</v>
      </c>
      <c r="AP21" s="3602"/>
      <c r="AQ21" s="3601">
        <v>0</v>
      </c>
      <c r="AR21" s="3608"/>
    </row>
    <row r="22" spans="2:44" s="588" customFormat="1" ht="21.75" customHeight="1">
      <c r="B22" s="1272"/>
      <c r="C22" s="1227"/>
      <c r="D22" s="1227"/>
      <c r="E22" s="1227"/>
      <c r="F22" s="3679" t="s">
        <v>908</v>
      </c>
      <c r="G22" s="3679"/>
      <c r="H22" s="3679"/>
      <c r="I22" s="3679"/>
      <c r="J22" s="3679"/>
      <c r="K22" s="3679"/>
      <c r="L22" s="3679"/>
      <c r="M22" s="3679"/>
      <c r="N22" s="3679"/>
      <c r="O22" s="3679"/>
      <c r="P22" s="3679"/>
      <c r="Q22" s="3679"/>
      <c r="R22" s="3679"/>
      <c r="S22" s="3679"/>
      <c r="T22" s="1273"/>
      <c r="U22" s="3675"/>
      <c r="V22" s="3670"/>
      <c r="W22" s="3669"/>
      <c r="X22" s="3670"/>
      <c r="Y22" s="3669"/>
      <c r="Z22" s="3670"/>
      <c r="AA22" s="3669"/>
      <c r="AB22" s="3670"/>
      <c r="AC22" s="3669"/>
      <c r="AD22" s="3670"/>
      <c r="AE22" s="3669"/>
      <c r="AF22" s="3670"/>
      <c r="AG22" s="3669"/>
      <c r="AH22" s="3673"/>
      <c r="AI22" s="3675"/>
      <c r="AJ22" s="3670"/>
      <c r="AK22" s="3669"/>
      <c r="AL22" s="3670"/>
      <c r="AM22" s="3669"/>
      <c r="AN22" s="3670"/>
      <c r="AO22" s="3669"/>
      <c r="AP22" s="3670"/>
      <c r="AQ22" s="3669"/>
      <c r="AR22" s="3673"/>
    </row>
    <row r="23" spans="2:44" s="588" customFormat="1" ht="21" customHeight="1">
      <c r="B23" s="1270"/>
      <c r="C23" s="1262"/>
      <c r="D23" s="1262"/>
      <c r="E23" s="1262"/>
      <c r="F23" s="3641"/>
      <c r="G23" s="3641"/>
      <c r="H23" s="3641"/>
      <c r="I23" s="3641"/>
      <c r="J23" s="3641"/>
      <c r="K23" s="3641"/>
      <c r="L23" s="3641"/>
      <c r="M23" s="3641"/>
      <c r="N23" s="3641"/>
      <c r="O23" s="3641"/>
      <c r="P23" s="3641"/>
      <c r="Q23" s="3641"/>
      <c r="R23" s="3641"/>
      <c r="S23" s="3641"/>
      <c r="T23" s="1271"/>
      <c r="U23" s="3612"/>
      <c r="V23" s="3613"/>
      <c r="W23" s="3605"/>
      <c r="X23" s="3613"/>
      <c r="Y23" s="3605"/>
      <c r="Z23" s="3613"/>
      <c r="AA23" s="3605"/>
      <c r="AB23" s="3613"/>
      <c r="AC23" s="3605"/>
      <c r="AD23" s="3613"/>
      <c r="AE23" s="3605"/>
      <c r="AF23" s="3613"/>
      <c r="AG23" s="3605"/>
      <c r="AH23" s="3611"/>
      <c r="AI23" s="3612"/>
      <c r="AJ23" s="3613"/>
      <c r="AK23" s="3605"/>
      <c r="AL23" s="3613"/>
      <c r="AM23" s="3605"/>
      <c r="AN23" s="3613"/>
      <c r="AO23" s="3605"/>
      <c r="AP23" s="3613"/>
      <c r="AQ23" s="3605"/>
      <c r="AR23" s="3611"/>
    </row>
    <row r="24" spans="2:44" s="588" customFormat="1" ht="15" customHeight="1">
      <c r="B24" s="1270"/>
      <c r="C24" s="1262"/>
      <c r="D24" s="1262"/>
      <c r="E24" s="1262"/>
      <c r="F24" s="3677" t="str">
        <f>IF(AND(ISBLANK(sch_disascal_hih_acnsa_others_specify), SUM(U22:AR24)&gt;0), "Please specify.", IF(AND(sch_disascal_hih_acnsa_others_specify&gt;0, SUM(U22:AR24)=0), "Please provide details.", ""))</f>
        <v/>
      </c>
      <c r="G24" s="3677"/>
      <c r="H24" s="3677"/>
      <c r="I24" s="3677"/>
      <c r="J24" s="3677"/>
      <c r="K24" s="3677"/>
      <c r="L24" s="3677"/>
      <c r="M24" s="3677"/>
      <c r="N24" s="3677"/>
      <c r="O24" s="3677"/>
      <c r="P24" s="3677"/>
      <c r="Q24" s="3677"/>
      <c r="R24" s="3677"/>
      <c r="S24" s="3677"/>
      <c r="T24" s="1271"/>
      <c r="U24" s="3676"/>
      <c r="V24" s="3672"/>
      <c r="W24" s="3671"/>
      <c r="X24" s="3672"/>
      <c r="Y24" s="3671"/>
      <c r="Z24" s="3672"/>
      <c r="AA24" s="3671"/>
      <c r="AB24" s="3672"/>
      <c r="AC24" s="3671"/>
      <c r="AD24" s="3672"/>
      <c r="AE24" s="3671"/>
      <c r="AF24" s="3672"/>
      <c r="AG24" s="3671"/>
      <c r="AH24" s="3674"/>
      <c r="AI24" s="3676"/>
      <c r="AJ24" s="3672"/>
      <c r="AK24" s="3671"/>
      <c r="AL24" s="3672"/>
      <c r="AM24" s="3671"/>
      <c r="AN24" s="3672"/>
      <c r="AO24" s="3671"/>
      <c r="AP24" s="3672"/>
      <c r="AQ24" s="3671"/>
      <c r="AR24" s="3674"/>
    </row>
    <row r="25" spans="2:44" s="568" customFormat="1" ht="24.75" customHeight="1">
      <c r="B25" s="13" t="s">
        <v>152</v>
      </c>
      <c r="C25" s="3683" t="s">
        <v>1529</v>
      </c>
      <c r="D25" s="3683"/>
      <c r="E25" s="3683"/>
      <c r="F25" s="3683"/>
      <c r="G25" s="3683"/>
      <c r="H25" s="3683"/>
      <c r="I25" s="3683"/>
      <c r="J25" s="3683"/>
      <c r="K25" s="3683"/>
      <c r="L25" s="3683"/>
      <c r="M25" s="3683"/>
      <c r="N25" s="3683"/>
      <c r="O25" s="3683"/>
      <c r="P25" s="3683"/>
      <c r="Q25" s="3683"/>
      <c r="R25" s="3683"/>
      <c r="S25" s="3683"/>
      <c r="T25" s="3683"/>
      <c r="U25" s="3683"/>
      <c r="V25" s="3683"/>
      <c r="W25" s="3683"/>
      <c r="X25" s="3683"/>
      <c r="Y25" s="3683"/>
      <c r="Z25" s="3683"/>
      <c r="AA25" s="3683"/>
      <c r="AB25" s="3683"/>
      <c r="AC25" s="3683"/>
      <c r="AD25" s="3683"/>
      <c r="AE25" s="3683"/>
      <c r="AF25" s="3683"/>
      <c r="AG25" s="3683"/>
      <c r="AH25" s="3683"/>
      <c r="AI25" s="3683"/>
      <c r="AJ25" s="3683"/>
      <c r="AK25" s="3683"/>
      <c r="AL25" s="3683"/>
      <c r="AM25" s="3683"/>
      <c r="AN25" s="3683"/>
      <c r="AO25" s="3683"/>
      <c r="AP25" s="3683"/>
      <c r="AQ25" s="3683"/>
      <c r="AR25" s="3684"/>
    </row>
    <row r="26" spans="2:44" s="568" customFormat="1" ht="31.75" customHeight="1">
      <c r="B26" s="24"/>
      <c r="C26" s="26" t="s">
        <v>746</v>
      </c>
      <c r="D26" s="3685" t="s">
        <v>1530</v>
      </c>
      <c r="E26" s="3685"/>
      <c r="F26" s="3685"/>
      <c r="G26" s="3685"/>
      <c r="H26" s="3685"/>
      <c r="I26" s="3685"/>
      <c r="J26" s="3685"/>
      <c r="K26" s="3685"/>
      <c r="L26" s="3685"/>
      <c r="M26" s="3685"/>
      <c r="N26" s="3685"/>
      <c r="O26" s="3685"/>
      <c r="P26" s="3685"/>
      <c r="Q26" s="3685"/>
      <c r="R26" s="3685"/>
      <c r="S26" s="3685"/>
      <c r="T26" s="3685"/>
      <c r="U26" s="3685"/>
      <c r="V26" s="3685"/>
      <c r="W26" s="3685"/>
      <c r="X26" s="3685"/>
      <c r="Y26" s="3685"/>
      <c r="Z26" s="3685"/>
      <c r="AA26" s="3685"/>
      <c r="AB26" s="3685"/>
      <c r="AC26" s="3685"/>
      <c r="AD26" s="3685"/>
      <c r="AE26" s="3685"/>
      <c r="AF26" s="3685"/>
      <c r="AG26" s="3685"/>
      <c r="AH26" s="3685"/>
      <c r="AI26" s="3685"/>
      <c r="AJ26" s="3685"/>
      <c r="AK26" s="3685"/>
      <c r="AL26" s="3685"/>
      <c r="AM26" s="3685"/>
      <c r="AN26" s="3685"/>
      <c r="AO26" s="3685"/>
      <c r="AP26" s="3685"/>
      <c r="AQ26" s="3685"/>
      <c r="AR26" s="3686"/>
    </row>
    <row r="27" spans="2:44" s="588" customFormat="1" ht="24.75" customHeight="1">
      <c r="B27" s="1264"/>
      <c r="C27" s="1221"/>
      <c r="D27" s="1221"/>
      <c r="E27" s="1221"/>
      <c r="F27" s="3687" t="s">
        <v>731</v>
      </c>
      <c r="G27" s="3687"/>
      <c r="H27" s="3687"/>
      <c r="I27" s="3687"/>
      <c r="J27" s="3687"/>
      <c r="K27" s="3687"/>
      <c r="L27" s="3687"/>
      <c r="M27" s="3687"/>
      <c r="N27" s="3687"/>
      <c r="O27" s="3687"/>
      <c r="P27" s="3687"/>
      <c r="Q27" s="3687"/>
      <c r="R27" s="3687"/>
      <c r="S27" s="3687"/>
      <c r="T27" s="1265"/>
      <c r="U27" s="3676">
        <v>0</v>
      </c>
      <c r="V27" s="3682"/>
      <c r="W27" s="3671">
        <v>0</v>
      </c>
      <c r="X27" s="3672"/>
      <c r="Y27" s="3671">
        <v>0</v>
      </c>
      <c r="Z27" s="3672"/>
      <c r="AA27" s="3671">
        <v>0</v>
      </c>
      <c r="AB27" s="3672"/>
      <c r="AC27" s="3671">
        <v>0</v>
      </c>
      <c r="AD27" s="3672"/>
      <c r="AE27" s="3671">
        <v>0</v>
      </c>
      <c r="AF27" s="3672"/>
      <c r="AG27" s="3671">
        <v>0</v>
      </c>
      <c r="AH27" s="3674"/>
      <c r="AI27" s="3682">
        <v>0</v>
      </c>
      <c r="AJ27" s="3672"/>
      <c r="AK27" s="3671">
        <v>0</v>
      </c>
      <c r="AL27" s="3672"/>
      <c r="AM27" s="3671">
        <v>0</v>
      </c>
      <c r="AN27" s="3672"/>
      <c r="AO27" s="3671">
        <v>0</v>
      </c>
      <c r="AP27" s="3672"/>
      <c r="AQ27" s="3671">
        <v>0</v>
      </c>
      <c r="AR27" s="3674"/>
    </row>
    <row r="28" spans="2:44" s="588" customFormat="1" ht="24.75" customHeight="1">
      <c r="B28" s="1266"/>
      <c r="C28" s="1224"/>
      <c r="D28" s="1224"/>
      <c r="E28" s="1224"/>
      <c r="F28" s="3678" t="s">
        <v>734</v>
      </c>
      <c r="G28" s="3678"/>
      <c r="H28" s="3678"/>
      <c r="I28" s="3678"/>
      <c r="J28" s="3678"/>
      <c r="K28" s="3678"/>
      <c r="L28" s="3678"/>
      <c r="M28" s="3678"/>
      <c r="N28" s="3678"/>
      <c r="O28" s="3678"/>
      <c r="P28" s="3678"/>
      <c r="Q28" s="3678"/>
      <c r="R28" s="3678"/>
      <c r="S28" s="3678"/>
      <c r="T28" s="1267"/>
      <c r="U28" s="3676">
        <v>0</v>
      </c>
      <c r="V28" s="3682"/>
      <c r="W28" s="3671">
        <v>0</v>
      </c>
      <c r="X28" s="3672"/>
      <c r="Y28" s="3671">
        <v>0</v>
      </c>
      <c r="Z28" s="3672"/>
      <c r="AA28" s="3671">
        <v>0</v>
      </c>
      <c r="AB28" s="3672"/>
      <c r="AC28" s="3671">
        <v>0</v>
      </c>
      <c r="AD28" s="3672"/>
      <c r="AE28" s="3671">
        <v>0</v>
      </c>
      <c r="AF28" s="3672"/>
      <c r="AG28" s="3671">
        <v>0</v>
      </c>
      <c r="AH28" s="3674"/>
      <c r="AI28" s="3682">
        <v>0</v>
      </c>
      <c r="AJ28" s="3672"/>
      <c r="AK28" s="3671">
        <v>0</v>
      </c>
      <c r="AL28" s="3672"/>
      <c r="AM28" s="3671">
        <v>0</v>
      </c>
      <c r="AN28" s="3672"/>
      <c r="AO28" s="3671">
        <v>0</v>
      </c>
      <c r="AP28" s="3672"/>
      <c r="AQ28" s="3671">
        <v>0</v>
      </c>
      <c r="AR28" s="3674"/>
    </row>
    <row r="29" spans="2:44" s="588" customFormat="1" ht="24.75" customHeight="1">
      <c r="B29" s="1266"/>
      <c r="C29" s="1224"/>
      <c r="D29" s="1224"/>
      <c r="E29" s="1224"/>
      <c r="F29" s="3678" t="s">
        <v>735</v>
      </c>
      <c r="G29" s="3678"/>
      <c r="H29" s="3678"/>
      <c r="I29" s="3678"/>
      <c r="J29" s="3678"/>
      <c r="K29" s="3678"/>
      <c r="L29" s="3678"/>
      <c r="M29" s="3678"/>
      <c r="N29" s="3678"/>
      <c r="O29" s="3678"/>
      <c r="P29" s="3678"/>
      <c r="Q29" s="3678"/>
      <c r="R29" s="3678"/>
      <c r="S29" s="3678"/>
      <c r="T29" s="1267"/>
      <c r="U29" s="3676">
        <v>0</v>
      </c>
      <c r="V29" s="3682"/>
      <c r="W29" s="3671">
        <v>0</v>
      </c>
      <c r="X29" s="3672"/>
      <c r="Y29" s="3671">
        <v>0</v>
      </c>
      <c r="Z29" s="3672"/>
      <c r="AA29" s="3671">
        <v>0</v>
      </c>
      <c r="AB29" s="3672"/>
      <c r="AC29" s="3671">
        <v>0</v>
      </c>
      <c r="AD29" s="3672"/>
      <c r="AE29" s="3671">
        <v>0</v>
      </c>
      <c r="AF29" s="3672"/>
      <c r="AG29" s="3671">
        <v>0</v>
      </c>
      <c r="AH29" s="3674"/>
      <c r="AI29" s="3682">
        <v>0</v>
      </c>
      <c r="AJ29" s="3672"/>
      <c r="AK29" s="3671">
        <v>0</v>
      </c>
      <c r="AL29" s="3672"/>
      <c r="AM29" s="3671">
        <v>0</v>
      </c>
      <c r="AN29" s="3672"/>
      <c r="AO29" s="3671">
        <v>0</v>
      </c>
      <c r="AP29" s="3672"/>
      <c r="AQ29" s="3671">
        <v>0</v>
      </c>
      <c r="AR29" s="3674"/>
    </row>
    <row r="30" spans="2:44" s="588" customFormat="1" ht="24.75" customHeight="1">
      <c r="B30" s="1266"/>
      <c r="C30" s="1224"/>
      <c r="D30" s="1224"/>
      <c r="E30" s="1224"/>
      <c r="F30" s="3678" t="s">
        <v>736</v>
      </c>
      <c r="G30" s="3678"/>
      <c r="H30" s="3678"/>
      <c r="I30" s="3678"/>
      <c r="J30" s="3678"/>
      <c r="K30" s="3678"/>
      <c r="L30" s="3678"/>
      <c r="M30" s="3678"/>
      <c r="N30" s="3678"/>
      <c r="O30" s="3678"/>
      <c r="P30" s="3678"/>
      <c r="Q30" s="3678"/>
      <c r="R30" s="3678"/>
      <c r="S30" s="3678"/>
      <c r="T30" s="1267"/>
      <c r="U30" s="3676">
        <v>0</v>
      </c>
      <c r="V30" s="3682"/>
      <c r="W30" s="3671">
        <v>0</v>
      </c>
      <c r="X30" s="3672"/>
      <c r="Y30" s="3671">
        <v>0</v>
      </c>
      <c r="Z30" s="3672"/>
      <c r="AA30" s="3671">
        <v>0</v>
      </c>
      <c r="AB30" s="3672"/>
      <c r="AC30" s="3671">
        <v>0</v>
      </c>
      <c r="AD30" s="3672"/>
      <c r="AE30" s="3671">
        <v>0</v>
      </c>
      <c r="AF30" s="3672"/>
      <c r="AG30" s="3671">
        <v>0</v>
      </c>
      <c r="AH30" s="3674"/>
      <c r="AI30" s="3682">
        <v>0</v>
      </c>
      <c r="AJ30" s="3672"/>
      <c r="AK30" s="3671">
        <v>0</v>
      </c>
      <c r="AL30" s="3672"/>
      <c r="AM30" s="3671">
        <v>0</v>
      </c>
      <c r="AN30" s="3672"/>
      <c r="AO30" s="3671">
        <v>0</v>
      </c>
      <c r="AP30" s="3672"/>
      <c r="AQ30" s="3671">
        <v>0</v>
      </c>
      <c r="AR30" s="3674"/>
    </row>
    <row r="31" spans="2:44" s="588" customFormat="1" ht="24.75" customHeight="1">
      <c r="B31" s="1266"/>
      <c r="C31" s="1224"/>
      <c r="D31" s="1224"/>
      <c r="E31" s="1224"/>
      <c r="F31" s="3678" t="s">
        <v>732</v>
      </c>
      <c r="G31" s="3678"/>
      <c r="H31" s="3678"/>
      <c r="I31" s="3678"/>
      <c r="J31" s="3678"/>
      <c r="K31" s="3678"/>
      <c r="L31" s="3678"/>
      <c r="M31" s="3678"/>
      <c r="N31" s="3678"/>
      <c r="O31" s="3678"/>
      <c r="P31" s="3678"/>
      <c r="Q31" s="3678"/>
      <c r="R31" s="3678"/>
      <c r="S31" s="3678"/>
      <c r="T31" s="1267"/>
      <c r="U31" s="3676">
        <v>0</v>
      </c>
      <c r="V31" s="3682"/>
      <c r="W31" s="3671">
        <v>0</v>
      </c>
      <c r="X31" s="3672"/>
      <c r="Y31" s="3671">
        <v>0</v>
      </c>
      <c r="Z31" s="3672"/>
      <c r="AA31" s="3671">
        <v>0</v>
      </c>
      <c r="AB31" s="3672"/>
      <c r="AC31" s="3671">
        <v>0</v>
      </c>
      <c r="AD31" s="3672"/>
      <c r="AE31" s="3671">
        <v>0</v>
      </c>
      <c r="AF31" s="3672"/>
      <c r="AG31" s="3671">
        <v>0</v>
      </c>
      <c r="AH31" s="3674"/>
      <c r="AI31" s="3682">
        <v>0</v>
      </c>
      <c r="AJ31" s="3672"/>
      <c r="AK31" s="3671">
        <v>0</v>
      </c>
      <c r="AL31" s="3672"/>
      <c r="AM31" s="3671">
        <v>0</v>
      </c>
      <c r="AN31" s="3672"/>
      <c r="AO31" s="3671">
        <v>0</v>
      </c>
      <c r="AP31" s="3672"/>
      <c r="AQ31" s="3671">
        <v>0</v>
      </c>
      <c r="AR31" s="3674"/>
    </row>
    <row r="32" spans="2:44" s="588" customFormat="1" ht="24.75" customHeight="1" thickBot="1">
      <c r="B32" s="1268"/>
      <c r="C32" s="1231"/>
      <c r="D32" s="1231"/>
      <c r="E32" s="1231"/>
      <c r="F32" s="3691" t="s">
        <v>733</v>
      </c>
      <c r="G32" s="3691"/>
      <c r="H32" s="3691"/>
      <c r="I32" s="3691"/>
      <c r="J32" s="3691"/>
      <c r="K32" s="3691"/>
      <c r="L32" s="3691"/>
      <c r="M32" s="3691"/>
      <c r="N32" s="3691"/>
      <c r="O32" s="3691"/>
      <c r="P32" s="3691"/>
      <c r="Q32" s="3691"/>
      <c r="R32" s="3691"/>
      <c r="S32" s="3691"/>
      <c r="T32" s="1269"/>
      <c r="U32" s="3692">
        <v>0</v>
      </c>
      <c r="V32" s="3693"/>
      <c r="W32" s="3688">
        <v>0</v>
      </c>
      <c r="X32" s="3689"/>
      <c r="Y32" s="3688">
        <v>0</v>
      </c>
      <c r="Z32" s="3689"/>
      <c r="AA32" s="3688">
        <v>0</v>
      </c>
      <c r="AB32" s="3689"/>
      <c r="AC32" s="3688">
        <v>0</v>
      </c>
      <c r="AD32" s="3689"/>
      <c r="AE32" s="3688">
        <v>0</v>
      </c>
      <c r="AF32" s="3689"/>
      <c r="AG32" s="3688">
        <v>0</v>
      </c>
      <c r="AH32" s="3690"/>
      <c r="AI32" s="3693">
        <v>0</v>
      </c>
      <c r="AJ32" s="3689"/>
      <c r="AK32" s="3688">
        <v>0</v>
      </c>
      <c r="AL32" s="3689"/>
      <c r="AM32" s="3688">
        <v>0</v>
      </c>
      <c r="AN32" s="3689"/>
      <c r="AO32" s="3688">
        <v>0</v>
      </c>
      <c r="AP32" s="3689"/>
      <c r="AQ32" s="3688">
        <v>0</v>
      </c>
      <c r="AR32" s="3690"/>
    </row>
    <row r="33" spans="1:45" s="588" customFormat="1" ht="12" customHeight="1">
      <c r="B33" s="1262"/>
      <c r="C33" s="1262"/>
      <c r="D33" s="1262"/>
      <c r="E33" s="1262"/>
      <c r="F33" s="1263"/>
      <c r="G33" s="1263"/>
      <c r="H33" s="1263"/>
      <c r="I33" s="1263"/>
      <c r="J33" s="1263"/>
      <c r="K33" s="1263"/>
      <c r="L33" s="1263"/>
      <c r="M33" s="1263"/>
      <c r="N33" s="1263"/>
      <c r="O33" s="1263"/>
      <c r="P33" s="1263"/>
      <c r="Q33" s="1263"/>
      <c r="R33" s="1263"/>
      <c r="S33" s="1263"/>
      <c r="T33" s="126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1:45" s="681" customFormat="1" ht="16.5">
      <c r="B34" s="187" t="s">
        <v>1245</v>
      </c>
      <c r="F34" s="1244"/>
      <c r="G34" s="1240"/>
      <c r="H34" s="1240"/>
      <c r="I34" s="1240"/>
      <c r="J34" s="1240"/>
      <c r="K34" s="1240"/>
      <c r="L34" s="1240"/>
      <c r="M34" s="1240"/>
      <c r="N34" s="1240"/>
      <c r="O34" s="1240"/>
      <c r="P34" s="1240"/>
      <c r="Q34" s="1240"/>
      <c r="R34" s="1240"/>
      <c r="S34" s="1240"/>
      <c r="T34" s="1240"/>
      <c r="U34" s="1240"/>
      <c r="V34" s="1240"/>
      <c r="W34" s="1240"/>
    </row>
    <row r="35" spans="1:45"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1:45" s="168" customFormat="1" ht="14">
      <c r="B36" s="169" t="s">
        <v>847</v>
      </c>
      <c r="Q36" s="169" t="s">
        <v>747</v>
      </c>
      <c r="AF36" s="169" t="s">
        <v>783</v>
      </c>
    </row>
    <row r="37" spans="1:45" s="168" customFormat="1" ht="21.75" customHeight="1">
      <c r="B37" s="169" t="s">
        <v>756</v>
      </c>
      <c r="F37" s="1959" t="str">
        <f>activesheet!E29</f>
        <v>RICO S. MISPEROS</v>
      </c>
      <c r="G37" s="1959"/>
      <c r="H37" s="1959"/>
      <c r="I37" s="1959"/>
      <c r="J37" s="1959"/>
      <c r="K37" s="1959"/>
      <c r="L37" s="1959"/>
      <c r="M37" s="1959"/>
      <c r="N37" s="1959"/>
      <c r="Q37" s="1959" t="str">
        <f>activesheet!E3244</f>
        <v>ELYN KENDRA D. DELA CRUZ</v>
      </c>
      <c r="R37" s="1959"/>
      <c r="S37" s="1959"/>
      <c r="T37" s="1959"/>
      <c r="U37" s="1959"/>
      <c r="V37" s="1959"/>
      <c r="W37" s="1959"/>
      <c r="X37" s="1959"/>
      <c r="Y37" s="1959"/>
      <c r="Z37" s="1959"/>
      <c r="AA37" s="1959"/>
      <c r="AB37" s="1959"/>
      <c r="AC37" s="1959"/>
      <c r="AF37" s="1956" t="str">
        <f>activesheet!E31</f>
        <v>MICHAEL T. JAMIS</v>
      </c>
      <c r="AG37" s="1956"/>
      <c r="AH37" s="1956"/>
      <c r="AI37" s="1956"/>
      <c r="AJ37" s="1956"/>
      <c r="AK37" s="1956"/>
      <c r="AL37" s="1956"/>
      <c r="AM37" s="1956"/>
      <c r="AN37" s="1956"/>
      <c r="AO37" s="1956"/>
      <c r="AP37" s="1956"/>
      <c r="AQ37" s="1956"/>
      <c r="AR37" s="1956"/>
    </row>
    <row r="38" spans="1:45" s="156"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57"/>
      <c r="AG38" s="1957"/>
      <c r="AH38" s="1957"/>
      <c r="AI38" s="1957"/>
      <c r="AJ38" s="1957"/>
      <c r="AK38" s="1957"/>
      <c r="AL38" s="1957"/>
      <c r="AM38" s="1957"/>
      <c r="AN38" s="1957"/>
      <c r="AO38" s="1957"/>
      <c r="AP38" s="1957"/>
      <c r="AQ38" s="1957"/>
      <c r="AR38" s="1957"/>
    </row>
    <row r="39" spans="1:45" s="168" customFormat="1" ht="21.75" customHeight="1">
      <c r="B39" s="169" t="s">
        <v>71</v>
      </c>
      <c r="F39" s="1959" t="str">
        <f>activesheet!E30</f>
        <v>SCHOOL PRINCIPAL II</v>
      </c>
      <c r="G39" s="1959"/>
      <c r="H39" s="1959"/>
      <c r="I39" s="1959"/>
      <c r="J39" s="1959"/>
      <c r="K39" s="1959"/>
      <c r="L39" s="1959"/>
      <c r="M39" s="1959"/>
      <c r="N39" s="1959"/>
      <c r="P39" s="128"/>
      <c r="Q39" s="169" t="s">
        <v>71</v>
      </c>
      <c r="U39" s="1959" t="str">
        <f>activesheet!E3245</f>
        <v>Project Development Officer II</v>
      </c>
      <c r="V39" s="1959"/>
      <c r="W39" s="1959"/>
      <c r="X39" s="1959"/>
      <c r="Y39" s="1959"/>
      <c r="Z39" s="1959"/>
      <c r="AA39" s="1959"/>
      <c r="AB39" s="1959"/>
      <c r="AC39" s="1959"/>
      <c r="AF39" s="1764" t="s">
        <v>741</v>
      </c>
      <c r="AG39" s="1764"/>
      <c r="AH39" s="1764"/>
      <c r="AI39" s="1764"/>
      <c r="AJ39" s="1764"/>
      <c r="AK39" s="1764"/>
      <c r="AL39" s="1764"/>
      <c r="AM39" s="1764"/>
      <c r="AN39" s="1764"/>
      <c r="AO39" s="1764"/>
      <c r="AP39" s="1764"/>
      <c r="AQ39" s="1764"/>
      <c r="AR39" s="1764"/>
    </row>
    <row r="40" spans="1:45">
      <c r="P40" s="211"/>
      <c r="Q40" s="211"/>
      <c r="R40" s="211"/>
      <c r="S40" s="211"/>
      <c r="T40" s="211"/>
      <c r="U40" s="211"/>
      <c r="V40" s="211"/>
      <c r="W40" s="211"/>
      <c r="X40" s="211"/>
      <c r="Y40" s="211"/>
      <c r="Z40" s="211"/>
      <c r="AK40" s="211"/>
      <c r="AL40" s="211"/>
      <c r="AM40" s="211"/>
      <c r="AN40" s="211"/>
      <c r="AO40" s="211"/>
    </row>
    <row r="41" spans="1:45" s="652" customFormat="1"/>
    <row r="42" spans="1:45" s="652" customFormat="1" ht="19.5" customHeight="1"/>
    <row r="43" spans="1:45" s="652" customFormat="1"/>
    <row r="44" spans="1:45" s="652" customFormat="1">
      <c r="A44" s="969"/>
    </row>
    <row r="45" spans="1:45" ht="18" customHeight="1"/>
    <row r="47" spans="1:45">
      <c r="AS47" s="655"/>
    </row>
  </sheetData>
  <sheetProtection algorithmName="SHA-512" hashValue="/BVrhxRCIMcY5Dr7Zr8b3vf00wJC1hVpqE8S7e0vx5j4TbF33xMDAklnY3RrDl65AMcy9layNRPMIYTfR2Lpgg==" saltValue="HSa5ADtPNpioU+XHJxxuSA==" spinCount="100000" sheet="1" objects="1" scenarios="1" selectLockedCells="1"/>
  <mergeCells count="240">
    <mergeCell ref="F39:N39"/>
    <mergeCell ref="U39:AC39"/>
    <mergeCell ref="AF39:AR39"/>
    <mergeCell ref="AK32:AL32"/>
    <mergeCell ref="AM32:AN32"/>
    <mergeCell ref="AO32:AP32"/>
    <mergeCell ref="AQ32:AR32"/>
    <mergeCell ref="F37:N37"/>
    <mergeCell ref="Q37:AC37"/>
    <mergeCell ref="AF37:AR38"/>
    <mergeCell ref="F38:N38"/>
    <mergeCell ref="Q38:AC38"/>
    <mergeCell ref="F32:S32"/>
    <mergeCell ref="U32:V32"/>
    <mergeCell ref="W32:X32"/>
    <mergeCell ref="Y32:Z32"/>
    <mergeCell ref="AA32:AB32"/>
    <mergeCell ref="AC32:AD32"/>
    <mergeCell ref="AE32:AF32"/>
    <mergeCell ref="AG32:AH32"/>
    <mergeCell ref="AI32:AJ32"/>
    <mergeCell ref="AK30:AL30"/>
    <mergeCell ref="AM30:AN30"/>
    <mergeCell ref="AO30:AP30"/>
    <mergeCell ref="AQ30:AR30"/>
    <mergeCell ref="F31:S31"/>
    <mergeCell ref="U31:V31"/>
    <mergeCell ref="W31:X31"/>
    <mergeCell ref="Y31:Z31"/>
    <mergeCell ref="AA31:AB31"/>
    <mergeCell ref="AC31:AD31"/>
    <mergeCell ref="AE31:AF31"/>
    <mergeCell ref="AG31:AH31"/>
    <mergeCell ref="AI31:AJ31"/>
    <mergeCell ref="AK31:AL31"/>
    <mergeCell ref="AM31:AN31"/>
    <mergeCell ref="AO31:AP31"/>
    <mergeCell ref="AQ31:AR31"/>
    <mergeCell ref="F30:S30"/>
    <mergeCell ref="U30:V30"/>
    <mergeCell ref="W30:X30"/>
    <mergeCell ref="Y30:Z30"/>
    <mergeCell ref="AA30:AB30"/>
    <mergeCell ref="AC30:AD30"/>
    <mergeCell ref="AE30:AF30"/>
    <mergeCell ref="AG30:AH30"/>
    <mergeCell ref="AI30:AJ30"/>
    <mergeCell ref="AK28:AL28"/>
    <mergeCell ref="AM28:AN28"/>
    <mergeCell ref="AO28:AP28"/>
    <mergeCell ref="AQ28:AR28"/>
    <mergeCell ref="F29:S29"/>
    <mergeCell ref="U29:V29"/>
    <mergeCell ref="W29:X29"/>
    <mergeCell ref="Y29:Z29"/>
    <mergeCell ref="AA29:AB29"/>
    <mergeCell ref="AC29:AD29"/>
    <mergeCell ref="AE29:AF29"/>
    <mergeCell ref="AG29:AH29"/>
    <mergeCell ref="AI29:AJ29"/>
    <mergeCell ref="AK29:AL29"/>
    <mergeCell ref="AM29:AN29"/>
    <mergeCell ref="AO29:AP29"/>
    <mergeCell ref="AQ29:AR29"/>
    <mergeCell ref="F28:S28"/>
    <mergeCell ref="U28:V28"/>
    <mergeCell ref="W28:X28"/>
    <mergeCell ref="Y28:Z28"/>
    <mergeCell ref="AA28:AB28"/>
    <mergeCell ref="AC28:AD28"/>
    <mergeCell ref="AE28:AF28"/>
    <mergeCell ref="AG28:AH28"/>
    <mergeCell ref="AI28:AJ28"/>
    <mergeCell ref="AK22:AL24"/>
    <mergeCell ref="AM22:AN24"/>
    <mergeCell ref="AO22:AP24"/>
    <mergeCell ref="AQ22:AR24"/>
    <mergeCell ref="F23:S23"/>
    <mergeCell ref="F24:S24"/>
    <mergeCell ref="C25:AR25"/>
    <mergeCell ref="D26:AR26"/>
    <mergeCell ref="F27:S27"/>
    <mergeCell ref="U27:V27"/>
    <mergeCell ref="W27:X27"/>
    <mergeCell ref="Y27:Z27"/>
    <mergeCell ref="AA27:AB27"/>
    <mergeCell ref="AC27:AD27"/>
    <mergeCell ref="AE27:AF27"/>
    <mergeCell ref="AG27:AH27"/>
    <mergeCell ref="AI27:AJ27"/>
    <mergeCell ref="AK27:AL27"/>
    <mergeCell ref="AM27:AN27"/>
    <mergeCell ref="AO27:AP27"/>
    <mergeCell ref="AQ27:AR27"/>
    <mergeCell ref="F22:S22"/>
    <mergeCell ref="U22:V24"/>
    <mergeCell ref="W22:X24"/>
    <mergeCell ref="Y22:Z24"/>
    <mergeCell ref="AA22:AB24"/>
    <mergeCell ref="AC22:AD24"/>
    <mergeCell ref="AE22:AF24"/>
    <mergeCell ref="AG22:AH24"/>
    <mergeCell ref="AI22:AJ24"/>
    <mergeCell ref="AK20:AL20"/>
    <mergeCell ref="AM20:AN20"/>
    <mergeCell ref="AO20:AP20"/>
    <mergeCell ref="AQ20:AR20"/>
    <mergeCell ref="F21:S21"/>
    <mergeCell ref="U21:V21"/>
    <mergeCell ref="W21:X21"/>
    <mergeCell ref="Y21:Z21"/>
    <mergeCell ref="AA21:AB21"/>
    <mergeCell ref="AC21:AD21"/>
    <mergeCell ref="AE21:AF21"/>
    <mergeCell ref="AG21:AH21"/>
    <mergeCell ref="AI21:AJ21"/>
    <mergeCell ref="AK21:AL21"/>
    <mergeCell ref="AM21:AN21"/>
    <mergeCell ref="AO21:AP21"/>
    <mergeCell ref="AQ21:AR21"/>
    <mergeCell ref="F20:S20"/>
    <mergeCell ref="U20:V20"/>
    <mergeCell ref="W20:X20"/>
    <mergeCell ref="Y20:Z20"/>
    <mergeCell ref="AA20:AB20"/>
    <mergeCell ref="AC20:AD20"/>
    <mergeCell ref="AE20:AF20"/>
    <mergeCell ref="AG20:AH20"/>
    <mergeCell ref="AI20:AJ20"/>
    <mergeCell ref="AK18:AL18"/>
    <mergeCell ref="AM18:AN18"/>
    <mergeCell ref="AO18:AP18"/>
    <mergeCell ref="AQ18:AR18"/>
    <mergeCell ref="F19:S19"/>
    <mergeCell ref="U19:V19"/>
    <mergeCell ref="W19:X19"/>
    <mergeCell ref="Y19:Z19"/>
    <mergeCell ref="AA19:AB19"/>
    <mergeCell ref="AC19:AD19"/>
    <mergeCell ref="AE19:AF19"/>
    <mergeCell ref="AG19:AH19"/>
    <mergeCell ref="AI19:AJ19"/>
    <mergeCell ref="AK19:AL19"/>
    <mergeCell ref="AM19:AN19"/>
    <mergeCell ref="AO19:AP19"/>
    <mergeCell ref="AQ19:AR19"/>
    <mergeCell ref="F18:S18"/>
    <mergeCell ref="U18:V18"/>
    <mergeCell ref="W18:X18"/>
    <mergeCell ref="Y18:Z18"/>
    <mergeCell ref="AA18:AB18"/>
    <mergeCell ref="AC18:AD18"/>
    <mergeCell ref="AE18:AF18"/>
    <mergeCell ref="AG18:AH18"/>
    <mergeCell ref="AI18:AJ18"/>
    <mergeCell ref="U16:AR16"/>
    <mergeCell ref="F17:S17"/>
    <mergeCell ref="U17:V17"/>
    <mergeCell ref="W17:X17"/>
    <mergeCell ref="Y17:Z17"/>
    <mergeCell ref="AA17:AB17"/>
    <mergeCell ref="AC17:AD17"/>
    <mergeCell ref="AE17:AF17"/>
    <mergeCell ref="AG17:AH17"/>
    <mergeCell ref="AI17:AJ17"/>
    <mergeCell ref="AK17:AL17"/>
    <mergeCell ref="AM17:AN17"/>
    <mergeCell ref="AO17:AP17"/>
    <mergeCell ref="AQ17:AR17"/>
    <mergeCell ref="F14:S14"/>
    <mergeCell ref="F15:S15"/>
    <mergeCell ref="F12:S12"/>
    <mergeCell ref="U12:V12"/>
    <mergeCell ref="W12:X12"/>
    <mergeCell ref="Y12:Z12"/>
    <mergeCell ref="AA12:AB12"/>
    <mergeCell ref="F13:S13"/>
    <mergeCell ref="U13:V15"/>
    <mergeCell ref="W13:X15"/>
    <mergeCell ref="Y13:Z15"/>
    <mergeCell ref="AA13:AB15"/>
    <mergeCell ref="AK13:AL15"/>
    <mergeCell ref="AM13:AN15"/>
    <mergeCell ref="AO13:AP15"/>
    <mergeCell ref="AQ13:AR15"/>
    <mergeCell ref="AC13:AD15"/>
    <mergeCell ref="AE13:AF15"/>
    <mergeCell ref="AG13:AH15"/>
    <mergeCell ref="AI13:AJ15"/>
    <mergeCell ref="AC12:AD12"/>
    <mergeCell ref="AE12:AF12"/>
    <mergeCell ref="AG12:AH12"/>
    <mergeCell ref="AI12:AJ12"/>
    <mergeCell ref="AK12:AL12"/>
    <mergeCell ref="AM12:AN12"/>
    <mergeCell ref="AO12:AP12"/>
    <mergeCell ref="AQ12:AR12"/>
    <mergeCell ref="AI8:AJ8"/>
    <mergeCell ref="AK8:AL8"/>
    <mergeCell ref="AM8:AN8"/>
    <mergeCell ref="AO8:AP8"/>
    <mergeCell ref="AQ8:AR8"/>
    <mergeCell ref="AC11:AD11"/>
    <mergeCell ref="AE11:AF11"/>
    <mergeCell ref="AG11:AH11"/>
    <mergeCell ref="AI11:AJ11"/>
    <mergeCell ref="AK11:AL11"/>
    <mergeCell ref="AM11:AN11"/>
    <mergeCell ref="AO11:AP11"/>
    <mergeCell ref="AQ11:AR11"/>
    <mergeCell ref="D9:AR9"/>
    <mergeCell ref="U10:AR10"/>
    <mergeCell ref="U11:V11"/>
    <mergeCell ref="W11:X11"/>
    <mergeCell ref="Y11:Z11"/>
    <mergeCell ref="AA11:AB11"/>
    <mergeCell ref="C6:AR6"/>
    <mergeCell ref="D7:AR7"/>
    <mergeCell ref="U8:V8"/>
    <mergeCell ref="B4:T5"/>
    <mergeCell ref="U4:AH4"/>
    <mergeCell ref="AI4:AR4"/>
    <mergeCell ref="U5:V5"/>
    <mergeCell ref="W5:X5"/>
    <mergeCell ref="Y5:Z5"/>
    <mergeCell ref="AA5:AB5"/>
    <mergeCell ref="AC5:AD5"/>
    <mergeCell ref="AE5:AF5"/>
    <mergeCell ref="AG5:AH5"/>
    <mergeCell ref="AI5:AJ5"/>
    <mergeCell ref="AK5:AL5"/>
    <mergeCell ref="AM5:AN5"/>
    <mergeCell ref="AO5:AP5"/>
    <mergeCell ref="AQ5:AR5"/>
    <mergeCell ref="W8:X8"/>
    <mergeCell ref="Y8:Z8"/>
    <mergeCell ref="AA8:AB8"/>
    <mergeCell ref="AC8:AD8"/>
    <mergeCell ref="AE8:AF8"/>
    <mergeCell ref="AG8:AH8"/>
  </mergeCells>
  <dataValidations count="1">
    <dataValidation type="whole" allowBlank="1" showInputMessage="1" showErrorMessage="1" errorTitle="GESP SY 2022-2023" error="Please enter valid number between 0-999." sqref="U8:AR8 U11:AR15 U17:AR24 U27:AR32" xr:uid="{00000000-0002-0000-2E00-000000000000}">
      <formula1>0</formula1>
      <formula2>999</formula2>
    </dataValidation>
  </dataValidations>
  <printOptions horizontalCentered="1" verticalCentered="1"/>
  <pageMargins left="0.25" right="0.25" top="0.2" bottom="0.2" header="0" footer="0.1"/>
  <pageSetup paperSize="9" scale="57" orientation="landscape" r:id="rId1"/>
  <headerFooter alignWithMargins="0">
    <oddFooter>&amp;L&amp;10&amp;F &amp;A&amp;R&amp;11Page 43 of 60</oddFooter>
  </headerFooter>
  <ignoredErrors>
    <ignoredError sqref="B6 B25" numberStoredAsText="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pageSetUpPr fitToPage="1"/>
  </sheetPr>
  <dimension ref="A1:BV31"/>
  <sheetViews>
    <sheetView showGridLines="0" zoomScaleNormal="100" workbookViewId="0">
      <selection activeCell="AQ17" sqref="AQ17:AR17"/>
    </sheetView>
  </sheetViews>
  <sheetFormatPr defaultColWidth="9" defaultRowHeight="15.5"/>
  <cols>
    <col min="1" max="1" width="2.08203125" style="969" customWidth="1"/>
    <col min="2" max="44" width="3.58203125" style="969" customWidth="1"/>
    <col min="45" max="45" width="2.08203125" style="969" customWidth="1"/>
    <col min="46" max="261" width="3.58203125" style="969" customWidth="1"/>
    <col min="262" max="16384" width="9" style="969"/>
  </cols>
  <sheetData>
    <row r="1" spans="2:74" ht="6" customHeight="1"/>
    <row r="2" spans="2:74" s="211" customFormat="1" ht="15.75" customHeight="1">
      <c r="B2" s="1254" t="s">
        <v>1737</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961"/>
      <c r="AW2" s="961"/>
      <c r="AX2" s="961"/>
      <c r="AY2" s="961"/>
      <c r="AZ2" s="961"/>
      <c r="BA2" s="961"/>
      <c r="BB2" s="961"/>
      <c r="BC2" s="961"/>
      <c r="BD2" s="961"/>
      <c r="BE2" s="961"/>
      <c r="BF2" s="961"/>
      <c r="BV2" s="334"/>
    </row>
    <row r="3" spans="2:74" s="211" customFormat="1" ht="11.5" customHeight="1">
      <c r="B3" s="1254"/>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961"/>
      <c r="AW3" s="961"/>
      <c r="AX3" s="961"/>
      <c r="AY3" s="961"/>
      <c r="AZ3" s="961"/>
      <c r="BA3" s="961"/>
      <c r="BB3" s="961"/>
      <c r="BC3" s="961"/>
      <c r="BD3" s="961"/>
      <c r="BE3" s="961"/>
      <c r="BF3" s="961"/>
      <c r="BV3" s="334"/>
    </row>
    <row r="4" spans="2:74" s="211" customFormat="1" ht="15.75" customHeight="1">
      <c r="B4" s="963" t="s">
        <v>1524</v>
      </c>
      <c r="C4" s="963"/>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961"/>
      <c r="AW4" s="961"/>
      <c r="AX4" s="961"/>
      <c r="AY4" s="961"/>
      <c r="AZ4" s="961"/>
      <c r="BA4" s="961"/>
      <c r="BB4" s="961"/>
      <c r="BC4" s="961"/>
      <c r="BD4" s="961"/>
      <c r="BE4" s="961"/>
      <c r="BF4" s="961"/>
      <c r="BV4" s="334"/>
    </row>
    <row r="5" spans="2:74" s="1279" customFormat="1" ht="73.400000000000006" customHeight="1">
      <c r="B5" s="1280" t="s">
        <v>151</v>
      </c>
      <c r="C5" s="3694" t="s">
        <v>1738</v>
      </c>
      <c r="D5" s="3695"/>
      <c r="E5" s="3695"/>
      <c r="F5" s="3695"/>
      <c r="G5" s="3695"/>
      <c r="H5" s="3695"/>
      <c r="I5" s="3695"/>
      <c r="J5" s="3695"/>
      <c r="K5" s="3695"/>
      <c r="L5" s="3695"/>
      <c r="M5" s="3695"/>
      <c r="N5" s="3695"/>
      <c r="O5" s="3695"/>
      <c r="P5" s="3695"/>
      <c r="Q5" s="3695"/>
      <c r="R5" s="3695"/>
      <c r="S5" s="3695"/>
      <c r="T5" s="3695"/>
      <c r="U5" s="3695"/>
      <c r="V5" s="3695"/>
      <c r="W5" s="3695"/>
      <c r="X5" s="3695"/>
      <c r="Y5" s="3695"/>
      <c r="Z5" s="3695"/>
      <c r="AA5" s="3695"/>
      <c r="AB5" s="3695"/>
      <c r="AC5" s="3695"/>
      <c r="AD5" s="3695"/>
      <c r="AE5" s="3695"/>
      <c r="AF5" s="3695"/>
      <c r="AG5" s="3695"/>
      <c r="AH5" s="3695"/>
      <c r="AI5" s="3695"/>
      <c r="AJ5" s="3695"/>
      <c r="AK5" s="3695"/>
      <c r="AL5" s="3695"/>
      <c r="AM5" s="3695"/>
      <c r="AN5" s="3695"/>
      <c r="AO5" s="3695"/>
      <c r="AP5" s="3695"/>
      <c r="AQ5" s="3695"/>
      <c r="AR5" s="3695"/>
    </row>
    <row r="6" spans="2:74" s="1279" customFormat="1" ht="58.4" customHeight="1">
      <c r="B6" s="1280" t="s">
        <v>152</v>
      </c>
      <c r="C6" s="3694" t="s">
        <v>1739</v>
      </c>
      <c r="D6" s="3695"/>
      <c r="E6" s="3695"/>
      <c r="F6" s="3695"/>
      <c r="G6" s="3695"/>
      <c r="H6" s="3695"/>
      <c r="I6" s="3695"/>
      <c r="J6" s="3695"/>
      <c r="K6" s="3695"/>
      <c r="L6" s="3695"/>
      <c r="M6" s="3695"/>
      <c r="N6" s="3695"/>
      <c r="O6" s="3695"/>
      <c r="P6" s="3695"/>
      <c r="Q6" s="3695"/>
      <c r="R6" s="3695"/>
      <c r="S6" s="3695"/>
      <c r="T6" s="3695"/>
      <c r="U6" s="3695"/>
      <c r="V6" s="3695"/>
      <c r="W6" s="3695"/>
      <c r="X6" s="3695"/>
      <c r="Y6" s="3695"/>
      <c r="Z6" s="3695"/>
      <c r="AA6" s="3695"/>
      <c r="AB6" s="3695"/>
      <c r="AC6" s="3695"/>
      <c r="AD6" s="3695"/>
      <c r="AE6" s="3695"/>
      <c r="AF6" s="3695"/>
      <c r="AG6" s="3695"/>
      <c r="AH6" s="3695"/>
      <c r="AI6" s="3695"/>
      <c r="AJ6" s="3695"/>
      <c r="AK6" s="3695"/>
      <c r="AL6" s="3695"/>
      <c r="AM6" s="3695"/>
      <c r="AN6" s="3695"/>
      <c r="AO6" s="3695"/>
      <c r="AP6" s="3695"/>
      <c r="AQ6" s="3695"/>
      <c r="AR6" s="3695"/>
    </row>
    <row r="7" spans="2:74" s="1279" customFormat="1" ht="84.65" customHeight="1">
      <c r="B7" s="1280" t="s">
        <v>153</v>
      </c>
      <c r="C7" s="3694" t="s">
        <v>1740</v>
      </c>
      <c r="D7" s="3695"/>
      <c r="E7" s="3695"/>
      <c r="F7" s="3695"/>
      <c r="G7" s="3695"/>
      <c r="H7" s="3695"/>
      <c r="I7" s="3695"/>
      <c r="J7" s="3695"/>
      <c r="K7" s="3695"/>
      <c r="L7" s="3695"/>
      <c r="M7" s="3695"/>
      <c r="N7" s="3695"/>
      <c r="O7" s="3695"/>
      <c r="P7" s="3695"/>
      <c r="Q7" s="3695"/>
      <c r="R7" s="3695"/>
      <c r="S7" s="3695"/>
      <c r="T7" s="3695"/>
      <c r="U7" s="3695"/>
      <c r="V7" s="3695"/>
      <c r="W7" s="3695"/>
      <c r="X7" s="3695"/>
      <c r="Y7" s="3695"/>
      <c r="Z7" s="3695"/>
      <c r="AA7" s="3695"/>
      <c r="AB7" s="3695"/>
      <c r="AC7" s="3695"/>
      <c r="AD7" s="3695"/>
      <c r="AE7" s="3695"/>
      <c r="AF7" s="3695"/>
      <c r="AG7" s="3695"/>
      <c r="AH7" s="3695"/>
      <c r="AI7" s="3695"/>
      <c r="AJ7" s="3695"/>
      <c r="AK7" s="3695"/>
      <c r="AL7" s="3695"/>
      <c r="AM7" s="3695"/>
      <c r="AN7" s="3695"/>
      <c r="AO7" s="3695"/>
      <c r="AP7" s="3695"/>
      <c r="AQ7" s="3695"/>
      <c r="AR7" s="3695"/>
    </row>
    <row r="8" spans="2:74" ht="20.149999999999999" customHeight="1"/>
    <row r="9" spans="2:74" s="681" customFormat="1" ht="16.5" customHeight="1">
      <c r="B9" s="627" t="s">
        <v>11812</v>
      </c>
      <c r="C9" s="627"/>
      <c r="D9" s="627"/>
      <c r="E9" s="627"/>
      <c r="F9" s="627"/>
      <c r="G9" s="627"/>
      <c r="H9" s="627"/>
      <c r="I9" s="627"/>
      <c r="J9" s="627"/>
      <c r="K9" s="627"/>
      <c r="L9" s="627"/>
      <c r="M9" s="627"/>
      <c r="N9" s="627"/>
      <c r="O9" s="627"/>
      <c r="P9" s="627"/>
      <c r="Q9" s="627"/>
      <c r="R9" s="627"/>
      <c r="S9" s="1277"/>
      <c r="T9" s="1277"/>
      <c r="U9" s="629"/>
      <c r="V9" s="629"/>
      <c r="W9" s="629"/>
      <c r="X9" s="629"/>
      <c r="Y9" s="629"/>
      <c r="Z9" s="629"/>
      <c r="AA9" s="629"/>
      <c r="AB9" s="629"/>
      <c r="AC9" s="629"/>
      <c r="AD9" s="629"/>
      <c r="AE9" s="629"/>
      <c r="AF9" s="629"/>
      <c r="AG9" s="629"/>
      <c r="AH9" s="629"/>
      <c r="AI9" s="629"/>
      <c r="AJ9" s="629"/>
      <c r="AK9" s="629"/>
      <c r="AL9" s="629"/>
    </row>
    <row r="10" spans="2:74" s="588" customFormat="1" ht="16" thickBot="1">
      <c r="B10" s="1278" t="s">
        <v>903</v>
      </c>
    </row>
    <row r="11" spans="2:74" s="568" customFormat="1" ht="16.5">
      <c r="B11" s="3649" t="s">
        <v>749</v>
      </c>
      <c r="C11" s="3650"/>
      <c r="D11" s="3650"/>
      <c r="E11" s="3650"/>
      <c r="F11" s="3650"/>
      <c r="G11" s="3650"/>
      <c r="H11" s="3650"/>
      <c r="I11" s="3650"/>
      <c r="J11" s="3650"/>
      <c r="K11" s="3650"/>
      <c r="L11" s="3650"/>
      <c r="M11" s="3650"/>
      <c r="N11" s="3650"/>
      <c r="O11" s="3650"/>
      <c r="P11" s="3650"/>
      <c r="Q11" s="3650"/>
      <c r="R11" s="3650"/>
      <c r="S11" s="3650"/>
      <c r="T11" s="3651"/>
      <c r="U11" s="3655">
        <v>2021</v>
      </c>
      <c r="V11" s="3656"/>
      <c r="W11" s="3656" t="s">
        <v>185</v>
      </c>
      <c r="X11" s="3656"/>
      <c r="Y11" s="3656" t="s">
        <v>186</v>
      </c>
      <c r="Z11" s="3656"/>
      <c r="AA11" s="3656" t="s">
        <v>187</v>
      </c>
      <c r="AB11" s="3656"/>
      <c r="AC11" s="3656" t="s">
        <v>188</v>
      </c>
      <c r="AD11" s="3656"/>
      <c r="AE11" s="3656" t="s">
        <v>189</v>
      </c>
      <c r="AF11" s="3656"/>
      <c r="AG11" s="3656" t="s">
        <v>190</v>
      </c>
      <c r="AH11" s="3657"/>
      <c r="AI11" s="3656">
        <v>2022</v>
      </c>
      <c r="AJ11" s="3656"/>
      <c r="AK11" s="3656" t="s">
        <v>192</v>
      </c>
      <c r="AL11" s="3656"/>
      <c r="AM11" s="3656" t="s">
        <v>193</v>
      </c>
      <c r="AN11" s="3656"/>
      <c r="AO11" s="3656" t="s">
        <v>116</v>
      </c>
      <c r="AP11" s="3656"/>
      <c r="AQ11" s="3656" t="s">
        <v>117</v>
      </c>
      <c r="AR11" s="3657"/>
    </row>
    <row r="12" spans="2:74" s="568" customFormat="1" ht="17" thickBot="1">
      <c r="B12" s="3652" t="s">
        <v>737</v>
      </c>
      <c r="C12" s="3653"/>
      <c r="D12" s="3653"/>
      <c r="E12" s="3653"/>
      <c r="F12" s="3653"/>
      <c r="G12" s="3653"/>
      <c r="H12" s="3653"/>
      <c r="I12" s="3653"/>
      <c r="J12" s="3653"/>
      <c r="K12" s="3653"/>
      <c r="L12" s="3653"/>
      <c r="M12" s="3653"/>
      <c r="N12" s="3653"/>
      <c r="O12" s="3653"/>
      <c r="P12" s="3653"/>
      <c r="Q12" s="3653"/>
      <c r="R12" s="3653"/>
      <c r="S12" s="3653"/>
      <c r="T12" s="3654"/>
      <c r="U12" s="3658" t="s">
        <v>184</v>
      </c>
      <c r="V12" s="3659"/>
      <c r="W12" s="3659" t="s">
        <v>185</v>
      </c>
      <c r="X12" s="3659"/>
      <c r="Y12" s="3659" t="s">
        <v>186</v>
      </c>
      <c r="Z12" s="3659"/>
      <c r="AA12" s="3659" t="s">
        <v>187</v>
      </c>
      <c r="AB12" s="3659"/>
      <c r="AC12" s="3659" t="s">
        <v>188</v>
      </c>
      <c r="AD12" s="3659"/>
      <c r="AE12" s="3659" t="s">
        <v>189</v>
      </c>
      <c r="AF12" s="3659"/>
      <c r="AG12" s="3659" t="s">
        <v>190</v>
      </c>
      <c r="AH12" s="3660"/>
      <c r="AI12" s="3661" t="s">
        <v>191</v>
      </c>
      <c r="AJ12" s="3659"/>
      <c r="AK12" s="3659" t="s">
        <v>192</v>
      </c>
      <c r="AL12" s="3659"/>
      <c r="AM12" s="3659" t="s">
        <v>193</v>
      </c>
      <c r="AN12" s="3659"/>
      <c r="AO12" s="3659" t="s">
        <v>116</v>
      </c>
      <c r="AP12" s="3659"/>
      <c r="AQ12" s="3659" t="s">
        <v>117</v>
      </c>
      <c r="AR12" s="3660"/>
    </row>
    <row r="13" spans="2:74" s="588" customFormat="1" ht="24.75" customHeight="1">
      <c r="B13" s="1266"/>
      <c r="C13" s="3696" t="s">
        <v>738</v>
      </c>
      <c r="D13" s="3696"/>
      <c r="E13" s="3696"/>
      <c r="F13" s="3696"/>
      <c r="G13" s="3696"/>
      <c r="H13" s="3696"/>
      <c r="I13" s="3696"/>
      <c r="J13" s="3696"/>
      <c r="K13" s="3696"/>
      <c r="L13" s="3696"/>
      <c r="M13" s="3696"/>
      <c r="N13" s="3696"/>
      <c r="O13" s="3696"/>
      <c r="P13" s="3696"/>
      <c r="Q13" s="3696"/>
      <c r="R13" s="3696"/>
      <c r="S13" s="3696"/>
      <c r="T13" s="418"/>
      <c r="U13" s="3697">
        <v>0</v>
      </c>
      <c r="V13" s="3698"/>
      <c r="W13" s="3699">
        <v>0</v>
      </c>
      <c r="X13" s="3700"/>
      <c r="Y13" s="3699">
        <v>0</v>
      </c>
      <c r="Z13" s="3700"/>
      <c r="AA13" s="3699">
        <v>0</v>
      </c>
      <c r="AB13" s="3700"/>
      <c r="AC13" s="3699">
        <v>0</v>
      </c>
      <c r="AD13" s="3700"/>
      <c r="AE13" s="3699">
        <v>0</v>
      </c>
      <c r="AF13" s="3700"/>
      <c r="AG13" s="3699">
        <v>0</v>
      </c>
      <c r="AH13" s="3701"/>
      <c r="AI13" s="3698">
        <v>0</v>
      </c>
      <c r="AJ13" s="3700"/>
      <c r="AK13" s="3699">
        <v>0</v>
      </c>
      <c r="AL13" s="3700"/>
      <c r="AM13" s="3699">
        <v>0</v>
      </c>
      <c r="AN13" s="3700"/>
      <c r="AO13" s="3699">
        <v>0</v>
      </c>
      <c r="AP13" s="3700"/>
      <c r="AQ13" s="3699">
        <v>0</v>
      </c>
      <c r="AR13" s="3701"/>
    </row>
    <row r="14" spans="2:74" s="588" customFormat="1" ht="24.75" customHeight="1">
      <c r="B14" s="1266"/>
      <c r="C14" s="3600" t="s">
        <v>739</v>
      </c>
      <c r="D14" s="3600"/>
      <c r="E14" s="3600"/>
      <c r="F14" s="3600"/>
      <c r="G14" s="3600"/>
      <c r="H14" s="3600"/>
      <c r="I14" s="3600"/>
      <c r="J14" s="3600"/>
      <c r="K14" s="3600"/>
      <c r="L14" s="3600"/>
      <c r="M14" s="3600"/>
      <c r="N14" s="3600"/>
      <c r="O14" s="3600"/>
      <c r="P14" s="3600"/>
      <c r="Q14" s="3600"/>
      <c r="R14" s="3600"/>
      <c r="S14" s="3600"/>
      <c r="T14" s="1267"/>
      <c r="U14" s="3603">
        <v>0</v>
      </c>
      <c r="V14" s="3604"/>
      <c r="W14" s="3601">
        <v>0</v>
      </c>
      <c r="X14" s="3602"/>
      <c r="Y14" s="3601">
        <v>0</v>
      </c>
      <c r="Z14" s="3602"/>
      <c r="AA14" s="3601">
        <v>0</v>
      </c>
      <c r="AB14" s="3602"/>
      <c r="AC14" s="3601">
        <v>0</v>
      </c>
      <c r="AD14" s="3602"/>
      <c r="AE14" s="3601">
        <v>0</v>
      </c>
      <c r="AF14" s="3602"/>
      <c r="AG14" s="3601">
        <v>0</v>
      </c>
      <c r="AH14" s="3608"/>
      <c r="AI14" s="3604">
        <v>0</v>
      </c>
      <c r="AJ14" s="3602"/>
      <c r="AK14" s="3601">
        <v>0</v>
      </c>
      <c r="AL14" s="3602"/>
      <c r="AM14" s="3601">
        <v>0</v>
      </c>
      <c r="AN14" s="3602"/>
      <c r="AO14" s="3601">
        <v>0</v>
      </c>
      <c r="AP14" s="3602"/>
      <c r="AQ14" s="3601">
        <v>0</v>
      </c>
      <c r="AR14" s="3608"/>
    </row>
    <row r="15" spans="2:74" s="588" customFormat="1" ht="36" customHeight="1">
      <c r="B15" s="1266"/>
      <c r="C15" s="3600" t="s">
        <v>750</v>
      </c>
      <c r="D15" s="3600"/>
      <c r="E15" s="3600"/>
      <c r="F15" s="3600"/>
      <c r="G15" s="3600"/>
      <c r="H15" s="3600"/>
      <c r="I15" s="3600"/>
      <c r="J15" s="3600"/>
      <c r="K15" s="3600"/>
      <c r="L15" s="3600"/>
      <c r="M15" s="3600"/>
      <c r="N15" s="3600"/>
      <c r="O15" s="3600"/>
      <c r="P15" s="3600"/>
      <c r="Q15" s="3600"/>
      <c r="R15" s="3600"/>
      <c r="S15" s="3600"/>
      <c r="T15" s="1267"/>
      <c r="U15" s="3603">
        <v>0</v>
      </c>
      <c r="V15" s="3604"/>
      <c r="W15" s="3601">
        <v>0</v>
      </c>
      <c r="X15" s="3602"/>
      <c r="Y15" s="3601">
        <v>0</v>
      </c>
      <c r="Z15" s="3602"/>
      <c r="AA15" s="3601">
        <v>0</v>
      </c>
      <c r="AB15" s="3602"/>
      <c r="AC15" s="3601">
        <v>0</v>
      </c>
      <c r="AD15" s="3602"/>
      <c r="AE15" s="3601">
        <v>0</v>
      </c>
      <c r="AF15" s="3602"/>
      <c r="AG15" s="3601">
        <v>0</v>
      </c>
      <c r="AH15" s="3608"/>
      <c r="AI15" s="3604">
        <v>0</v>
      </c>
      <c r="AJ15" s="3602"/>
      <c r="AK15" s="3601">
        <v>0</v>
      </c>
      <c r="AL15" s="3602"/>
      <c r="AM15" s="3601">
        <v>0</v>
      </c>
      <c r="AN15" s="3602"/>
      <c r="AO15" s="3601">
        <v>0</v>
      </c>
      <c r="AP15" s="3602"/>
      <c r="AQ15" s="3601">
        <v>0</v>
      </c>
      <c r="AR15" s="3608"/>
    </row>
    <row r="16" spans="2:74" s="588" customFormat="1" ht="36" customHeight="1">
      <c r="B16" s="1266"/>
      <c r="C16" s="3600" t="s">
        <v>1771</v>
      </c>
      <c r="D16" s="3600"/>
      <c r="E16" s="3600"/>
      <c r="F16" s="3600"/>
      <c r="G16" s="3600"/>
      <c r="H16" s="3600"/>
      <c r="I16" s="3600"/>
      <c r="J16" s="3600"/>
      <c r="K16" s="3600"/>
      <c r="L16" s="3600"/>
      <c r="M16" s="3600"/>
      <c r="N16" s="3600"/>
      <c r="O16" s="3600"/>
      <c r="P16" s="3600"/>
      <c r="Q16" s="3600"/>
      <c r="R16" s="3600"/>
      <c r="S16" s="3600"/>
      <c r="T16" s="1267"/>
      <c r="U16" s="3603">
        <v>0</v>
      </c>
      <c r="V16" s="3604"/>
      <c r="W16" s="3601">
        <v>0</v>
      </c>
      <c r="X16" s="3602"/>
      <c r="Y16" s="3601">
        <v>0</v>
      </c>
      <c r="Z16" s="3602"/>
      <c r="AA16" s="3601">
        <v>0</v>
      </c>
      <c r="AB16" s="3602"/>
      <c r="AC16" s="3601">
        <v>0</v>
      </c>
      <c r="AD16" s="3602"/>
      <c r="AE16" s="3601">
        <v>0</v>
      </c>
      <c r="AF16" s="3602"/>
      <c r="AG16" s="3601">
        <v>0</v>
      </c>
      <c r="AH16" s="3608"/>
      <c r="AI16" s="3604">
        <v>0</v>
      </c>
      <c r="AJ16" s="3602"/>
      <c r="AK16" s="3601">
        <v>0</v>
      </c>
      <c r="AL16" s="3602"/>
      <c r="AM16" s="3601">
        <v>0</v>
      </c>
      <c r="AN16" s="3602"/>
      <c r="AO16" s="3601">
        <v>0</v>
      </c>
      <c r="AP16" s="3602"/>
      <c r="AQ16" s="3601">
        <v>0</v>
      </c>
      <c r="AR16" s="3608"/>
    </row>
    <row r="17" spans="1:45" s="588" customFormat="1" ht="36" customHeight="1" thickBot="1">
      <c r="B17" s="1268"/>
      <c r="C17" s="3702" t="s">
        <v>751</v>
      </c>
      <c r="D17" s="3702"/>
      <c r="E17" s="3702"/>
      <c r="F17" s="3702"/>
      <c r="G17" s="3702"/>
      <c r="H17" s="3702"/>
      <c r="I17" s="3702"/>
      <c r="J17" s="3702"/>
      <c r="K17" s="3702"/>
      <c r="L17" s="3702"/>
      <c r="M17" s="3702"/>
      <c r="N17" s="3702"/>
      <c r="O17" s="3702"/>
      <c r="P17" s="3702"/>
      <c r="Q17" s="3702"/>
      <c r="R17" s="3702"/>
      <c r="S17" s="3702"/>
      <c r="T17" s="1269"/>
      <c r="U17" s="3692">
        <v>0</v>
      </c>
      <c r="V17" s="3693"/>
      <c r="W17" s="3688">
        <v>0</v>
      </c>
      <c r="X17" s="3689"/>
      <c r="Y17" s="3688">
        <v>0</v>
      </c>
      <c r="Z17" s="3689"/>
      <c r="AA17" s="3688">
        <v>0</v>
      </c>
      <c r="AB17" s="3689"/>
      <c r="AC17" s="3688">
        <v>0</v>
      </c>
      <c r="AD17" s="3689"/>
      <c r="AE17" s="3688">
        <v>0</v>
      </c>
      <c r="AF17" s="3689"/>
      <c r="AG17" s="3688">
        <v>0</v>
      </c>
      <c r="AH17" s="3690"/>
      <c r="AI17" s="3693">
        <v>0</v>
      </c>
      <c r="AJ17" s="3689"/>
      <c r="AK17" s="3688">
        <v>0</v>
      </c>
      <c r="AL17" s="3689"/>
      <c r="AM17" s="3688">
        <v>0</v>
      </c>
      <c r="AN17" s="3689"/>
      <c r="AO17" s="3688">
        <v>0</v>
      </c>
      <c r="AP17" s="3689"/>
      <c r="AQ17" s="3688">
        <v>0</v>
      </c>
      <c r="AR17" s="3690"/>
    </row>
    <row r="18" spans="1:45" s="588" customFormat="1" ht="36" customHeight="1">
      <c r="B18" s="1262"/>
      <c r="C18" s="1241"/>
      <c r="D18" s="1241"/>
      <c r="E18" s="1241"/>
      <c r="F18" s="1241"/>
      <c r="G18" s="1241"/>
      <c r="H18" s="1241"/>
      <c r="I18" s="1241"/>
      <c r="J18" s="1241"/>
      <c r="K18" s="1241"/>
      <c r="L18" s="1241"/>
      <c r="M18" s="1241"/>
      <c r="N18" s="1241"/>
      <c r="O18" s="1241"/>
      <c r="P18" s="1241"/>
      <c r="Q18" s="1241"/>
      <c r="R18" s="1241"/>
      <c r="S18" s="1241"/>
      <c r="T18" s="1262"/>
      <c r="U18" s="1243"/>
      <c r="V18" s="1243"/>
      <c r="W18" s="1243"/>
      <c r="X18" s="1243"/>
      <c r="Y18" s="1243"/>
      <c r="Z18" s="1243"/>
      <c r="AA18" s="1243"/>
      <c r="AB18" s="1243"/>
      <c r="AC18" s="1243"/>
      <c r="AD18" s="1243"/>
      <c r="AE18" s="1243"/>
      <c r="AF18" s="1243"/>
      <c r="AG18" s="1243"/>
      <c r="AH18" s="1243"/>
      <c r="AI18" s="1243"/>
      <c r="AJ18" s="1243"/>
      <c r="AK18" s="1243"/>
      <c r="AL18" s="1243"/>
      <c r="AM18" s="1243"/>
      <c r="AN18" s="1243"/>
      <c r="AO18" s="1243"/>
      <c r="AP18" s="1243"/>
      <c r="AQ18" s="1243"/>
      <c r="AR18" s="1243"/>
    </row>
    <row r="19" spans="1:45" s="661" customFormat="1" ht="33.75" customHeight="1"/>
    <row r="20" spans="1:45" s="168" customFormat="1" ht="14">
      <c r="B20" s="169" t="s">
        <v>847</v>
      </c>
      <c r="Q20" s="169" t="s">
        <v>747</v>
      </c>
      <c r="AF20" s="169" t="s">
        <v>783</v>
      </c>
    </row>
    <row r="21" spans="1:45" s="168" customFormat="1" ht="21.75" customHeight="1">
      <c r="B21" s="169" t="s">
        <v>756</v>
      </c>
      <c r="F21" s="1959" t="str">
        <f>activesheet!E29</f>
        <v>RICO S. MISPEROS</v>
      </c>
      <c r="G21" s="1959"/>
      <c r="H21" s="1959"/>
      <c r="I21" s="1959"/>
      <c r="J21" s="1959"/>
      <c r="K21" s="1959"/>
      <c r="L21" s="1959"/>
      <c r="M21" s="1959"/>
      <c r="N21" s="1959"/>
      <c r="Q21" s="1959" t="str">
        <f>activesheet!E3244</f>
        <v>ELYN KENDRA D. DELA CRUZ</v>
      </c>
      <c r="R21" s="1959"/>
      <c r="S21" s="1959"/>
      <c r="T21" s="1959"/>
      <c r="U21" s="1959"/>
      <c r="V21" s="1959"/>
      <c r="W21" s="1959"/>
      <c r="X21" s="1959"/>
      <c r="Y21" s="1959"/>
      <c r="Z21" s="1959"/>
      <c r="AA21" s="1959"/>
      <c r="AB21" s="1959"/>
      <c r="AC21" s="1959"/>
      <c r="AF21" s="1956" t="str">
        <f>activesheet!E31</f>
        <v>MICHAEL T. JAMIS</v>
      </c>
      <c r="AG21" s="1956"/>
      <c r="AH21" s="1956"/>
      <c r="AI21" s="1956"/>
      <c r="AJ21" s="1956"/>
      <c r="AK21" s="1956"/>
      <c r="AL21" s="1956"/>
      <c r="AM21" s="1956"/>
      <c r="AN21" s="1956"/>
      <c r="AO21" s="1956"/>
      <c r="AP21" s="1956"/>
      <c r="AQ21" s="1956"/>
      <c r="AR21" s="1956"/>
    </row>
    <row r="22" spans="1:45" s="156" customFormat="1" ht="15" customHeight="1">
      <c r="B22" s="655"/>
      <c r="F22" s="1764" t="s">
        <v>741</v>
      </c>
      <c r="G22" s="1764"/>
      <c r="H22" s="1764"/>
      <c r="I22" s="1764"/>
      <c r="J22" s="1764"/>
      <c r="K22" s="1764"/>
      <c r="L22" s="1764"/>
      <c r="M22" s="1764"/>
      <c r="N22" s="1764"/>
      <c r="O22" s="655"/>
      <c r="P22" s="655"/>
      <c r="Q22" s="1764" t="s">
        <v>741</v>
      </c>
      <c r="R22" s="1764"/>
      <c r="S22" s="1764"/>
      <c r="T22" s="1764"/>
      <c r="U22" s="1764"/>
      <c r="V22" s="1764"/>
      <c r="W22" s="1764"/>
      <c r="X22" s="1764"/>
      <c r="Y22" s="1764"/>
      <c r="Z22" s="1764"/>
      <c r="AA22" s="1764"/>
      <c r="AB22" s="1764"/>
      <c r="AC22" s="1764"/>
      <c r="AD22" s="152"/>
      <c r="AE22" s="152"/>
      <c r="AF22" s="1957"/>
      <c r="AG22" s="1957"/>
      <c r="AH22" s="1957"/>
      <c r="AI22" s="1957"/>
      <c r="AJ22" s="1957"/>
      <c r="AK22" s="1957"/>
      <c r="AL22" s="1957"/>
      <c r="AM22" s="1957"/>
      <c r="AN22" s="1957"/>
      <c r="AO22" s="1957"/>
      <c r="AP22" s="1957"/>
      <c r="AQ22" s="1957"/>
      <c r="AR22" s="1957"/>
    </row>
    <row r="23" spans="1:45" s="168" customFormat="1" ht="21.75" customHeight="1">
      <c r="B23" s="169" t="s">
        <v>71</v>
      </c>
      <c r="F23" s="1959" t="str">
        <f>activesheet!E30</f>
        <v>SCHOOL PRINCIPAL II</v>
      </c>
      <c r="G23" s="1959"/>
      <c r="H23" s="1959"/>
      <c r="I23" s="1959"/>
      <c r="J23" s="1959"/>
      <c r="K23" s="1959"/>
      <c r="L23" s="1959"/>
      <c r="M23" s="1959"/>
      <c r="N23" s="1959"/>
      <c r="P23" s="128"/>
      <c r="Q23" s="169" t="s">
        <v>71</v>
      </c>
      <c r="U23" s="1959" t="str">
        <f>activesheet!E3245</f>
        <v>Project Development Officer II</v>
      </c>
      <c r="V23" s="1959"/>
      <c r="W23" s="1959"/>
      <c r="X23" s="1959"/>
      <c r="Y23" s="1959"/>
      <c r="Z23" s="1959"/>
      <c r="AA23" s="1959"/>
      <c r="AB23" s="1959"/>
      <c r="AC23" s="1959"/>
      <c r="AF23" s="1764" t="s">
        <v>741</v>
      </c>
      <c r="AG23" s="1764"/>
      <c r="AH23" s="1764"/>
      <c r="AI23" s="1764"/>
      <c r="AJ23" s="1764"/>
      <c r="AK23" s="1764"/>
      <c r="AL23" s="1764"/>
      <c r="AM23" s="1764"/>
      <c r="AN23" s="1764"/>
      <c r="AO23" s="1764"/>
      <c r="AP23" s="1764"/>
      <c r="AQ23" s="1764"/>
      <c r="AR23" s="1764"/>
    </row>
    <row r="24" spans="1:45" ht="15" customHeight="1">
      <c r="O24" s="211"/>
      <c r="Q24" s="211"/>
      <c r="R24" s="211"/>
      <c r="S24" s="211"/>
      <c r="T24" s="211"/>
      <c r="U24" s="211"/>
      <c r="V24" s="211"/>
      <c r="W24" s="211"/>
      <c r="X24" s="211"/>
      <c r="AJ24" s="211"/>
      <c r="AK24" s="211"/>
      <c r="AL24" s="211"/>
      <c r="AM24" s="211"/>
      <c r="AN24" s="211"/>
    </row>
    <row r="25" spans="1:45" s="652" customFormat="1"/>
    <row r="26" spans="1:45" s="652" customFormat="1" ht="19.5" customHeight="1"/>
    <row r="27" spans="1:45" s="652" customFormat="1"/>
    <row r="28" spans="1:45" s="652" customFormat="1">
      <c r="A28" s="969"/>
    </row>
    <row r="29" spans="1:45" ht="18" customHeight="1"/>
    <row r="31" spans="1:45">
      <c r="AS31" s="655"/>
    </row>
  </sheetData>
  <sheetProtection algorithmName="SHA-512" hashValue="fd8RnmRTgyaGMQl808jcx8JqPRHlenslquFi9VtyHO+XV7CU3dRgajYGFhvMx3pPYAT/FB3OAUEST4GaYGmf6A==" saltValue="vT6EKDJxJpmEWdaFyaU7Tw==" spinCount="100000" sheet="1" objects="1" scenarios="1" selectLockedCells="1"/>
  <mergeCells count="91">
    <mergeCell ref="F23:N23"/>
    <mergeCell ref="U23:AC23"/>
    <mergeCell ref="AF23:AR23"/>
    <mergeCell ref="F21:N21"/>
    <mergeCell ref="Q21:AC21"/>
    <mergeCell ref="AF21:AR22"/>
    <mergeCell ref="F22:N22"/>
    <mergeCell ref="Q22:AC22"/>
    <mergeCell ref="AM16:AN16"/>
    <mergeCell ref="AO16:AP16"/>
    <mergeCell ref="AQ16:AR16"/>
    <mergeCell ref="C17:S17"/>
    <mergeCell ref="U17:V17"/>
    <mergeCell ref="W17:X17"/>
    <mergeCell ref="Y17:Z17"/>
    <mergeCell ref="AA17:AB17"/>
    <mergeCell ref="AC17:AD17"/>
    <mergeCell ref="AE17:AF17"/>
    <mergeCell ref="AG17:AH17"/>
    <mergeCell ref="AI17:AJ17"/>
    <mergeCell ref="AK17:AL17"/>
    <mergeCell ref="AM17:AN17"/>
    <mergeCell ref="AO17:AP17"/>
    <mergeCell ref="AQ17:AR17"/>
    <mergeCell ref="AC16:AD16"/>
    <mergeCell ref="AE16:AF16"/>
    <mergeCell ref="AG16:AH16"/>
    <mergeCell ref="AI16:AJ16"/>
    <mergeCell ref="AK16:AL16"/>
    <mergeCell ref="C16:S16"/>
    <mergeCell ref="U16:V16"/>
    <mergeCell ref="W16:X16"/>
    <mergeCell ref="Y16:Z16"/>
    <mergeCell ref="AA16:AB16"/>
    <mergeCell ref="AM14:AN14"/>
    <mergeCell ref="AO14:AP14"/>
    <mergeCell ref="AQ14:AR14"/>
    <mergeCell ref="C15:S15"/>
    <mergeCell ref="U15:V15"/>
    <mergeCell ref="W15:X15"/>
    <mergeCell ref="Y15:Z15"/>
    <mergeCell ref="AA15:AB15"/>
    <mergeCell ref="AC15:AD15"/>
    <mergeCell ref="AE15:AF15"/>
    <mergeCell ref="AG15:AH15"/>
    <mergeCell ref="AI15:AJ15"/>
    <mergeCell ref="AK15:AL15"/>
    <mergeCell ref="AM15:AN15"/>
    <mergeCell ref="AO15:AP15"/>
    <mergeCell ref="AQ15:AR15"/>
    <mergeCell ref="AC14:AD14"/>
    <mergeCell ref="AE14:AF14"/>
    <mergeCell ref="AG14:AH14"/>
    <mergeCell ref="AI14:AJ14"/>
    <mergeCell ref="AK14:AL14"/>
    <mergeCell ref="C14:S14"/>
    <mergeCell ref="U14:V14"/>
    <mergeCell ref="W14:X14"/>
    <mergeCell ref="Y14:Z14"/>
    <mergeCell ref="AA14:AB14"/>
    <mergeCell ref="AO12:AP12"/>
    <mergeCell ref="AQ12:AR12"/>
    <mergeCell ref="C13:S13"/>
    <mergeCell ref="U13:V13"/>
    <mergeCell ref="W13:X13"/>
    <mergeCell ref="Y13:Z13"/>
    <mergeCell ref="AA13:AB13"/>
    <mergeCell ref="AC13:AD13"/>
    <mergeCell ref="AE13:AF13"/>
    <mergeCell ref="AG13:AH13"/>
    <mergeCell ref="AI13:AJ13"/>
    <mergeCell ref="AK13:AL13"/>
    <mergeCell ref="AM13:AN13"/>
    <mergeCell ref="AO13:AP13"/>
    <mergeCell ref="AQ13:AR13"/>
    <mergeCell ref="C5:AR5"/>
    <mergeCell ref="C6:AR6"/>
    <mergeCell ref="C7:AR7"/>
    <mergeCell ref="B11:T12"/>
    <mergeCell ref="U11:AH11"/>
    <mergeCell ref="AI11:AR11"/>
    <mergeCell ref="U12:V12"/>
    <mergeCell ref="W12:X12"/>
    <mergeCell ref="Y12:Z12"/>
    <mergeCell ref="AA12:AB12"/>
    <mergeCell ref="AC12:AD12"/>
    <mergeCell ref="AE12:AF12"/>
    <mergeCell ref="AG12:AH12"/>
    <mergeCell ref="AI12:AJ12"/>
    <mergeCell ref="AK12:AL12"/>
    <mergeCell ref="AM12:AN12"/>
  </mergeCells>
  <dataValidations count="1">
    <dataValidation type="whole" allowBlank="1" showInputMessage="1" showErrorMessage="1" errorTitle="GESP SY 2022-2023" error="Please enter valid number between 0-999." sqref="U13:AR17" xr:uid="{00000000-0002-0000-2F00-000000000000}">
      <formula1>0</formula1>
      <formula2>999</formula2>
    </dataValidation>
  </dataValidations>
  <printOptions horizontalCentered="1" verticalCentered="1"/>
  <pageMargins left="0.25" right="0.25" top="0.2" bottom="0.2" header="0" footer="0.1"/>
  <pageSetup paperSize="9" scale="50" orientation="landscape" r:id="rId1"/>
  <headerFooter alignWithMargins="0">
    <oddFooter>&amp;L&amp;10&amp;F &amp;A&amp;R&amp;11Page 44 of 60</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pageSetUpPr fitToPage="1"/>
  </sheetPr>
  <dimension ref="B1:AD51"/>
  <sheetViews>
    <sheetView showGridLines="0" zoomScaleNormal="100" zoomScaleSheetLayoutView="100" workbookViewId="0">
      <selection activeCell="X37" sqref="X37:AB37"/>
    </sheetView>
  </sheetViews>
  <sheetFormatPr defaultColWidth="8" defaultRowHeight="15.5"/>
  <cols>
    <col min="1" max="1" width="2.08203125" style="1287" customWidth="1"/>
    <col min="2" max="30" width="3.58203125" style="1291" customWidth="1"/>
    <col min="31" max="31" width="2.08203125" style="1287" customWidth="1"/>
    <col min="32" max="165" width="3.58203125" style="1287" customWidth="1"/>
    <col min="166" max="16384" width="8" style="1287"/>
  </cols>
  <sheetData>
    <row r="1" spans="2:30" ht="12" customHeight="1"/>
    <row r="2" spans="2:30" ht="16.5">
      <c r="B2" s="1302" t="s">
        <v>11813</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0" ht="16.5">
      <c r="B3" s="1303" t="s">
        <v>1850</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0"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0" ht="17" thickBot="1">
      <c r="B5" s="1302" t="s">
        <v>1532</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0" ht="5.15"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6"/>
    </row>
    <row r="7" spans="2:30" ht="19.75" customHeight="1" thickBot="1">
      <c r="B7" s="1298"/>
      <c r="C7" s="1307" t="s">
        <v>151</v>
      </c>
      <c r="D7" s="3704" t="s">
        <v>1533</v>
      </c>
      <c r="E7" s="3704"/>
      <c r="F7" s="3704"/>
      <c r="G7" s="3704"/>
      <c r="H7" s="3704"/>
      <c r="I7" s="3704"/>
      <c r="J7" s="3704"/>
      <c r="K7" s="3704"/>
      <c r="L7" s="3704"/>
      <c r="M7" s="3704"/>
      <c r="N7" s="3704"/>
      <c r="O7" s="3704"/>
      <c r="P7" s="3704"/>
      <c r="Q7" s="3704"/>
      <c r="R7" s="3704"/>
      <c r="S7" s="3704"/>
      <c r="T7" s="3704"/>
      <c r="U7" s="3704"/>
      <c r="V7" s="3704"/>
      <c r="W7" s="3704"/>
      <c r="X7" s="3704"/>
      <c r="Y7" s="3704"/>
      <c r="Z7" s="3704"/>
      <c r="AA7" s="3704"/>
      <c r="AB7" s="3704"/>
      <c r="AC7" s="1300"/>
      <c r="AD7" s="1301"/>
    </row>
    <row r="8" spans="2:30" ht="19.75" customHeight="1" thickTop="1" thickBot="1">
      <c r="B8" s="1293"/>
      <c r="C8" s="1294"/>
      <c r="D8" s="1308"/>
      <c r="E8" s="3705" t="s">
        <v>1534</v>
      </c>
      <c r="F8" s="3705"/>
      <c r="G8" s="3705"/>
      <c r="H8" s="3705"/>
      <c r="I8" s="3705"/>
      <c r="J8" s="3706"/>
      <c r="K8" s="3707" t="s">
        <v>661</v>
      </c>
      <c r="L8" s="3707"/>
      <c r="M8" s="3707"/>
      <c r="N8" s="3707"/>
      <c r="O8" s="3707"/>
      <c r="P8" s="3707"/>
      <c r="Q8" s="3707"/>
      <c r="R8" s="3707"/>
      <c r="S8" s="3707"/>
      <c r="T8" s="3707"/>
      <c r="U8" s="3707"/>
      <c r="V8" s="3707"/>
      <c r="W8" s="3707"/>
      <c r="X8" s="3707"/>
      <c r="Y8" s="3707"/>
      <c r="Z8" s="3707"/>
      <c r="AA8" s="3707"/>
      <c r="AB8" s="3708"/>
      <c r="AC8" s="1309"/>
      <c r="AD8" s="1310"/>
    </row>
    <row r="9" spans="2:30" ht="19.75" customHeight="1" thickTop="1" thickBot="1">
      <c r="B9" s="1293"/>
      <c r="C9" s="1294"/>
      <c r="D9" s="1311" t="s">
        <v>1535</v>
      </c>
      <c r="E9" s="1312"/>
      <c r="F9" s="1312"/>
      <c r="G9" s="1312"/>
      <c r="H9" s="1312"/>
      <c r="I9" s="1312"/>
      <c r="J9" s="1312"/>
      <c r="K9" s="1312"/>
      <c r="L9" s="1312"/>
      <c r="M9" s="1312"/>
      <c r="N9" s="1312"/>
      <c r="O9" s="1312"/>
      <c r="P9" s="1312"/>
      <c r="Q9" s="1312"/>
      <c r="R9" s="1312"/>
      <c r="S9" s="1312"/>
      <c r="T9" s="1312"/>
      <c r="U9" s="1312"/>
      <c r="V9" s="1312"/>
      <c r="W9" s="1312"/>
      <c r="X9" s="1312"/>
      <c r="Y9" s="1312"/>
      <c r="Z9" s="1312"/>
      <c r="AA9" s="1312"/>
      <c r="AB9" s="1313"/>
      <c r="AC9" s="1312"/>
      <c r="AD9" s="1313"/>
    </row>
    <row r="10" spans="2:30" ht="19.75" customHeight="1">
      <c r="B10" s="1293"/>
      <c r="C10" s="1294"/>
      <c r="D10" s="1334" t="b">
        <v>0</v>
      </c>
      <c r="E10" s="1314" t="s">
        <v>1249</v>
      </c>
      <c r="F10" s="1314"/>
      <c r="G10" s="1314"/>
      <c r="H10" s="1314"/>
      <c r="I10" s="1314"/>
      <c r="J10" s="1315"/>
      <c r="K10" s="1314"/>
      <c r="L10" s="1314" t="s">
        <v>660</v>
      </c>
      <c r="M10" s="1314"/>
      <c r="N10" s="1314"/>
      <c r="O10" s="1314"/>
      <c r="P10" s="1314"/>
      <c r="Q10" s="1314"/>
      <c r="R10" s="1314"/>
      <c r="S10" s="1314"/>
      <c r="T10" s="1314"/>
      <c r="U10" s="1314"/>
      <c r="V10" s="1314"/>
      <c r="W10" s="1314"/>
      <c r="X10" s="1314"/>
      <c r="Y10" s="1314"/>
      <c r="Z10" s="1314"/>
      <c r="AA10" s="1314"/>
      <c r="AB10" s="1316"/>
      <c r="AD10" s="1292"/>
    </row>
    <row r="11" spans="2:30" ht="19.75" customHeight="1">
      <c r="B11" s="1293"/>
      <c r="C11" s="1294"/>
      <c r="D11" s="1335" t="b">
        <v>1</v>
      </c>
      <c r="E11" s="1317" t="s">
        <v>1250</v>
      </c>
      <c r="F11" s="1317"/>
      <c r="G11" s="1317"/>
      <c r="H11" s="1317"/>
      <c r="I11" s="1317"/>
      <c r="J11" s="1318"/>
      <c r="K11" s="1317"/>
      <c r="L11" s="1317" t="s">
        <v>659</v>
      </c>
      <c r="M11" s="1317"/>
      <c r="N11" s="1317"/>
      <c r="O11" s="1317"/>
      <c r="P11" s="1317"/>
      <c r="Q11" s="1317"/>
      <c r="R11" s="1317"/>
      <c r="S11" s="1317"/>
      <c r="T11" s="1317"/>
      <c r="U11" s="1317"/>
      <c r="V11" s="1317"/>
      <c r="W11" s="1317"/>
      <c r="X11" s="1317"/>
      <c r="Y11" s="1317"/>
      <c r="Z11" s="1317"/>
      <c r="AA11" s="1317"/>
      <c r="AB11" s="1319"/>
      <c r="AD11" s="1292"/>
    </row>
    <row r="12" spans="2:30" ht="19.75" customHeight="1">
      <c r="B12" s="1293"/>
      <c r="C12" s="1294"/>
      <c r="D12" s="1335" t="b">
        <v>1</v>
      </c>
      <c r="E12" s="1317" t="s">
        <v>1251</v>
      </c>
      <c r="F12" s="1317"/>
      <c r="G12" s="1317"/>
      <c r="H12" s="1317"/>
      <c r="I12" s="1317"/>
      <c r="J12" s="1318"/>
      <c r="K12" s="1317"/>
      <c r="L12" s="1317" t="s">
        <v>658</v>
      </c>
      <c r="M12" s="1317"/>
      <c r="N12" s="1317"/>
      <c r="O12" s="1317"/>
      <c r="P12" s="1317"/>
      <c r="Q12" s="1317"/>
      <c r="R12" s="1317"/>
      <c r="S12" s="1317"/>
      <c r="T12" s="1317"/>
      <c r="U12" s="1317"/>
      <c r="V12" s="1317"/>
      <c r="W12" s="1317"/>
      <c r="X12" s="1317"/>
      <c r="Y12" s="1317"/>
      <c r="Z12" s="1317"/>
      <c r="AA12" s="1317"/>
      <c r="AB12" s="1319"/>
      <c r="AD12" s="1292"/>
    </row>
    <row r="13" spans="2:30" ht="19.75" customHeight="1">
      <c r="B13" s="1293"/>
      <c r="C13" s="1294"/>
      <c r="D13" s="1335" t="b">
        <v>1</v>
      </c>
      <c r="E13" s="1317" t="s">
        <v>1252</v>
      </c>
      <c r="F13" s="1317"/>
      <c r="G13" s="1317"/>
      <c r="H13" s="1317"/>
      <c r="I13" s="1317"/>
      <c r="J13" s="1318"/>
      <c r="K13" s="1317"/>
      <c r="L13" s="1317" t="s">
        <v>657</v>
      </c>
      <c r="M13" s="1317"/>
      <c r="N13" s="1317"/>
      <c r="O13" s="1317"/>
      <c r="P13" s="1317"/>
      <c r="Q13" s="1317"/>
      <c r="R13" s="1317"/>
      <c r="S13" s="1317"/>
      <c r="T13" s="1317"/>
      <c r="U13" s="1317"/>
      <c r="V13" s="1317"/>
      <c r="W13" s="1317"/>
      <c r="X13" s="1317"/>
      <c r="Y13" s="1317"/>
      <c r="Z13" s="1317"/>
      <c r="AA13" s="1317"/>
      <c r="AB13" s="1319"/>
      <c r="AD13" s="1292"/>
    </row>
    <row r="14" spans="2:30" ht="19.75" customHeight="1">
      <c r="B14" s="1293"/>
      <c r="C14" s="1294"/>
      <c r="D14" s="1335" t="b">
        <v>1</v>
      </c>
      <c r="E14" s="1317" t="s">
        <v>1253</v>
      </c>
      <c r="F14" s="1317"/>
      <c r="G14" s="1317"/>
      <c r="H14" s="1317"/>
      <c r="I14" s="1317"/>
      <c r="J14" s="1318"/>
      <c r="K14" s="1317"/>
      <c r="L14" s="1317" t="s">
        <v>656</v>
      </c>
      <c r="M14" s="1317"/>
      <c r="N14" s="1317"/>
      <c r="O14" s="1317"/>
      <c r="P14" s="1317"/>
      <c r="Q14" s="1317"/>
      <c r="R14" s="1317"/>
      <c r="S14" s="1317"/>
      <c r="T14" s="1317"/>
      <c r="U14" s="1317"/>
      <c r="V14" s="1317"/>
      <c r="W14" s="1317"/>
      <c r="X14" s="1317"/>
      <c r="Y14" s="1317"/>
      <c r="Z14" s="1317"/>
      <c r="AA14" s="1317"/>
      <c r="AB14" s="1319"/>
      <c r="AD14" s="1292"/>
    </row>
    <row r="15" spans="2:30" ht="19.75" customHeight="1">
      <c r="B15" s="1293"/>
      <c r="C15" s="1294"/>
      <c r="D15" s="1335" t="b">
        <v>0</v>
      </c>
      <c r="E15" s="1317" t="s">
        <v>1254</v>
      </c>
      <c r="F15" s="1317"/>
      <c r="G15" s="1317"/>
      <c r="H15" s="1317"/>
      <c r="I15" s="1317"/>
      <c r="J15" s="1318"/>
      <c r="K15" s="1317"/>
      <c r="L15" s="1317" t="s">
        <v>655</v>
      </c>
      <c r="M15" s="1317"/>
      <c r="N15" s="1317"/>
      <c r="O15" s="1317"/>
      <c r="P15" s="1317"/>
      <c r="Q15" s="1317"/>
      <c r="R15" s="1317"/>
      <c r="S15" s="1317"/>
      <c r="T15" s="1317"/>
      <c r="U15" s="1317"/>
      <c r="V15" s="1317"/>
      <c r="W15" s="1317"/>
      <c r="X15" s="1317"/>
      <c r="Y15" s="1317"/>
      <c r="Z15" s="1317"/>
      <c r="AA15" s="1317"/>
      <c r="AB15" s="1319"/>
      <c r="AD15" s="1292"/>
    </row>
    <row r="16" spans="2:30" ht="19.75" customHeight="1">
      <c r="B16" s="1293"/>
      <c r="C16" s="1294"/>
      <c r="D16" s="1335" t="b">
        <v>1</v>
      </c>
      <c r="E16" s="1317" t="s">
        <v>1255</v>
      </c>
      <c r="F16" s="1317"/>
      <c r="G16" s="1317"/>
      <c r="H16" s="1317"/>
      <c r="I16" s="1317"/>
      <c r="J16" s="1318"/>
      <c r="K16" s="1317"/>
      <c r="L16" s="1317" t="s">
        <v>654</v>
      </c>
      <c r="M16" s="1317"/>
      <c r="N16" s="1317"/>
      <c r="O16" s="1317"/>
      <c r="P16" s="1317"/>
      <c r="Q16" s="1317"/>
      <c r="R16" s="1317"/>
      <c r="S16" s="1317"/>
      <c r="T16" s="1317"/>
      <c r="U16" s="1317"/>
      <c r="V16" s="1317"/>
      <c r="W16" s="1317"/>
      <c r="X16" s="1317"/>
      <c r="Y16" s="1317"/>
      <c r="Z16" s="1317"/>
      <c r="AA16" s="1317"/>
      <c r="AB16" s="1319"/>
      <c r="AD16" s="1292"/>
    </row>
    <row r="17" spans="2:30" ht="19.75" customHeight="1">
      <c r="B17" s="1293"/>
      <c r="C17" s="1294"/>
      <c r="D17" s="1335" t="b">
        <v>1</v>
      </c>
      <c r="E17" s="1317" t="s">
        <v>1256</v>
      </c>
      <c r="F17" s="1317"/>
      <c r="G17" s="1317"/>
      <c r="H17" s="1317"/>
      <c r="I17" s="1317"/>
      <c r="J17" s="1318"/>
      <c r="K17" s="1317"/>
      <c r="L17" s="1317" t="s">
        <v>653</v>
      </c>
      <c r="M17" s="1317"/>
      <c r="N17" s="1317"/>
      <c r="O17" s="1317"/>
      <c r="P17" s="1317"/>
      <c r="Q17" s="1317"/>
      <c r="R17" s="1317"/>
      <c r="S17" s="1317"/>
      <c r="T17" s="1317"/>
      <c r="U17" s="1317"/>
      <c r="V17" s="1317"/>
      <c r="W17" s="1317"/>
      <c r="X17" s="1317"/>
      <c r="Y17" s="1317"/>
      <c r="Z17" s="1317"/>
      <c r="AA17" s="1317"/>
      <c r="AB17" s="1319"/>
      <c r="AD17" s="1292"/>
    </row>
    <row r="18" spans="2:30" ht="34" customHeight="1">
      <c r="B18" s="1293"/>
      <c r="C18" s="1294"/>
      <c r="D18" s="1335" t="b">
        <v>1</v>
      </c>
      <c r="E18" s="1320" t="s">
        <v>1851</v>
      </c>
      <c r="F18" s="1317"/>
      <c r="G18" s="1317"/>
      <c r="H18" s="1317"/>
      <c r="I18" s="1317"/>
      <c r="J18" s="1318"/>
      <c r="K18" s="1317"/>
      <c r="L18" s="3709" t="s">
        <v>1536</v>
      </c>
      <c r="M18" s="3709"/>
      <c r="N18" s="3709"/>
      <c r="O18" s="3709"/>
      <c r="P18" s="3709"/>
      <c r="Q18" s="3709"/>
      <c r="R18" s="3709"/>
      <c r="S18" s="3709"/>
      <c r="T18" s="3709"/>
      <c r="U18" s="3709"/>
      <c r="V18" s="3709"/>
      <c r="W18" s="3709"/>
      <c r="X18" s="3709"/>
      <c r="Y18" s="3709"/>
      <c r="Z18" s="3709"/>
      <c r="AA18" s="3709"/>
      <c r="AB18" s="1319"/>
      <c r="AD18" s="1292"/>
    </row>
    <row r="19" spans="2:30" ht="46" customHeight="1">
      <c r="B19" s="1293"/>
      <c r="C19" s="1294"/>
      <c r="D19" s="1335" t="b">
        <v>1</v>
      </c>
      <c r="E19" s="1320" t="s">
        <v>1852</v>
      </c>
      <c r="F19" s="1317"/>
      <c r="G19" s="1317"/>
      <c r="H19" s="1317"/>
      <c r="I19" s="1317"/>
      <c r="J19" s="1318"/>
      <c r="K19" s="1317"/>
      <c r="L19" s="3709" t="s">
        <v>1537</v>
      </c>
      <c r="M19" s="3709"/>
      <c r="N19" s="3709"/>
      <c r="O19" s="3709"/>
      <c r="P19" s="3709"/>
      <c r="Q19" s="3709"/>
      <c r="R19" s="3709"/>
      <c r="S19" s="3709"/>
      <c r="T19" s="3709"/>
      <c r="U19" s="3709"/>
      <c r="V19" s="3709"/>
      <c r="W19" s="3709"/>
      <c r="X19" s="3709"/>
      <c r="Y19" s="3709"/>
      <c r="Z19" s="3709"/>
      <c r="AA19" s="3709"/>
      <c r="AB19" s="1319"/>
      <c r="AD19" s="1292"/>
    </row>
    <row r="20" spans="2:30" ht="19.75" customHeight="1" thickBot="1">
      <c r="B20" s="1293"/>
      <c r="C20" s="1294"/>
      <c r="D20" s="1336" t="b">
        <v>1</v>
      </c>
      <c r="E20" s="1321" t="s">
        <v>1538</v>
      </c>
      <c r="F20" s="1322"/>
      <c r="G20" s="1322"/>
      <c r="H20" s="1322"/>
      <c r="I20" s="1322"/>
      <c r="J20" s="1323"/>
      <c r="K20" s="1322"/>
      <c r="L20" s="1321" t="s">
        <v>1539</v>
      </c>
      <c r="M20" s="1322"/>
      <c r="N20" s="1322"/>
      <c r="O20" s="1322"/>
      <c r="P20" s="1322"/>
      <c r="Q20" s="1322"/>
      <c r="R20" s="1322"/>
      <c r="S20" s="1322"/>
      <c r="T20" s="1322"/>
      <c r="U20" s="1322"/>
      <c r="V20" s="1322"/>
      <c r="W20" s="1322"/>
      <c r="X20" s="1322"/>
      <c r="Y20" s="1322"/>
      <c r="Z20" s="1322"/>
      <c r="AA20" s="1322"/>
      <c r="AB20" s="1324"/>
      <c r="AD20" s="1292"/>
    </row>
    <row r="21" spans="2:30" ht="19.75" customHeight="1" thickTop="1" thickBot="1">
      <c r="B21" s="1293"/>
      <c r="C21" s="1294"/>
      <c r="D21" s="1311" t="s">
        <v>1540</v>
      </c>
      <c r="E21" s="1312"/>
      <c r="F21" s="1312"/>
      <c r="G21" s="1312"/>
      <c r="H21" s="1312"/>
      <c r="I21" s="1312"/>
      <c r="J21" s="1312"/>
      <c r="K21" s="1312"/>
      <c r="L21" s="1312"/>
      <c r="M21" s="1312"/>
      <c r="N21" s="1312"/>
      <c r="O21" s="1312"/>
      <c r="P21" s="1312"/>
      <c r="Q21" s="1312"/>
      <c r="R21" s="1312"/>
      <c r="S21" s="1312"/>
      <c r="T21" s="1312"/>
      <c r="U21" s="1312"/>
      <c r="V21" s="1312"/>
      <c r="W21" s="1312"/>
      <c r="X21" s="1312"/>
      <c r="Y21" s="1312"/>
      <c r="Z21" s="1312"/>
      <c r="AA21" s="1312"/>
      <c r="AB21" s="1313"/>
      <c r="AC21" s="1312"/>
      <c r="AD21" s="1325"/>
    </row>
    <row r="22" spans="2:30" ht="19.75" customHeight="1">
      <c r="B22" s="1293"/>
      <c r="C22" s="1294"/>
      <c r="D22" s="1334" t="b">
        <v>1</v>
      </c>
      <c r="E22" s="1314" t="s">
        <v>1258</v>
      </c>
      <c r="F22" s="1314"/>
      <c r="G22" s="1314"/>
      <c r="H22" s="1314"/>
      <c r="I22" s="1314"/>
      <c r="J22" s="1326"/>
      <c r="K22" s="1314"/>
      <c r="L22" s="1314" t="s">
        <v>651</v>
      </c>
      <c r="M22" s="1314"/>
      <c r="N22" s="1314"/>
      <c r="O22" s="1314"/>
      <c r="P22" s="1314"/>
      <c r="Q22" s="1314"/>
      <c r="R22" s="1314"/>
      <c r="S22" s="1314"/>
      <c r="T22" s="1314"/>
      <c r="U22" s="1314"/>
      <c r="V22" s="1314"/>
      <c r="W22" s="1314"/>
      <c r="X22" s="1314"/>
      <c r="Y22" s="1314"/>
      <c r="Z22" s="1314"/>
      <c r="AA22" s="1314"/>
      <c r="AB22" s="1316"/>
      <c r="AD22" s="1292"/>
    </row>
    <row r="23" spans="2:30" ht="19.75" customHeight="1">
      <c r="B23" s="1293"/>
      <c r="C23" s="1294"/>
      <c r="D23" s="1335" t="b">
        <v>1</v>
      </c>
      <c r="E23" s="1320" t="s">
        <v>1260</v>
      </c>
      <c r="F23" s="1317"/>
      <c r="G23" s="1317"/>
      <c r="H23" s="1317"/>
      <c r="I23" s="1317"/>
      <c r="J23" s="1327"/>
      <c r="K23" s="1317"/>
      <c r="L23" s="1320" t="s">
        <v>649</v>
      </c>
      <c r="M23" s="1317"/>
      <c r="N23" s="1317"/>
      <c r="O23" s="1317"/>
      <c r="P23" s="1317"/>
      <c r="Q23" s="1317"/>
      <c r="R23" s="1317"/>
      <c r="S23" s="1317"/>
      <c r="T23" s="1317"/>
      <c r="U23" s="1317"/>
      <c r="V23" s="1317"/>
      <c r="W23" s="1317"/>
      <c r="X23" s="1317"/>
      <c r="Y23" s="1317"/>
      <c r="Z23" s="1317"/>
      <c r="AA23" s="1317"/>
      <c r="AB23" s="1319"/>
      <c r="AD23" s="1292"/>
    </row>
    <row r="24" spans="2:30" ht="19.75" customHeight="1">
      <c r="B24" s="1293"/>
      <c r="C24" s="1294"/>
      <c r="D24" s="1335" t="b">
        <v>1</v>
      </c>
      <c r="E24" s="1317" t="s">
        <v>1259</v>
      </c>
      <c r="F24" s="1317"/>
      <c r="G24" s="1317"/>
      <c r="H24" s="1317"/>
      <c r="I24" s="1317"/>
      <c r="J24" s="1327"/>
      <c r="K24" s="1317"/>
      <c r="L24" s="1317" t="s">
        <v>650</v>
      </c>
      <c r="M24" s="1317"/>
      <c r="N24" s="1317"/>
      <c r="O24" s="1317"/>
      <c r="P24" s="1317"/>
      <c r="Q24" s="1317"/>
      <c r="R24" s="1317"/>
      <c r="S24" s="1317"/>
      <c r="T24" s="1317"/>
      <c r="U24" s="1317"/>
      <c r="V24" s="1317"/>
      <c r="W24" s="1317"/>
      <c r="X24" s="1317"/>
      <c r="Y24" s="1317"/>
      <c r="Z24" s="1317"/>
      <c r="AA24" s="1317"/>
      <c r="AB24" s="1319"/>
      <c r="AD24" s="1292"/>
    </row>
    <row r="25" spans="2:30" ht="19.75" customHeight="1">
      <c r="B25" s="1293"/>
      <c r="C25" s="1294"/>
      <c r="D25" s="1335" t="b">
        <v>1</v>
      </c>
      <c r="E25" s="1320" t="s">
        <v>1853</v>
      </c>
      <c r="F25" s="1317"/>
      <c r="G25" s="1317"/>
      <c r="H25" s="1317"/>
      <c r="I25" s="1317"/>
      <c r="J25" s="1327"/>
      <c r="K25" s="1317"/>
      <c r="L25" s="1320" t="s">
        <v>1541</v>
      </c>
      <c r="M25" s="1317"/>
      <c r="N25" s="1317"/>
      <c r="O25" s="1317"/>
      <c r="P25" s="1317"/>
      <c r="Q25" s="1317"/>
      <c r="R25" s="1317"/>
      <c r="S25" s="1317"/>
      <c r="T25" s="1317"/>
      <c r="U25" s="1317"/>
      <c r="V25" s="1317"/>
      <c r="W25" s="1317"/>
      <c r="X25" s="1317"/>
      <c r="Y25" s="1317"/>
      <c r="Z25" s="1317"/>
      <c r="AA25" s="1317"/>
      <c r="AB25" s="1319"/>
      <c r="AD25" s="1292"/>
    </row>
    <row r="26" spans="2:30" ht="19.75" customHeight="1" thickBot="1">
      <c r="B26" s="1293"/>
      <c r="C26" s="1294"/>
      <c r="D26" s="1337" t="b">
        <v>1</v>
      </c>
      <c r="E26" s="1328" t="s">
        <v>1257</v>
      </c>
      <c r="F26" s="1283"/>
      <c r="G26" s="1283"/>
      <c r="H26" s="1283"/>
      <c r="I26" s="1283"/>
      <c r="J26" s="1329"/>
      <c r="K26" s="1283"/>
      <c r="L26" s="1328" t="s">
        <v>652</v>
      </c>
      <c r="M26" s="1283"/>
      <c r="N26" s="1283"/>
      <c r="O26" s="1283"/>
      <c r="P26" s="1283"/>
      <c r="Q26" s="1283"/>
      <c r="R26" s="1283"/>
      <c r="S26" s="1283"/>
      <c r="T26" s="1283"/>
      <c r="U26" s="1283"/>
      <c r="V26" s="1283"/>
      <c r="W26" s="1283"/>
      <c r="X26" s="1283"/>
      <c r="Y26" s="1283"/>
      <c r="Z26" s="1283"/>
      <c r="AA26" s="1283"/>
      <c r="AB26" s="1330"/>
      <c r="AD26" s="1292"/>
    </row>
    <row r="27" spans="2:30" ht="10" customHeight="1" thickTop="1">
      <c r="B27" s="1293"/>
      <c r="C27" s="1294"/>
      <c r="D27" s="1294"/>
      <c r="E27" s="1050"/>
      <c r="AD27" s="1292"/>
    </row>
    <row r="28" spans="2:30" ht="32.15" customHeight="1" thickBot="1">
      <c r="B28" s="1298"/>
      <c r="C28" s="1299" t="s">
        <v>152</v>
      </c>
      <c r="D28" s="3703" t="s">
        <v>1542</v>
      </c>
      <c r="E28" s="3703"/>
      <c r="F28" s="3703"/>
      <c r="G28" s="3703"/>
      <c r="H28" s="3703"/>
      <c r="I28" s="3703"/>
      <c r="J28" s="3703"/>
      <c r="K28" s="3703"/>
      <c r="L28" s="3703"/>
      <c r="M28" s="3703"/>
      <c r="N28" s="3703"/>
      <c r="O28" s="3703"/>
      <c r="P28" s="3703"/>
      <c r="Q28" s="3703"/>
      <c r="R28" s="3703"/>
      <c r="S28" s="3703"/>
      <c r="T28" s="3703"/>
      <c r="U28" s="3703"/>
      <c r="V28" s="3703"/>
      <c r="W28" s="3703"/>
      <c r="X28" s="3703"/>
      <c r="Y28" s="3703"/>
      <c r="Z28" s="3703"/>
      <c r="AA28" s="3703"/>
      <c r="AB28" s="3703"/>
      <c r="AC28" s="1300"/>
      <c r="AD28" s="1301"/>
    </row>
    <row r="29" spans="2:30" s="1291" customFormat="1" ht="59.15" customHeight="1" thickTop="1" thickBot="1">
      <c r="B29" s="1331"/>
      <c r="C29" s="1332"/>
      <c r="D29" s="3710" t="s">
        <v>1824</v>
      </c>
      <c r="E29" s="3711"/>
      <c r="F29" s="3711"/>
      <c r="G29" s="3711"/>
      <c r="H29" s="3711"/>
      <c r="I29" s="3711"/>
      <c r="J29" s="3712" t="s">
        <v>1661</v>
      </c>
      <c r="K29" s="3711"/>
      <c r="L29" s="3711"/>
      <c r="M29" s="3711"/>
      <c r="N29" s="3711"/>
      <c r="O29" s="3713"/>
      <c r="P29" s="3712" t="s">
        <v>1662</v>
      </c>
      <c r="Q29" s="3711"/>
      <c r="R29" s="3711"/>
      <c r="S29" s="3711"/>
      <c r="T29" s="3711"/>
      <c r="U29" s="3713"/>
      <c r="V29" s="3711" t="s">
        <v>1813</v>
      </c>
      <c r="W29" s="3711"/>
      <c r="X29" s="3711"/>
      <c r="Y29" s="3711"/>
      <c r="Z29" s="3711"/>
      <c r="AA29" s="3714"/>
      <c r="AB29" s="1332"/>
      <c r="AC29" s="1332"/>
      <c r="AD29" s="1333"/>
    </row>
    <row r="30" spans="2:30" s="1291" customFormat="1" ht="19.5" customHeight="1" thickBot="1">
      <c r="B30" s="1293"/>
      <c r="C30" s="1294"/>
      <c r="D30" s="3715" t="s">
        <v>15</v>
      </c>
      <c r="E30" s="3716"/>
      <c r="F30" s="3717"/>
      <c r="G30" s="3716" t="s">
        <v>16</v>
      </c>
      <c r="H30" s="3716"/>
      <c r="I30" s="3716"/>
      <c r="J30" s="3718" t="s">
        <v>15</v>
      </c>
      <c r="K30" s="3716" t="s">
        <v>16</v>
      </c>
      <c r="L30" s="3717"/>
      <c r="M30" s="3716" t="s">
        <v>16</v>
      </c>
      <c r="N30" s="3716"/>
      <c r="O30" s="3719"/>
      <c r="P30" s="3718" t="s">
        <v>15</v>
      </c>
      <c r="Q30" s="3716" t="s">
        <v>16</v>
      </c>
      <c r="R30" s="3717"/>
      <c r="S30" s="3716" t="s">
        <v>16</v>
      </c>
      <c r="T30" s="3716"/>
      <c r="U30" s="3719"/>
      <c r="V30" s="3716" t="s">
        <v>15</v>
      </c>
      <c r="W30" s="3716" t="s">
        <v>16</v>
      </c>
      <c r="X30" s="3717"/>
      <c r="Y30" s="3720" t="s">
        <v>16</v>
      </c>
      <c r="Z30" s="3716"/>
      <c r="AA30" s="3721"/>
      <c r="AD30" s="1292"/>
    </row>
    <row r="31" spans="2:30" s="1291" customFormat="1" ht="30" customHeight="1" thickTop="1" thickBot="1">
      <c r="B31" s="1293"/>
      <c r="C31" s="1294"/>
      <c r="D31" s="3722">
        <v>524</v>
      </c>
      <c r="E31" s="3723"/>
      <c r="F31" s="3724"/>
      <c r="G31" s="3725">
        <v>499</v>
      </c>
      <c r="H31" s="3726"/>
      <c r="I31" s="3726"/>
      <c r="J31" s="3727">
        <v>0</v>
      </c>
      <c r="K31" s="3723"/>
      <c r="L31" s="3724"/>
      <c r="M31" s="3726">
        <v>0</v>
      </c>
      <c r="N31" s="3726"/>
      <c r="O31" s="3728"/>
      <c r="P31" s="3727">
        <v>0</v>
      </c>
      <c r="Q31" s="3723"/>
      <c r="R31" s="3724"/>
      <c r="S31" s="3726">
        <v>0</v>
      </c>
      <c r="T31" s="3726"/>
      <c r="U31" s="3728"/>
      <c r="V31" s="3723">
        <v>39</v>
      </c>
      <c r="W31" s="3723"/>
      <c r="X31" s="3724"/>
      <c r="Y31" s="3725">
        <v>16</v>
      </c>
      <c r="Z31" s="3726"/>
      <c r="AA31" s="3729"/>
      <c r="AD31" s="1292"/>
    </row>
    <row r="32" spans="2:30" s="1291" customFormat="1" ht="5.15" customHeight="1" thickTop="1">
      <c r="B32" s="1293"/>
      <c r="C32" s="1294"/>
      <c r="D32" s="1295"/>
      <c r="E32" s="1295"/>
      <c r="F32" s="1295"/>
      <c r="G32" s="1296"/>
      <c r="H32" s="1296"/>
      <c r="I32" s="1296"/>
      <c r="J32" s="1297"/>
      <c r="K32" s="1297"/>
      <c r="L32" s="1297"/>
      <c r="M32" s="1296"/>
      <c r="N32" s="1296"/>
      <c r="O32" s="1296"/>
      <c r="P32" s="1297"/>
      <c r="Q32" s="1297"/>
      <c r="R32" s="1297"/>
      <c r="S32" s="1296"/>
      <c r="T32" s="1296"/>
      <c r="U32" s="1296"/>
      <c r="V32" s="1297"/>
      <c r="W32" s="1297"/>
      <c r="X32" s="1297"/>
      <c r="Y32" s="1296"/>
      <c r="Z32" s="1296"/>
      <c r="AA32" s="1296"/>
      <c r="AD32" s="1292"/>
    </row>
    <row r="33" spans="2:30" s="1291" customFormat="1" ht="34" customHeight="1">
      <c r="B33" s="1293"/>
      <c r="C33" s="1294"/>
      <c r="D33" s="216" t="s">
        <v>143</v>
      </c>
      <c r="E33" s="1295"/>
      <c r="F33" s="1295"/>
      <c r="G33" s="3731" t="s">
        <v>1814</v>
      </c>
      <c r="H33" s="3731"/>
      <c r="I33" s="3731"/>
      <c r="J33" s="3731"/>
      <c r="K33" s="3731"/>
      <c r="L33" s="3731"/>
      <c r="M33" s="3731"/>
      <c r="N33" s="3731"/>
      <c r="O33" s="3731"/>
      <c r="P33" s="3731"/>
      <c r="Q33" s="3731"/>
      <c r="R33" s="3731"/>
      <c r="S33" s="3731"/>
      <c r="T33" s="3731"/>
      <c r="U33" s="3731"/>
      <c r="V33" s="3731"/>
      <c r="W33" s="3731"/>
      <c r="X33" s="3731"/>
      <c r="Y33" s="3731"/>
      <c r="Z33" s="3731"/>
      <c r="AA33" s="3731"/>
      <c r="AD33" s="1292"/>
    </row>
    <row r="34" spans="2:30" s="1291" customFormat="1" ht="10" customHeight="1">
      <c r="B34" s="1293"/>
      <c r="C34" s="1294"/>
      <c r="D34" s="1294"/>
      <c r="E34" s="647"/>
      <c r="AD34" s="1292"/>
    </row>
    <row r="35" spans="2:30" ht="32.15" customHeight="1" thickBot="1">
      <c r="B35" s="1298"/>
      <c r="C35" s="1299" t="s">
        <v>153</v>
      </c>
      <c r="D35" s="3732" t="s">
        <v>1854</v>
      </c>
      <c r="E35" s="3732"/>
      <c r="F35" s="3732"/>
      <c r="G35" s="3732"/>
      <c r="H35" s="3732"/>
      <c r="I35" s="3732"/>
      <c r="J35" s="3732"/>
      <c r="K35" s="3732"/>
      <c r="L35" s="3732"/>
      <c r="M35" s="3732"/>
      <c r="N35" s="3732"/>
      <c r="O35" s="3732"/>
      <c r="P35" s="3732"/>
      <c r="Q35" s="3732"/>
      <c r="R35" s="3732"/>
      <c r="S35" s="3732"/>
      <c r="T35" s="3732"/>
      <c r="U35" s="3732"/>
      <c r="V35" s="3732"/>
      <c r="W35" s="3732"/>
      <c r="X35" s="3732"/>
      <c r="Y35" s="3732"/>
      <c r="Z35" s="3732"/>
      <c r="AA35" s="3732"/>
      <c r="AB35" s="3732"/>
      <c r="AC35" s="1300"/>
      <c r="AD35" s="1301"/>
    </row>
    <row r="36" spans="2:30" s="1291" customFormat="1" ht="33.65" customHeight="1" thickTop="1" thickBot="1">
      <c r="B36" s="1293"/>
      <c r="C36" s="1294"/>
      <c r="D36" s="3733" t="s">
        <v>341</v>
      </c>
      <c r="E36" s="3734"/>
      <c r="F36" s="3734"/>
      <c r="G36" s="3734"/>
      <c r="H36" s="3734"/>
      <c r="I36" s="3735" t="s">
        <v>854</v>
      </c>
      <c r="J36" s="3736"/>
      <c r="K36" s="3736"/>
      <c r="L36" s="3736"/>
      <c r="M36" s="3737"/>
      <c r="N36" s="3738" t="s">
        <v>206</v>
      </c>
      <c r="O36" s="3736"/>
      <c r="P36" s="3736"/>
      <c r="Q36" s="3736"/>
      <c r="R36" s="3739"/>
      <c r="S36" s="3735" t="s">
        <v>1543</v>
      </c>
      <c r="T36" s="3736"/>
      <c r="U36" s="3736"/>
      <c r="V36" s="3736"/>
      <c r="W36" s="3737"/>
      <c r="X36" s="3734" t="s">
        <v>1544</v>
      </c>
      <c r="Y36" s="3734"/>
      <c r="Z36" s="3734"/>
      <c r="AA36" s="3734"/>
      <c r="AB36" s="3740"/>
      <c r="AD36" s="1292"/>
    </row>
    <row r="37" spans="2:30" s="1291" customFormat="1" ht="30" customHeight="1" thickTop="1" thickBot="1">
      <c r="B37" s="1293"/>
      <c r="C37" s="1294"/>
      <c r="D37" s="3741">
        <v>0</v>
      </c>
      <c r="E37" s="3742"/>
      <c r="F37" s="3742"/>
      <c r="G37" s="3742"/>
      <c r="H37" s="3742"/>
      <c r="I37" s="3743">
        <v>0</v>
      </c>
      <c r="J37" s="3744"/>
      <c r="K37" s="3744"/>
      <c r="L37" s="3744"/>
      <c r="M37" s="3745"/>
      <c r="N37" s="3746">
        <v>0</v>
      </c>
      <c r="O37" s="3744"/>
      <c r="P37" s="3744"/>
      <c r="Q37" s="3744"/>
      <c r="R37" s="3747"/>
      <c r="S37" s="3743">
        <v>0</v>
      </c>
      <c r="T37" s="3744"/>
      <c r="U37" s="3744"/>
      <c r="V37" s="3744"/>
      <c r="W37" s="3745"/>
      <c r="X37" s="3742">
        <v>0</v>
      </c>
      <c r="Y37" s="3742"/>
      <c r="Z37" s="3742"/>
      <c r="AA37" s="3742"/>
      <c r="AB37" s="3748"/>
      <c r="AD37" s="1292"/>
    </row>
    <row r="38" spans="2:30" ht="10" customHeight="1" thickTop="1" thickBot="1">
      <c r="B38" s="1281"/>
      <c r="C38" s="1282"/>
      <c r="D38" s="1283"/>
      <c r="E38" s="1284"/>
      <c r="F38" s="1284"/>
      <c r="G38" s="1284"/>
      <c r="H38" s="1284"/>
      <c r="I38" s="1284"/>
      <c r="J38" s="1284"/>
      <c r="K38" s="1285"/>
      <c r="L38" s="1285"/>
      <c r="M38" s="1285"/>
      <c r="N38" s="1285"/>
      <c r="O38" s="1285"/>
      <c r="P38" s="1285"/>
      <c r="Q38" s="1285"/>
      <c r="R38" s="1285"/>
      <c r="S38" s="1285"/>
      <c r="T38" s="1285"/>
      <c r="U38" s="1285"/>
      <c r="V38" s="1285"/>
      <c r="W38" s="1285"/>
      <c r="X38" s="1285"/>
      <c r="Y38" s="1285"/>
      <c r="Z38" s="1285"/>
      <c r="AA38" s="1285"/>
      <c r="AB38" s="1285"/>
      <c r="AC38" s="1285"/>
      <c r="AD38" s="1286"/>
    </row>
    <row r="39" spans="2:30" s="1236" customFormat="1" ht="5.15" customHeight="1" thickTop="1">
      <c r="B39" s="1288"/>
      <c r="H39" s="1289"/>
      <c r="I39" s="1289"/>
      <c r="J39" s="1289"/>
      <c r="K39" s="1289"/>
      <c r="O39" s="1289"/>
      <c r="P39" s="1289"/>
      <c r="Q39" s="1289"/>
      <c r="R39" s="1289"/>
      <c r="S39" s="1289"/>
      <c r="T39" s="1289"/>
      <c r="U39" s="1289"/>
      <c r="X39" s="1289"/>
      <c r="Y39" s="1289"/>
      <c r="Z39" s="1289"/>
      <c r="AA39" s="1289"/>
      <c r="AB39" s="1289"/>
      <c r="AC39" s="1289"/>
    </row>
    <row r="40" spans="2:30" s="342" customFormat="1">
      <c r="B40" s="3730" t="s">
        <v>1855</v>
      </c>
      <c r="C40" s="3730"/>
      <c r="D40" s="3730"/>
      <c r="E40" s="3730"/>
      <c r="F40" s="3730"/>
      <c r="G40" s="3730"/>
      <c r="H40" s="3730"/>
      <c r="I40" s="3730"/>
      <c r="J40" s="3730"/>
      <c r="K40" s="3730"/>
      <c r="L40" s="3730"/>
      <c r="M40" s="3730"/>
      <c r="N40" s="3730"/>
      <c r="O40" s="3730"/>
      <c r="P40" s="3730"/>
      <c r="Q40" s="3730"/>
      <c r="R40" s="3730"/>
      <c r="S40" s="3730"/>
      <c r="T40" s="3730"/>
      <c r="U40" s="3730"/>
      <c r="V40" s="3730"/>
      <c r="W40" s="3730"/>
      <c r="X40" s="3730"/>
      <c r="Y40" s="3730"/>
      <c r="Z40" s="3730"/>
      <c r="AA40" s="3730"/>
      <c r="AB40" s="3730"/>
      <c r="AC40" s="3730"/>
      <c r="AD40" s="3730"/>
    </row>
    <row r="41" spans="2:30" s="602" customFormat="1" ht="30.75" customHeight="1"/>
    <row r="42" spans="2:30" s="1235" customFormat="1" ht="14">
      <c r="B42" s="169" t="s">
        <v>847</v>
      </c>
      <c r="R42" s="169" t="s">
        <v>747</v>
      </c>
    </row>
    <row r="43" spans="2:30" s="1235" customFormat="1" ht="21.75" customHeight="1">
      <c r="B43" s="169" t="s">
        <v>748</v>
      </c>
      <c r="F43" s="3607" t="str">
        <f>activesheet!E29</f>
        <v>RICO S. MISPEROS</v>
      </c>
      <c r="G43" s="3607"/>
      <c r="H43" s="3607"/>
      <c r="I43" s="3607"/>
      <c r="J43" s="3607"/>
      <c r="K43" s="3607"/>
      <c r="L43" s="3607"/>
      <c r="M43" s="3607"/>
      <c r="N43" s="3607"/>
      <c r="O43" s="1290"/>
      <c r="P43" s="1290"/>
      <c r="Q43" s="1290"/>
      <c r="R43" s="3607" t="str">
        <f>activesheet!E3244</f>
        <v>ELYN KENDRA D. DELA CRUZ</v>
      </c>
      <c r="S43" s="3607"/>
      <c r="T43" s="3607"/>
      <c r="U43" s="3607"/>
      <c r="V43" s="3607"/>
      <c r="W43" s="3607"/>
      <c r="X43" s="3607"/>
      <c r="Y43" s="3607"/>
      <c r="Z43" s="3607"/>
      <c r="AA43" s="3607"/>
      <c r="AB43" s="3607"/>
      <c r="AC43" s="3607"/>
      <c r="AD43" s="3607"/>
    </row>
    <row r="44" spans="2:30" s="1237" customFormat="1" ht="14.15" customHeight="1">
      <c r="B44" s="655"/>
      <c r="F44" s="1776" t="s">
        <v>741</v>
      </c>
      <c r="G44" s="1776"/>
      <c r="H44" s="1776"/>
      <c r="I44" s="1776"/>
      <c r="J44" s="1776"/>
      <c r="K44" s="1776"/>
      <c r="L44" s="1776"/>
      <c r="M44" s="1776"/>
      <c r="N44" s="1776"/>
      <c r="O44" s="151"/>
      <c r="P44" s="151"/>
      <c r="Q44" s="151"/>
      <c r="R44" s="1776" t="s">
        <v>741</v>
      </c>
      <c r="S44" s="1776"/>
      <c r="T44" s="1776"/>
      <c r="U44" s="1776"/>
      <c r="V44" s="1776"/>
      <c r="W44" s="1776"/>
      <c r="X44" s="1776"/>
      <c r="Y44" s="1776"/>
      <c r="Z44" s="1776"/>
      <c r="AA44" s="1776"/>
      <c r="AB44" s="1776"/>
      <c r="AC44" s="1776"/>
      <c r="AD44" s="1776"/>
    </row>
    <row r="45" spans="2:30" s="1235" customFormat="1" ht="21.75" customHeight="1">
      <c r="B45" s="169" t="s">
        <v>71</v>
      </c>
      <c r="F45" s="3607" t="str">
        <f>activesheet!E30</f>
        <v>SCHOOL PRINCIPAL II</v>
      </c>
      <c r="G45" s="3607"/>
      <c r="H45" s="3607"/>
      <c r="I45" s="3607"/>
      <c r="J45" s="3607"/>
      <c r="K45" s="3607"/>
      <c r="L45" s="3607"/>
      <c r="M45" s="3607"/>
      <c r="N45" s="3607"/>
      <c r="O45" s="1290"/>
      <c r="P45" s="1290"/>
      <c r="Q45" s="1290"/>
      <c r="R45" s="169" t="s">
        <v>71</v>
      </c>
      <c r="V45" s="3607" t="str">
        <f>activesheet!E3245</f>
        <v>Project Development Officer II</v>
      </c>
      <c r="W45" s="3607"/>
      <c r="X45" s="3607"/>
      <c r="Y45" s="3607"/>
      <c r="Z45" s="3607"/>
      <c r="AA45" s="3607"/>
      <c r="AB45" s="3607"/>
      <c r="AC45" s="3607"/>
      <c r="AD45" s="3607"/>
    </row>
    <row r="46" spans="2:30" s="602" customFormat="1" ht="30.75" customHeight="1"/>
    <row r="47" spans="2:30" s="1235" customFormat="1" ht="14">
      <c r="J47" s="169" t="s">
        <v>783</v>
      </c>
    </row>
    <row r="48" spans="2:30" s="1235" customFormat="1" ht="21.75" customHeight="1">
      <c r="J48" s="1956" t="str">
        <f>activesheet!E31</f>
        <v>MICHAEL T. JAMIS</v>
      </c>
      <c r="K48" s="1956"/>
      <c r="L48" s="1956"/>
      <c r="M48" s="1956"/>
      <c r="N48" s="1956"/>
      <c r="O48" s="1956"/>
      <c r="P48" s="1956"/>
      <c r="Q48" s="1956"/>
      <c r="R48" s="1956"/>
      <c r="S48" s="1956"/>
      <c r="T48" s="1956"/>
      <c r="U48" s="1956"/>
      <c r="V48" s="1956"/>
    </row>
    <row r="49" spans="9:23" s="1237" customFormat="1" ht="14.15" customHeight="1">
      <c r="J49" s="1957"/>
      <c r="K49" s="1957"/>
      <c r="L49" s="1957"/>
      <c r="M49" s="1957"/>
      <c r="N49" s="1957"/>
      <c r="O49" s="1957"/>
      <c r="P49" s="1957"/>
      <c r="Q49" s="1957"/>
      <c r="R49" s="1957"/>
      <c r="S49" s="1957"/>
      <c r="T49" s="1957"/>
      <c r="U49" s="1957"/>
      <c r="V49" s="1957"/>
    </row>
    <row r="50" spans="9:23" s="1235" customFormat="1" ht="21.75" customHeight="1">
      <c r="J50" s="1776" t="s">
        <v>741</v>
      </c>
      <c r="K50" s="1776"/>
      <c r="L50" s="1776"/>
      <c r="M50" s="1776"/>
      <c r="N50" s="1776"/>
      <c r="O50" s="1776"/>
      <c r="P50" s="1776"/>
      <c r="Q50" s="1776"/>
      <c r="R50" s="1776"/>
      <c r="S50" s="1776"/>
      <c r="T50" s="1776"/>
      <c r="U50" s="1776"/>
      <c r="V50" s="1776"/>
    </row>
    <row r="51" spans="9:23" s="1287" customFormat="1">
      <c r="I51" s="1291"/>
      <c r="J51" s="1291"/>
      <c r="V51" s="1291"/>
      <c r="W51" s="1291"/>
    </row>
  </sheetData>
  <sheetProtection algorithmName="SHA-512" hashValue="GMVoKA2yDBmSl0knjv9h/WOau0c6vSglT28sZzFPX///zoVEzn7S2pcsWrZ3aJkCXH7otsLxIfH6R4KqR/vwrg==" saltValue="K1eNp98bfMqvb2jNp6guhg==" spinCount="100000" sheet="1" objects="1" scenarios="1" selectLockedCells="1"/>
  <mergeCells count="47">
    <mergeCell ref="J48:V49"/>
    <mergeCell ref="J50:V50"/>
    <mergeCell ref="F43:N43"/>
    <mergeCell ref="R43:AD43"/>
    <mergeCell ref="F44:N44"/>
    <mergeCell ref="R44:AD44"/>
    <mergeCell ref="F45:N45"/>
    <mergeCell ref="V45:AD45"/>
    <mergeCell ref="S31:U31"/>
    <mergeCell ref="V31:X31"/>
    <mergeCell ref="Y31:AA31"/>
    <mergeCell ref="B40:AD40"/>
    <mergeCell ref="G33:AA33"/>
    <mergeCell ref="D35:AB35"/>
    <mergeCell ref="D36:H36"/>
    <mergeCell ref="I36:M36"/>
    <mergeCell ref="N36:R36"/>
    <mergeCell ref="S36:W36"/>
    <mergeCell ref="X36:AB36"/>
    <mergeCell ref="D37:H37"/>
    <mergeCell ref="I37:M37"/>
    <mergeCell ref="N37:R37"/>
    <mergeCell ref="S37:W37"/>
    <mergeCell ref="X37:AB37"/>
    <mergeCell ref="D31:F31"/>
    <mergeCell ref="G31:I31"/>
    <mergeCell ref="J31:L31"/>
    <mergeCell ref="M31:O31"/>
    <mergeCell ref="P31:R31"/>
    <mergeCell ref="D29:I29"/>
    <mergeCell ref="J29:O29"/>
    <mergeCell ref="P29:U29"/>
    <mergeCell ref="V29:AA29"/>
    <mergeCell ref="D30:F30"/>
    <mergeCell ref="G30:I30"/>
    <mergeCell ref="J30:L30"/>
    <mergeCell ref="M30:O30"/>
    <mergeCell ref="P30:R30"/>
    <mergeCell ref="S30:U30"/>
    <mergeCell ref="V30:X30"/>
    <mergeCell ref="Y30:AA30"/>
    <mergeCell ref="D28:AB28"/>
    <mergeCell ref="D7:AB7"/>
    <mergeCell ref="E8:J8"/>
    <mergeCell ref="K8:AB8"/>
    <mergeCell ref="L18:AA18"/>
    <mergeCell ref="L19:AA19"/>
  </mergeCells>
  <dataValidations count="2">
    <dataValidation type="whole" allowBlank="1" showInputMessage="1" showErrorMessage="1" errorTitle="GESP SY 2022-2023" error="Please enter valid number between 0 - 20,000." sqref="D31:AA31" xr:uid="{00000000-0002-0000-3000-000000000000}">
      <formula1>0</formula1>
      <formula2>20000</formula2>
    </dataValidation>
    <dataValidation type="whole" allowBlank="1" showInputMessage="1" showErrorMessage="1" errorTitle="GESP SY 2022-2023" error="Please enter valid number between 0 - 999." sqref="D37:AB37" xr:uid="{00000000-0002-0000-3000-000001000000}">
      <formula1>0</formula1>
      <formula2>999</formula2>
    </dataValidation>
  </dataValidations>
  <printOptions horizontalCentered="1" verticalCentered="1"/>
  <pageMargins left="0.25" right="0.25" top="0.2" bottom="0.2" header="0" footer="0.1"/>
  <pageSetup paperSize="9" scale="78" orientation="portrait" r:id="rId1"/>
  <headerFooter>
    <oddFooter>&amp;L&amp;10&amp;F &amp;A&amp;R&amp;10Page 45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5345" r:id="rId4" name="Check Box 1">
              <controlPr locked="0" defaultSize="0" autoFill="0" autoLine="0" autoPict="0">
                <anchor moveWithCells="1">
                  <from>
                    <xdr:col>3</xdr:col>
                    <xdr:colOff>50800</xdr:colOff>
                    <xdr:row>9</xdr:row>
                    <xdr:rowOff>31750</xdr:rowOff>
                  </from>
                  <to>
                    <xdr:col>5</xdr:col>
                    <xdr:colOff>241300</xdr:colOff>
                    <xdr:row>9</xdr:row>
                    <xdr:rowOff>228600</xdr:rowOff>
                  </to>
                </anchor>
              </controlPr>
            </control>
          </mc:Choice>
        </mc:AlternateContent>
        <mc:AlternateContent xmlns:mc="http://schemas.openxmlformats.org/markup-compatibility/2006">
          <mc:Choice Requires="x14">
            <control shapeId="185346" r:id="rId5" name="Check Box 2">
              <controlPr locked="0" defaultSize="0" autoFill="0" autoLine="0" autoPict="0">
                <anchor moveWithCells="1">
                  <from>
                    <xdr:col>3</xdr:col>
                    <xdr:colOff>50800</xdr:colOff>
                    <xdr:row>10</xdr:row>
                    <xdr:rowOff>31750</xdr:rowOff>
                  </from>
                  <to>
                    <xdr:col>5</xdr:col>
                    <xdr:colOff>241300</xdr:colOff>
                    <xdr:row>10</xdr:row>
                    <xdr:rowOff>228600</xdr:rowOff>
                  </to>
                </anchor>
              </controlPr>
            </control>
          </mc:Choice>
        </mc:AlternateContent>
        <mc:AlternateContent xmlns:mc="http://schemas.openxmlformats.org/markup-compatibility/2006">
          <mc:Choice Requires="x14">
            <control shapeId="185347" r:id="rId6" name="Check Box 3">
              <controlPr locked="0" defaultSize="0" autoFill="0" autoLine="0" autoPict="0">
                <anchor moveWithCells="1">
                  <from>
                    <xdr:col>3</xdr:col>
                    <xdr:colOff>50800</xdr:colOff>
                    <xdr:row>11</xdr:row>
                    <xdr:rowOff>31750</xdr:rowOff>
                  </from>
                  <to>
                    <xdr:col>5</xdr:col>
                    <xdr:colOff>241300</xdr:colOff>
                    <xdr:row>11</xdr:row>
                    <xdr:rowOff>228600</xdr:rowOff>
                  </to>
                </anchor>
              </controlPr>
            </control>
          </mc:Choice>
        </mc:AlternateContent>
        <mc:AlternateContent xmlns:mc="http://schemas.openxmlformats.org/markup-compatibility/2006">
          <mc:Choice Requires="x14">
            <control shapeId="185348" r:id="rId7" name="Check Box 4">
              <controlPr locked="0" defaultSize="0" autoFill="0" autoLine="0" autoPict="0">
                <anchor moveWithCells="1">
                  <from>
                    <xdr:col>3</xdr:col>
                    <xdr:colOff>50800</xdr:colOff>
                    <xdr:row>12</xdr:row>
                    <xdr:rowOff>31750</xdr:rowOff>
                  </from>
                  <to>
                    <xdr:col>5</xdr:col>
                    <xdr:colOff>241300</xdr:colOff>
                    <xdr:row>12</xdr:row>
                    <xdr:rowOff>228600</xdr:rowOff>
                  </to>
                </anchor>
              </controlPr>
            </control>
          </mc:Choice>
        </mc:AlternateContent>
        <mc:AlternateContent xmlns:mc="http://schemas.openxmlformats.org/markup-compatibility/2006">
          <mc:Choice Requires="x14">
            <control shapeId="185349" r:id="rId8" name="Check Box 5">
              <controlPr locked="0" defaultSize="0" autoFill="0" autoLine="0" autoPict="0">
                <anchor moveWithCells="1">
                  <from>
                    <xdr:col>3</xdr:col>
                    <xdr:colOff>50800</xdr:colOff>
                    <xdr:row>13</xdr:row>
                    <xdr:rowOff>31750</xdr:rowOff>
                  </from>
                  <to>
                    <xdr:col>5</xdr:col>
                    <xdr:colOff>241300</xdr:colOff>
                    <xdr:row>13</xdr:row>
                    <xdr:rowOff>228600</xdr:rowOff>
                  </to>
                </anchor>
              </controlPr>
            </control>
          </mc:Choice>
        </mc:AlternateContent>
        <mc:AlternateContent xmlns:mc="http://schemas.openxmlformats.org/markup-compatibility/2006">
          <mc:Choice Requires="x14">
            <control shapeId="185350" r:id="rId9" name="Check Box 6">
              <controlPr locked="0" defaultSize="0" autoFill="0" autoLine="0" autoPict="0">
                <anchor moveWithCells="1">
                  <from>
                    <xdr:col>3</xdr:col>
                    <xdr:colOff>50800</xdr:colOff>
                    <xdr:row>14</xdr:row>
                    <xdr:rowOff>31750</xdr:rowOff>
                  </from>
                  <to>
                    <xdr:col>5</xdr:col>
                    <xdr:colOff>241300</xdr:colOff>
                    <xdr:row>14</xdr:row>
                    <xdr:rowOff>228600</xdr:rowOff>
                  </to>
                </anchor>
              </controlPr>
            </control>
          </mc:Choice>
        </mc:AlternateContent>
        <mc:AlternateContent xmlns:mc="http://schemas.openxmlformats.org/markup-compatibility/2006">
          <mc:Choice Requires="x14">
            <control shapeId="185351" r:id="rId10" name="Check Box 7">
              <controlPr locked="0" defaultSize="0" autoFill="0" autoLine="0" autoPict="0">
                <anchor moveWithCells="1">
                  <from>
                    <xdr:col>3</xdr:col>
                    <xdr:colOff>50800</xdr:colOff>
                    <xdr:row>15</xdr:row>
                    <xdr:rowOff>31750</xdr:rowOff>
                  </from>
                  <to>
                    <xdr:col>5</xdr:col>
                    <xdr:colOff>241300</xdr:colOff>
                    <xdr:row>15</xdr:row>
                    <xdr:rowOff>228600</xdr:rowOff>
                  </to>
                </anchor>
              </controlPr>
            </control>
          </mc:Choice>
        </mc:AlternateContent>
        <mc:AlternateContent xmlns:mc="http://schemas.openxmlformats.org/markup-compatibility/2006">
          <mc:Choice Requires="x14">
            <control shapeId="185352" r:id="rId11" name="Check Box 8">
              <controlPr locked="0" defaultSize="0" autoFill="0" autoLine="0" autoPict="0">
                <anchor moveWithCells="1">
                  <from>
                    <xdr:col>3</xdr:col>
                    <xdr:colOff>50800</xdr:colOff>
                    <xdr:row>16</xdr:row>
                    <xdr:rowOff>31750</xdr:rowOff>
                  </from>
                  <to>
                    <xdr:col>5</xdr:col>
                    <xdr:colOff>241300</xdr:colOff>
                    <xdr:row>16</xdr:row>
                    <xdr:rowOff>228600</xdr:rowOff>
                  </to>
                </anchor>
              </controlPr>
            </control>
          </mc:Choice>
        </mc:AlternateContent>
        <mc:AlternateContent xmlns:mc="http://schemas.openxmlformats.org/markup-compatibility/2006">
          <mc:Choice Requires="x14">
            <control shapeId="185353" r:id="rId12" name="Check Box 9">
              <controlPr locked="0" defaultSize="0" autoFill="0" autoLine="0" autoPict="0">
                <anchor moveWithCells="1">
                  <from>
                    <xdr:col>3</xdr:col>
                    <xdr:colOff>50800</xdr:colOff>
                    <xdr:row>17</xdr:row>
                    <xdr:rowOff>107950</xdr:rowOff>
                  </from>
                  <to>
                    <xdr:col>5</xdr:col>
                    <xdr:colOff>241300</xdr:colOff>
                    <xdr:row>17</xdr:row>
                    <xdr:rowOff>304800</xdr:rowOff>
                  </to>
                </anchor>
              </controlPr>
            </control>
          </mc:Choice>
        </mc:AlternateContent>
        <mc:AlternateContent xmlns:mc="http://schemas.openxmlformats.org/markup-compatibility/2006">
          <mc:Choice Requires="x14">
            <control shapeId="185354" r:id="rId13" name="Check Box 10">
              <controlPr locked="0" defaultSize="0" autoFill="0" autoLine="0" autoPict="0">
                <anchor moveWithCells="1">
                  <from>
                    <xdr:col>3</xdr:col>
                    <xdr:colOff>50800</xdr:colOff>
                    <xdr:row>18</xdr:row>
                    <xdr:rowOff>190500</xdr:rowOff>
                  </from>
                  <to>
                    <xdr:col>5</xdr:col>
                    <xdr:colOff>241300</xdr:colOff>
                    <xdr:row>18</xdr:row>
                    <xdr:rowOff>393700</xdr:rowOff>
                  </to>
                </anchor>
              </controlPr>
            </control>
          </mc:Choice>
        </mc:AlternateContent>
        <mc:AlternateContent xmlns:mc="http://schemas.openxmlformats.org/markup-compatibility/2006">
          <mc:Choice Requires="x14">
            <control shapeId="185355" r:id="rId14" name="Check Box 11">
              <controlPr locked="0" defaultSize="0" autoFill="0" autoLine="0" autoPict="0">
                <anchor moveWithCells="1">
                  <from>
                    <xdr:col>3</xdr:col>
                    <xdr:colOff>50800</xdr:colOff>
                    <xdr:row>19</xdr:row>
                    <xdr:rowOff>31750</xdr:rowOff>
                  </from>
                  <to>
                    <xdr:col>5</xdr:col>
                    <xdr:colOff>241300</xdr:colOff>
                    <xdr:row>19</xdr:row>
                    <xdr:rowOff>228600</xdr:rowOff>
                  </to>
                </anchor>
              </controlPr>
            </control>
          </mc:Choice>
        </mc:AlternateContent>
        <mc:AlternateContent xmlns:mc="http://schemas.openxmlformats.org/markup-compatibility/2006">
          <mc:Choice Requires="x14">
            <control shapeId="185356" r:id="rId15" name="Check Box 12">
              <controlPr locked="0" defaultSize="0" autoFill="0" autoLine="0" autoPict="0">
                <anchor moveWithCells="1">
                  <from>
                    <xdr:col>3</xdr:col>
                    <xdr:colOff>50800</xdr:colOff>
                    <xdr:row>21</xdr:row>
                    <xdr:rowOff>31750</xdr:rowOff>
                  </from>
                  <to>
                    <xdr:col>5</xdr:col>
                    <xdr:colOff>241300</xdr:colOff>
                    <xdr:row>21</xdr:row>
                    <xdr:rowOff>228600</xdr:rowOff>
                  </to>
                </anchor>
              </controlPr>
            </control>
          </mc:Choice>
        </mc:AlternateContent>
        <mc:AlternateContent xmlns:mc="http://schemas.openxmlformats.org/markup-compatibility/2006">
          <mc:Choice Requires="x14">
            <control shapeId="185357" r:id="rId16" name="Check Box 13">
              <controlPr locked="0" defaultSize="0" autoFill="0" autoLine="0" autoPict="0">
                <anchor moveWithCells="1">
                  <from>
                    <xdr:col>3</xdr:col>
                    <xdr:colOff>50800</xdr:colOff>
                    <xdr:row>22</xdr:row>
                    <xdr:rowOff>31750</xdr:rowOff>
                  </from>
                  <to>
                    <xdr:col>5</xdr:col>
                    <xdr:colOff>241300</xdr:colOff>
                    <xdr:row>22</xdr:row>
                    <xdr:rowOff>228600</xdr:rowOff>
                  </to>
                </anchor>
              </controlPr>
            </control>
          </mc:Choice>
        </mc:AlternateContent>
        <mc:AlternateContent xmlns:mc="http://schemas.openxmlformats.org/markup-compatibility/2006">
          <mc:Choice Requires="x14">
            <control shapeId="185358" r:id="rId17" name="Check Box 14">
              <controlPr locked="0" defaultSize="0" autoFill="0" autoLine="0" autoPict="0">
                <anchor moveWithCells="1">
                  <from>
                    <xdr:col>3</xdr:col>
                    <xdr:colOff>50800</xdr:colOff>
                    <xdr:row>23</xdr:row>
                    <xdr:rowOff>31750</xdr:rowOff>
                  </from>
                  <to>
                    <xdr:col>5</xdr:col>
                    <xdr:colOff>241300</xdr:colOff>
                    <xdr:row>23</xdr:row>
                    <xdr:rowOff>228600</xdr:rowOff>
                  </to>
                </anchor>
              </controlPr>
            </control>
          </mc:Choice>
        </mc:AlternateContent>
        <mc:AlternateContent xmlns:mc="http://schemas.openxmlformats.org/markup-compatibility/2006">
          <mc:Choice Requires="x14">
            <control shapeId="185359" r:id="rId18" name="Check Box 15">
              <controlPr locked="0" defaultSize="0" autoFill="0" autoLine="0" autoPict="0">
                <anchor moveWithCells="1">
                  <from>
                    <xdr:col>3</xdr:col>
                    <xdr:colOff>50800</xdr:colOff>
                    <xdr:row>24</xdr:row>
                    <xdr:rowOff>31750</xdr:rowOff>
                  </from>
                  <to>
                    <xdr:col>5</xdr:col>
                    <xdr:colOff>241300</xdr:colOff>
                    <xdr:row>24</xdr:row>
                    <xdr:rowOff>228600</xdr:rowOff>
                  </to>
                </anchor>
              </controlPr>
            </control>
          </mc:Choice>
        </mc:AlternateContent>
        <mc:AlternateContent xmlns:mc="http://schemas.openxmlformats.org/markup-compatibility/2006">
          <mc:Choice Requires="x14">
            <control shapeId="185360" r:id="rId19" name="Check Box 16">
              <controlPr locked="0" defaultSize="0" autoFill="0" autoLine="0" autoPict="0">
                <anchor moveWithCells="1">
                  <from>
                    <xdr:col>3</xdr:col>
                    <xdr:colOff>50800</xdr:colOff>
                    <xdr:row>25</xdr:row>
                    <xdr:rowOff>31750</xdr:rowOff>
                  </from>
                  <to>
                    <xdr:col>5</xdr:col>
                    <xdr:colOff>241300</xdr:colOff>
                    <xdr:row>25</xdr:row>
                    <xdr:rowOff>228600</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pageSetUpPr fitToPage="1"/>
  </sheetPr>
  <dimension ref="B1:AO59"/>
  <sheetViews>
    <sheetView showGridLines="0" zoomScaleNormal="100" zoomScaleSheetLayoutView="100" workbookViewId="0">
      <selection activeCell="AB42" sqref="AB42:AD42"/>
    </sheetView>
  </sheetViews>
  <sheetFormatPr defaultColWidth="8" defaultRowHeight="15.5"/>
  <cols>
    <col min="1" max="1" width="2.08203125" style="1287" customWidth="1"/>
    <col min="2" max="6" width="3.58203125" style="1291" customWidth="1"/>
    <col min="7" max="9" width="4" style="1291" customWidth="1"/>
    <col min="10" max="15" width="3.58203125" style="1291" customWidth="1"/>
    <col min="16" max="18" width="4" style="1291" customWidth="1"/>
    <col min="19" max="24" width="3.58203125" style="1291" customWidth="1"/>
    <col min="25" max="27" width="4" style="1291" customWidth="1"/>
    <col min="28" max="30" width="3.58203125" style="1291" customWidth="1"/>
    <col min="31" max="32" width="3.58203125" style="1287" customWidth="1"/>
    <col min="33" max="33" width="2.08203125" style="1287" customWidth="1"/>
    <col min="34" max="165" width="3.58203125" style="1287" customWidth="1"/>
    <col min="166" max="16384" width="8" style="1287"/>
  </cols>
  <sheetData>
    <row r="1" spans="2:41" ht="12" customHeight="1"/>
    <row r="2" spans="2:41" ht="21.65" customHeight="1" thickBot="1">
      <c r="B2" s="1302" t="s">
        <v>1545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5.15"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07" t="s">
        <v>151</v>
      </c>
      <c r="D4" s="1360" t="b">
        <v>0</v>
      </c>
      <c r="E4" s="3749" t="s">
        <v>1546</v>
      </c>
      <c r="F4" s="3749"/>
      <c r="G4" s="3749"/>
      <c r="H4" s="3749"/>
      <c r="I4" s="3749"/>
      <c r="J4" s="3749"/>
      <c r="K4" s="3749"/>
      <c r="L4" s="3749"/>
      <c r="M4" s="3749"/>
      <c r="N4" s="3749"/>
      <c r="O4" s="3749"/>
      <c r="P4" s="3749"/>
      <c r="Q4" s="3749"/>
      <c r="R4" s="3749"/>
      <c r="S4" s="3749"/>
      <c r="T4" s="3749"/>
      <c r="U4" s="3749"/>
      <c r="V4" s="3749"/>
      <c r="W4" s="3749"/>
      <c r="X4" s="3749"/>
      <c r="Y4" s="3749"/>
      <c r="Z4" s="3749"/>
      <c r="AA4" s="3749"/>
      <c r="AB4" s="3749"/>
      <c r="AC4" s="3749"/>
      <c r="AD4" s="3749"/>
      <c r="AE4" s="1340"/>
      <c r="AF4" s="1341"/>
      <c r="AG4" s="1340"/>
      <c r="AH4" s="1340"/>
      <c r="AI4" s="1340"/>
      <c r="AJ4" s="1340"/>
      <c r="AK4" s="1340"/>
      <c r="AL4" s="1340"/>
      <c r="AM4" s="1340"/>
      <c r="AN4" s="1340"/>
      <c r="AO4" s="1340"/>
    </row>
    <row r="5" spans="2:41" ht="20.5" customHeight="1">
      <c r="B5" s="1298"/>
      <c r="C5" s="1299" t="s">
        <v>152</v>
      </c>
      <c r="D5" s="3703" t="s">
        <v>1856</v>
      </c>
      <c r="E5" s="3703"/>
      <c r="F5" s="3703"/>
      <c r="G5" s="3703"/>
      <c r="H5" s="3703"/>
      <c r="I5" s="3703"/>
      <c r="J5" s="3703"/>
      <c r="K5" s="3703"/>
      <c r="L5" s="3703"/>
      <c r="M5" s="3703"/>
      <c r="N5" s="3703"/>
      <c r="O5" s="3703"/>
      <c r="P5" s="3703"/>
      <c r="Q5" s="3703"/>
      <c r="R5" s="3703"/>
      <c r="S5" s="3703"/>
      <c r="T5" s="3703"/>
      <c r="U5" s="3703"/>
      <c r="V5" s="3703"/>
      <c r="W5" s="3703"/>
      <c r="X5" s="3703"/>
      <c r="Y5" s="3703"/>
      <c r="Z5" s="3703"/>
      <c r="AA5" s="3703"/>
      <c r="AB5" s="3703"/>
      <c r="AC5" s="3703"/>
      <c r="AD5" s="3703"/>
      <c r="AE5" s="1300"/>
      <c r="AF5" s="1301"/>
    </row>
    <row r="6" spans="2:41" ht="20.5">
      <c r="B6" s="1298"/>
      <c r="C6" s="1299"/>
      <c r="D6" s="1287"/>
      <c r="E6" s="1287"/>
      <c r="F6" s="1287"/>
      <c r="G6" s="1360" t="b">
        <v>1</v>
      </c>
      <c r="H6" s="1358" t="s">
        <v>854</v>
      </c>
      <c r="I6" s="1359"/>
      <c r="J6" s="1359"/>
      <c r="K6" s="1359"/>
      <c r="L6" s="1359"/>
      <c r="M6" s="1359"/>
      <c r="N6" s="1360" t="b">
        <v>1</v>
      </c>
      <c r="O6" s="1358" t="s">
        <v>206</v>
      </c>
      <c r="P6" s="1359"/>
      <c r="Q6" s="1359"/>
      <c r="R6" s="1359"/>
      <c r="S6" s="1360" t="b">
        <v>1</v>
      </c>
      <c r="T6" s="1358" t="s">
        <v>66</v>
      </c>
      <c r="U6" s="1359"/>
      <c r="V6" s="1359"/>
      <c r="W6" s="1360" t="b">
        <v>1</v>
      </c>
      <c r="X6" s="1358" t="s">
        <v>1547</v>
      </c>
      <c r="Y6" s="1359"/>
      <c r="Z6" s="1359"/>
      <c r="AA6" s="1359"/>
      <c r="AB6" s="1359"/>
      <c r="AC6" s="1359"/>
      <c r="AD6" s="1359"/>
      <c r="AE6" s="1300"/>
      <c r="AF6" s="1301"/>
    </row>
    <row r="7" spans="2:41" s="1342" customFormat="1" ht="24.75" customHeight="1">
      <c r="B7" s="1339"/>
      <c r="C7" s="1345" t="s">
        <v>153</v>
      </c>
      <c r="D7" s="1360" t="b">
        <v>1</v>
      </c>
      <c r="E7" s="3749" t="s">
        <v>1548</v>
      </c>
      <c r="F7" s="3749"/>
      <c r="G7" s="3749"/>
      <c r="H7" s="3749"/>
      <c r="I7" s="3749"/>
      <c r="J7" s="3749"/>
      <c r="K7" s="3749"/>
      <c r="L7" s="3749"/>
      <c r="M7" s="3749"/>
      <c r="N7" s="3749"/>
      <c r="O7" s="3749"/>
      <c r="P7" s="3749"/>
      <c r="Q7" s="3749"/>
      <c r="R7" s="3749"/>
      <c r="S7" s="3749"/>
      <c r="T7" s="3749"/>
      <c r="U7" s="3749"/>
      <c r="V7" s="3749"/>
      <c r="W7" s="3749"/>
      <c r="X7" s="3749"/>
      <c r="Y7" s="3749"/>
      <c r="Z7" s="3749"/>
      <c r="AA7" s="3749"/>
      <c r="AB7" s="3749"/>
      <c r="AC7" s="3749"/>
      <c r="AD7" s="3749"/>
      <c r="AE7" s="1340"/>
      <c r="AF7" s="1341"/>
      <c r="AG7" s="1340"/>
      <c r="AH7" s="1340"/>
      <c r="AI7" s="1340"/>
      <c r="AJ7" s="1340"/>
      <c r="AK7" s="1340"/>
      <c r="AL7" s="1340"/>
      <c r="AM7" s="1340"/>
      <c r="AN7" s="1340"/>
      <c r="AO7" s="1340"/>
    </row>
    <row r="8" spans="2:41" s="1342" customFormat="1" ht="24.75" customHeight="1">
      <c r="B8" s="1339"/>
      <c r="C8" s="1345" t="s">
        <v>154</v>
      </c>
      <c r="D8" s="1360" t="b">
        <v>1</v>
      </c>
      <c r="E8" s="3749" t="s">
        <v>1549</v>
      </c>
      <c r="F8" s="3749"/>
      <c r="G8" s="3749"/>
      <c r="H8" s="3749"/>
      <c r="I8" s="3749"/>
      <c r="J8" s="3749"/>
      <c r="K8" s="3749"/>
      <c r="L8" s="3749"/>
      <c r="M8" s="3749"/>
      <c r="N8" s="3749"/>
      <c r="O8" s="3749"/>
      <c r="P8" s="3749"/>
      <c r="Q8" s="3749"/>
      <c r="R8" s="3749"/>
      <c r="S8" s="3749"/>
      <c r="T8" s="3749"/>
      <c r="U8" s="3749"/>
      <c r="V8" s="3749"/>
      <c r="W8" s="3749"/>
      <c r="X8" s="3749"/>
      <c r="Y8" s="3749"/>
      <c r="Z8" s="3749"/>
      <c r="AA8" s="3749"/>
      <c r="AB8" s="3749"/>
      <c r="AC8" s="3749"/>
      <c r="AD8" s="3749"/>
      <c r="AE8" s="1340"/>
      <c r="AF8" s="1341"/>
      <c r="AG8" s="1340"/>
      <c r="AH8" s="1340"/>
      <c r="AI8" s="1340"/>
      <c r="AJ8" s="1340"/>
      <c r="AK8" s="1340"/>
      <c r="AL8" s="1340"/>
      <c r="AM8" s="1340"/>
      <c r="AN8" s="1340"/>
      <c r="AO8" s="1340"/>
    </row>
    <row r="9" spans="2:41" s="1342" customFormat="1" ht="24.75" customHeight="1">
      <c r="B9" s="1339"/>
      <c r="C9" s="1345" t="s">
        <v>155</v>
      </c>
      <c r="D9" s="1360" t="b">
        <v>1</v>
      </c>
      <c r="E9" s="3749" t="s">
        <v>1550</v>
      </c>
      <c r="F9" s="3749"/>
      <c r="G9" s="3749"/>
      <c r="H9" s="3749"/>
      <c r="I9" s="3749"/>
      <c r="J9" s="3749"/>
      <c r="K9" s="3749"/>
      <c r="L9" s="3749"/>
      <c r="M9" s="3749"/>
      <c r="N9" s="3749"/>
      <c r="O9" s="3749"/>
      <c r="P9" s="3749"/>
      <c r="Q9" s="3749"/>
      <c r="R9" s="3749"/>
      <c r="S9" s="3749"/>
      <c r="T9" s="3749"/>
      <c r="U9" s="3749"/>
      <c r="V9" s="3749"/>
      <c r="W9" s="3749"/>
      <c r="X9" s="3749"/>
      <c r="Y9" s="3749"/>
      <c r="Z9" s="3749"/>
      <c r="AA9" s="3749"/>
      <c r="AB9" s="3749"/>
      <c r="AC9" s="3749"/>
      <c r="AD9" s="3749"/>
      <c r="AE9" s="1340"/>
      <c r="AF9" s="1341"/>
      <c r="AG9" s="1340"/>
      <c r="AH9" s="1340"/>
      <c r="AI9" s="1340"/>
      <c r="AJ9" s="1340"/>
      <c r="AK9" s="1340"/>
      <c r="AL9" s="1340"/>
      <c r="AM9" s="1340"/>
      <c r="AN9" s="1340"/>
      <c r="AO9" s="1340"/>
    </row>
    <row r="10" spans="2:41" s="1342" customFormat="1" ht="24.75" customHeight="1">
      <c r="B10" s="1339"/>
      <c r="C10" s="1345" t="s">
        <v>156</v>
      </c>
      <c r="D10" s="1360" t="b">
        <v>1</v>
      </c>
      <c r="E10" s="3749" t="s">
        <v>11743</v>
      </c>
      <c r="F10" s="3749"/>
      <c r="G10" s="3749"/>
      <c r="H10" s="3749"/>
      <c r="I10" s="3749"/>
      <c r="J10" s="3749"/>
      <c r="K10" s="3749"/>
      <c r="L10" s="3749"/>
      <c r="M10" s="3749"/>
      <c r="N10" s="3749"/>
      <c r="O10" s="3749"/>
      <c r="P10" s="3749"/>
      <c r="Q10" s="3749"/>
      <c r="R10" s="3749"/>
      <c r="S10" s="3749"/>
      <c r="T10" s="3749"/>
      <c r="U10" s="3749"/>
      <c r="V10" s="3749"/>
      <c r="W10" s="3749"/>
      <c r="X10" s="3749"/>
      <c r="Y10" s="3749"/>
      <c r="Z10" s="3749"/>
      <c r="AA10" s="3749"/>
      <c r="AB10" s="3749"/>
      <c r="AC10" s="3749"/>
      <c r="AD10" s="3749"/>
      <c r="AE10" s="1340"/>
      <c r="AF10" s="1341"/>
      <c r="AG10" s="1340"/>
      <c r="AH10" s="1340"/>
      <c r="AI10" s="1340"/>
      <c r="AJ10" s="1340"/>
      <c r="AK10" s="1340"/>
      <c r="AL10" s="1340"/>
      <c r="AM10" s="1340"/>
      <c r="AN10" s="1340"/>
      <c r="AO10" s="1340"/>
    </row>
    <row r="11" spans="2:41">
      <c r="B11" s="1298"/>
      <c r="C11" s="1299" t="s">
        <v>157</v>
      </c>
      <c r="D11" s="3703" t="s">
        <v>1551</v>
      </c>
      <c r="E11" s="3703"/>
      <c r="F11" s="3703"/>
      <c r="G11" s="3703"/>
      <c r="H11" s="3703"/>
      <c r="I11" s="3703"/>
      <c r="J11" s="3703"/>
      <c r="K11" s="3703"/>
      <c r="L11" s="3703"/>
      <c r="M11" s="3703"/>
      <c r="N11" s="3703"/>
      <c r="O11" s="3703"/>
      <c r="P11" s="3703"/>
      <c r="Q11" s="3703"/>
      <c r="R11" s="3703"/>
      <c r="S11" s="3703"/>
      <c r="T11" s="3703"/>
      <c r="U11" s="3703"/>
      <c r="V11" s="3703"/>
      <c r="W11" s="3703"/>
      <c r="X11" s="3703"/>
      <c r="Y11" s="3703"/>
      <c r="Z11" s="3703"/>
      <c r="AA11" s="3703"/>
      <c r="AB11" s="3703"/>
      <c r="AC11" s="3703"/>
      <c r="AD11" s="1350"/>
      <c r="AE11" s="1300"/>
      <c r="AF11" s="1301"/>
    </row>
    <row r="12" spans="2:41" ht="5.15" customHeight="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41" s="1291" customFormat="1" ht="59.15" customHeight="1" thickTop="1" thickBot="1">
      <c r="B13" s="1331"/>
      <c r="C13" s="1332"/>
      <c r="D13" s="3710" t="s">
        <v>1824</v>
      </c>
      <c r="E13" s="3711"/>
      <c r="F13" s="3711"/>
      <c r="G13" s="3711"/>
      <c r="H13" s="3711"/>
      <c r="I13" s="3711"/>
      <c r="J13" s="3712" t="s">
        <v>1661</v>
      </c>
      <c r="K13" s="3711"/>
      <c r="L13" s="3711"/>
      <c r="M13" s="3711"/>
      <c r="N13" s="3711"/>
      <c r="O13" s="3713"/>
      <c r="P13" s="3712" t="s">
        <v>1662</v>
      </c>
      <c r="Q13" s="3711"/>
      <c r="R13" s="3711"/>
      <c r="S13" s="3711"/>
      <c r="T13" s="3711"/>
      <c r="U13" s="3713"/>
      <c r="V13" s="3711" t="s">
        <v>1813</v>
      </c>
      <c r="W13" s="3711"/>
      <c r="X13" s="3711"/>
      <c r="Y13" s="3711"/>
      <c r="Z13" s="3711"/>
      <c r="AA13" s="3714"/>
      <c r="AB13" s="1332"/>
      <c r="AC13" s="1332"/>
      <c r="AD13" s="1332"/>
      <c r="AE13" s="1332"/>
      <c r="AF13" s="1333"/>
    </row>
    <row r="14" spans="2:41" s="1291" customFormat="1" ht="19.5" customHeight="1" thickBot="1">
      <c r="B14" s="1293"/>
      <c r="C14" s="1294"/>
      <c r="D14" s="3715" t="s">
        <v>15</v>
      </c>
      <c r="E14" s="3716"/>
      <c r="F14" s="3717"/>
      <c r="G14" s="3716" t="s">
        <v>16</v>
      </c>
      <c r="H14" s="3716"/>
      <c r="I14" s="3716"/>
      <c r="J14" s="3718" t="s">
        <v>15</v>
      </c>
      <c r="K14" s="3716" t="s">
        <v>16</v>
      </c>
      <c r="L14" s="3717"/>
      <c r="M14" s="3716" t="s">
        <v>16</v>
      </c>
      <c r="N14" s="3716"/>
      <c r="O14" s="3719"/>
      <c r="P14" s="3718" t="s">
        <v>15</v>
      </c>
      <c r="Q14" s="3716" t="s">
        <v>16</v>
      </c>
      <c r="R14" s="3717"/>
      <c r="S14" s="3716" t="s">
        <v>16</v>
      </c>
      <c r="T14" s="3716"/>
      <c r="U14" s="3719"/>
      <c r="V14" s="3716" t="s">
        <v>15</v>
      </c>
      <c r="W14" s="3716" t="s">
        <v>16</v>
      </c>
      <c r="X14" s="3717"/>
      <c r="Y14" s="3720" t="s">
        <v>16</v>
      </c>
      <c r="Z14" s="3716"/>
      <c r="AA14" s="3721"/>
      <c r="AF14" s="1292"/>
    </row>
    <row r="15" spans="2:41" s="1291" customFormat="1" ht="30" customHeight="1" thickTop="1" thickBot="1">
      <c r="B15" s="1293"/>
      <c r="C15" s="1294"/>
      <c r="D15" s="3722">
        <v>524</v>
      </c>
      <c r="E15" s="3723"/>
      <c r="F15" s="3724"/>
      <c r="G15" s="3725">
        <v>499</v>
      </c>
      <c r="H15" s="3726"/>
      <c r="I15" s="3726"/>
      <c r="J15" s="3727">
        <v>0</v>
      </c>
      <c r="K15" s="3723"/>
      <c r="L15" s="3724"/>
      <c r="M15" s="3726">
        <v>0</v>
      </c>
      <c r="N15" s="3726"/>
      <c r="O15" s="3728"/>
      <c r="P15" s="3727">
        <v>0</v>
      </c>
      <c r="Q15" s="3723"/>
      <c r="R15" s="3724"/>
      <c r="S15" s="3726">
        <v>0</v>
      </c>
      <c r="T15" s="3726"/>
      <c r="U15" s="3728"/>
      <c r="V15" s="3723">
        <v>39</v>
      </c>
      <c r="W15" s="3723"/>
      <c r="X15" s="3724"/>
      <c r="Y15" s="3725">
        <v>16</v>
      </c>
      <c r="Z15" s="3726"/>
      <c r="AA15" s="3729"/>
      <c r="AF15" s="1292"/>
    </row>
    <row r="16" spans="2:41" s="1291" customFormat="1" ht="5.15" customHeight="1" thickTop="1">
      <c r="B16" s="1293"/>
      <c r="C16" s="1294"/>
      <c r="D16" s="1295"/>
      <c r="E16" s="1295"/>
      <c r="F16" s="1295"/>
      <c r="G16" s="1296"/>
      <c r="H16" s="1296"/>
      <c r="I16" s="1296"/>
      <c r="J16" s="1297"/>
      <c r="K16" s="1297"/>
      <c r="L16" s="1297"/>
      <c r="M16" s="1296"/>
      <c r="N16" s="1296"/>
      <c r="O16" s="1296"/>
      <c r="P16" s="1297"/>
      <c r="Q16" s="1297"/>
      <c r="R16" s="1297"/>
      <c r="S16" s="1296"/>
      <c r="T16" s="1296"/>
      <c r="U16" s="1296"/>
      <c r="V16" s="1297"/>
      <c r="W16" s="1297"/>
      <c r="X16" s="1297"/>
      <c r="Y16" s="1296"/>
      <c r="Z16" s="1296"/>
      <c r="AA16" s="1296"/>
      <c r="AF16" s="1292"/>
    </row>
    <row r="17" spans="2:41" s="1291" customFormat="1" ht="34" customHeight="1">
      <c r="B17" s="1293"/>
      <c r="C17" s="1294"/>
      <c r="D17" s="216" t="s">
        <v>143</v>
      </c>
      <c r="E17" s="1295"/>
      <c r="F17" s="1295"/>
      <c r="G17" s="3731" t="s">
        <v>1814</v>
      </c>
      <c r="H17" s="3731"/>
      <c r="I17" s="3731"/>
      <c r="J17" s="3731"/>
      <c r="K17" s="3731"/>
      <c r="L17" s="3731"/>
      <c r="M17" s="3731"/>
      <c r="N17" s="3731"/>
      <c r="O17" s="3731"/>
      <c r="P17" s="3731"/>
      <c r="Q17" s="3731"/>
      <c r="R17" s="3731"/>
      <c r="S17" s="3731"/>
      <c r="T17" s="3731"/>
      <c r="U17" s="3731"/>
      <c r="V17" s="3731"/>
      <c r="W17" s="3731"/>
      <c r="X17" s="3731"/>
      <c r="Y17" s="3731"/>
      <c r="Z17" s="3731"/>
      <c r="AA17" s="3731"/>
      <c r="AF17" s="1292"/>
    </row>
    <row r="18" spans="2:41" ht="10" customHeight="1" thickBot="1">
      <c r="B18" s="1281"/>
      <c r="C18" s="1282"/>
      <c r="D18" s="1283"/>
      <c r="E18" s="1284"/>
      <c r="F18" s="1284"/>
      <c r="G18" s="1284"/>
      <c r="H18" s="1284"/>
      <c r="I18" s="1284"/>
      <c r="J18" s="1284"/>
      <c r="K18" s="1285"/>
      <c r="L18" s="1285"/>
      <c r="M18" s="1285"/>
      <c r="N18" s="1285"/>
      <c r="O18" s="1285"/>
      <c r="P18" s="1285"/>
      <c r="Q18" s="1285"/>
      <c r="R18" s="1285"/>
      <c r="S18" s="1285"/>
      <c r="T18" s="1285"/>
      <c r="U18" s="1285"/>
      <c r="V18" s="1285"/>
      <c r="W18" s="1285"/>
      <c r="X18" s="1285"/>
      <c r="Y18" s="1285"/>
      <c r="Z18" s="1285"/>
      <c r="AA18" s="1285"/>
      <c r="AB18" s="1285"/>
      <c r="AC18" s="1285"/>
      <c r="AD18" s="1285"/>
      <c r="AE18" s="1285"/>
      <c r="AF18" s="1286"/>
    </row>
    <row r="19" spans="2:41" s="602" customFormat="1" ht="30.75" customHeight="1" thickTop="1"/>
    <row r="20" spans="2:41" ht="21.65" customHeight="1" thickBot="1">
      <c r="B20" s="1302" t="s">
        <v>1552</v>
      </c>
      <c r="C20" s="1287"/>
      <c r="D20" s="1287"/>
      <c r="E20" s="1287"/>
      <c r="F20" s="1287"/>
      <c r="G20" s="1287"/>
      <c r="H20" s="1287"/>
      <c r="I20" s="1287"/>
      <c r="J20" s="1287"/>
      <c r="K20" s="1287"/>
      <c r="L20" s="1287"/>
      <c r="M20" s="1287"/>
      <c r="N20" s="1287"/>
      <c r="O20" s="1287"/>
      <c r="P20" s="1287"/>
      <c r="Q20" s="1287"/>
      <c r="R20" s="1287"/>
      <c r="S20" s="1287"/>
      <c r="T20" s="1287"/>
      <c r="U20" s="1287"/>
      <c r="V20" s="1287"/>
      <c r="W20" s="1287"/>
      <c r="X20" s="1287"/>
      <c r="Y20" s="1287"/>
      <c r="Z20" s="1287"/>
      <c r="AA20" s="1287"/>
      <c r="AB20" s="1287"/>
      <c r="AC20" s="1287"/>
      <c r="AD20" s="1287"/>
    </row>
    <row r="21" spans="2:41" ht="5.15" customHeight="1" thickTop="1">
      <c r="B21" s="1304"/>
      <c r="C21" s="1305"/>
      <c r="D21" s="1305"/>
      <c r="E21" s="1305"/>
      <c r="F21" s="1305"/>
      <c r="G21" s="1305"/>
      <c r="H21" s="1305"/>
      <c r="I21" s="1305"/>
      <c r="J21" s="1305"/>
      <c r="K21" s="1305"/>
      <c r="L21" s="1305"/>
      <c r="M21" s="1305"/>
      <c r="N21" s="1305"/>
      <c r="O21" s="1305"/>
      <c r="P21" s="1305"/>
      <c r="Q21" s="1305"/>
      <c r="R21" s="1305"/>
      <c r="S21" s="1305"/>
      <c r="T21" s="1305"/>
      <c r="U21" s="1305"/>
      <c r="V21" s="1305"/>
      <c r="W21" s="1305"/>
      <c r="X21" s="1305"/>
      <c r="Y21" s="1305"/>
      <c r="Z21" s="1305"/>
      <c r="AA21" s="1305"/>
      <c r="AB21" s="1305"/>
      <c r="AC21" s="1305"/>
      <c r="AD21" s="1305"/>
      <c r="AE21" s="1305"/>
      <c r="AF21" s="1306"/>
    </row>
    <row r="22" spans="2:41" s="1342" customFormat="1" ht="24.75" customHeight="1">
      <c r="B22" s="1339"/>
      <c r="C22" s="1307" t="s">
        <v>151</v>
      </c>
      <c r="D22" s="601" t="b">
        <v>1</v>
      </c>
      <c r="E22" s="3749" t="s">
        <v>1553</v>
      </c>
      <c r="F22" s="3749"/>
      <c r="G22" s="3749"/>
      <c r="H22" s="3749"/>
      <c r="I22" s="3749"/>
      <c r="J22" s="3749"/>
      <c r="K22" s="3749"/>
      <c r="L22" s="3749"/>
      <c r="M22" s="3749"/>
      <c r="N22" s="3749"/>
      <c r="O22" s="3749"/>
      <c r="P22" s="3749"/>
      <c r="Q22" s="3749"/>
      <c r="R22" s="3749"/>
      <c r="S22" s="3749"/>
      <c r="T22" s="3749"/>
      <c r="U22" s="3749"/>
      <c r="V22" s="3749"/>
      <c r="W22" s="3749"/>
      <c r="X22" s="3749"/>
      <c r="Y22" s="3749"/>
      <c r="Z22" s="3749"/>
      <c r="AA22" s="3749"/>
      <c r="AB22" s="3749"/>
      <c r="AC22" s="1353"/>
      <c r="AD22" s="1353"/>
      <c r="AE22" s="1340"/>
      <c r="AF22" s="1341"/>
      <c r="AG22" s="1340"/>
      <c r="AH22" s="1340"/>
      <c r="AI22" s="1340"/>
      <c r="AJ22" s="1340"/>
      <c r="AK22" s="1340"/>
      <c r="AL22" s="1340"/>
      <c r="AM22" s="1340"/>
      <c r="AN22" s="1340"/>
      <c r="AO22" s="1340"/>
    </row>
    <row r="23" spans="2:41" s="1342" customFormat="1" ht="24.75" customHeight="1">
      <c r="B23" s="1339"/>
      <c r="C23" s="1345" t="s">
        <v>152</v>
      </c>
      <c r="D23" s="601" t="b">
        <v>1</v>
      </c>
      <c r="E23" s="3749" t="s">
        <v>1554</v>
      </c>
      <c r="F23" s="3749"/>
      <c r="G23" s="3749"/>
      <c r="H23" s="3749"/>
      <c r="I23" s="3749"/>
      <c r="J23" s="3749"/>
      <c r="K23" s="3749"/>
      <c r="L23" s="3749"/>
      <c r="M23" s="3749"/>
      <c r="N23" s="3749"/>
      <c r="O23" s="3749"/>
      <c r="P23" s="3749"/>
      <c r="Q23" s="3749"/>
      <c r="R23" s="3749"/>
      <c r="S23" s="3749"/>
      <c r="T23" s="3749"/>
      <c r="U23" s="3749"/>
      <c r="V23" s="3749"/>
      <c r="W23" s="3749"/>
      <c r="X23" s="3749"/>
      <c r="Y23" s="3749"/>
      <c r="Z23" s="3749"/>
      <c r="AA23" s="3749"/>
      <c r="AB23" s="3749"/>
      <c r="AC23" s="1353"/>
      <c r="AD23" s="1353"/>
      <c r="AE23" s="1340"/>
      <c r="AF23" s="1341"/>
      <c r="AG23" s="1340"/>
      <c r="AH23" s="1340"/>
      <c r="AI23" s="1340"/>
      <c r="AJ23" s="1340"/>
      <c r="AK23" s="1340"/>
      <c r="AL23" s="1340"/>
      <c r="AM23" s="1340"/>
      <c r="AN23" s="1340"/>
      <c r="AO23" s="1340"/>
    </row>
    <row r="24" spans="2:41" ht="33.65" customHeight="1" thickBot="1">
      <c r="B24" s="1298"/>
      <c r="C24" s="1299" t="s">
        <v>153</v>
      </c>
      <c r="D24" s="3703" t="s">
        <v>1555</v>
      </c>
      <c r="E24" s="3703"/>
      <c r="F24" s="3703"/>
      <c r="G24" s="3703"/>
      <c r="H24" s="3703"/>
      <c r="I24" s="3703"/>
      <c r="J24" s="3703"/>
      <c r="K24" s="3703"/>
      <c r="L24" s="3703"/>
      <c r="M24" s="3703"/>
      <c r="N24" s="3703"/>
      <c r="O24" s="3703"/>
      <c r="P24" s="3703"/>
      <c r="Q24" s="3703"/>
      <c r="R24" s="3703"/>
      <c r="S24" s="3703"/>
      <c r="T24" s="3703"/>
      <c r="U24" s="3703"/>
      <c r="V24" s="3703"/>
      <c r="W24" s="3703"/>
      <c r="X24" s="3703"/>
      <c r="Y24" s="3703"/>
      <c r="Z24" s="3703"/>
      <c r="AA24" s="3703"/>
      <c r="AB24" s="3703"/>
      <c r="AC24" s="1350"/>
      <c r="AD24" s="1350"/>
      <c r="AE24" s="1300"/>
      <c r="AF24" s="1301"/>
    </row>
    <row r="25" spans="2:41" s="1291" customFormat="1" ht="36" customHeight="1" thickTop="1" thickBot="1">
      <c r="B25" s="1331"/>
      <c r="C25" s="1332"/>
      <c r="D25" s="3750" t="s">
        <v>593</v>
      </c>
      <c r="E25" s="3751"/>
      <c r="F25" s="3751"/>
      <c r="G25" s="3751"/>
      <c r="H25" s="3751"/>
      <c r="I25" s="3751"/>
      <c r="J25" s="3751"/>
      <c r="K25" s="3751"/>
      <c r="L25" s="3752"/>
      <c r="M25" s="3753" t="s">
        <v>1857</v>
      </c>
      <c r="N25" s="3751"/>
      <c r="O25" s="3751"/>
      <c r="P25" s="3751"/>
      <c r="Q25" s="3751"/>
      <c r="R25" s="3751"/>
      <c r="S25" s="3751"/>
      <c r="T25" s="3751"/>
      <c r="U25" s="3752"/>
      <c r="V25" s="3751" t="s">
        <v>757</v>
      </c>
      <c r="W25" s="3751"/>
      <c r="X25" s="3751"/>
      <c r="Y25" s="3751"/>
      <c r="Z25" s="3751"/>
      <c r="AA25" s="3751"/>
      <c r="AB25" s="3751"/>
      <c r="AC25" s="3751"/>
      <c r="AD25" s="3754"/>
      <c r="AE25" s="1332"/>
      <c r="AF25" s="1333"/>
    </row>
    <row r="26" spans="2:41" s="1354" customFormat="1" ht="57.65" customHeight="1" thickBot="1">
      <c r="B26" s="1355"/>
      <c r="C26" s="1356"/>
      <c r="D26" s="3775" t="s">
        <v>1556</v>
      </c>
      <c r="E26" s="3755"/>
      <c r="F26" s="3756"/>
      <c r="G26" s="3757" t="s">
        <v>1858</v>
      </c>
      <c r="H26" s="3755"/>
      <c r="I26" s="3756"/>
      <c r="J26" s="3758" t="s">
        <v>1558</v>
      </c>
      <c r="K26" s="3759" t="s">
        <v>16</v>
      </c>
      <c r="L26" s="3776"/>
      <c r="M26" s="3777" t="s">
        <v>1556</v>
      </c>
      <c r="N26" s="3755"/>
      <c r="O26" s="3756"/>
      <c r="P26" s="3757" t="s">
        <v>1858</v>
      </c>
      <c r="Q26" s="3755"/>
      <c r="R26" s="3756"/>
      <c r="S26" s="3758" t="s">
        <v>1558</v>
      </c>
      <c r="T26" s="3759" t="s">
        <v>16</v>
      </c>
      <c r="U26" s="3776"/>
      <c r="V26" s="3755" t="s">
        <v>1556</v>
      </c>
      <c r="W26" s="3755"/>
      <c r="X26" s="3756"/>
      <c r="Y26" s="3757" t="s">
        <v>1557</v>
      </c>
      <c r="Z26" s="3755"/>
      <c r="AA26" s="3756"/>
      <c r="AB26" s="3758" t="s">
        <v>1558</v>
      </c>
      <c r="AC26" s="3759" t="s">
        <v>16</v>
      </c>
      <c r="AD26" s="3760"/>
      <c r="AF26" s="1357"/>
    </row>
    <row r="27" spans="2:41" s="1291" customFormat="1" ht="30" customHeight="1" thickTop="1" thickBot="1">
      <c r="B27" s="1293"/>
      <c r="C27" s="1294"/>
      <c r="D27" s="3741">
        <v>0</v>
      </c>
      <c r="E27" s="3742"/>
      <c r="F27" s="3746"/>
      <c r="G27" s="3761">
        <v>0</v>
      </c>
      <c r="H27" s="3762"/>
      <c r="I27" s="3763"/>
      <c r="J27" s="3764">
        <v>0</v>
      </c>
      <c r="K27" s="3765"/>
      <c r="L27" s="3766"/>
      <c r="M27" s="3767">
        <v>0</v>
      </c>
      <c r="N27" s="3768"/>
      <c r="O27" s="3769"/>
      <c r="P27" s="3770">
        <v>0</v>
      </c>
      <c r="Q27" s="3771"/>
      <c r="R27" s="3772"/>
      <c r="S27" s="3773">
        <v>0</v>
      </c>
      <c r="T27" s="3773"/>
      <c r="U27" s="3774"/>
      <c r="V27" s="3742">
        <v>0</v>
      </c>
      <c r="W27" s="3742"/>
      <c r="X27" s="3746"/>
      <c r="Y27" s="3761">
        <v>0</v>
      </c>
      <c r="Z27" s="3762"/>
      <c r="AA27" s="3763"/>
      <c r="AB27" s="3781">
        <v>0</v>
      </c>
      <c r="AC27" s="3781"/>
      <c r="AD27" s="3782"/>
      <c r="AF27" s="1292"/>
    </row>
    <row r="28" spans="2:41" ht="10" customHeight="1" thickTop="1" thickBot="1">
      <c r="B28" s="1281"/>
      <c r="C28" s="1282"/>
      <c r="D28" s="1283"/>
      <c r="E28" s="1284"/>
      <c r="F28" s="1284"/>
      <c r="G28" s="1284"/>
      <c r="H28" s="1284"/>
      <c r="I28" s="1284"/>
      <c r="J28" s="1284"/>
      <c r="K28" s="1285"/>
      <c r="L28" s="1285"/>
      <c r="M28" s="1285"/>
      <c r="N28" s="1285"/>
      <c r="O28" s="1285"/>
      <c r="P28" s="1285"/>
      <c r="Q28" s="1285"/>
      <c r="R28" s="1285"/>
      <c r="S28" s="1285"/>
      <c r="T28" s="1285"/>
      <c r="U28" s="1285"/>
      <c r="V28" s="1285"/>
      <c r="W28" s="1285"/>
      <c r="X28" s="1285"/>
      <c r="Y28" s="1285"/>
      <c r="Z28" s="1285"/>
      <c r="AA28" s="1285"/>
      <c r="AB28" s="1285"/>
      <c r="AC28" s="1285"/>
      <c r="AD28" s="1285"/>
      <c r="AE28" s="1285"/>
      <c r="AF28" s="1286"/>
    </row>
    <row r="29" spans="2:41" s="602" customFormat="1" ht="30.75" customHeight="1" thickTop="1"/>
    <row r="30" spans="2:41" ht="22.4" customHeight="1" thickBot="1">
      <c r="B30" s="1302" t="s">
        <v>1559</v>
      </c>
      <c r="C30" s="1287"/>
      <c r="D30" s="1287"/>
      <c r="E30" s="1287"/>
      <c r="F30" s="1287"/>
      <c r="G30" s="1287"/>
      <c r="H30" s="1287"/>
      <c r="I30" s="1287"/>
      <c r="J30" s="1287"/>
      <c r="K30" s="1287"/>
      <c r="L30" s="1287"/>
      <c r="M30" s="1287"/>
      <c r="N30" s="1287"/>
      <c r="O30" s="1287"/>
      <c r="P30" s="1287"/>
      <c r="Q30" s="1287"/>
      <c r="R30" s="1287"/>
      <c r="S30" s="1287"/>
      <c r="T30" s="1287"/>
      <c r="U30" s="1287"/>
      <c r="V30" s="1287"/>
      <c r="W30" s="1287"/>
      <c r="X30" s="1287"/>
      <c r="Y30" s="1287"/>
      <c r="Z30" s="1287"/>
      <c r="AA30" s="1287"/>
      <c r="AB30" s="1287"/>
      <c r="AC30" s="1287"/>
      <c r="AD30" s="1287"/>
    </row>
    <row r="31" spans="2:41" ht="5.15" customHeight="1" thickTop="1">
      <c r="B31" s="1304"/>
      <c r="C31" s="1305"/>
      <c r="D31" s="1305"/>
      <c r="E31" s="1305"/>
      <c r="F31" s="1305"/>
      <c r="G31" s="1305"/>
      <c r="H31" s="1305"/>
      <c r="I31" s="1305"/>
      <c r="J31" s="1305"/>
      <c r="K31" s="1305"/>
      <c r="L31" s="1305"/>
      <c r="M31" s="1305"/>
      <c r="N31" s="1305"/>
      <c r="O31" s="1305"/>
      <c r="P31" s="1305"/>
      <c r="Q31" s="1305"/>
      <c r="R31" s="1305"/>
      <c r="S31" s="1305"/>
      <c r="T31" s="1305"/>
      <c r="U31" s="1305"/>
      <c r="V31" s="1305"/>
      <c r="W31" s="1305"/>
      <c r="X31" s="1305"/>
      <c r="Y31" s="1305"/>
      <c r="Z31" s="1305"/>
      <c r="AA31" s="1305"/>
      <c r="AB31" s="1305"/>
      <c r="AC31" s="1305"/>
      <c r="AD31" s="1305"/>
      <c r="AE31" s="1305"/>
      <c r="AF31" s="1306"/>
    </row>
    <row r="32" spans="2:41" ht="15.65" customHeight="1">
      <c r="B32" s="1298"/>
      <c r="C32" s="1299" t="s">
        <v>151</v>
      </c>
      <c r="D32" s="3703" t="s">
        <v>1560</v>
      </c>
      <c r="E32" s="3703"/>
      <c r="F32" s="3703"/>
      <c r="G32" s="3703"/>
      <c r="H32" s="3703"/>
      <c r="I32" s="3703"/>
      <c r="J32" s="3703"/>
      <c r="K32" s="3703"/>
      <c r="L32" s="3703"/>
      <c r="M32" s="3703"/>
      <c r="N32" s="3703"/>
      <c r="O32" s="3703"/>
      <c r="P32" s="3703"/>
      <c r="Q32" s="3703"/>
      <c r="R32" s="3703"/>
      <c r="S32" s="3703"/>
      <c r="T32" s="3703"/>
      <c r="U32" s="3703"/>
      <c r="V32" s="3703"/>
      <c r="W32" s="3703"/>
      <c r="X32" s="3703"/>
      <c r="Y32" s="3703"/>
      <c r="Z32" s="3703"/>
      <c r="AA32" s="1347"/>
      <c r="AB32" s="1347"/>
      <c r="AC32" s="1347"/>
      <c r="AD32" s="1350"/>
      <c r="AE32" s="1300"/>
      <c r="AF32" s="1301"/>
    </row>
    <row r="33" spans="2:41" ht="5.15" customHeight="1" thickBot="1">
      <c r="B33" s="1331"/>
      <c r="C33" s="1338"/>
      <c r="D33" s="1338"/>
      <c r="E33" s="1338"/>
      <c r="F33" s="1338"/>
      <c r="G33" s="1338"/>
      <c r="H33" s="1338"/>
      <c r="I33" s="1338"/>
      <c r="J33" s="1338"/>
      <c r="K33" s="1338"/>
      <c r="L33" s="1338"/>
      <c r="M33" s="1338"/>
      <c r="N33" s="1338"/>
      <c r="O33" s="1338"/>
      <c r="P33" s="1338"/>
      <c r="Q33" s="1338"/>
      <c r="R33" s="1338"/>
      <c r="S33" s="1338"/>
      <c r="T33" s="1338"/>
      <c r="U33" s="1338"/>
      <c r="V33" s="1338"/>
      <c r="W33" s="1338"/>
      <c r="X33" s="1338"/>
      <c r="Y33" s="1338"/>
      <c r="Z33" s="1338"/>
      <c r="AA33" s="1338"/>
      <c r="AB33" s="1338"/>
      <c r="AC33" s="1338"/>
      <c r="AD33" s="1338"/>
      <c r="AE33" s="1338"/>
      <c r="AF33" s="1310"/>
    </row>
    <row r="34" spans="2:41" s="1291" customFormat="1" ht="35.15" customHeight="1" thickTop="1" thickBot="1">
      <c r="B34" s="1331"/>
      <c r="C34" s="1332"/>
      <c r="D34" s="3710" t="s">
        <v>758</v>
      </c>
      <c r="E34" s="3711"/>
      <c r="F34" s="3711"/>
      <c r="G34" s="3711"/>
      <c r="H34" s="3711"/>
      <c r="I34" s="3713"/>
      <c r="J34" s="3711" t="s">
        <v>759</v>
      </c>
      <c r="K34" s="3711"/>
      <c r="L34" s="3711"/>
      <c r="M34" s="3711"/>
      <c r="N34" s="3711"/>
      <c r="O34" s="3714"/>
      <c r="P34" s="1351"/>
      <c r="Q34" s="1351"/>
      <c r="R34" s="1351"/>
      <c r="S34" s="1351"/>
      <c r="T34" s="1351"/>
      <c r="U34" s="1351"/>
      <c r="V34" s="1351"/>
      <c r="W34" s="1351"/>
      <c r="X34" s="1351"/>
      <c r="Y34" s="1351"/>
      <c r="Z34" s="1351"/>
      <c r="AA34" s="1351"/>
      <c r="AB34" s="1332"/>
      <c r="AC34" s="1332"/>
      <c r="AD34" s="1332"/>
      <c r="AE34" s="1332"/>
      <c r="AF34" s="1333"/>
    </row>
    <row r="35" spans="2:41" s="1291" customFormat="1" ht="19.5" customHeight="1" thickBot="1">
      <c r="B35" s="1293"/>
      <c r="C35" s="1294"/>
      <c r="D35" s="3715" t="s">
        <v>15</v>
      </c>
      <c r="E35" s="3716"/>
      <c r="F35" s="3717"/>
      <c r="G35" s="3720" t="s">
        <v>16</v>
      </c>
      <c r="H35" s="3716"/>
      <c r="I35" s="3719"/>
      <c r="J35" s="3716" t="s">
        <v>15</v>
      </c>
      <c r="K35" s="3716"/>
      <c r="L35" s="3717"/>
      <c r="M35" s="3720" t="s">
        <v>16</v>
      </c>
      <c r="N35" s="3716"/>
      <c r="O35" s="3721"/>
      <c r="P35" s="1352"/>
      <c r="Q35" s="1352"/>
      <c r="R35" s="1352"/>
      <c r="S35" s="1352"/>
      <c r="T35" s="1352"/>
      <c r="U35" s="1352"/>
      <c r="V35" s="1352"/>
      <c r="W35" s="1352"/>
      <c r="X35" s="1352"/>
      <c r="Y35" s="1352"/>
      <c r="Z35" s="1352"/>
      <c r="AA35" s="1352"/>
      <c r="AF35" s="1292"/>
    </row>
    <row r="36" spans="2:41" s="1291" customFormat="1" ht="30" customHeight="1" thickTop="1" thickBot="1">
      <c r="B36" s="1293"/>
      <c r="C36" s="1294"/>
      <c r="D36" s="3741">
        <v>1</v>
      </c>
      <c r="E36" s="3742"/>
      <c r="F36" s="3746"/>
      <c r="G36" s="3783">
        <v>0</v>
      </c>
      <c r="H36" s="3768"/>
      <c r="I36" s="3784"/>
      <c r="J36" s="3742">
        <v>0</v>
      </c>
      <c r="K36" s="3742"/>
      <c r="L36" s="3746"/>
      <c r="M36" s="3783">
        <v>0</v>
      </c>
      <c r="N36" s="3768"/>
      <c r="O36" s="3785"/>
      <c r="P36" s="1348"/>
      <c r="Q36" s="1348"/>
      <c r="R36" s="1348"/>
      <c r="S36" s="1349"/>
      <c r="T36" s="1349"/>
      <c r="U36" s="1349"/>
      <c r="V36" s="1348"/>
      <c r="W36" s="1348"/>
      <c r="X36" s="1348"/>
      <c r="Y36" s="1349"/>
      <c r="Z36" s="1349"/>
      <c r="AA36" s="1349"/>
      <c r="AF36" s="1292"/>
    </row>
    <row r="37" spans="2:41" ht="5.15" customHeight="1" thickTop="1" thickBot="1">
      <c r="B37" s="1331"/>
      <c r="C37" s="1338"/>
      <c r="D37" s="1338"/>
      <c r="E37" s="1338"/>
      <c r="F37" s="1338"/>
      <c r="G37" s="1338"/>
      <c r="H37" s="1338"/>
      <c r="I37" s="1338"/>
      <c r="J37" s="1338"/>
      <c r="K37" s="1338"/>
      <c r="L37" s="1338"/>
      <c r="M37" s="1338"/>
      <c r="N37" s="1338"/>
      <c r="O37" s="1338"/>
      <c r="P37" s="1338"/>
      <c r="Q37" s="1338"/>
      <c r="R37" s="1338"/>
      <c r="S37" s="1338"/>
      <c r="T37" s="1338"/>
      <c r="U37" s="1338"/>
      <c r="V37" s="1338"/>
      <c r="W37" s="1338"/>
      <c r="X37" s="1338"/>
      <c r="Y37" s="1338"/>
      <c r="Z37" s="1338"/>
      <c r="AA37" s="1338"/>
      <c r="AB37" s="1338"/>
      <c r="AC37" s="1338"/>
      <c r="AD37" s="1338"/>
      <c r="AE37" s="1338"/>
      <c r="AF37" s="1310"/>
    </row>
    <row r="38" spans="2:41" ht="31" customHeight="1" thickBot="1">
      <c r="B38" s="1298"/>
      <c r="C38" s="1345" t="s">
        <v>152</v>
      </c>
      <c r="D38" s="3704" t="s">
        <v>1561</v>
      </c>
      <c r="E38" s="3704"/>
      <c r="F38" s="3704"/>
      <c r="G38" s="3704"/>
      <c r="H38" s="3704"/>
      <c r="I38" s="3704"/>
      <c r="J38" s="3704"/>
      <c r="K38" s="3704"/>
      <c r="L38" s="3704"/>
      <c r="M38" s="3704"/>
      <c r="N38" s="3704"/>
      <c r="O38" s="3704"/>
      <c r="P38" s="3704"/>
      <c r="Q38" s="3704"/>
      <c r="R38" s="3704"/>
      <c r="S38" s="3704"/>
      <c r="T38" s="3704"/>
      <c r="U38" s="3704"/>
      <c r="V38" s="3704"/>
      <c r="W38" s="3704"/>
      <c r="X38" s="3704"/>
      <c r="Y38" s="3704"/>
      <c r="Z38" s="3704"/>
      <c r="AA38" s="1346"/>
      <c r="AB38" s="3778">
        <v>1</v>
      </c>
      <c r="AC38" s="3779"/>
      <c r="AD38" s="3780"/>
      <c r="AE38" s="1300"/>
      <c r="AF38" s="1301"/>
    </row>
    <row r="39" spans="2:41" ht="5.15" customHeight="1" thickBot="1">
      <c r="B39" s="1331"/>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1338"/>
      <c r="AE39" s="1338"/>
      <c r="AF39" s="1310"/>
    </row>
    <row r="40" spans="2:41" ht="31" customHeight="1" thickBot="1">
      <c r="B40" s="1298"/>
      <c r="C40" s="1299" t="s">
        <v>153</v>
      </c>
      <c r="D40" s="3703" t="s">
        <v>1859</v>
      </c>
      <c r="E40" s="3703"/>
      <c r="F40" s="3703"/>
      <c r="G40" s="3703"/>
      <c r="H40" s="3703"/>
      <c r="I40" s="3703"/>
      <c r="J40" s="3703"/>
      <c r="K40" s="3703"/>
      <c r="L40" s="3703"/>
      <c r="M40" s="3703"/>
      <c r="N40" s="3703"/>
      <c r="O40" s="3703"/>
      <c r="P40" s="3703"/>
      <c r="Q40" s="3703"/>
      <c r="R40" s="3703"/>
      <c r="S40" s="3703"/>
      <c r="T40" s="3703"/>
      <c r="U40" s="3703"/>
      <c r="V40" s="3703"/>
      <c r="W40" s="3703"/>
      <c r="X40" s="3703"/>
      <c r="Y40" s="3703"/>
      <c r="Z40" s="3703"/>
      <c r="AA40" s="1347"/>
      <c r="AB40" s="3778">
        <v>0</v>
      </c>
      <c r="AC40" s="3779"/>
      <c r="AD40" s="3780"/>
      <c r="AE40" s="1300"/>
      <c r="AF40" s="1301"/>
    </row>
    <row r="41" spans="2:41" ht="5.15" customHeight="1" thickBot="1">
      <c r="B41" s="1331"/>
      <c r="C41" s="1338"/>
      <c r="D41" s="1338"/>
      <c r="E41" s="1338"/>
      <c r="F41" s="1338"/>
      <c r="G41" s="1338"/>
      <c r="H41" s="1338"/>
      <c r="I41" s="1338"/>
      <c r="J41" s="1338"/>
      <c r="K41" s="1338"/>
      <c r="L41" s="1338"/>
      <c r="M41" s="1338"/>
      <c r="N41" s="1338"/>
      <c r="O41" s="1338"/>
      <c r="P41" s="1338"/>
      <c r="Q41" s="1338"/>
      <c r="R41" s="1338"/>
      <c r="S41" s="1338"/>
      <c r="T41" s="1338"/>
      <c r="U41" s="1338"/>
      <c r="V41" s="1338"/>
      <c r="W41" s="1338"/>
      <c r="X41" s="1338"/>
      <c r="Y41" s="1338"/>
      <c r="Z41" s="1338"/>
      <c r="AA41" s="1338"/>
      <c r="AB41" s="1338"/>
      <c r="AC41" s="1338"/>
      <c r="AD41" s="1338"/>
      <c r="AE41" s="1338"/>
      <c r="AF41" s="1310"/>
    </row>
    <row r="42" spans="2:41" ht="31" customHeight="1" thickBot="1">
      <c r="B42" s="1298"/>
      <c r="C42" s="1345" t="s">
        <v>154</v>
      </c>
      <c r="D42" s="3704" t="s">
        <v>1562</v>
      </c>
      <c r="E42" s="3704"/>
      <c r="F42" s="3704"/>
      <c r="G42" s="3704"/>
      <c r="H42" s="3704"/>
      <c r="I42" s="3704"/>
      <c r="J42" s="3704"/>
      <c r="K42" s="3704"/>
      <c r="L42" s="3704"/>
      <c r="M42" s="3704"/>
      <c r="N42" s="3704"/>
      <c r="O42" s="3704"/>
      <c r="P42" s="3704"/>
      <c r="Q42" s="3704"/>
      <c r="R42" s="3704"/>
      <c r="S42" s="3704"/>
      <c r="T42" s="3704"/>
      <c r="U42" s="3704"/>
      <c r="V42" s="3704"/>
      <c r="W42" s="3704"/>
      <c r="X42" s="3704"/>
      <c r="Y42" s="3704"/>
      <c r="Z42" s="3704"/>
      <c r="AA42" s="1346"/>
      <c r="AB42" s="3778">
        <v>0</v>
      </c>
      <c r="AC42" s="3779"/>
      <c r="AD42" s="3780"/>
      <c r="AE42" s="1300"/>
      <c r="AF42" s="1301"/>
    </row>
    <row r="43" spans="2:41" ht="5.15" customHeight="1">
      <c r="B43" s="1331"/>
      <c r="C43" s="1338"/>
      <c r="D43" s="1338"/>
      <c r="E43" s="1338"/>
      <c r="F43" s="1338"/>
      <c r="G43" s="1338"/>
      <c r="H43" s="1338"/>
      <c r="I43" s="1338"/>
      <c r="J43" s="1338"/>
      <c r="K43" s="1338"/>
      <c r="L43" s="1338"/>
      <c r="M43" s="1338"/>
      <c r="N43" s="1338"/>
      <c r="O43" s="1338"/>
      <c r="P43" s="1338"/>
      <c r="Q43" s="1338"/>
      <c r="R43" s="1338"/>
      <c r="S43" s="1338"/>
      <c r="T43" s="1338"/>
      <c r="U43" s="1338"/>
      <c r="V43" s="1338"/>
      <c r="W43" s="1338"/>
      <c r="X43" s="1338"/>
      <c r="Y43" s="1338"/>
      <c r="Z43" s="1338"/>
      <c r="AA43" s="1338"/>
      <c r="AB43" s="1338"/>
      <c r="AC43" s="1338"/>
      <c r="AD43" s="1338"/>
      <c r="AE43" s="1338"/>
      <c r="AF43" s="1310"/>
    </row>
    <row r="44" spans="2:41" s="1342" customFormat="1" ht="16" customHeight="1">
      <c r="B44" s="1339"/>
      <c r="C44" s="1299" t="s">
        <v>155</v>
      </c>
      <c r="D44" s="601" t="b">
        <v>1</v>
      </c>
      <c r="E44" s="3786" t="s">
        <v>1563</v>
      </c>
      <c r="F44" s="3786"/>
      <c r="G44" s="3786"/>
      <c r="H44" s="3786"/>
      <c r="I44" s="3786"/>
      <c r="J44" s="3786"/>
      <c r="K44" s="3786"/>
      <c r="L44" s="3786"/>
      <c r="M44" s="3786"/>
      <c r="N44" s="3786"/>
      <c r="O44" s="3786"/>
      <c r="P44" s="3786"/>
      <c r="Q44" s="3786"/>
      <c r="R44" s="3786"/>
      <c r="S44" s="3786"/>
      <c r="T44" s="3786"/>
      <c r="U44" s="3786"/>
      <c r="V44" s="3786"/>
      <c r="W44" s="3786"/>
      <c r="X44" s="3786"/>
      <c r="Y44" s="3786"/>
      <c r="Z44" s="3786"/>
      <c r="AA44" s="3786"/>
      <c r="AB44" s="3786"/>
      <c r="AC44" s="3786"/>
      <c r="AD44" s="3786"/>
      <c r="AE44" s="1340"/>
      <c r="AF44" s="1341"/>
      <c r="AG44" s="1340"/>
      <c r="AH44" s="1340"/>
      <c r="AI44" s="1340"/>
      <c r="AJ44" s="1340"/>
      <c r="AK44" s="1340"/>
      <c r="AL44" s="1340"/>
      <c r="AM44" s="1340"/>
      <c r="AN44" s="1340"/>
      <c r="AO44" s="1340"/>
    </row>
    <row r="45" spans="2:41" s="1342" customFormat="1" ht="16" customHeight="1">
      <c r="B45" s="1339"/>
      <c r="C45" s="1299"/>
      <c r="D45" s="1343"/>
      <c r="E45" s="3786"/>
      <c r="F45" s="3786"/>
      <c r="G45" s="3786"/>
      <c r="H45" s="3786"/>
      <c r="I45" s="3786"/>
      <c r="J45" s="3786"/>
      <c r="K45" s="3786"/>
      <c r="L45" s="3786"/>
      <c r="M45" s="3786"/>
      <c r="N45" s="3786"/>
      <c r="O45" s="3786"/>
      <c r="P45" s="3786"/>
      <c r="Q45" s="3786"/>
      <c r="R45" s="3786"/>
      <c r="S45" s="3786"/>
      <c r="T45" s="3786"/>
      <c r="U45" s="3786"/>
      <c r="V45" s="3786"/>
      <c r="W45" s="3786"/>
      <c r="X45" s="3786"/>
      <c r="Y45" s="3786"/>
      <c r="Z45" s="3786"/>
      <c r="AA45" s="3786"/>
      <c r="AB45" s="3786"/>
      <c r="AC45" s="3786"/>
      <c r="AD45" s="3786"/>
      <c r="AE45" s="1340"/>
      <c r="AF45" s="1341"/>
      <c r="AG45" s="1340"/>
      <c r="AH45" s="1340"/>
      <c r="AI45" s="1340"/>
      <c r="AJ45" s="1340"/>
      <c r="AK45" s="1340"/>
      <c r="AL45" s="1340"/>
      <c r="AM45" s="1340"/>
      <c r="AN45" s="1340"/>
      <c r="AO45" s="1340"/>
    </row>
    <row r="46" spans="2:41" ht="10" customHeight="1" thickBot="1">
      <c r="B46" s="1281"/>
      <c r="C46" s="1282"/>
      <c r="D46" s="1283"/>
      <c r="E46" s="1284"/>
      <c r="F46" s="1284"/>
      <c r="G46" s="1284"/>
      <c r="H46" s="1284"/>
      <c r="I46" s="1284"/>
      <c r="J46" s="1284"/>
      <c r="K46" s="1285"/>
      <c r="L46" s="1285"/>
      <c r="M46" s="1285"/>
      <c r="N46" s="1285"/>
      <c r="O46" s="1285"/>
      <c r="P46" s="1285"/>
      <c r="Q46" s="1285"/>
      <c r="R46" s="1285"/>
      <c r="S46" s="1285"/>
      <c r="T46" s="1285"/>
      <c r="U46" s="1285"/>
      <c r="V46" s="1285"/>
      <c r="W46" s="1285"/>
      <c r="X46" s="1285"/>
      <c r="Y46" s="1285"/>
      <c r="Z46" s="1285"/>
      <c r="AA46" s="1285"/>
      <c r="AB46" s="1285"/>
      <c r="AC46" s="1285"/>
      <c r="AD46" s="1285"/>
      <c r="AE46" s="1285"/>
      <c r="AF46" s="1286"/>
    </row>
    <row r="47" spans="2:41" ht="10" customHeight="1" thickTop="1">
      <c r="B47" s="1344"/>
      <c r="C47" s="587"/>
      <c r="E47" s="1300"/>
      <c r="F47" s="1300"/>
      <c r="G47" s="1300"/>
      <c r="H47" s="1300"/>
      <c r="I47" s="1300"/>
      <c r="J47" s="1300"/>
      <c r="K47" s="1287"/>
      <c r="L47" s="1287"/>
      <c r="M47" s="1287"/>
      <c r="N47" s="1287"/>
      <c r="O47" s="1287"/>
      <c r="P47" s="1287"/>
      <c r="Q47" s="1287"/>
      <c r="R47" s="1287"/>
      <c r="S47" s="1287"/>
      <c r="T47" s="1287"/>
      <c r="U47" s="1287"/>
      <c r="V47" s="1287"/>
      <c r="W47" s="1287"/>
      <c r="X47" s="1287"/>
      <c r="Y47" s="1287"/>
      <c r="Z47" s="1287"/>
      <c r="AA47" s="1287"/>
      <c r="AB47" s="1287"/>
      <c r="AC47" s="1287"/>
      <c r="AD47" s="1287"/>
    </row>
    <row r="48" spans="2:41" s="681" customFormat="1" ht="16.5">
      <c r="B48" s="187" t="s">
        <v>1245</v>
      </c>
      <c r="C48" s="1244"/>
      <c r="D48" s="1240"/>
      <c r="E48" s="1240"/>
      <c r="F48" s="1240"/>
      <c r="G48" s="1240"/>
      <c r="H48" s="1240"/>
      <c r="I48" s="1240"/>
      <c r="J48" s="1240"/>
      <c r="K48" s="1240"/>
      <c r="L48" s="1240"/>
      <c r="M48" s="1240"/>
      <c r="N48" s="1240"/>
      <c r="O48" s="1240"/>
      <c r="P48" s="1240"/>
      <c r="Q48" s="1240"/>
      <c r="R48" s="1240"/>
      <c r="S48" s="1240"/>
      <c r="T48" s="1240"/>
    </row>
    <row r="49" spans="2:32" s="602" customFormat="1" ht="30.75" customHeight="1"/>
    <row r="50" spans="2:32" s="1235" customFormat="1" ht="14">
      <c r="B50" s="169" t="s">
        <v>847</v>
      </c>
      <c r="T50" s="169" t="s">
        <v>747</v>
      </c>
    </row>
    <row r="51" spans="2:32" s="1235" customFormat="1" ht="21.75" customHeight="1">
      <c r="B51" s="169" t="s">
        <v>748</v>
      </c>
      <c r="F51" s="3607" t="str">
        <f>activesheet!E29</f>
        <v>RICO S. MISPEROS</v>
      </c>
      <c r="G51" s="3607"/>
      <c r="H51" s="3607"/>
      <c r="I51" s="3607"/>
      <c r="J51" s="3607"/>
      <c r="K51" s="3607"/>
      <c r="L51" s="3607"/>
      <c r="M51" s="3607"/>
      <c r="N51" s="3607"/>
      <c r="O51" s="1290"/>
      <c r="P51" s="1290"/>
      <c r="Q51" s="1290"/>
      <c r="R51" s="1290"/>
      <c r="S51" s="1290"/>
      <c r="T51" s="3607" t="str">
        <f>activesheet!E3244</f>
        <v>ELYN KENDRA D. DELA CRUZ</v>
      </c>
      <c r="U51" s="3607"/>
      <c r="V51" s="3607"/>
      <c r="W51" s="3607"/>
      <c r="X51" s="3607"/>
      <c r="Y51" s="3607"/>
      <c r="Z51" s="3607"/>
      <c r="AA51" s="3607"/>
      <c r="AB51" s="3607"/>
      <c r="AC51" s="3607"/>
      <c r="AD51" s="3607"/>
      <c r="AE51" s="3607"/>
      <c r="AF51" s="3607"/>
    </row>
    <row r="52" spans="2:32" s="1237" customFormat="1" ht="14.15" customHeight="1">
      <c r="B52" s="655"/>
      <c r="F52" s="1776" t="s">
        <v>741</v>
      </c>
      <c r="G52" s="1776"/>
      <c r="H52" s="1776"/>
      <c r="I52" s="1776"/>
      <c r="J52" s="1776"/>
      <c r="K52" s="1776"/>
      <c r="L52" s="1776"/>
      <c r="M52" s="1776"/>
      <c r="N52" s="1776"/>
      <c r="O52" s="151"/>
      <c r="P52" s="151"/>
      <c r="Q52" s="151"/>
      <c r="R52" s="151"/>
      <c r="S52" s="151"/>
      <c r="T52" s="1776" t="s">
        <v>741</v>
      </c>
      <c r="U52" s="1776"/>
      <c r="V52" s="1776"/>
      <c r="W52" s="1776"/>
      <c r="X52" s="1776"/>
      <c r="Y52" s="1776"/>
      <c r="Z52" s="1776"/>
      <c r="AA52" s="1776"/>
      <c r="AB52" s="1776"/>
      <c r="AC52" s="1776"/>
      <c r="AD52" s="1776"/>
      <c r="AE52" s="1776"/>
      <c r="AF52" s="1776"/>
    </row>
    <row r="53" spans="2:32" s="1235" customFormat="1" ht="21.75" customHeight="1">
      <c r="B53" s="169" t="s">
        <v>71</v>
      </c>
      <c r="F53" s="3607" t="str">
        <f>activesheet!E30</f>
        <v>SCHOOL PRINCIPAL II</v>
      </c>
      <c r="G53" s="3607"/>
      <c r="H53" s="3607"/>
      <c r="I53" s="3607"/>
      <c r="J53" s="3607"/>
      <c r="K53" s="3607"/>
      <c r="L53" s="3607"/>
      <c r="M53" s="3607"/>
      <c r="N53" s="3607"/>
      <c r="O53" s="1290"/>
      <c r="P53" s="1290"/>
      <c r="Q53" s="1290"/>
      <c r="R53" s="1290"/>
      <c r="S53" s="1290"/>
      <c r="T53" s="169" t="s">
        <v>71</v>
      </c>
      <c r="X53" s="3607" t="str">
        <f>activesheet!E3245</f>
        <v>Project Development Officer II</v>
      </c>
      <c r="Y53" s="3607"/>
      <c r="Z53" s="3607"/>
      <c r="AA53" s="3607"/>
      <c r="AB53" s="3607"/>
      <c r="AC53" s="3607"/>
      <c r="AD53" s="3607"/>
      <c r="AE53" s="3607"/>
      <c r="AF53" s="3607"/>
    </row>
    <row r="54" spans="2:32" s="602" customFormat="1" ht="30.75" customHeight="1"/>
    <row r="55" spans="2:32" s="1235" customFormat="1" ht="14">
      <c r="K55" s="169" t="s">
        <v>783</v>
      </c>
    </row>
    <row r="56" spans="2:32" s="1235" customFormat="1" ht="21.75" customHeight="1">
      <c r="K56" s="1956" t="str">
        <f>activesheet!E31</f>
        <v>MICHAEL T. JAMIS</v>
      </c>
      <c r="L56" s="1956"/>
      <c r="M56" s="1956"/>
      <c r="N56" s="1956"/>
      <c r="O56" s="1956"/>
      <c r="P56" s="1956"/>
      <c r="Q56" s="1956"/>
      <c r="R56" s="1956"/>
      <c r="S56" s="1956"/>
      <c r="T56" s="1956"/>
      <c r="U56" s="1956"/>
      <c r="V56" s="1956"/>
      <c r="W56" s="1956"/>
    </row>
    <row r="57" spans="2:32" s="1237" customFormat="1" ht="14.15" customHeight="1">
      <c r="K57" s="1957"/>
      <c r="L57" s="1957"/>
      <c r="M57" s="1957"/>
      <c r="N57" s="1957"/>
      <c r="O57" s="1957"/>
      <c r="P57" s="1957"/>
      <c r="Q57" s="1957"/>
      <c r="R57" s="1957"/>
      <c r="S57" s="1957"/>
      <c r="T57" s="1957"/>
      <c r="U57" s="1957"/>
      <c r="V57" s="1957"/>
      <c r="W57" s="1957"/>
    </row>
    <row r="58" spans="2:32" s="1235" customFormat="1" ht="21.75" customHeight="1">
      <c r="K58" s="1776" t="s">
        <v>741</v>
      </c>
      <c r="L58" s="1776"/>
      <c r="M58" s="1776"/>
      <c r="N58" s="1776"/>
      <c r="O58" s="1776"/>
      <c r="P58" s="1776"/>
      <c r="Q58" s="1776"/>
      <c r="R58" s="1776"/>
      <c r="S58" s="1776"/>
      <c r="T58" s="1776"/>
      <c r="U58" s="1776"/>
      <c r="V58" s="1776"/>
      <c r="W58" s="1776"/>
    </row>
    <row r="59" spans="2:32">
      <c r="B59" s="1287"/>
      <c r="C59" s="1287"/>
      <c r="D59" s="1287"/>
      <c r="E59" s="1287"/>
      <c r="F59" s="1287"/>
      <c r="G59" s="1287"/>
      <c r="H59" s="1287"/>
      <c r="I59" s="1287"/>
      <c r="L59" s="1287"/>
      <c r="M59" s="1287"/>
      <c r="N59" s="1287"/>
      <c r="O59" s="1287"/>
      <c r="P59" s="1287"/>
      <c r="Q59" s="1287"/>
      <c r="R59" s="1287"/>
      <c r="S59" s="1287"/>
      <c r="T59" s="1287"/>
      <c r="U59" s="1287"/>
      <c r="V59" s="1287"/>
      <c r="Y59" s="1287"/>
      <c r="Z59" s="1287"/>
      <c r="AA59" s="1287"/>
      <c r="AB59" s="1287"/>
      <c r="AC59" s="1287"/>
      <c r="AD59" s="1287"/>
    </row>
  </sheetData>
  <sheetProtection algorithmName="SHA-512" hashValue="2sDTRuBqmzn8I3RMBj+omCL3GwkaaYLOI6enqN+HQnseJlJS9en1DOqEKG4ACCaO0eNpLZbS1PJLiN4cbUO1UA==" saltValue="U7+qUG0CJbR/4YpYfdo5tA==" spinCount="100000" sheet="1" objects="1" scenarios="1" selectLockedCells="1"/>
  <mergeCells count="78">
    <mergeCell ref="K58:W58"/>
    <mergeCell ref="D40:Z40"/>
    <mergeCell ref="AB40:AD40"/>
    <mergeCell ref="D42:Z42"/>
    <mergeCell ref="AB42:AD42"/>
    <mergeCell ref="E44:AD45"/>
    <mergeCell ref="F51:N51"/>
    <mergeCell ref="T51:AF51"/>
    <mergeCell ref="F52:N52"/>
    <mergeCell ref="T52:AF52"/>
    <mergeCell ref="F53:N53"/>
    <mergeCell ref="X53:AF53"/>
    <mergeCell ref="K56:W57"/>
    <mergeCell ref="AB38:AD38"/>
    <mergeCell ref="Y27:AA27"/>
    <mergeCell ref="AB27:AD27"/>
    <mergeCell ref="D32:Z32"/>
    <mergeCell ref="D34:I34"/>
    <mergeCell ref="J34:O34"/>
    <mergeCell ref="D35:F35"/>
    <mergeCell ref="G35:I35"/>
    <mergeCell ref="J35:L35"/>
    <mergeCell ref="M35:O35"/>
    <mergeCell ref="D36:F36"/>
    <mergeCell ref="G36:I36"/>
    <mergeCell ref="J36:L36"/>
    <mergeCell ref="M36:O36"/>
    <mergeCell ref="D38:Z38"/>
    <mergeCell ref="V26:X26"/>
    <mergeCell ref="Y26:AA26"/>
    <mergeCell ref="AB26:AD26"/>
    <mergeCell ref="D27:F27"/>
    <mergeCell ref="G27:I27"/>
    <mergeCell ref="J27:L27"/>
    <mergeCell ref="M27:O27"/>
    <mergeCell ref="P27:R27"/>
    <mergeCell ref="S27:U27"/>
    <mergeCell ref="V27:X27"/>
    <mergeCell ref="D26:F26"/>
    <mergeCell ref="G26:I26"/>
    <mergeCell ref="J26:L26"/>
    <mergeCell ref="M26:O26"/>
    <mergeCell ref="P26:R26"/>
    <mergeCell ref="S26:U26"/>
    <mergeCell ref="Y15:AA15"/>
    <mergeCell ref="G17:AA17"/>
    <mergeCell ref="E22:AB22"/>
    <mergeCell ref="E23:AB23"/>
    <mergeCell ref="D24:AB24"/>
    <mergeCell ref="D25:L25"/>
    <mergeCell ref="M25:U25"/>
    <mergeCell ref="V25:AD25"/>
    <mergeCell ref="S14:U14"/>
    <mergeCell ref="V14:X14"/>
    <mergeCell ref="Y14:AA14"/>
    <mergeCell ref="D15:F15"/>
    <mergeCell ref="G15:I15"/>
    <mergeCell ref="J15:L15"/>
    <mergeCell ref="M15:O15"/>
    <mergeCell ref="P15:R15"/>
    <mergeCell ref="S15:U15"/>
    <mergeCell ref="V15:X15"/>
    <mergeCell ref="D14:F14"/>
    <mergeCell ref="G14:I14"/>
    <mergeCell ref="J14:L14"/>
    <mergeCell ref="M14:O14"/>
    <mergeCell ref="P14:R14"/>
    <mergeCell ref="E4:AD4"/>
    <mergeCell ref="D5:AD5"/>
    <mergeCell ref="E7:AD7"/>
    <mergeCell ref="E8:AD8"/>
    <mergeCell ref="E9:AD9"/>
    <mergeCell ref="E10:AD10"/>
    <mergeCell ref="D11:AC11"/>
    <mergeCell ref="D13:I13"/>
    <mergeCell ref="J13:O13"/>
    <mergeCell ref="P13:U13"/>
    <mergeCell ref="V13:AA13"/>
  </mergeCells>
  <dataValidations count="4">
    <dataValidation type="whole" allowBlank="1" showInputMessage="1" showErrorMessage="1" errorTitle="GESP SY 2022-2023" error="Please enter valid number between 0 -20,000." sqref="D15:AA15" xr:uid="{00000000-0002-0000-3100-000000000000}">
      <formula1>0</formula1>
      <formula2>20000</formula2>
    </dataValidation>
    <dataValidation type="decimal" allowBlank="1" showInputMessage="1" showErrorMessage="1" errorTitle="GESP SY 2022-2023" error="Please enter valid value between 0 - 20,000,000.00" sqref="P27:R27 Y27:AA27 G27:I27" xr:uid="{00000000-0002-0000-3100-000001000000}">
      <formula1>0</formula1>
      <formula2>20000000</formula2>
    </dataValidation>
    <dataValidation type="whole" allowBlank="1" showInputMessage="1" showErrorMessage="1" errorTitle="GESP SY 2022-2023" error="Please enter valid number between 0 - 999." sqref="D27:F27 M27:O27 V27:X27 D36:O36 AB38:AD38 AB40:AD40 AB42:AD42" xr:uid="{00000000-0002-0000-3100-000002000000}">
      <formula1>0</formula1>
      <formula2>999</formula2>
    </dataValidation>
    <dataValidation type="decimal" allowBlank="1" showInputMessage="1" showErrorMessage="1" errorTitle="GESP SY 2022-2023" error="Please enter valid number between 0-100." sqref="J27:L27 S27:U27 AB27:AD27" xr:uid="{00000000-0002-0000-3100-000003000000}">
      <formula1>0</formula1>
      <formula2>1</formula2>
    </dataValidation>
  </dataValidations>
  <printOptions horizontalCentered="1" verticalCentered="1"/>
  <pageMargins left="0.25" right="0.25" top="0.2" bottom="0.2" header="0" footer="0.1"/>
  <pageSetup paperSize="9" scale="63" orientation="portrait" r:id="rId1"/>
  <headerFooter>
    <oddFooter>&amp;L&amp;10&amp;F &amp;A&amp;R&amp;10Page 46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6369" r:id="rId4" name="Check Box 1">
              <controlPr locked="0" defaultSize="0" autoFill="0" autoLine="0" autoPict="0">
                <anchor moveWithCells="1">
                  <from>
                    <xdr:col>3</xdr:col>
                    <xdr:colOff>50800</xdr:colOff>
                    <xdr:row>3</xdr:row>
                    <xdr:rowOff>50800</xdr:rowOff>
                  </from>
                  <to>
                    <xdr:col>5</xdr:col>
                    <xdr:colOff>241300</xdr:colOff>
                    <xdr:row>3</xdr:row>
                    <xdr:rowOff>260350</xdr:rowOff>
                  </to>
                </anchor>
              </controlPr>
            </control>
          </mc:Choice>
        </mc:AlternateContent>
        <mc:AlternateContent xmlns:mc="http://schemas.openxmlformats.org/markup-compatibility/2006">
          <mc:Choice Requires="x14">
            <control shapeId="186370" r:id="rId5" name="Check Box 2">
              <controlPr locked="0" defaultSize="0" autoFill="0" autoLine="0" autoPict="0">
                <anchor moveWithCells="1">
                  <from>
                    <xdr:col>6</xdr:col>
                    <xdr:colOff>50800</xdr:colOff>
                    <xdr:row>5</xdr:row>
                    <xdr:rowOff>31750</xdr:rowOff>
                  </from>
                  <to>
                    <xdr:col>8</xdr:col>
                    <xdr:colOff>184150</xdr:colOff>
                    <xdr:row>5</xdr:row>
                    <xdr:rowOff>228600</xdr:rowOff>
                  </to>
                </anchor>
              </controlPr>
            </control>
          </mc:Choice>
        </mc:AlternateContent>
        <mc:AlternateContent xmlns:mc="http://schemas.openxmlformats.org/markup-compatibility/2006">
          <mc:Choice Requires="x14">
            <control shapeId="186371" r:id="rId6" name="Check Box 3">
              <controlPr locked="0" defaultSize="0" autoFill="0" autoLine="0" autoPict="0">
                <anchor moveWithCells="1">
                  <from>
                    <xdr:col>13</xdr:col>
                    <xdr:colOff>50800</xdr:colOff>
                    <xdr:row>5</xdr:row>
                    <xdr:rowOff>31750</xdr:rowOff>
                  </from>
                  <to>
                    <xdr:col>15</xdr:col>
                    <xdr:colOff>241300</xdr:colOff>
                    <xdr:row>5</xdr:row>
                    <xdr:rowOff>228600</xdr:rowOff>
                  </to>
                </anchor>
              </controlPr>
            </control>
          </mc:Choice>
        </mc:AlternateContent>
        <mc:AlternateContent xmlns:mc="http://schemas.openxmlformats.org/markup-compatibility/2006">
          <mc:Choice Requires="x14">
            <control shapeId="186372" r:id="rId7" name="Check Box 4">
              <controlPr locked="0" defaultSize="0" autoFill="0" autoLine="0" autoPict="0">
                <anchor moveWithCells="1">
                  <from>
                    <xdr:col>18</xdr:col>
                    <xdr:colOff>50800</xdr:colOff>
                    <xdr:row>5</xdr:row>
                    <xdr:rowOff>31750</xdr:rowOff>
                  </from>
                  <to>
                    <xdr:col>20</xdr:col>
                    <xdr:colOff>241300</xdr:colOff>
                    <xdr:row>5</xdr:row>
                    <xdr:rowOff>228600</xdr:rowOff>
                  </to>
                </anchor>
              </controlPr>
            </control>
          </mc:Choice>
        </mc:AlternateContent>
        <mc:AlternateContent xmlns:mc="http://schemas.openxmlformats.org/markup-compatibility/2006">
          <mc:Choice Requires="x14">
            <control shapeId="186373" r:id="rId8" name="Check Box 5">
              <controlPr locked="0" defaultSize="0" autoFill="0" autoLine="0" autoPict="0">
                <anchor moveWithCells="1">
                  <from>
                    <xdr:col>22</xdr:col>
                    <xdr:colOff>50800</xdr:colOff>
                    <xdr:row>5</xdr:row>
                    <xdr:rowOff>31750</xdr:rowOff>
                  </from>
                  <to>
                    <xdr:col>24</xdr:col>
                    <xdr:colOff>241300</xdr:colOff>
                    <xdr:row>5</xdr:row>
                    <xdr:rowOff>228600</xdr:rowOff>
                  </to>
                </anchor>
              </controlPr>
            </control>
          </mc:Choice>
        </mc:AlternateContent>
        <mc:AlternateContent xmlns:mc="http://schemas.openxmlformats.org/markup-compatibility/2006">
          <mc:Choice Requires="x14">
            <control shapeId="186374" r:id="rId9" name="Check Box 6">
              <controlPr locked="0" defaultSize="0" autoFill="0" autoLine="0" autoPict="0">
                <anchor moveWithCells="1">
                  <from>
                    <xdr:col>3</xdr:col>
                    <xdr:colOff>50800</xdr:colOff>
                    <xdr:row>6</xdr:row>
                    <xdr:rowOff>31750</xdr:rowOff>
                  </from>
                  <to>
                    <xdr:col>5</xdr:col>
                    <xdr:colOff>241300</xdr:colOff>
                    <xdr:row>6</xdr:row>
                    <xdr:rowOff>228600</xdr:rowOff>
                  </to>
                </anchor>
              </controlPr>
            </control>
          </mc:Choice>
        </mc:AlternateContent>
        <mc:AlternateContent xmlns:mc="http://schemas.openxmlformats.org/markup-compatibility/2006">
          <mc:Choice Requires="x14">
            <control shapeId="186376" r:id="rId10" name="Check Box 8">
              <controlPr locked="0" defaultSize="0" autoFill="0" autoLine="0" autoPict="0">
                <anchor moveWithCells="1">
                  <from>
                    <xdr:col>3</xdr:col>
                    <xdr:colOff>50800</xdr:colOff>
                    <xdr:row>7</xdr:row>
                    <xdr:rowOff>38100</xdr:rowOff>
                  </from>
                  <to>
                    <xdr:col>5</xdr:col>
                    <xdr:colOff>241300</xdr:colOff>
                    <xdr:row>7</xdr:row>
                    <xdr:rowOff>241300</xdr:rowOff>
                  </to>
                </anchor>
              </controlPr>
            </control>
          </mc:Choice>
        </mc:AlternateContent>
        <mc:AlternateContent xmlns:mc="http://schemas.openxmlformats.org/markup-compatibility/2006">
          <mc:Choice Requires="x14">
            <control shapeId="186377" r:id="rId11" name="Check Box 9">
              <controlPr locked="0" defaultSize="0" autoFill="0" autoLine="0" autoPict="0">
                <anchor moveWithCells="1">
                  <from>
                    <xdr:col>3</xdr:col>
                    <xdr:colOff>50800</xdr:colOff>
                    <xdr:row>8</xdr:row>
                    <xdr:rowOff>50800</xdr:rowOff>
                  </from>
                  <to>
                    <xdr:col>5</xdr:col>
                    <xdr:colOff>241300</xdr:colOff>
                    <xdr:row>8</xdr:row>
                    <xdr:rowOff>260350</xdr:rowOff>
                  </to>
                </anchor>
              </controlPr>
            </control>
          </mc:Choice>
        </mc:AlternateContent>
        <mc:AlternateContent xmlns:mc="http://schemas.openxmlformats.org/markup-compatibility/2006">
          <mc:Choice Requires="x14">
            <control shapeId="186378" r:id="rId12" name="Check Box 10">
              <controlPr locked="0" defaultSize="0" autoFill="0" autoLine="0" autoPict="0">
                <anchor moveWithCells="1">
                  <from>
                    <xdr:col>3</xdr:col>
                    <xdr:colOff>50800</xdr:colOff>
                    <xdr:row>9</xdr:row>
                    <xdr:rowOff>50800</xdr:rowOff>
                  </from>
                  <to>
                    <xdr:col>5</xdr:col>
                    <xdr:colOff>241300</xdr:colOff>
                    <xdr:row>9</xdr:row>
                    <xdr:rowOff>260350</xdr:rowOff>
                  </to>
                </anchor>
              </controlPr>
            </control>
          </mc:Choice>
        </mc:AlternateContent>
        <mc:AlternateContent xmlns:mc="http://schemas.openxmlformats.org/markup-compatibility/2006">
          <mc:Choice Requires="x14">
            <control shapeId="186379" r:id="rId13" name="Check Box 11">
              <controlPr locked="0" defaultSize="0" autoFill="0" autoLine="0" autoPict="0">
                <anchor moveWithCells="1">
                  <from>
                    <xdr:col>3</xdr:col>
                    <xdr:colOff>50800</xdr:colOff>
                    <xdr:row>21</xdr:row>
                    <xdr:rowOff>50800</xdr:rowOff>
                  </from>
                  <to>
                    <xdr:col>5</xdr:col>
                    <xdr:colOff>241300</xdr:colOff>
                    <xdr:row>21</xdr:row>
                    <xdr:rowOff>260350</xdr:rowOff>
                  </to>
                </anchor>
              </controlPr>
            </control>
          </mc:Choice>
        </mc:AlternateContent>
        <mc:AlternateContent xmlns:mc="http://schemas.openxmlformats.org/markup-compatibility/2006">
          <mc:Choice Requires="x14">
            <control shapeId="186380" r:id="rId14" name="Check Box 12">
              <controlPr locked="0" defaultSize="0" autoFill="0" autoLine="0" autoPict="0">
                <anchor moveWithCells="1">
                  <from>
                    <xdr:col>3</xdr:col>
                    <xdr:colOff>50800</xdr:colOff>
                    <xdr:row>22</xdr:row>
                    <xdr:rowOff>50800</xdr:rowOff>
                  </from>
                  <to>
                    <xdr:col>5</xdr:col>
                    <xdr:colOff>241300</xdr:colOff>
                    <xdr:row>22</xdr:row>
                    <xdr:rowOff>260350</xdr:rowOff>
                  </to>
                </anchor>
              </controlPr>
            </control>
          </mc:Choice>
        </mc:AlternateContent>
        <mc:AlternateContent xmlns:mc="http://schemas.openxmlformats.org/markup-compatibility/2006">
          <mc:Choice Requires="x14">
            <control shapeId="186381" r:id="rId15" name="Check Box 13">
              <controlPr locked="0" defaultSize="0" autoFill="0" autoLine="0" autoPict="0">
                <anchor moveWithCells="1">
                  <from>
                    <xdr:col>3</xdr:col>
                    <xdr:colOff>50800</xdr:colOff>
                    <xdr:row>42</xdr:row>
                    <xdr:rowOff>69850</xdr:rowOff>
                  </from>
                  <to>
                    <xdr:col>5</xdr:col>
                    <xdr:colOff>241300</xdr:colOff>
                    <xdr:row>44</xdr:row>
                    <xdr:rowOff>12700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pageSetUpPr fitToPage="1"/>
  </sheetPr>
  <dimension ref="B1:AW40"/>
  <sheetViews>
    <sheetView showGridLines="0" zoomScaleNormal="100" zoomScaleSheetLayoutView="100" workbookViewId="0">
      <selection activeCell="P12" sqref="P12:U12"/>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49" ht="12" customHeight="1"/>
    <row r="2" spans="2:49" ht="22.4" customHeight="1" thickBot="1">
      <c r="B2" s="1302" t="s">
        <v>1564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9" ht="5.15"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c r="AW3" s="1342"/>
    </row>
    <row r="4" spans="2:49" s="1342" customFormat="1" ht="16" customHeight="1">
      <c r="B4" s="1339"/>
      <c r="C4" s="1299" t="s">
        <v>151</v>
      </c>
      <c r="D4" s="1360" t="b">
        <v>1</v>
      </c>
      <c r="E4" s="3786" t="s">
        <v>1565</v>
      </c>
      <c r="F4" s="3786"/>
      <c r="G4" s="3786"/>
      <c r="H4" s="3786"/>
      <c r="I4" s="3786"/>
      <c r="J4" s="3786"/>
      <c r="K4" s="3786"/>
      <c r="L4" s="3786"/>
      <c r="M4" s="3786"/>
      <c r="N4" s="3786"/>
      <c r="O4" s="3786"/>
      <c r="P4" s="3786"/>
      <c r="Q4" s="3786"/>
      <c r="R4" s="3786"/>
      <c r="S4" s="3786"/>
      <c r="T4" s="3786"/>
      <c r="U4" s="3786"/>
      <c r="V4" s="3786"/>
      <c r="W4" s="3786"/>
      <c r="X4" s="3786"/>
      <c r="Y4" s="3786"/>
      <c r="Z4" s="3786"/>
      <c r="AA4" s="3786"/>
      <c r="AB4" s="3786"/>
      <c r="AC4" s="3786"/>
      <c r="AD4" s="3786"/>
      <c r="AE4" s="1340"/>
      <c r="AF4" s="1341"/>
      <c r="AG4" s="1340"/>
      <c r="AH4" s="1340"/>
      <c r="AI4" s="1340"/>
      <c r="AJ4" s="1340"/>
      <c r="AK4" s="1340"/>
      <c r="AL4" s="1340"/>
      <c r="AM4" s="1340"/>
      <c r="AN4" s="1340"/>
      <c r="AO4" s="1340"/>
    </row>
    <row r="5" spans="2:49" s="1342" customFormat="1" ht="16" customHeight="1">
      <c r="B5" s="1339"/>
      <c r="C5" s="1299"/>
      <c r="D5" s="1365"/>
      <c r="E5" s="3786"/>
      <c r="F5" s="3786"/>
      <c r="G5" s="3786"/>
      <c r="H5" s="3786"/>
      <c r="I5" s="3786"/>
      <c r="J5" s="3786"/>
      <c r="K5" s="3786"/>
      <c r="L5" s="3786"/>
      <c r="M5" s="3786"/>
      <c r="N5" s="3786"/>
      <c r="O5" s="3786"/>
      <c r="P5" s="3786"/>
      <c r="Q5" s="3786"/>
      <c r="R5" s="3786"/>
      <c r="S5" s="3786"/>
      <c r="T5" s="3786"/>
      <c r="U5" s="3786"/>
      <c r="V5" s="3786"/>
      <c r="W5" s="3786"/>
      <c r="X5" s="3786"/>
      <c r="Y5" s="3786"/>
      <c r="Z5" s="3786"/>
      <c r="AA5" s="3786"/>
      <c r="AB5" s="3786"/>
      <c r="AC5" s="3786"/>
      <c r="AD5" s="3786"/>
      <c r="AE5" s="1340"/>
      <c r="AF5" s="1341"/>
      <c r="AG5" s="1340"/>
      <c r="AH5" s="1340"/>
      <c r="AI5" s="1340"/>
      <c r="AJ5" s="1340"/>
      <c r="AK5" s="1340"/>
      <c r="AL5" s="1340"/>
      <c r="AM5" s="1340"/>
      <c r="AN5" s="1340"/>
      <c r="AO5" s="1340"/>
    </row>
    <row r="6" spans="2:49" s="1342" customFormat="1" ht="16" customHeight="1">
      <c r="B6" s="1339"/>
      <c r="C6" s="1299" t="s">
        <v>152</v>
      </c>
      <c r="D6" s="1360" t="b">
        <v>1</v>
      </c>
      <c r="E6" s="3786" t="s">
        <v>1566</v>
      </c>
      <c r="F6" s="3786"/>
      <c r="G6" s="3786"/>
      <c r="H6" s="3786"/>
      <c r="I6" s="3786"/>
      <c r="J6" s="3786"/>
      <c r="K6" s="3786"/>
      <c r="L6" s="3786"/>
      <c r="M6" s="3786"/>
      <c r="N6" s="3786"/>
      <c r="O6" s="3786"/>
      <c r="P6" s="3786"/>
      <c r="Q6" s="3786"/>
      <c r="R6" s="3786"/>
      <c r="S6" s="3786"/>
      <c r="T6" s="3786"/>
      <c r="U6" s="3786"/>
      <c r="V6" s="3786"/>
      <c r="W6" s="3786"/>
      <c r="X6" s="3786"/>
      <c r="Y6" s="3786"/>
      <c r="Z6" s="3786"/>
      <c r="AA6" s="3786"/>
      <c r="AB6" s="3786"/>
      <c r="AC6" s="3786"/>
      <c r="AD6" s="3786"/>
      <c r="AE6" s="1340"/>
      <c r="AF6" s="1341"/>
      <c r="AG6" s="1340"/>
      <c r="AH6" s="1340"/>
      <c r="AI6" s="1340"/>
      <c r="AJ6" s="1340"/>
      <c r="AK6" s="1340"/>
      <c r="AL6" s="1340"/>
      <c r="AM6" s="1340"/>
      <c r="AN6" s="1340"/>
      <c r="AO6" s="1340"/>
    </row>
    <row r="7" spans="2:49" s="1342" customFormat="1" ht="16" customHeight="1">
      <c r="B7" s="1339"/>
      <c r="C7" s="1299"/>
      <c r="D7" s="1365"/>
      <c r="E7" s="3786"/>
      <c r="F7" s="3786"/>
      <c r="G7" s="3786"/>
      <c r="H7" s="3786"/>
      <c r="I7" s="3786"/>
      <c r="J7" s="3786"/>
      <c r="K7" s="3786"/>
      <c r="L7" s="3786"/>
      <c r="M7" s="3786"/>
      <c r="N7" s="3786"/>
      <c r="O7" s="3786"/>
      <c r="P7" s="3786"/>
      <c r="Q7" s="3786"/>
      <c r="R7" s="3786"/>
      <c r="S7" s="3786"/>
      <c r="T7" s="3786"/>
      <c r="U7" s="3786"/>
      <c r="V7" s="3786"/>
      <c r="W7" s="3786"/>
      <c r="X7" s="3786"/>
      <c r="Y7" s="3786"/>
      <c r="Z7" s="3786"/>
      <c r="AA7" s="3786"/>
      <c r="AB7" s="3786"/>
      <c r="AC7" s="3786"/>
      <c r="AD7" s="3786"/>
      <c r="AE7" s="1340"/>
      <c r="AF7" s="1341"/>
      <c r="AG7" s="1340"/>
      <c r="AH7" s="1340"/>
      <c r="AI7" s="1340"/>
      <c r="AJ7" s="1340"/>
      <c r="AK7" s="1340"/>
      <c r="AL7" s="1340"/>
      <c r="AM7" s="1340"/>
      <c r="AN7" s="1340"/>
      <c r="AO7" s="1340"/>
      <c r="AW7" s="1287"/>
    </row>
    <row r="8" spans="2:49" ht="5.15" customHeigh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49" ht="15.65" customHeight="1">
      <c r="B9" s="1298"/>
      <c r="C9" s="1299" t="s">
        <v>153</v>
      </c>
      <c r="D9" s="3703" t="s">
        <v>1567</v>
      </c>
      <c r="E9" s="3703"/>
      <c r="F9" s="3703"/>
      <c r="G9" s="3703"/>
      <c r="H9" s="3703"/>
      <c r="I9" s="3703"/>
      <c r="J9" s="3703"/>
      <c r="K9" s="3703"/>
      <c r="L9" s="3703"/>
      <c r="M9" s="3703"/>
      <c r="N9" s="3703"/>
      <c r="O9" s="3703"/>
      <c r="P9" s="3703"/>
      <c r="Q9" s="3703"/>
      <c r="R9" s="3703"/>
      <c r="S9" s="3703"/>
      <c r="T9" s="3703"/>
      <c r="U9" s="3703"/>
      <c r="V9" s="3703"/>
      <c r="W9" s="3703"/>
      <c r="X9" s="3703"/>
      <c r="Y9" s="3703"/>
      <c r="Z9" s="3703"/>
      <c r="AA9" s="1347"/>
      <c r="AB9" s="1347"/>
      <c r="AC9" s="1347"/>
      <c r="AD9" s="1350"/>
      <c r="AE9" s="1300"/>
      <c r="AF9" s="1301"/>
    </row>
    <row r="10" spans="2:49" ht="5.15" customHeight="1" thickBot="1">
      <c r="B10" s="1331"/>
      <c r="C10" s="1338"/>
      <c r="D10" s="1338"/>
      <c r="E10" s="1338"/>
      <c r="F10" s="1338"/>
      <c r="G10" s="1338"/>
      <c r="H10" s="1338"/>
      <c r="I10" s="1338"/>
      <c r="J10" s="1338"/>
      <c r="K10" s="1338"/>
      <c r="L10" s="1338"/>
      <c r="M10" s="1338"/>
      <c r="N10" s="1338"/>
      <c r="O10" s="1338"/>
      <c r="P10" s="1338"/>
      <c r="Q10" s="1338"/>
      <c r="R10" s="1338"/>
      <c r="S10" s="1338"/>
      <c r="T10" s="1338"/>
      <c r="U10" s="1338"/>
      <c r="V10" s="1338"/>
      <c r="W10" s="1338"/>
      <c r="X10" s="1338"/>
      <c r="Y10" s="1338"/>
      <c r="Z10" s="1338"/>
      <c r="AA10" s="1338"/>
      <c r="AB10" s="1338"/>
      <c r="AC10" s="1338"/>
      <c r="AD10" s="1338"/>
      <c r="AE10" s="1338"/>
      <c r="AF10" s="1310"/>
    </row>
    <row r="11" spans="2:49" s="1291" customFormat="1" ht="30" customHeight="1" thickTop="1" thickBot="1">
      <c r="B11" s="1331"/>
      <c r="C11" s="1332"/>
      <c r="D11" s="3710" t="s">
        <v>1568</v>
      </c>
      <c r="E11" s="3711"/>
      <c r="F11" s="3711"/>
      <c r="G11" s="3711"/>
      <c r="H11" s="3711"/>
      <c r="I11" s="3714"/>
      <c r="J11" s="3733" t="s">
        <v>1569</v>
      </c>
      <c r="K11" s="3734"/>
      <c r="L11" s="3734"/>
      <c r="M11" s="3734"/>
      <c r="N11" s="3734"/>
      <c r="O11" s="3790"/>
      <c r="P11" s="3734" t="s">
        <v>757</v>
      </c>
      <c r="Q11" s="3734"/>
      <c r="R11" s="3734"/>
      <c r="S11" s="3734"/>
      <c r="T11" s="3734"/>
      <c r="U11" s="3740"/>
      <c r="V11" s="3791"/>
      <c r="W11" s="3791"/>
      <c r="X11" s="3791"/>
      <c r="Y11" s="3791"/>
      <c r="Z11" s="3791"/>
      <c r="AA11" s="3791"/>
      <c r="AB11" s="1332"/>
      <c r="AC11" s="1332"/>
      <c r="AD11" s="1332"/>
      <c r="AE11" s="1332"/>
      <c r="AF11" s="1333"/>
    </row>
    <row r="12" spans="2:49" s="1291" customFormat="1" ht="30" customHeight="1" thickTop="1" thickBot="1">
      <c r="B12" s="1293"/>
      <c r="C12" s="1294"/>
      <c r="D12" s="3787"/>
      <c r="E12" s="3788"/>
      <c r="F12" s="3788"/>
      <c r="G12" s="3788"/>
      <c r="H12" s="3788"/>
      <c r="I12" s="3789"/>
      <c r="J12" s="3741">
        <v>4</v>
      </c>
      <c r="K12" s="3742"/>
      <c r="L12" s="3742"/>
      <c r="M12" s="3742"/>
      <c r="N12" s="3742"/>
      <c r="O12" s="3792"/>
      <c r="P12" s="3742">
        <v>0</v>
      </c>
      <c r="Q12" s="3742"/>
      <c r="R12" s="3742"/>
      <c r="S12" s="3742"/>
      <c r="T12" s="3742"/>
      <c r="U12" s="3748"/>
      <c r="V12" s="3793"/>
      <c r="W12" s="3793"/>
      <c r="X12" s="3793"/>
      <c r="Y12" s="3795"/>
      <c r="Z12" s="3795"/>
      <c r="AA12" s="3795"/>
      <c r="AF12" s="1292"/>
    </row>
    <row r="13" spans="2:49" ht="5.15" customHeight="1" thickTop="1" thickBot="1">
      <c r="B13" s="1331"/>
      <c r="C13" s="1338"/>
      <c r="D13" s="1338"/>
      <c r="E13" s="1338"/>
      <c r="F13" s="1338"/>
      <c r="G13" s="1338"/>
      <c r="H13" s="1338"/>
      <c r="I13" s="1338"/>
      <c r="J13" s="1338"/>
      <c r="K13" s="1338"/>
      <c r="L13" s="1338"/>
      <c r="M13" s="1338"/>
      <c r="N13" s="1338"/>
      <c r="O13" s="1338"/>
      <c r="P13" s="1338"/>
      <c r="Q13" s="1338"/>
      <c r="R13" s="1338"/>
      <c r="S13" s="1338"/>
      <c r="T13" s="1338"/>
      <c r="U13" s="1338"/>
      <c r="V13" s="1338"/>
      <c r="W13" s="1338"/>
      <c r="X13" s="1338"/>
      <c r="Y13" s="1338"/>
      <c r="Z13" s="1338"/>
      <c r="AA13" s="1338"/>
      <c r="AB13" s="1338"/>
      <c r="AC13" s="1338"/>
      <c r="AD13" s="1338"/>
      <c r="AE13" s="1338"/>
      <c r="AF13" s="1310"/>
    </row>
    <row r="14" spans="2:49" ht="32.15" customHeight="1" thickBot="1">
      <c r="B14" s="1298"/>
      <c r="C14" s="1299" t="s">
        <v>154</v>
      </c>
      <c r="D14" s="3703" t="s">
        <v>1570</v>
      </c>
      <c r="E14" s="3703"/>
      <c r="F14" s="3703"/>
      <c r="G14" s="3703"/>
      <c r="H14" s="3703"/>
      <c r="I14" s="3703"/>
      <c r="J14" s="3703"/>
      <c r="K14" s="3703"/>
      <c r="L14" s="3703"/>
      <c r="M14" s="3703"/>
      <c r="N14" s="3703"/>
      <c r="O14" s="3703"/>
      <c r="P14" s="3703"/>
      <c r="Q14" s="3703"/>
      <c r="R14" s="3703"/>
      <c r="S14" s="3703"/>
      <c r="T14" s="3703"/>
      <c r="U14" s="3703"/>
      <c r="V14" s="3703"/>
      <c r="W14" s="3703"/>
      <c r="X14" s="3703"/>
      <c r="Y14" s="3703"/>
      <c r="Z14" s="3703"/>
      <c r="AA14" s="1347"/>
      <c r="AB14" s="3778">
        <v>1</v>
      </c>
      <c r="AC14" s="3779"/>
      <c r="AD14" s="3780"/>
      <c r="AE14" s="1300"/>
      <c r="AF14" s="1301"/>
    </row>
    <row r="15" spans="2:49" ht="10" customHeight="1" thickBot="1">
      <c r="B15" s="1281"/>
      <c r="C15" s="1282"/>
      <c r="D15" s="1283"/>
      <c r="E15" s="1284"/>
      <c r="F15" s="1284"/>
      <c r="G15" s="1284"/>
      <c r="H15" s="1284"/>
      <c r="I15" s="1284"/>
      <c r="J15" s="1284"/>
      <c r="K15" s="1285"/>
      <c r="L15" s="1285"/>
      <c r="M15" s="1285"/>
      <c r="N15" s="1285"/>
      <c r="O15" s="1285"/>
      <c r="P15" s="1285"/>
      <c r="Q15" s="1285"/>
      <c r="R15" s="1285"/>
      <c r="S15" s="1285"/>
      <c r="T15" s="1285"/>
      <c r="U15" s="1285"/>
      <c r="V15" s="1285"/>
      <c r="W15" s="1285"/>
      <c r="X15" s="1285"/>
      <c r="Y15" s="1285"/>
      <c r="Z15" s="1285"/>
      <c r="AA15" s="1285"/>
      <c r="AB15" s="1285"/>
      <c r="AC15" s="1285"/>
      <c r="AD15" s="1285"/>
      <c r="AE15" s="1285"/>
      <c r="AF15" s="1286"/>
    </row>
    <row r="16" spans="2:49" ht="10" customHeight="1" thickTop="1">
      <c r="B16" s="1344"/>
      <c r="C16" s="587"/>
      <c r="E16" s="1300"/>
      <c r="F16" s="1300"/>
      <c r="G16" s="1300"/>
      <c r="H16" s="1300"/>
      <c r="I16" s="1300"/>
      <c r="J16" s="1300"/>
      <c r="K16" s="1287"/>
      <c r="L16" s="1287"/>
      <c r="M16" s="1287"/>
      <c r="N16" s="1287"/>
      <c r="O16" s="1287"/>
      <c r="P16" s="1287"/>
      <c r="Q16" s="1287"/>
      <c r="R16" s="1287"/>
      <c r="S16" s="1287"/>
      <c r="T16" s="1287"/>
      <c r="U16" s="1287"/>
      <c r="V16" s="1287"/>
      <c r="W16" s="1287"/>
      <c r="X16" s="1287"/>
      <c r="Y16" s="1287"/>
      <c r="Z16" s="1287"/>
      <c r="AA16" s="1287"/>
      <c r="AB16" s="1287"/>
      <c r="AC16" s="1287"/>
      <c r="AD16" s="1287"/>
    </row>
    <row r="17" spans="2:39" s="1363" customFormat="1" ht="100.5" customHeight="1">
      <c r="B17" s="1361" t="s">
        <v>151</v>
      </c>
      <c r="C17" s="3794" t="s">
        <v>1860</v>
      </c>
      <c r="D17" s="3794"/>
      <c r="E17" s="3794"/>
      <c r="F17" s="3794"/>
      <c r="G17" s="3794"/>
      <c r="H17" s="3794"/>
      <c r="I17" s="3794"/>
      <c r="J17" s="3794"/>
      <c r="K17" s="3794"/>
      <c r="L17" s="3794"/>
      <c r="M17" s="3794"/>
      <c r="N17" s="3794"/>
      <c r="O17" s="3794"/>
      <c r="P17" s="3794"/>
      <c r="Q17" s="3794"/>
      <c r="R17" s="3794"/>
      <c r="S17" s="3794"/>
      <c r="T17" s="3794"/>
      <c r="U17" s="3794"/>
      <c r="V17" s="3794"/>
      <c r="W17" s="3794"/>
      <c r="X17" s="3794"/>
      <c r="Y17" s="3794"/>
      <c r="Z17" s="3794"/>
      <c r="AA17" s="3794"/>
      <c r="AB17" s="3794"/>
      <c r="AC17" s="3794"/>
      <c r="AD17" s="3794"/>
      <c r="AE17" s="3794"/>
      <c r="AF17" s="3794"/>
      <c r="AG17" s="1362"/>
      <c r="AH17" s="1362"/>
      <c r="AI17" s="1362"/>
      <c r="AJ17" s="1362"/>
      <c r="AK17" s="1362"/>
      <c r="AL17" s="1362"/>
      <c r="AM17" s="1362"/>
    </row>
    <row r="18" spans="2:39" s="1363" customFormat="1" ht="2.5" customHeight="1">
      <c r="B18" s="1361"/>
      <c r="C18" s="1364"/>
      <c r="D18" s="1364"/>
      <c r="E18" s="1364"/>
      <c r="F18" s="1364"/>
      <c r="G18" s="1364"/>
      <c r="H18" s="1364"/>
      <c r="I18" s="1364"/>
      <c r="J18" s="1364"/>
      <c r="K18" s="1364"/>
      <c r="L18" s="1364"/>
      <c r="M18" s="1364"/>
      <c r="N18" s="1364"/>
      <c r="O18" s="1364"/>
      <c r="P18" s="1364"/>
      <c r="Q18" s="1364"/>
      <c r="R18" s="1364"/>
      <c r="S18" s="1364"/>
      <c r="T18" s="1364"/>
      <c r="U18" s="1364"/>
      <c r="V18" s="1364"/>
      <c r="W18" s="1364"/>
      <c r="X18" s="1364"/>
      <c r="Y18" s="1364"/>
      <c r="Z18" s="1364"/>
      <c r="AA18" s="1364"/>
      <c r="AB18" s="1364"/>
      <c r="AC18" s="1364"/>
      <c r="AD18" s="1364"/>
      <c r="AE18" s="1364"/>
      <c r="AF18" s="1364"/>
      <c r="AG18" s="1362"/>
      <c r="AH18" s="1362"/>
      <c r="AI18" s="1362"/>
      <c r="AJ18" s="1362"/>
      <c r="AK18" s="1362"/>
      <c r="AL18" s="1362"/>
      <c r="AM18" s="1362"/>
    </row>
    <row r="19" spans="2:39" s="1363" customFormat="1" ht="32.5" customHeight="1">
      <c r="B19" s="1361"/>
      <c r="C19" s="3794" t="s">
        <v>1861</v>
      </c>
      <c r="D19" s="3794"/>
      <c r="E19" s="3794"/>
      <c r="F19" s="3794"/>
      <c r="G19" s="3794"/>
      <c r="H19" s="3794"/>
      <c r="I19" s="3794"/>
      <c r="J19" s="3794"/>
      <c r="K19" s="3794"/>
      <c r="L19" s="3794"/>
      <c r="M19" s="3794"/>
      <c r="N19" s="3794"/>
      <c r="O19" s="3794"/>
      <c r="P19" s="3794"/>
      <c r="Q19" s="3794"/>
      <c r="R19" s="3794"/>
      <c r="S19" s="3794"/>
      <c r="T19" s="3794"/>
      <c r="U19" s="3794"/>
      <c r="V19" s="3794"/>
      <c r="W19" s="3794"/>
      <c r="X19" s="3794"/>
      <c r="Y19" s="3794"/>
      <c r="Z19" s="3794"/>
      <c r="AA19" s="3794"/>
      <c r="AB19" s="3794"/>
      <c r="AC19" s="3794"/>
      <c r="AD19" s="3794"/>
      <c r="AE19" s="3794"/>
      <c r="AF19" s="3794"/>
      <c r="AG19" s="1362"/>
      <c r="AH19" s="1362"/>
      <c r="AI19" s="1362"/>
      <c r="AJ19" s="1362"/>
      <c r="AK19" s="1362"/>
      <c r="AL19" s="1362"/>
      <c r="AM19" s="1362"/>
    </row>
    <row r="20" spans="2:39" s="1363" customFormat="1" ht="2.5" customHeight="1">
      <c r="B20" s="1361"/>
      <c r="C20" s="1364"/>
      <c r="D20" s="1364"/>
      <c r="E20" s="1364"/>
      <c r="F20" s="1364"/>
      <c r="G20" s="1364"/>
      <c r="H20" s="1364"/>
      <c r="I20" s="1364"/>
      <c r="J20" s="1364"/>
      <c r="K20" s="1364"/>
      <c r="L20" s="1364"/>
      <c r="M20" s="1364"/>
      <c r="N20" s="1364"/>
      <c r="O20" s="1364"/>
      <c r="P20" s="1364"/>
      <c r="Q20" s="1364"/>
      <c r="R20" s="1364"/>
      <c r="S20" s="1364"/>
      <c r="T20" s="1364"/>
      <c r="U20" s="1364"/>
      <c r="V20" s="1364"/>
      <c r="W20" s="1364"/>
      <c r="X20" s="1364"/>
      <c r="Y20" s="1364"/>
      <c r="Z20" s="1364"/>
      <c r="AA20" s="1364"/>
      <c r="AB20" s="1364"/>
      <c r="AC20" s="1364"/>
      <c r="AD20" s="1364"/>
      <c r="AE20" s="1364"/>
      <c r="AF20" s="1364"/>
      <c r="AG20" s="1362"/>
      <c r="AH20" s="1362"/>
      <c r="AI20" s="1362"/>
      <c r="AJ20" s="1362"/>
      <c r="AK20" s="1362"/>
      <c r="AL20" s="1362"/>
      <c r="AM20" s="1362"/>
    </row>
    <row r="21" spans="2:39" s="1363" customFormat="1" ht="45" customHeight="1">
      <c r="B21" s="1361"/>
      <c r="C21" s="3794" t="s">
        <v>1862</v>
      </c>
      <c r="D21" s="3794"/>
      <c r="E21" s="3794"/>
      <c r="F21" s="3794"/>
      <c r="G21" s="3794"/>
      <c r="H21" s="3794"/>
      <c r="I21" s="3794"/>
      <c r="J21" s="3794"/>
      <c r="K21" s="3794"/>
      <c r="L21" s="3794"/>
      <c r="M21" s="3794"/>
      <c r="N21" s="3794"/>
      <c r="O21" s="3794"/>
      <c r="P21" s="3794"/>
      <c r="Q21" s="3794"/>
      <c r="R21" s="3794"/>
      <c r="S21" s="3794"/>
      <c r="T21" s="3794"/>
      <c r="U21" s="3794"/>
      <c r="V21" s="3794"/>
      <c r="W21" s="3794"/>
      <c r="X21" s="3794"/>
      <c r="Y21" s="3794"/>
      <c r="Z21" s="3794"/>
      <c r="AA21" s="3794"/>
      <c r="AB21" s="3794"/>
      <c r="AC21" s="3794"/>
      <c r="AD21" s="3794"/>
      <c r="AE21" s="3794"/>
      <c r="AF21" s="3794"/>
      <c r="AG21" s="1362"/>
      <c r="AH21" s="1362"/>
      <c r="AI21" s="1362"/>
      <c r="AJ21" s="1362"/>
      <c r="AK21" s="1362"/>
      <c r="AL21" s="1362"/>
      <c r="AM21" s="1362"/>
    </row>
    <row r="22" spans="2:39" s="1363" customFormat="1" ht="2.5" customHeight="1">
      <c r="B22" s="1361"/>
      <c r="C22" s="1364"/>
      <c r="D22" s="1364"/>
      <c r="E22" s="1364"/>
      <c r="F22" s="1364"/>
      <c r="G22" s="1364"/>
      <c r="H22" s="1364"/>
      <c r="I22" s="1364"/>
      <c r="J22" s="1364"/>
      <c r="K22" s="1364"/>
      <c r="L22" s="1364"/>
      <c r="M22" s="1364"/>
      <c r="N22" s="1364"/>
      <c r="O22" s="1364"/>
      <c r="P22" s="1364"/>
      <c r="Q22" s="1364"/>
      <c r="R22" s="1364"/>
      <c r="S22" s="1364"/>
      <c r="T22" s="1364"/>
      <c r="U22" s="1364"/>
      <c r="V22" s="1364"/>
      <c r="W22" s="1364"/>
      <c r="X22" s="1364"/>
      <c r="Y22" s="1364"/>
      <c r="Z22" s="1364"/>
      <c r="AA22" s="1364"/>
      <c r="AB22" s="1364"/>
      <c r="AC22" s="1364"/>
      <c r="AD22" s="1364"/>
      <c r="AE22" s="1364"/>
      <c r="AF22" s="1364"/>
      <c r="AG22" s="1362"/>
      <c r="AH22" s="1362"/>
      <c r="AI22" s="1362"/>
      <c r="AJ22" s="1362"/>
      <c r="AK22" s="1362"/>
      <c r="AL22" s="1362"/>
      <c r="AM22" s="1362"/>
    </row>
    <row r="23" spans="2:39" s="1363" customFormat="1" ht="34" customHeight="1">
      <c r="B23" s="1361"/>
      <c r="C23" s="3794" t="s">
        <v>1863</v>
      </c>
      <c r="D23" s="3794"/>
      <c r="E23" s="3794"/>
      <c r="F23" s="3794"/>
      <c r="G23" s="3794"/>
      <c r="H23" s="3794"/>
      <c r="I23" s="3794"/>
      <c r="J23" s="3794"/>
      <c r="K23" s="3794"/>
      <c r="L23" s="3794"/>
      <c r="M23" s="3794"/>
      <c r="N23" s="3794"/>
      <c r="O23" s="3794"/>
      <c r="P23" s="3794"/>
      <c r="Q23" s="3794"/>
      <c r="R23" s="3794"/>
      <c r="S23" s="3794"/>
      <c r="T23" s="3794"/>
      <c r="U23" s="3794"/>
      <c r="V23" s="3794"/>
      <c r="W23" s="3794"/>
      <c r="X23" s="3794"/>
      <c r="Y23" s="3794"/>
      <c r="Z23" s="3794"/>
      <c r="AA23" s="3794"/>
      <c r="AB23" s="3794"/>
      <c r="AC23" s="3794"/>
      <c r="AD23" s="3794"/>
      <c r="AE23" s="3794"/>
      <c r="AF23" s="3794"/>
      <c r="AG23" s="1362"/>
      <c r="AH23" s="1362"/>
      <c r="AI23" s="1362"/>
      <c r="AJ23" s="1362"/>
      <c r="AK23" s="1362"/>
      <c r="AL23" s="1362"/>
      <c r="AM23" s="1362"/>
    </row>
    <row r="24" spans="2:39" s="1363" customFormat="1" ht="79" customHeight="1">
      <c r="B24" s="1361" t="s">
        <v>152</v>
      </c>
      <c r="C24" s="3794" t="s">
        <v>1864</v>
      </c>
      <c r="D24" s="3794"/>
      <c r="E24" s="3794"/>
      <c r="F24" s="3794"/>
      <c r="G24" s="3794"/>
      <c r="H24" s="3794"/>
      <c r="I24" s="3794"/>
      <c r="J24" s="3794"/>
      <c r="K24" s="3794"/>
      <c r="L24" s="3794"/>
      <c r="M24" s="3794"/>
      <c r="N24" s="3794"/>
      <c r="O24" s="3794"/>
      <c r="P24" s="3794"/>
      <c r="Q24" s="3794"/>
      <c r="R24" s="3794"/>
      <c r="S24" s="3794"/>
      <c r="T24" s="3794"/>
      <c r="U24" s="3794"/>
      <c r="V24" s="3794"/>
      <c r="W24" s="3794"/>
      <c r="X24" s="3794"/>
      <c r="Y24" s="3794"/>
      <c r="Z24" s="3794"/>
      <c r="AA24" s="3794"/>
      <c r="AB24" s="3794"/>
      <c r="AC24" s="3794"/>
      <c r="AD24" s="3794"/>
      <c r="AE24" s="3794"/>
      <c r="AF24" s="3794"/>
      <c r="AG24" s="1362"/>
      <c r="AH24" s="1362"/>
      <c r="AI24" s="1362"/>
      <c r="AJ24" s="1362"/>
      <c r="AK24" s="1362"/>
      <c r="AL24" s="1362"/>
      <c r="AM24" s="1362"/>
    </row>
    <row r="25" spans="2:39" s="1363" customFormat="1" ht="79" customHeight="1">
      <c r="B25" s="1361" t="s">
        <v>153</v>
      </c>
      <c r="C25" s="3794" t="s">
        <v>1865</v>
      </c>
      <c r="D25" s="3794"/>
      <c r="E25" s="3794"/>
      <c r="F25" s="3794"/>
      <c r="G25" s="3794"/>
      <c r="H25" s="3794"/>
      <c r="I25" s="3794"/>
      <c r="J25" s="3794"/>
      <c r="K25" s="3794"/>
      <c r="L25" s="3794"/>
      <c r="M25" s="3794"/>
      <c r="N25" s="3794"/>
      <c r="O25" s="3794"/>
      <c r="P25" s="3794"/>
      <c r="Q25" s="3794"/>
      <c r="R25" s="3794"/>
      <c r="S25" s="3794"/>
      <c r="T25" s="3794"/>
      <c r="U25" s="3794"/>
      <c r="V25" s="3794"/>
      <c r="W25" s="3794"/>
      <c r="X25" s="3794"/>
      <c r="Y25" s="3794"/>
      <c r="Z25" s="3794"/>
      <c r="AA25" s="3794"/>
      <c r="AB25" s="3794"/>
      <c r="AC25" s="3794"/>
      <c r="AD25" s="3794"/>
      <c r="AE25" s="3794"/>
      <c r="AF25" s="3794"/>
      <c r="AG25" s="1362"/>
      <c r="AH25" s="1362"/>
      <c r="AI25" s="1362"/>
      <c r="AJ25" s="1362"/>
      <c r="AK25" s="1362"/>
      <c r="AL25" s="1362"/>
      <c r="AM25" s="1362"/>
    </row>
    <row r="26" spans="2:39" s="1363" customFormat="1" ht="92.5" customHeight="1">
      <c r="B26" s="1361" t="s">
        <v>154</v>
      </c>
      <c r="C26" s="3794" t="s">
        <v>1866</v>
      </c>
      <c r="D26" s="3794"/>
      <c r="E26" s="3794"/>
      <c r="F26" s="3794"/>
      <c r="G26" s="3794"/>
      <c r="H26" s="3794"/>
      <c r="I26" s="3794"/>
      <c r="J26" s="3794"/>
      <c r="K26" s="3794"/>
      <c r="L26" s="3794"/>
      <c r="M26" s="3794"/>
      <c r="N26" s="3794"/>
      <c r="O26" s="3794"/>
      <c r="P26" s="3794"/>
      <c r="Q26" s="3794"/>
      <c r="R26" s="3794"/>
      <c r="S26" s="3794"/>
      <c r="T26" s="3794"/>
      <c r="U26" s="3794"/>
      <c r="V26" s="3794"/>
      <c r="W26" s="3794"/>
      <c r="X26" s="3794"/>
      <c r="Y26" s="3794"/>
      <c r="Z26" s="3794"/>
      <c r="AA26" s="3794"/>
      <c r="AB26" s="3794"/>
      <c r="AC26" s="3794"/>
      <c r="AD26" s="3794"/>
      <c r="AE26" s="3794"/>
      <c r="AF26" s="3794"/>
      <c r="AG26" s="1362"/>
      <c r="AH26" s="1362"/>
      <c r="AI26" s="1362"/>
      <c r="AJ26" s="1362"/>
      <c r="AK26" s="1362"/>
      <c r="AL26" s="1362"/>
      <c r="AM26" s="1362"/>
    </row>
    <row r="27" spans="2:39" s="1363" customFormat="1" ht="48" customHeight="1">
      <c r="B27" s="1361" t="s">
        <v>155</v>
      </c>
      <c r="C27" s="3794" t="s">
        <v>1867</v>
      </c>
      <c r="D27" s="3794"/>
      <c r="E27" s="3794"/>
      <c r="F27" s="3794"/>
      <c r="G27" s="3794"/>
      <c r="H27" s="3794"/>
      <c r="I27" s="3794"/>
      <c r="J27" s="3794"/>
      <c r="K27" s="3794"/>
      <c r="L27" s="3794"/>
      <c r="M27" s="3794"/>
      <c r="N27" s="3794"/>
      <c r="O27" s="3794"/>
      <c r="P27" s="3794"/>
      <c r="Q27" s="3794"/>
      <c r="R27" s="3794"/>
      <c r="S27" s="3794"/>
      <c r="T27" s="3794"/>
      <c r="U27" s="3794"/>
      <c r="V27" s="3794"/>
      <c r="W27" s="3794"/>
      <c r="X27" s="3794"/>
      <c r="Y27" s="3794"/>
      <c r="Z27" s="3794"/>
      <c r="AA27" s="3794"/>
      <c r="AB27" s="3794"/>
      <c r="AC27" s="3794"/>
      <c r="AD27" s="3794"/>
      <c r="AE27" s="3794"/>
      <c r="AF27" s="3794"/>
      <c r="AG27" s="1362"/>
      <c r="AH27" s="1362"/>
      <c r="AI27" s="1362"/>
      <c r="AJ27" s="1362"/>
      <c r="AK27" s="1362"/>
      <c r="AL27" s="1362"/>
      <c r="AM27" s="1362"/>
    </row>
    <row r="28" spans="2:39" s="1363" customFormat="1" ht="35.5" customHeight="1">
      <c r="B28" s="1361" t="s">
        <v>156</v>
      </c>
      <c r="C28" s="3794" t="s">
        <v>1868</v>
      </c>
      <c r="D28" s="3794"/>
      <c r="E28" s="3794"/>
      <c r="F28" s="3794"/>
      <c r="G28" s="3794"/>
      <c r="H28" s="3794"/>
      <c r="I28" s="3794"/>
      <c r="J28" s="3794"/>
      <c r="K28" s="3794"/>
      <c r="L28" s="3794"/>
      <c r="M28" s="3794"/>
      <c r="N28" s="3794"/>
      <c r="O28" s="3794"/>
      <c r="P28" s="3794"/>
      <c r="Q28" s="3794"/>
      <c r="R28" s="3794"/>
      <c r="S28" s="3794"/>
      <c r="T28" s="3794"/>
      <c r="U28" s="3794"/>
      <c r="V28" s="3794"/>
      <c r="W28" s="3794"/>
      <c r="X28" s="3794"/>
      <c r="Y28" s="3794"/>
      <c r="Z28" s="3794"/>
      <c r="AA28" s="3794"/>
      <c r="AB28" s="3794"/>
      <c r="AC28" s="3794"/>
      <c r="AD28" s="3794"/>
      <c r="AE28" s="3794"/>
      <c r="AF28" s="3794"/>
      <c r="AG28" s="1362"/>
      <c r="AH28" s="1362"/>
      <c r="AI28" s="1362"/>
      <c r="AJ28" s="1362"/>
      <c r="AK28" s="1362"/>
      <c r="AL28" s="1362"/>
      <c r="AM28" s="1362"/>
    </row>
    <row r="29" spans="2:39" s="1363" customFormat="1" ht="32.5" customHeight="1">
      <c r="B29" s="1361" t="s">
        <v>157</v>
      </c>
      <c r="C29" s="3794" t="s">
        <v>1869</v>
      </c>
      <c r="D29" s="3794"/>
      <c r="E29" s="3794"/>
      <c r="F29" s="3794"/>
      <c r="G29" s="3794"/>
      <c r="H29" s="3794"/>
      <c r="I29" s="3794"/>
      <c r="J29" s="3794"/>
      <c r="K29" s="3794"/>
      <c r="L29" s="3794"/>
      <c r="M29" s="3794"/>
      <c r="N29" s="3794"/>
      <c r="O29" s="3794"/>
      <c r="P29" s="3794"/>
      <c r="Q29" s="3794"/>
      <c r="R29" s="3794"/>
      <c r="S29" s="3794"/>
      <c r="T29" s="3794"/>
      <c r="U29" s="3794"/>
      <c r="V29" s="3794"/>
      <c r="W29" s="3794"/>
      <c r="X29" s="3794"/>
      <c r="Y29" s="3794"/>
      <c r="Z29" s="3794"/>
      <c r="AA29" s="3794"/>
      <c r="AB29" s="3794"/>
      <c r="AC29" s="3794"/>
      <c r="AD29" s="3794"/>
      <c r="AE29" s="3794"/>
      <c r="AF29" s="3794"/>
      <c r="AG29" s="1362"/>
      <c r="AH29" s="1362"/>
      <c r="AI29" s="1362"/>
      <c r="AJ29" s="1362"/>
      <c r="AK29" s="1362"/>
      <c r="AL29" s="1362"/>
      <c r="AM29" s="1362"/>
    </row>
    <row r="30" spans="2:39" s="602" customFormat="1" ht="30.75" customHeight="1"/>
    <row r="31" spans="2:39" s="1235" customFormat="1" ht="14">
      <c r="B31" s="169" t="s">
        <v>847</v>
      </c>
      <c r="T31" s="169" t="s">
        <v>747</v>
      </c>
    </row>
    <row r="32" spans="2:39" s="1235" customFormat="1" ht="21.75" customHeight="1">
      <c r="B32" s="169" t="s">
        <v>748</v>
      </c>
      <c r="F32" s="3607" t="str">
        <f>activesheet!E29</f>
        <v>RICO S. MISPEROS</v>
      </c>
      <c r="G32" s="3607"/>
      <c r="H32" s="3607"/>
      <c r="I32" s="3607"/>
      <c r="J32" s="3607"/>
      <c r="K32" s="3607"/>
      <c r="L32" s="3607"/>
      <c r="M32" s="3607"/>
      <c r="N32" s="3607"/>
      <c r="O32" s="1290"/>
      <c r="P32" s="1290"/>
      <c r="Q32" s="1290"/>
      <c r="R32" s="1290"/>
      <c r="S32" s="1290"/>
      <c r="T32" s="3607" t="str">
        <f>activesheet!E3244</f>
        <v>ELYN KENDRA D. DELA CRUZ</v>
      </c>
      <c r="U32" s="3607"/>
      <c r="V32" s="3607"/>
      <c r="W32" s="3607"/>
      <c r="X32" s="3607"/>
      <c r="Y32" s="3607"/>
      <c r="Z32" s="3607"/>
      <c r="AA32" s="3607"/>
      <c r="AB32" s="3607"/>
      <c r="AC32" s="3607"/>
      <c r="AD32" s="3607"/>
      <c r="AE32" s="3607"/>
      <c r="AF32" s="3607"/>
    </row>
    <row r="33" spans="2:32" s="1237" customFormat="1" ht="14.15" customHeight="1">
      <c r="B33" s="655"/>
      <c r="F33" s="1776" t="s">
        <v>741</v>
      </c>
      <c r="G33" s="1776"/>
      <c r="H33" s="1776"/>
      <c r="I33" s="1776"/>
      <c r="J33" s="1776"/>
      <c r="K33" s="1776"/>
      <c r="L33" s="1776"/>
      <c r="M33" s="1776"/>
      <c r="N33" s="1776"/>
      <c r="O33" s="151"/>
      <c r="P33" s="151"/>
      <c r="Q33" s="151"/>
      <c r="R33" s="151"/>
      <c r="S33" s="151"/>
      <c r="T33" s="1776" t="s">
        <v>741</v>
      </c>
      <c r="U33" s="1776"/>
      <c r="V33" s="1776"/>
      <c r="W33" s="1776"/>
      <c r="X33" s="1776"/>
      <c r="Y33" s="1776"/>
      <c r="Z33" s="1776"/>
      <c r="AA33" s="1776"/>
      <c r="AB33" s="1776"/>
      <c r="AC33" s="1776"/>
      <c r="AD33" s="1776"/>
      <c r="AE33" s="1776"/>
      <c r="AF33" s="1776"/>
    </row>
    <row r="34" spans="2:32" s="1235" customFormat="1" ht="21.75" customHeight="1">
      <c r="B34" s="169" t="s">
        <v>71</v>
      </c>
      <c r="F34" s="3607" t="str">
        <f>activesheet!E30</f>
        <v>SCHOOL PRINCIPAL II</v>
      </c>
      <c r="G34" s="3607"/>
      <c r="H34" s="3607"/>
      <c r="I34" s="3607"/>
      <c r="J34" s="3607"/>
      <c r="K34" s="3607"/>
      <c r="L34" s="3607"/>
      <c r="M34" s="3607"/>
      <c r="N34" s="3607"/>
      <c r="O34" s="1290"/>
      <c r="P34" s="1290"/>
      <c r="Q34" s="1290"/>
      <c r="R34" s="1290"/>
      <c r="S34" s="1290"/>
      <c r="T34" s="169" t="s">
        <v>71</v>
      </c>
      <c r="X34" s="3607" t="str">
        <f>activesheet!E3245</f>
        <v>Project Development Officer II</v>
      </c>
      <c r="Y34" s="3607"/>
      <c r="Z34" s="3607"/>
      <c r="AA34" s="3607"/>
      <c r="AB34" s="3607"/>
      <c r="AC34" s="3607"/>
      <c r="AD34" s="3607"/>
      <c r="AE34" s="3607"/>
      <c r="AF34" s="3607"/>
    </row>
    <row r="35" spans="2:32" s="602" customFormat="1" ht="30.75" customHeight="1"/>
    <row r="36" spans="2:32" s="1235" customFormat="1" ht="14">
      <c r="K36" s="169" t="s">
        <v>783</v>
      </c>
    </row>
    <row r="37" spans="2:32" s="1235" customFormat="1" ht="21.75" customHeight="1">
      <c r="K37" s="1956" t="str">
        <f>activesheet!E31</f>
        <v>MICHAEL T. JAMIS</v>
      </c>
      <c r="L37" s="1956"/>
      <c r="M37" s="1956"/>
      <c r="N37" s="1956"/>
      <c r="O37" s="1956"/>
      <c r="P37" s="1956"/>
      <c r="Q37" s="1956"/>
      <c r="R37" s="1956"/>
      <c r="S37" s="1956"/>
      <c r="T37" s="1956"/>
      <c r="U37" s="1956"/>
      <c r="V37" s="1956"/>
      <c r="W37" s="1956"/>
    </row>
    <row r="38" spans="2:32" s="1237" customFormat="1" ht="14.15" customHeight="1">
      <c r="K38" s="1957"/>
      <c r="L38" s="1957"/>
      <c r="M38" s="1957"/>
      <c r="N38" s="1957"/>
      <c r="O38" s="1957"/>
      <c r="P38" s="1957"/>
      <c r="Q38" s="1957"/>
      <c r="R38" s="1957"/>
      <c r="S38" s="1957"/>
      <c r="T38" s="1957"/>
      <c r="U38" s="1957"/>
      <c r="V38" s="1957"/>
      <c r="W38" s="1957"/>
    </row>
    <row r="39" spans="2:32" s="1235" customFormat="1" ht="21.75" customHeight="1">
      <c r="K39" s="1776" t="s">
        <v>741</v>
      </c>
      <c r="L39" s="1776"/>
      <c r="M39" s="1776"/>
      <c r="N39" s="1776"/>
      <c r="O39" s="1776"/>
      <c r="P39" s="1776"/>
      <c r="Q39" s="1776"/>
      <c r="R39" s="1776"/>
      <c r="S39" s="1776"/>
      <c r="T39" s="1776"/>
      <c r="U39" s="1776"/>
      <c r="V39" s="1776"/>
      <c r="W39" s="1776"/>
    </row>
    <row r="40" spans="2:32">
      <c r="B40" s="1287"/>
      <c r="C40" s="1287"/>
      <c r="D40" s="1287"/>
      <c r="E40" s="1287"/>
      <c r="F40" s="1287"/>
      <c r="G40" s="1287"/>
      <c r="H40" s="1287"/>
      <c r="I40" s="1287"/>
      <c r="L40" s="1287"/>
      <c r="M40" s="1287"/>
      <c r="N40" s="1287"/>
      <c r="O40" s="1287"/>
      <c r="P40" s="1287"/>
      <c r="Q40" s="1287"/>
      <c r="R40" s="1287"/>
      <c r="S40" s="1287"/>
      <c r="T40" s="1287"/>
      <c r="U40" s="1287"/>
      <c r="V40" s="1287"/>
      <c r="Y40" s="1287"/>
      <c r="Z40" s="1287"/>
      <c r="AA40" s="1287"/>
      <c r="AB40" s="1287"/>
      <c r="AC40" s="1287"/>
      <c r="AD40" s="1287"/>
    </row>
  </sheetData>
  <sheetProtection algorithmName="SHA-512" hashValue="wBdxNnhAogd/hRw3WJQ8EFn4yJ7e+FcfvyqpZnHe0po2O7tU92cxGi0g5RnxPgQpIJ+OSxbGikZZr7WuBU6lkg==" saltValue="gGl17KAk4p/EMugxZC+4Yw==" spinCount="100000" sheet="1" objects="1" scenarios="1" selectLockedCells="1"/>
  <mergeCells count="31">
    <mergeCell ref="K37:W38"/>
    <mergeCell ref="K39:W39"/>
    <mergeCell ref="C29:AF29"/>
    <mergeCell ref="F32:N32"/>
    <mergeCell ref="T32:AF32"/>
    <mergeCell ref="F33:N33"/>
    <mergeCell ref="T33:AF33"/>
    <mergeCell ref="F34:N34"/>
    <mergeCell ref="X34:AF34"/>
    <mergeCell ref="C28:AF28"/>
    <mergeCell ref="Y12:AA12"/>
    <mergeCell ref="D14:Z14"/>
    <mergeCell ref="AB14:AD14"/>
    <mergeCell ref="C17:AF17"/>
    <mergeCell ref="C19:AF19"/>
    <mergeCell ref="C21:AF21"/>
    <mergeCell ref="C23:AF23"/>
    <mergeCell ref="C24:AF24"/>
    <mergeCell ref="C25:AF25"/>
    <mergeCell ref="C26:AF26"/>
    <mergeCell ref="C27:AF27"/>
    <mergeCell ref="E4:AD5"/>
    <mergeCell ref="E6:AD7"/>
    <mergeCell ref="D9:Z9"/>
    <mergeCell ref="D11:I12"/>
    <mergeCell ref="J11:O11"/>
    <mergeCell ref="P11:U11"/>
    <mergeCell ref="V11:AA11"/>
    <mergeCell ref="J12:O12"/>
    <mergeCell ref="P12:U12"/>
    <mergeCell ref="V12:X12"/>
  </mergeCells>
  <dataValidations count="1">
    <dataValidation type="whole" allowBlank="1" showInputMessage="1" showErrorMessage="1" errorTitle="GESP SY 2022-2023" error="Please enter valid number between 0 - 999." sqref="J12:U12 AB14:AD14" xr:uid="{00000000-0002-0000-3200-000000000000}">
      <formula1>0</formula1>
      <formula2>999</formula2>
    </dataValidation>
  </dataValidations>
  <printOptions horizontalCentered="1" verticalCentered="1"/>
  <pageMargins left="0.25" right="0.25" top="0.2" bottom="0.2" header="0" footer="0.1"/>
  <pageSetup paperSize="9" scale="55" orientation="landscape" r:id="rId1"/>
  <headerFooter>
    <oddFooter>&amp;L&amp;10&amp;F &amp;A&amp;R&amp;10Page 47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7393" r:id="rId4" name="Check Box 1">
              <controlPr locked="0" defaultSize="0" autoFill="0" autoLine="0" autoPict="0">
                <anchor moveWithCells="1">
                  <from>
                    <xdr:col>3</xdr:col>
                    <xdr:colOff>38100</xdr:colOff>
                    <xdr:row>2</xdr:row>
                    <xdr:rowOff>50800</xdr:rowOff>
                  </from>
                  <to>
                    <xdr:col>5</xdr:col>
                    <xdr:colOff>260350</xdr:colOff>
                    <xdr:row>4</xdr:row>
                    <xdr:rowOff>12700</xdr:rowOff>
                  </to>
                </anchor>
              </controlPr>
            </control>
          </mc:Choice>
        </mc:AlternateContent>
        <mc:AlternateContent xmlns:mc="http://schemas.openxmlformats.org/markup-compatibility/2006">
          <mc:Choice Requires="x14">
            <control shapeId="187394" r:id="rId5" name="Check Box 2">
              <controlPr locked="0" defaultSize="0" autoFill="0" autoLine="0" autoPict="0">
                <anchor moveWithCells="1">
                  <from>
                    <xdr:col>3</xdr:col>
                    <xdr:colOff>50800</xdr:colOff>
                    <xdr:row>4</xdr:row>
                    <xdr:rowOff>190500</xdr:rowOff>
                  </from>
                  <to>
                    <xdr:col>5</xdr:col>
                    <xdr:colOff>260350</xdr:colOff>
                    <xdr:row>6</xdr:row>
                    <xdr:rowOff>12700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pageSetUpPr fitToPage="1"/>
  </sheetPr>
  <dimension ref="B1:AO52"/>
  <sheetViews>
    <sheetView showGridLines="0" zoomScaleNormal="100" zoomScaleSheetLayoutView="100" workbookViewId="0">
      <selection activeCell="Q10" sqref="Q10:V10"/>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32" ht="12" customHeight="1"/>
    <row r="2" spans="2:32" ht="16.5">
      <c r="B2" s="1302" t="s">
        <v>11814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2" ht="16.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2"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2" ht="17" thickBot="1">
      <c r="B5" s="1302" t="s">
        <v>1571</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2" ht="5.15"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6"/>
    </row>
    <row r="7" spans="2:32" ht="15.65" customHeight="1">
      <c r="B7" s="1298"/>
      <c r="C7" s="1299" t="s">
        <v>151</v>
      </c>
      <c r="D7" s="3703" t="s">
        <v>1572</v>
      </c>
      <c r="E7" s="3703"/>
      <c r="F7" s="3703"/>
      <c r="G7" s="3703"/>
      <c r="H7" s="3703"/>
      <c r="I7" s="3703"/>
      <c r="J7" s="3703"/>
      <c r="K7" s="3703"/>
      <c r="L7" s="3703"/>
      <c r="M7" s="3703"/>
      <c r="N7" s="3703"/>
      <c r="O7" s="3703"/>
      <c r="P7" s="3703"/>
      <c r="Q7" s="3703"/>
      <c r="R7" s="3703"/>
      <c r="S7" s="3703"/>
      <c r="T7" s="3703"/>
      <c r="U7" s="3703"/>
      <c r="V7" s="3703"/>
      <c r="W7" s="3703"/>
      <c r="X7" s="3703"/>
      <c r="Y7" s="3703"/>
      <c r="Z7" s="3703"/>
      <c r="AA7" s="1347"/>
      <c r="AB7" s="1347"/>
      <c r="AC7" s="1347"/>
      <c r="AD7" s="1350"/>
      <c r="AE7" s="1300"/>
      <c r="AF7" s="1301"/>
    </row>
    <row r="8" spans="2:32" ht="5.15" customHeight="1" thickBo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32" s="1291" customFormat="1" ht="30" customHeight="1" thickTop="1" thickBot="1">
      <c r="B9" s="1331"/>
      <c r="C9" s="1332"/>
      <c r="D9" s="3710" t="s">
        <v>1573</v>
      </c>
      <c r="E9" s="3711"/>
      <c r="F9" s="3711"/>
      <c r="G9" s="3711"/>
      <c r="H9" s="3711"/>
      <c r="I9" s="3711"/>
      <c r="J9" s="3714"/>
      <c r="K9" s="3710" t="s">
        <v>1574</v>
      </c>
      <c r="L9" s="3711"/>
      <c r="M9" s="3711"/>
      <c r="N9" s="3711"/>
      <c r="O9" s="3711"/>
      <c r="P9" s="3713"/>
      <c r="Q9" s="3711" t="s">
        <v>1575</v>
      </c>
      <c r="R9" s="3711"/>
      <c r="S9" s="3711"/>
      <c r="T9" s="3711"/>
      <c r="U9" s="3711"/>
      <c r="V9" s="3714"/>
      <c r="W9" s="3791"/>
      <c r="X9" s="3791"/>
      <c r="Y9" s="3791"/>
      <c r="Z9" s="3791"/>
      <c r="AA9" s="3791"/>
      <c r="AB9" s="3791"/>
      <c r="AC9" s="1332"/>
      <c r="AD9" s="1332"/>
      <c r="AE9" s="1332"/>
      <c r="AF9" s="1333"/>
    </row>
    <row r="10" spans="2:32" s="1291" customFormat="1" ht="30" customHeight="1" thickTop="1">
      <c r="B10" s="1331"/>
      <c r="C10" s="1332"/>
      <c r="D10" s="3799" t="s">
        <v>1576</v>
      </c>
      <c r="E10" s="3800"/>
      <c r="F10" s="3800"/>
      <c r="G10" s="3800"/>
      <c r="H10" s="3800"/>
      <c r="I10" s="3800"/>
      <c r="J10" s="3801"/>
      <c r="K10" s="3807">
        <v>27</v>
      </c>
      <c r="L10" s="3808"/>
      <c r="M10" s="3808"/>
      <c r="N10" s="3808"/>
      <c r="O10" s="3808"/>
      <c r="P10" s="3809"/>
      <c r="Q10" s="3810">
        <v>1</v>
      </c>
      <c r="R10" s="3808"/>
      <c r="S10" s="3808"/>
      <c r="T10" s="3808"/>
      <c r="U10" s="3808"/>
      <c r="V10" s="3811"/>
      <c r="W10" s="1373"/>
      <c r="X10" s="1373"/>
      <c r="Y10" s="1373"/>
      <c r="Z10" s="1373"/>
      <c r="AA10" s="1373"/>
      <c r="AB10" s="1373"/>
      <c r="AC10" s="1332"/>
      <c r="AD10" s="1332"/>
      <c r="AE10" s="1332"/>
      <c r="AF10" s="1333"/>
    </row>
    <row r="11" spans="2:32" s="1291" customFormat="1" ht="30" customHeight="1" thickBot="1">
      <c r="B11" s="1293"/>
      <c r="C11" s="1294"/>
      <c r="D11" s="3802" t="s">
        <v>1577</v>
      </c>
      <c r="E11" s="3803"/>
      <c r="F11" s="3803"/>
      <c r="G11" s="3803"/>
      <c r="H11" s="3803"/>
      <c r="I11" s="3803"/>
      <c r="J11" s="3804"/>
      <c r="K11" s="3722">
        <v>3</v>
      </c>
      <c r="L11" s="3723"/>
      <c r="M11" s="3723"/>
      <c r="N11" s="3723"/>
      <c r="O11" s="3723"/>
      <c r="P11" s="3805"/>
      <c r="Q11" s="3723">
        <v>0</v>
      </c>
      <c r="R11" s="3723"/>
      <c r="S11" s="3723"/>
      <c r="T11" s="3723"/>
      <c r="U11" s="3723"/>
      <c r="V11" s="3806"/>
      <c r="W11" s="3793"/>
      <c r="X11" s="3793"/>
      <c r="Y11" s="3793"/>
      <c r="Z11" s="3795"/>
      <c r="AA11" s="3795"/>
      <c r="AB11" s="3795"/>
      <c r="AF11" s="1292"/>
    </row>
    <row r="12" spans="2:32" ht="5.15" customHeight="1" thickTop="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32" ht="30" customHeight="1" thickBot="1">
      <c r="B13" s="1298"/>
      <c r="C13" s="1345" t="s">
        <v>152</v>
      </c>
      <c r="D13" s="3704" t="s">
        <v>1578</v>
      </c>
      <c r="E13" s="3704"/>
      <c r="F13" s="3704"/>
      <c r="G13" s="3704"/>
      <c r="H13" s="3704"/>
      <c r="I13" s="3704"/>
      <c r="J13" s="3704"/>
      <c r="K13" s="3704"/>
      <c r="L13" s="3704"/>
      <c r="M13" s="3704"/>
      <c r="N13" s="3704"/>
      <c r="O13" s="3704"/>
      <c r="P13" s="3704"/>
      <c r="Q13" s="3704"/>
      <c r="R13" s="3704"/>
      <c r="S13" s="3704"/>
      <c r="T13" s="3704"/>
      <c r="U13" s="3704"/>
      <c r="V13" s="3704"/>
      <c r="W13" s="3704"/>
      <c r="X13" s="3704"/>
      <c r="Y13" s="3704"/>
      <c r="Z13" s="3704"/>
      <c r="AA13" s="1346"/>
      <c r="AB13" s="3796">
        <v>0</v>
      </c>
      <c r="AC13" s="3797"/>
      <c r="AD13" s="3798"/>
      <c r="AE13" s="1300"/>
      <c r="AF13" s="1301"/>
    </row>
    <row r="14" spans="2:32" ht="5.15" customHeight="1" thickBot="1">
      <c r="B14" s="1331"/>
      <c r="C14" s="1338"/>
      <c r="D14" s="1338"/>
      <c r="E14" s="1338"/>
      <c r="F14" s="1338"/>
      <c r="G14" s="1338"/>
      <c r="H14" s="1338"/>
      <c r="I14" s="1338"/>
      <c r="J14" s="1338"/>
      <c r="K14" s="1338"/>
      <c r="L14" s="1338"/>
      <c r="M14" s="1338"/>
      <c r="N14" s="1338"/>
      <c r="O14" s="1338"/>
      <c r="P14" s="1338"/>
      <c r="Q14" s="1338"/>
      <c r="R14" s="1338"/>
      <c r="S14" s="1338"/>
      <c r="T14" s="1338"/>
      <c r="U14" s="1338"/>
      <c r="V14" s="1338"/>
      <c r="W14" s="1338"/>
      <c r="X14" s="1338"/>
      <c r="Y14" s="1338"/>
      <c r="Z14" s="1338"/>
      <c r="AA14" s="1338"/>
      <c r="AB14" s="1338"/>
      <c r="AC14" s="1338"/>
      <c r="AD14" s="1338"/>
      <c r="AE14" s="1338"/>
      <c r="AF14" s="1310"/>
    </row>
    <row r="15" spans="2:32" ht="30" customHeight="1" thickBot="1">
      <c r="B15" s="1298"/>
      <c r="C15" s="1345" t="s">
        <v>153</v>
      </c>
      <c r="D15" s="3704" t="s">
        <v>1579</v>
      </c>
      <c r="E15" s="3704"/>
      <c r="F15" s="3704"/>
      <c r="G15" s="3704"/>
      <c r="H15" s="3704"/>
      <c r="I15" s="3704"/>
      <c r="J15" s="3704"/>
      <c r="K15" s="3704"/>
      <c r="L15" s="3704"/>
      <c r="M15" s="3704"/>
      <c r="N15" s="3704"/>
      <c r="O15" s="3704"/>
      <c r="P15" s="3704"/>
      <c r="Q15" s="3704"/>
      <c r="R15" s="3704"/>
      <c r="S15" s="3704"/>
      <c r="T15" s="3704"/>
      <c r="U15" s="3704"/>
      <c r="V15" s="3704"/>
      <c r="W15" s="3704"/>
      <c r="X15" s="3704"/>
      <c r="Y15" s="3704"/>
      <c r="Z15" s="3704"/>
      <c r="AA15" s="1346"/>
      <c r="AB15" s="3796">
        <v>0</v>
      </c>
      <c r="AC15" s="3797"/>
      <c r="AD15" s="3798"/>
      <c r="AE15" s="1300"/>
      <c r="AF15" s="1301"/>
    </row>
    <row r="16" spans="2:32" ht="5.15" customHeight="1" thickBot="1">
      <c r="B16" s="1331"/>
      <c r="C16" s="1338"/>
      <c r="D16" s="1338"/>
      <c r="E16" s="1338"/>
      <c r="F16" s="1338"/>
      <c r="G16" s="1338"/>
      <c r="H16" s="1338"/>
      <c r="I16" s="1338"/>
      <c r="J16" s="1338"/>
      <c r="K16" s="1338"/>
      <c r="L16" s="1338"/>
      <c r="M16" s="1338"/>
      <c r="N16" s="1338"/>
      <c r="O16" s="1338"/>
      <c r="P16" s="1338"/>
      <c r="Q16" s="1338"/>
      <c r="R16" s="1338"/>
      <c r="S16" s="1338"/>
      <c r="T16" s="1338"/>
      <c r="U16" s="1338"/>
      <c r="V16" s="1338"/>
      <c r="W16" s="1338"/>
      <c r="X16" s="1338"/>
      <c r="Y16" s="1338"/>
      <c r="Z16" s="1338"/>
      <c r="AA16" s="1338"/>
      <c r="AB16" s="1338"/>
      <c r="AC16" s="1338"/>
      <c r="AD16" s="1338"/>
      <c r="AE16" s="1338"/>
      <c r="AF16" s="1310"/>
    </row>
    <row r="17" spans="2:41" ht="30" customHeight="1" thickBot="1">
      <c r="B17" s="1298"/>
      <c r="C17" s="1345" t="s">
        <v>154</v>
      </c>
      <c r="D17" s="3704" t="s">
        <v>1580</v>
      </c>
      <c r="E17" s="3704"/>
      <c r="F17" s="3704"/>
      <c r="G17" s="3704"/>
      <c r="H17" s="3704"/>
      <c r="I17" s="3704"/>
      <c r="J17" s="3704"/>
      <c r="K17" s="3704"/>
      <c r="L17" s="3704"/>
      <c r="M17" s="3704"/>
      <c r="N17" s="3704"/>
      <c r="O17" s="3704"/>
      <c r="P17" s="3704"/>
      <c r="Q17" s="3704"/>
      <c r="R17" s="3704"/>
      <c r="S17" s="3704"/>
      <c r="T17" s="3704"/>
      <c r="U17" s="3704"/>
      <c r="V17" s="3704"/>
      <c r="W17" s="3704"/>
      <c r="X17" s="3704"/>
      <c r="Y17" s="3704"/>
      <c r="Z17" s="3704"/>
      <c r="AA17" s="1346"/>
      <c r="AB17" s="3796">
        <v>24</v>
      </c>
      <c r="AC17" s="3797"/>
      <c r="AD17" s="3798"/>
      <c r="AE17" s="1300"/>
      <c r="AF17" s="1301"/>
    </row>
    <row r="18" spans="2:41" ht="5.15" customHeight="1" thickBot="1">
      <c r="B18" s="1331"/>
      <c r="C18" s="1338"/>
      <c r="D18" s="1338"/>
      <c r="E18" s="1338"/>
      <c r="F18" s="1338"/>
      <c r="G18" s="1338"/>
      <c r="H18" s="1338"/>
      <c r="I18" s="1338"/>
      <c r="J18" s="1338"/>
      <c r="K18" s="1338"/>
      <c r="L18" s="1338"/>
      <c r="M18" s="1338"/>
      <c r="N18" s="1338"/>
      <c r="O18" s="1338"/>
      <c r="P18" s="1338"/>
      <c r="Q18" s="1338"/>
      <c r="R18" s="1338"/>
      <c r="S18" s="1338"/>
      <c r="T18" s="1338"/>
      <c r="U18" s="1338"/>
      <c r="V18" s="1338"/>
      <c r="W18" s="1338"/>
      <c r="X18" s="1338"/>
      <c r="Y18" s="1338"/>
      <c r="Z18" s="1338"/>
      <c r="AA18" s="1338"/>
      <c r="AB18" s="1338"/>
      <c r="AC18" s="1338"/>
      <c r="AD18" s="1338"/>
      <c r="AE18" s="1338"/>
      <c r="AF18" s="1310"/>
    </row>
    <row r="19" spans="2:41" ht="30" customHeight="1" thickBot="1">
      <c r="B19" s="1298"/>
      <c r="C19" s="1345" t="s">
        <v>155</v>
      </c>
      <c r="D19" s="3704" t="s">
        <v>1581</v>
      </c>
      <c r="E19" s="3704"/>
      <c r="F19" s="3704"/>
      <c r="G19" s="3704"/>
      <c r="H19" s="3704"/>
      <c r="I19" s="3704"/>
      <c r="J19" s="3704"/>
      <c r="K19" s="3704"/>
      <c r="L19" s="3704"/>
      <c r="M19" s="3704"/>
      <c r="N19" s="3704"/>
      <c r="O19" s="3704"/>
      <c r="P19" s="3704"/>
      <c r="Q19" s="3704"/>
      <c r="R19" s="3704"/>
      <c r="S19" s="3704"/>
      <c r="T19" s="3704"/>
      <c r="U19" s="3704"/>
      <c r="V19" s="3704"/>
      <c r="W19" s="3704"/>
      <c r="X19" s="3704"/>
      <c r="Y19" s="3704"/>
      <c r="Z19" s="3704"/>
      <c r="AA19" s="1346"/>
      <c r="AB19" s="3796">
        <v>3</v>
      </c>
      <c r="AC19" s="3797"/>
      <c r="AD19" s="3798"/>
      <c r="AE19" s="1300"/>
      <c r="AF19" s="1301"/>
    </row>
    <row r="20" spans="2:41" ht="5.15" customHeight="1">
      <c r="B20" s="1331"/>
      <c r="C20" s="1338"/>
      <c r="D20" s="1338"/>
      <c r="E20" s="1338"/>
      <c r="F20" s="1338"/>
      <c r="G20" s="1338"/>
      <c r="H20" s="1338"/>
      <c r="I20" s="1338"/>
      <c r="J20" s="1338"/>
      <c r="K20" s="1338"/>
      <c r="L20" s="1338"/>
      <c r="M20" s="1338"/>
      <c r="N20" s="1338"/>
      <c r="O20" s="1338"/>
      <c r="P20" s="1338"/>
      <c r="Q20" s="1338"/>
      <c r="R20" s="1338"/>
      <c r="S20" s="1338"/>
      <c r="T20" s="1338"/>
      <c r="U20" s="1338"/>
      <c r="V20" s="1338"/>
      <c r="W20" s="1338"/>
      <c r="X20" s="1338"/>
      <c r="Y20" s="1338"/>
      <c r="Z20" s="1338"/>
      <c r="AA20" s="1338"/>
      <c r="AB20" s="1338"/>
      <c r="AC20" s="1338"/>
      <c r="AD20" s="1338"/>
      <c r="AE20" s="1338"/>
      <c r="AF20" s="1310"/>
    </row>
    <row r="21" spans="2:41">
      <c r="B21" s="1298"/>
      <c r="C21" s="1299" t="s">
        <v>156</v>
      </c>
      <c r="D21" s="3703" t="s">
        <v>1870</v>
      </c>
      <c r="E21" s="3703"/>
      <c r="F21" s="3703"/>
      <c r="G21" s="3703"/>
      <c r="H21" s="3703"/>
      <c r="I21" s="3703"/>
      <c r="J21" s="3703"/>
      <c r="K21" s="3703"/>
      <c r="L21" s="3703"/>
      <c r="M21" s="3703"/>
      <c r="N21" s="3703"/>
      <c r="O21" s="3703"/>
      <c r="P21" s="3703"/>
      <c r="Q21" s="3703"/>
      <c r="R21" s="3703"/>
      <c r="S21" s="3703"/>
      <c r="T21" s="3703"/>
      <c r="U21" s="3703"/>
      <c r="V21" s="3703"/>
      <c r="W21" s="3703"/>
      <c r="X21" s="3703"/>
      <c r="Y21" s="3703"/>
      <c r="Z21" s="3703"/>
      <c r="AA21" s="3703"/>
      <c r="AB21" s="3703"/>
      <c r="AC21" s="3703"/>
      <c r="AD21" s="3703"/>
      <c r="AE21" s="1300"/>
      <c r="AF21" s="1301"/>
    </row>
    <row r="22" spans="2:41" ht="20.5">
      <c r="B22" s="1298"/>
      <c r="C22" s="1299"/>
      <c r="D22" s="1287"/>
      <c r="E22" s="1287"/>
      <c r="F22" s="1287"/>
      <c r="G22" s="1360" t="b">
        <v>0</v>
      </c>
      <c r="H22" s="1358" t="s">
        <v>1582</v>
      </c>
      <c r="I22" s="1359"/>
      <c r="J22" s="1359"/>
      <c r="K22" s="1359"/>
      <c r="L22" s="1287"/>
      <c r="M22" s="1287"/>
      <c r="N22" s="587"/>
      <c r="O22" s="1358"/>
      <c r="P22" s="1287"/>
      <c r="Q22" s="1287"/>
      <c r="R22" s="1287"/>
      <c r="S22" s="1360" t="b">
        <v>0</v>
      </c>
      <c r="T22" s="1358" t="s">
        <v>1585</v>
      </c>
      <c r="U22" s="1359"/>
      <c r="V22" s="1359"/>
      <c r="W22" s="609"/>
      <c r="X22" s="587"/>
      <c r="Y22" s="735"/>
      <c r="Z22" s="1359"/>
      <c r="AA22" s="1287"/>
      <c r="AB22" s="1287"/>
      <c r="AC22" s="1372"/>
      <c r="AD22" s="1372"/>
      <c r="AE22" s="1300"/>
      <c r="AF22" s="1301"/>
    </row>
    <row r="23" spans="2:41" ht="20.5">
      <c r="B23" s="1298"/>
      <c r="C23" s="1299"/>
      <c r="D23" s="1287"/>
      <c r="E23" s="1287"/>
      <c r="F23" s="1287"/>
      <c r="G23" s="1360" t="b">
        <v>0</v>
      </c>
      <c r="H23" s="1358" t="s">
        <v>1583</v>
      </c>
      <c r="I23" s="1359"/>
      <c r="J23" s="1359"/>
      <c r="K23" s="1359"/>
      <c r="L23" s="1287"/>
      <c r="M23" s="1287"/>
      <c r="N23" s="587"/>
      <c r="O23" s="735"/>
      <c r="P23" s="1287"/>
      <c r="Q23" s="1287"/>
      <c r="R23" s="1287"/>
      <c r="S23" s="1360" t="b">
        <v>0</v>
      </c>
      <c r="T23" s="735" t="s">
        <v>908</v>
      </c>
      <c r="U23" s="1359"/>
      <c r="V23" s="1287"/>
      <c r="W23" s="1287"/>
      <c r="X23" s="3812"/>
      <c r="Y23" s="3812"/>
      <c r="Z23" s="3812"/>
      <c r="AA23" s="3812"/>
      <c r="AB23" s="3812"/>
      <c r="AC23" s="3812"/>
      <c r="AD23" s="3812"/>
      <c r="AE23" s="1300"/>
      <c r="AF23" s="1301"/>
    </row>
    <row r="24" spans="2:41" ht="20.5">
      <c r="B24" s="1298"/>
      <c r="C24" s="1299"/>
      <c r="D24" s="1287"/>
      <c r="E24" s="1287"/>
      <c r="F24" s="1287"/>
      <c r="G24" s="1360" t="b">
        <v>1</v>
      </c>
      <c r="H24" s="1358" t="s">
        <v>1584</v>
      </c>
      <c r="I24" s="1359"/>
      <c r="J24" s="1359"/>
      <c r="K24" s="1359"/>
      <c r="L24" s="1287"/>
      <c r="M24" s="1287"/>
      <c r="N24" s="587"/>
      <c r="O24" s="1358"/>
      <c r="P24" s="1359"/>
      <c r="Q24" s="1359"/>
      <c r="R24" s="1359"/>
      <c r="S24" s="587"/>
      <c r="T24" s="1358"/>
      <c r="U24" s="1359"/>
      <c r="V24" s="587"/>
      <c r="W24" s="1287"/>
      <c r="X24" s="1371" t="str">
        <f>IF(AND(sch_struct_hazard_measure_others=TRUE,ISBLANK(sch_struct_hazard_measure_others_specify)),"Please specify.",IF(AND(sch_struct_hazard_measure_others=FALSE,(sch_struct_hazard_measure_others_specify&gt;0)),"Please check Others if you have entries.",""))</f>
        <v/>
      </c>
      <c r="Y24" s="1287"/>
      <c r="Z24" s="1287"/>
      <c r="AA24" s="1287"/>
      <c r="AB24" s="1287"/>
      <c r="AC24" s="1359"/>
      <c r="AD24" s="1359"/>
      <c r="AE24" s="1300"/>
      <c r="AF24" s="1301"/>
    </row>
    <row r="25" spans="2:41">
      <c r="B25" s="1298"/>
      <c r="C25" s="1299" t="s">
        <v>157</v>
      </c>
      <c r="D25" s="3703" t="s">
        <v>1871</v>
      </c>
      <c r="E25" s="3703"/>
      <c r="F25" s="3703"/>
      <c r="G25" s="3703"/>
      <c r="H25" s="3703"/>
      <c r="I25" s="3703"/>
      <c r="J25" s="3703"/>
      <c r="K25" s="3703"/>
      <c r="L25" s="3703"/>
      <c r="M25" s="3703"/>
      <c r="N25" s="3703"/>
      <c r="O25" s="3703"/>
      <c r="P25" s="3703"/>
      <c r="Q25" s="3703"/>
      <c r="R25" s="3703"/>
      <c r="S25" s="3703"/>
      <c r="T25" s="3703"/>
      <c r="U25" s="3703"/>
      <c r="V25" s="3703"/>
      <c r="W25" s="3703"/>
      <c r="X25" s="3703"/>
      <c r="Y25" s="3703"/>
      <c r="Z25" s="3703"/>
      <c r="AA25" s="3703"/>
      <c r="AB25" s="3703"/>
      <c r="AC25" s="3703"/>
      <c r="AD25" s="3703"/>
      <c r="AE25" s="1300"/>
      <c r="AF25" s="1301"/>
    </row>
    <row r="26" spans="2:41" ht="20.5">
      <c r="B26" s="1298"/>
      <c r="C26" s="1299"/>
      <c r="D26" s="1287"/>
      <c r="E26" s="1287"/>
      <c r="F26" s="1287"/>
      <c r="G26" s="1360" t="b">
        <v>0</v>
      </c>
      <c r="H26" s="1358" t="s">
        <v>1586</v>
      </c>
      <c r="I26" s="1359"/>
      <c r="J26" s="1359"/>
      <c r="K26" s="1359"/>
      <c r="L26" s="1287"/>
      <c r="M26" s="1287"/>
      <c r="N26" s="1287"/>
      <c r="O26" s="1287"/>
      <c r="P26" s="1287"/>
      <c r="Q26" s="1287"/>
      <c r="R26" s="1287"/>
      <c r="S26" s="1360" t="b">
        <v>0</v>
      </c>
      <c r="T26" s="1358" t="s">
        <v>1589</v>
      </c>
      <c r="U26" s="1359"/>
      <c r="V26" s="1359"/>
      <c r="W26" s="609"/>
      <c r="X26" s="587"/>
      <c r="Y26" s="735"/>
      <c r="Z26" s="1359"/>
      <c r="AA26" s="1287"/>
      <c r="AB26" s="1287"/>
      <c r="AC26" s="1372"/>
      <c r="AD26" s="1372"/>
      <c r="AE26" s="1300"/>
      <c r="AF26" s="1301"/>
    </row>
    <row r="27" spans="2:41" ht="20.5">
      <c r="B27" s="1298"/>
      <c r="C27" s="1299"/>
      <c r="D27" s="1287"/>
      <c r="E27" s="1287"/>
      <c r="F27" s="1287"/>
      <c r="G27" s="1360" t="b">
        <v>0</v>
      </c>
      <c r="H27" s="1358" t="s">
        <v>1587</v>
      </c>
      <c r="I27" s="1359"/>
      <c r="J27" s="1359"/>
      <c r="K27" s="1359"/>
      <c r="L27" s="1287"/>
      <c r="M27" s="1287"/>
      <c r="N27" s="1287"/>
      <c r="O27" s="1287"/>
      <c r="P27" s="1287"/>
      <c r="Q27" s="1287"/>
      <c r="R27" s="1287"/>
      <c r="S27" s="1360" t="b">
        <v>0</v>
      </c>
      <c r="T27" s="735" t="s">
        <v>908</v>
      </c>
      <c r="U27" s="1359"/>
      <c r="V27" s="1287"/>
      <c r="W27" s="1287"/>
      <c r="X27" s="3812"/>
      <c r="Y27" s="3812"/>
      <c r="Z27" s="3812"/>
      <c r="AA27" s="3812"/>
      <c r="AB27" s="3812"/>
      <c r="AC27" s="3812"/>
      <c r="AD27" s="3812"/>
      <c r="AE27" s="1300"/>
      <c r="AF27" s="1301"/>
    </row>
    <row r="28" spans="2:41" ht="20.5">
      <c r="B28" s="1298"/>
      <c r="C28" s="1299"/>
      <c r="D28" s="1287"/>
      <c r="E28" s="1287"/>
      <c r="F28" s="1287"/>
      <c r="G28" s="1360" t="b">
        <v>0</v>
      </c>
      <c r="H28" s="1358" t="s">
        <v>1588</v>
      </c>
      <c r="I28" s="1359"/>
      <c r="J28" s="1359"/>
      <c r="K28" s="1359"/>
      <c r="L28" s="1287"/>
      <c r="M28" s="1287"/>
      <c r="N28" s="1287"/>
      <c r="O28" s="1287"/>
      <c r="P28" s="587"/>
      <c r="Q28" s="1358"/>
      <c r="R28" s="1359"/>
      <c r="S28" s="587"/>
      <c r="T28" s="1358"/>
      <c r="U28" s="1359"/>
      <c r="V28" s="587"/>
      <c r="W28" s="1287"/>
      <c r="X28" s="1371" t="str">
        <f>IF(AND(sch_nonstruct_hazard_measure_others=TRUE,ISBLANK(sch_nonstruct_hazard_measure_others_specify)),"Please specify.",IF(AND(sch_nonstruct_hazard_measure_others=FALSE,(sch_nonstruct_hazard_measure_others_specify&gt;0)),"Please check Others if you have entries.",""))</f>
        <v/>
      </c>
      <c r="Y28" s="1287"/>
      <c r="Z28" s="1287"/>
      <c r="AA28" s="1287"/>
      <c r="AB28" s="1287"/>
      <c r="AC28" s="1359"/>
      <c r="AD28" s="1359"/>
      <c r="AE28" s="1300"/>
      <c r="AF28" s="1301"/>
    </row>
    <row r="29" spans="2:41" s="1342" customFormat="1" ht="24.75" customHeight="1">
      <c r="B29" s="1339"/>
      <c r="C29" s="1345" t="s">
        <v>158</v>
      </c>
      <c r="D29" s="1360" t="b">
        <v>1</v>
      </c>
      <c r="E29" s="3749" t="s">
        <v>1590</v>
      </c>
      <c r="F29" s="3749"/>
      <c r="G29" s="3749"/>
      <c r="H29" s="3749"/>
      <c r="I29" s="3749"/>
      <c r="J29" s="3749"/>
      <c r="K29" s="3749"/>
      <c r="L29" s="3749"/>
      <c r="M29" s="3749"/>
      <c r="N29" s="3749"/>
      <c r="O29" s="3749"/>
      <c r="P29" s="3749"/>
      <c r="Q29" s="3749"/>
      <c r="R29" s="3749"/>
      <c r="S29" s="3749"/>
      <c r="T29" s="3749"/>
      <c r="U29" s="3749"/>
      <c r="V29" s="3749"/>
      <c r="W29" s="3749"/>
      <c r="X29" s="3749"/>
      <c r="Y29" s="3749"/>
      <c r="Z29" s="3749"/>
      <c r="AA29" s="3749"/>
      <c r="AB29" s="3749"/>
      <c r="AC29" s="3749"/>
      <c r="AD29" s="3749"/>
      <c r="AE29" s="1340"/>
      <c r="AF29" s="1341"/>
      <c r="AG29" s="1340"/>
      <c r="AH29" s="1340"/>
      <c r="AI29" s="1340"/>
      <c r="AJ29" s="1340"/>
      <c r="AK29" s="1340"/>
      <c r="AL29" s="1340"/>
      <c r="AM29" s="1340"/>
      <c r="AN29" s="1340"/>
      <c r="AO29" s="1340"/>
    </row>
    <row r="30" spans="2:41" s="1342" customFormat="1" ht="24.75" customHeight="1">
      <c r="B30" s="1339"/>
      <c r="C30" s="1345" t="s">
        <v>159</v>
      </c>
      <c r="D30" s="1360" t="b">
        <v>1</v>
      </c>
      <c r="E30" s="3749" t="s">
        <v>1591</v>
      </c>
      <c r="F30" s="3749"/>
      <c r="G30" s="3749"/>
      <c r="H30" s="3749"/>
      <c r="I30" s="3749"/>
      <c r="J30" s="3749"/>
      <c r="K30" s="3749"/>
      <c r="L30" s="3749"/>
      <c r="M30" s="3749"/>
      <c r="N30" s="3749"/>
      <c r="O30" s="3749"/>
      <c r="P30" s="3749"/>
      <c r="Q30" s="3749"/>
      <c r="R30" s="3749"/>
      <c r="S30" s="3749"/>
      <c r="T30" s="3749"/>
      <c r="U30" s="3749"/>
      <c r="V30" s="3749"/>
      <c r="W30" s="3749"/>
      <c r="X30" s="3749"/>
      <c r="Y30" s="3749"/>
      <c r="Z30" s="3749"/>
      <c r="AA30" s="3749"/>
      <c r="AB30" s="3749"/>
      <c r="AC30" s="3749"/>
      <c r="AD30" s="3749"/>
      <c r="AE30" s="1340"/>
      <c r="AF30" s="1341"/>
      <c r="AG30" s="1340"/>
      <c r="AH30" s="1340"/>
      <c r="AI30" s="1340"/>
      <c r="AJ30" s="1340"/>
      <c r="AK30" s="1340"/>
      <c r="AL30" s="1340"/>
      <c r="AM30" s="1340"/>
      <c r="AN30" s="1340"/>
      <c r="AO30" s="1340"/>
    </row>
    <row r="31" spans="2:41" s="1342" customFormat="1" ht="24.75" customHeight="1">
      <c r="B31" s="1339"/>
      <c r="C31" s="1345" t="s">
        <v>160</v>
      </c>
      <c r="D31" s="1360" t="b">
        <v>1</v>
      </c>
      <c r="E31" s="3749" t="s">
        <v>1592</v>
      </c>
      <c r="F31" s="3749"/>
      <c r="G31" s="3749"/>
      <c r="H31" s="3749"/>
      <c r="I31" s="3749"/>
      <c r="J31" s="3749"/>
      <c r="K31" s="3749"/>
      <c r="L31" s="3749"/>
      <c r="M31" s="3749"/>
      <c r="N31" s="3749"/>
      <c r="O31" s="3749"/>
      <c r="P31" s="3749"/>
      <c r="Q31" s="3749"/>
      <c r="R31" s="3749"/>
      <c r="S31" s="3749"/>
      <c r="T31" s="3749"/>
      <c r="U31" s="3749"/>
      <c r="V31" s="3749"/>
      <c r="W31" s="3749"/>
      <c r="X31" s="3749"/>
      <c r="Y31" s="3749"/>
      <c r="Z31" s="3749"/>
      <c r="AA31" s="3749"/>
      <c r="AB31" s="3749"/>
      <c r="AC31" s="3749"/>
      <c r="AD31" s="3749"/>
      <c r="AE31" s="1340"/>
      <c r="AF31" s="1341"/>
      <c r="AG31" s="1340"/>
      <c r="AH31" s="1340"/>
      <c r="AI31" s="1340"/>
      <c r="AJ31" s="1340"/>
      <c r="AK31" s="1340"/>
      <c r="AL31" s="1340"/>
      <c r="AM31" s="1340"/>
      <c r="AN31" s="1340"/>
      <c r="AO31" s="1340"/>
    </row>
    <row r="32" spans="2:41" ht="5.15" customHeight="1">
      <c r="B32" s="1298"/>
      <c r="C32" s="1299"/>
      <c r="D32" s="1350"/>
      <c r="E32" s="1350"/>
      <c r="F32" s="1350"/>
      <c r="G32" s="1350"/>
      <c r="H32" s="1350"/>
      <c r="I32" s="1350"/>
      <c r="J32" s="1350"/>
      <c r="K32" s="1350"/>
      <c r="L32" s="1350"/>
      <c r="M32" s="1350"/>
      <c r="N32" s="1350"/>
      <c r="O32" s="1350"/>
      <c r="P32" s="1350"/>
      <c r="Q32" s="1350"/>
      <c r="R32" s="1350"/>
      <c r="S32" s="1350"/>
      <c r="T32" s="1350"/>
      <c r="U32" s="1350"/>
      <c r="V32" s="1350"/>
      <c r="W32" s="1350"/>
      <c r="X32" s="1350"/>
      <c r="Y32" s="1350"/>
      <c r="Z32" s="1350"/>
      <c r="AA32" s="1350"/>
      <c r="AB32" s="1350"/>
      <c r="AC32" s="1350"/>
      <c r="AD32" s="1350"/>
      <c r="AE32" s="1300"/>
      <c r="AF32" s="1301"/>
    </row>
    <row r="33" spans="2:32">
      <c r="B33" s="1298"/>
      <c r="C33" s="1299" t="s">
        <v>161</v>
      </c>
      <c r="D33" s="3703" t="s">
        <v>1872</v>
      </c>
      <c r="E33" s="3703"/>
      <c r="F33" s="3703"/>
      <c r="G33" s="3703"/>
      <c r="H33" s="3703"/>
      <c r="I33" s="3703"/>
      <c r="J33" s="3703"/>
      <c r="K33" s="3703"/>
      <c r="L33" s="3703"/>
      <c r="M33" s="3703"/>
      <c r="N33" s="3703"/>
      <c r="O33" s="3703"/>
      <c r="P33" s="3703"/>
      <c r="Q33" s="3703"/>
      <c r="R33" s="3703"/>
      <c r="S33" s="3703"/>
      <c r="T33" s="3703"/>
      <c r="U33" s="3703"/>
      <c r="V33" s="3703"/>
      <c r="W33" s="3703"/>
      <c r="X33" s="3703"/>
      <c r="Y33" s="3703"/>
      <c r="Z33" s="3703"/>
      <c r="AA33" s="3703"/>
      <c r="AB33" s="3703"/>
      <c r="AC33" s="3703"/>
      <c r="AD33" s="1350"/>
      <c r="AE33" s="1300"/>
      <c r="AF33" s="1301"/>
    </row>
    <row r="34" spans="2:32" ht="5.15" customHeight="1" thickBot="1">
      <c r="B34" s="1298"/>
      <c r="C34" s="1299"/>
      <c r="D34" s="1350"/>
      <c r="E34" s="1350"/>
      <c r="F34" s="1350"/>
      <c r="G34" s="1350"/>
      <c r="H34" s="1350"/>
      <c r="I34" s="1350"/>
      <c r="J34" s="1350"/>
      <c r="K34" s="1350"/>
      <c r="L34" s="1350"/>
      <c r="M34" s="1350"/>
      <c r="N34" s="1350"/>
      <c r="O34" s="1350"/>
      <c r="P34" s="1350"/>
      <c r="Q34" s="1350"/>
      <c r="R34" s="1350"/>
      <c r="S34" s="1350"/>
      <c r="T34" s="1350"/>
      <c r="U34" s="1350"/>
      <c r="V34" s="1350"/>
      <c r="W34" s="1350"/>
      <c r="X34" s="1350"/>
      <c r="Y34" s="1350"/>
      <c r="Z34" s="1350"/>
      <c r="AA34" s="1350"/>
      <c r="AB34" s="1350"/>
      <c r="AC34" s="1350"/>
      <c r="AD34" s="1350"/>
      <c r="AE34" s="1300"/>
      <c r="AF34" s="1301"/>
    </row>
    <row r="35" spans="2:32" s="1370" customFormat="1" ht="15.65" customHeight="1" thickTop="1">
      <c r="B35" s="1331"/>
      <c r="C35" s="1338"/>
      <c r="D35" s="3710" t="s">
        <v>11815</v>
      </c>
      <c r="E35" s="3711"/>
      <c r="F35" s="3711"/>
      <c r="G35" s="3711"/>
      <c r="H35" s="3711"/>
      <c r="I35" s="3711"/>
      <c r="J35" s="3711"/>
      <c r="K35" s="3711"/>
      <c r="L35" s="3714"/>
      <c r="M35" s="3815" t="s">
        <v>191</v>
      </c>
      <c r="N35" s="3815"/>
      <c r="O35" s="3815"/>
      <c r="P35" s="3816" t="s">
        <v>192</v>
      </c>
      <c r="Q35" s="3815"/>
      <c r="R35" s="3817"/>
      <c r="S35" s="3815" t="s">
        <v>193</v>
      </c>
      <c r="T35" s="3815"/>
      <c r="U35" s="3815"/>
      <c r="V35" s="3816" t="s">
        <v>1518</v>
      </c>
      <c r="W35" s="3815"/>
      <c r="X35" s="3817"/>
      <c r="Y35" s="3816" t="s">
        <v>117</v>
      </c>
      <c r="Z35" s="3815"/>
      <c r="AA35" s="3817"/>
      <c r="AB35" s="3815" t="s">
        <v>184</v>
      </c>
      <c r="AC35" s="3815"/>
      <c r="AD35" s="3818"/>
      <c r="AE35" s="1338"/>
      <c r="AF35" s="1310"/>
    </row>
    <row r="36" spans="2:32" s="1368" customFormat="1" ht="25.5" customHeight="1">
      <c r="B36" s="1369"/>
      <c r="C36" s="1366"/>
      <c r="D36" s="3813"/>
      <c r="E36" s="3791"/>
      <c r="F36" s="3791"/>
      <c r="G36" s="3791"/>
      <c r="H36" s="3791"/>
      <c r="I36" s="3791"/>
      <c r="J36" s="3791"/>
      <c r="K36" s="3791"/>
      <c r="L36" s="3814"/>
      <c r="M36" s="3819" t="b">
        <v>0</v>
      </c>
      <c r="N36" s="3819"/>
      <c r="O36" s="3819"/>
      <c r="P36" s="3820" t="b">
        <v>0</v>
      </c>
      <c r="Q36" s="3819"/>
      <c r="R36" s="3821"/>
      <c r="S36" s="3819" t="b">
        <v>0</v>
      </c>
      <c r="T36" s="3819"/>
      <c r="U36" s="3819"/>
      <c r="V36" s="3820" t="b">
        <v>0</v>
      </c>
      <c r="W36" s="3819"/>
      <c r="X36" s="3821"/>
      <c r="Y36" s="3820" t="b">
        <v>0</v>
      </c>
      <c r="Z36" s="3819"/>
      <c r="AA36" s="3821"/>
      <c r="AB36" s="3819" t="b">
        <v>0</v>
      </c>
      <c r="AC36" s="3819"/>
      <c r="AD36" s="3822"/>
      <c r="AE36" s="1366"/>
      <c r="AF36" s="1367"/>
    </row>
    <row r="37" spans="2:32" s="1370" customFormat="1">
      <c r="B37" s="1331"/>
      <c r="C37" s="1338"/>
      <c r="D37" s="3813"/>
      <c r="E37" s="3791"/>
      <c r="F37" s="3791"/>
      <c r="G37" s="3791"/>
      <c r="H37" s="3791"/>
      <c r="I37" s="3791"/>
      <c r="J37" s="3791"/>
      <c r="K37" s="3791"/>
      <c r="L37" s="3814"/>
      <c r="M37" s="3823" t="s">
        <v>185</v>
      </c>
      <c r="N37" s="3823"/>
      <c r="O37" s="3823"/>
      <c r="P37" s="3827" t="s">
        <v>186</v>
      </c>
      <c r="Q37" s="3823"/>
      <c r="R37" s="3828"/>
      <c r="S37" s="3823" t="s">
        <v>187</v>
      </c>
      <c r="T37" s="3823"/>
      <c r="U37" s="3823"/>
      <c r="V37" s="3827" t="s">
        <v>188</v>
      </c>
      <c r="W37" s="3823"/>
      <c r="X37" s="3828"/>
      <c r="Y37" s="3827" t="s">
        <v>189</v>
      </c>
      <c r="Z37" s="3823"/>
      <c r="AA37" s="3828"/>
      <c r="AB37" s="3823" t="s">
        <v>190</v>
      </c>
      <c r="AC37" s="3823"/>
      <c r="AD37" s="3824"/>
      <c r="AE37" s="1338"/>
      <c r="AF37" s="1310"/>
    </row>
    <row r="38" spans="2:32" s="1368" customFormat="1" ht="25.5" customHeight="1" thickBot="1">
      <c r="B38" s="1369"/>
      <c r="C38" s="1366"/>
      <c r="D38" s="3787"/>
      <c r="E38" s="3788"/>
      <c r="F38" s="3788"/>
      <c r="G38" s="3788"/>
      <c r="H38" s="3788"/>
      <c r="I38" s="3788"/>
      <c r="J38" s="3788"/>
      <c r="K38" s="3788"/>
      <c r="L38" s="3789"/>
      <c r="M38" s="3825" t="b">
        <v>0</v>
      </c>
      <c r="N38" s="3825"/>
      <c r="O38" s="3825"/>
      <c r="P38" s="3829" t="b">
        <v>0</v>
      </c>
      <c r="Q38" s="3825"/>
      <c r="R38" s="3830"/>
      <c r="S38" s="3825" t="b">
        <v>0</v>
      </c>
      <c r="T38" s="3825"/>
      <c r="U38" s="3825"/>
      <c r="V38" s="3829" t="b">
        <v>0</v>
      </c>
      <c r="W38" s="3825"/>
      <c r="X38" s="3830"/>
      <c r="Y38" s="3829" t="b">
        <v>0</v>
      </c>
      <c r="Z38" s="3825"/>
      <c r="AA38" s="3830"/>
      <c r="AB38" s="3825" t="b">
        <v>0</v>
      </c>
      <c r="AC38" s="3825"/>
      <c r="AD38" s="3826"/>
      <c r="AE38" s="1366"/>
      <c r="AF38" s="1367"/>
    </row>
    <row r="39" spans="2:32" ht="10" customHeight="1" thickTop="1" thickBot="1">
      <c r="B39" s="1281"/>
      <c r="C39" s="1282"/>
      <c r="D39" s="1283"/>
      <c r="E39" s="1284"/>
      <c r="F39" s="1284"/>
      <c r="G39" s="1284"/>
      <c r="H39" s="1284"/>
      <c r="I39" s="1284"/>
      <c r="J39" s="1284"/>
      <c r="K39" s="1285"/>
      <c r="L39" s="1285"/>
      <c r="M39" s="1285"/>
      <c r="N39" s="1285"/>
      <c r="O39" s="1285"/>
      <c r="P39" s="1285"/>
      <c r="Q39" s="1285"/>
      <c r="R39" s="1285"/>
      <c r="S39" s="1285"/>
      <c r="T39" s="1285"/>
      <c r="U39" s="1285"/>
      <c r="V39" s="1285"/>
      <c r="W39" s="1285"/>
      <c r="X39" s="1285"/>
      <c r="Y39" s="1285"/>
      <c r="Z39" s="1285"/>
      <c r="AA39" s="1285"/>
      <c r="AB39" s="1285"/>
      <c r="AC39" s="1285"/>
      <c r="AD39" s="1285"/>
      <c r="AE39" s="1285"/>
      <c r="AF39" s="1286"/>
    </row>
    <row r="40" spans="2:32" ht="10" customHeight="1" thickTop="1">
      <c r="B40" s="1344"/>
      <c r="C40" s="587"/>
      <c r="E40" s="1300"/>
      <c r="F40" s="1300"/>
      <c r="G40" s="1300"/>
      <c r="H40" s="1300"/>
      <c r="I40" s="1300"/>
      <c r="J40" s="1300"/>
      <c r="K40" s="1287"/>
      <c r="L40" s="1287"/>
      <c r="M40" s="1287"/>
      <c r="N40" s="1287"/>
      <c r="O40" s="1287"/>
      <c r="P40" s="1287"/>
      <c r="Q40" s="1287"/>
      <c r="R40" s="1287"/>
      <c r="S40" s="1287"/>
      <c r="T40" s="1287"/>
      <c r="U40" s="1287"/>
      <c r="V40" s="1287"/>
      <c r="W40" s="1287"/>
      <c r="X40" s="1287"/>
      <c r="Y40" s="1287"/>
      <c r="Z40" s="1287"/>
      <c r="AA40" s="1287"/>
      <c r="AB40" s="1287"/>
      <c r="AC40" s="1287"/>
      <c r="AD40" s="1287"/>
    </row>
    <row r="41" spans="2:32" s="681" customFormat="1" ht="16.5">
      <c r="B41" s="187" t="s">
        <v>1245</v>
      </c>
      <c r="C41" s="1244"/>
      <c r="D41" s="1240"/>
      <c r="E41" s="1240"/>
      <c r="F41" s="1240"/>
      <c r="G41" s="1240"/>
      <c r="H41" s="1240"/>
      <c r="I41" s="1240"/>
      <c r="J41" s="1240"/>
      <c r="K41" s="1240"/>
      <c r="L41" s="1240"/>
      <c r="M41" s="1240"/>
      <c r="N41" s="1240"/>
      <c r="O41" s="1240"/>
      <c r="P41" s="1240"/>
      <c r="Q41" s="1240"/>
      <c r="R41" s="1240"/>
      <c r="S41" s="1240"/>
      <c r="T41" s="1240"/>
    </row>
    <row r="42" spans="2:32" s="602" customFormat="1" ht="30.75" customHeight="1"/>
    <row r="43" spans="2:32" s="1235" customFormat="1" ht="14">
      <c r="B43" s="169" t="s">
        <v>847</v>
      </c>
      <c r="T43" s="169" t="s">
        <v>747</v>
      </c>
    </row>
    <row r="44" spans="2:32" s="1235" customFormat="1" ht="21.75" customHeight="1">
      <c r="B44" s="169" t="s">
        <v>748</v>
      </c>
      <c r="F44" s="3607" t="str">
        <f>activesheet!E29</f>
        <v>RICO S. MISPEROS</v>
      </c>
      <c r="G44" s="3607"/>
      <c r="H44" s="3607"/>
      <c r="I44" s="3607"/>
      <c r="J44" s="3607"/>
      <c r="K44" s="3607"/>
      <c r="L44" s="3607"/>
      <c r="M44" s="3607"/>
      <c r="N44" s="3607"/>
      <c r="O44" s="1290"/>
      <c r="P44" s="1290"/>
      <c r="Q44" s="1290"/>
      <c r="R44" s="1290"/>
      <c r="S44" s="1290"/>
      <c r="T44" s="3607" t="str">
        <f>activesheet!E3244</f>
        <v>ELYN KENDRA D. DELA CRUZ</v>
      </c>
      <c r="U44" s="3607"/>
      <c r="V44" s="3607"/>
      <c r="W44" s="3607"/>
      <c r="X44" s="3607"/>
      <c r="Y44" s="3607"/>
      <c r="Z44" s="3607"/>
      <c r="AA44" s="3607"/>
      <c r="AB44" s="3607"/>
      <c r="AC44" s="3607"/>
      <c r="AD44" s="3607"/>
      <c r="AE44" s="3607"/>
      <c r="AF44" s="3607"/>
    </row>
    <row r="45" spans="2:32" s="1237" customFormat="1" ht="14.15" customHeight="1">
      <c r="B45" s="655"/>
      <c r="F45" s="1776" t="s">
        <v>741</v>
      </c>
      <c r="G45" s="1776"/>
      <c r="H45" s="1776"/>
      <c r="I45" s="1776"/>
      <c r="J45" s="1776"/>
      <c r="K45" s="1776"/>
      <c r="L45" s="1776"/>
      <c r="M45" s="1776"/>
      <c r="N45" s="1776"/>
      <c r="O45" s="151"/>
      <c r="P45" s="151"/>
      <c r="Q45" s="151"/>
      <c r="R45" s="151"/>
      <c r="S45" s="151"/>
      <c r="T45" s="1776" t="s">
        <v>741</v>
      </c>
      <c r="U45" s="1776"/>
      <c r="V45" s="1776"/>
      <c r="W45" s="1776"/>
      <c r="X45" s="1776"/>
      <c r="Y45" s="1776"/>
      <c r="Z45" s="1776"/>
      <c r="AA45" s="1776"/>
      <c r="AB45" s="1776"/>
      <c r="AC45" s="1776"/>
      <c r="AD45" s="1776"/>
      <c r="AE45" s="1776"/>
      <c r="AF45" s="1776"/>
    </row>
    <row r="46" spans="2:32" s="1235" customFormat="1" ht="21.75" customHeight="1">
      <c r="B46" s="169" t="s">
        <v>71</v>
      </c>
      <c r="F46" s="3607" t="str">
        <f>activesheet!E30</f>
        <v>SCHOOL PRINCIPAL II</v>
      </c>
      <c r="G46" s="3607"/>
      <c r="H46" s="3607"/>
      <c r="I46" s="3607"/>
      <c r="J46" s="3607"/>
      <c r="K46" s="3607"/>
      <c r="L46" s="3607"/>
      <c r="M46" s="3607"/>
      <c r="N46" s="3607"/>
      <c r="O46" s="1290"/>
      <c r="P46" s="1290"/>
      <c r="Q46" s="1290"/>
      <c r="R46" s="1290"/>
      <c r="S46" s="1290"/>
      <c r="T46" s="169" t="s">
        <v>71</v>
      </c>
      <c r="X46" s="3607" t="str">
        <f>activesheet!E3245</f>
        <v>Project Development Officer II</v>
      </c>
      <c r="Y46" s="3607"/>
      <c r="Z46" s="3607"/>
      <c r="AA46" s="3607"/>
      <c r="AB46" s="3607"/>
      <c r="AC46" s="3607"/>
      <c r="AD46" s="3607"/>
      <c r="AE46" s="3607"/>
      <c r="AF46" s="3607"/>
    </row>
    <row r="47" spans="2:32" s="602" customFormat="1" ht="30.75" customHeight="1"/>
    <row r="48" spans="2:32" s="1235" customFormat="1" ht="14">
      <c r="K48" s="169" t="s">
        <v>783</v>
      </c>
    </row>
    <row r="49" spans="10:24" s="1235" customFormat="1" ht="21.75" customHeight="1">
      <c r="K49" s="1956" t="str">
        <f>activesheet!E31</f>
        <v>MICHAEL T. JAMIS</v>
      </c>
      <c r="L49" s="1956"/>
      <c r="M49" s="1956"/>
      <c r="N49" s="1956"/>
      <c r="O49" s="1956"/>
      <c r="P49" s="1956"/>
      <c r="Q49" s="1956"/>
      <c r="R49" s="1956"/>
      <c r="S49" s="1956"/>
      <c r="T49" s="1956"/>
      <c r="U49" s="1956"/>
      <c r="V49" s="1956"/>
      <c r="W49" s="1956"/>
    </row>
    <row r="50" spans="10:24" s="1237" customFormat="1" ht="14.15" customHeight="1">
      <c r="K50" s="1957"/>
      <c r="L50" s="1957"/>
      <c r="M50" s="1957"/>
      <c r="N50" s="1957"/>
      <c r="O50" s="1957"/>
      <c r="P50" s="1957"/>
      <c r="Q50" s="1957"/>
      <c r="R50" s="1957"/>
      <c r="S50" s="1957"/>
      <c r="T50" s="1957"/>
      <c r="U50" s="1957"/>
      <c r="V50" s="1957"/>
      <c r="W50" s="1957"/>
    </row>
    <row r="51" spans="10:24" s="1235" customFormat="1" ht="21.75" customHeight="1">
      <c r="K51" s="1776" t="s">
        <v>741</v>
      </c>
      <c r="L51" s="1776"/>
      <c r="M51" s="1776"/>
      <c r="N51" s="1776"/>
      <c r="O51" s="1776"/>
      <c r="P51" s="1776"/>
      <c r="Q51" s="1776"/>
      <c r="R51" s="1776"/>
      <c r="S51" s="1776"/>
      <c r="T51" s="1776"/>
      <c r="U51" s="1776"/>
      <c r="V51" s="1776"/>
      <c r="W51" s="1776"/>
    </row>
    <row r="52" spans="10:24" s="1287" customFormat="1">
      <c r="J52" s="1291"/>
      <c r="K52" s="1291"/>
      <c r="W52" s="1291"/>
      <c r="X52" s="1291"/>
    </row>
  </sheetData>
  <sheetProtection algorithmName="SHA-512" hashValue="F1+dQwqhqB8FRLuUEiLycugSRIgBpmDg3mA6eHd9QLAh73cGdnuFocUIqsILbmDaPCv0GbR2mBoQPS98YTd5Lg==" saltValue="klfpnt+yaglpxzv5WvcmeA==" spinCount="100000" sheet="1" objects="1" scenarios="1" selectLockedCells="1"/>
  <mergeCells count="62">
    <mergeCell ref="K49:W50"/>
    <mergeCell ref="K51:W51"/>
    <mergeCell ref="F44:N44"/>
    <mergeCell ref="T44:AF44"/>
    <mergeCell ref="F45:N45"/>
    <mergeCell ref="T45:AF45"/>
    <mergeCell ref="F46:N46"/>
    <mergeCell ref="X46:AF46"/>
    <mergeCell ref="AB38:AD38"/>
    <mergeCell ref="M37:O37"/>
    <mergeCell ref="P37:R37"/>
    <mergeCell ref="S37:U37"/>
    <mergeCell ref="V37:X37"/>
    <mergeCell ref="Y37:AA37"/>
    <mergeCell ref="M38:O38"/>
    <mergeCell ref="P38:R38"/>
    <mergeCell ref="S38:U38"/>
    <mergeCell ref="V38:X38"/>
    <mergeCell ref="Y38:AA38"/>
    <mergeCell ref="E31:AD31"/>
    <mergeCell ref="D33:AC33"/>
    <mergeCell ref="D35:L38"/>
    <mergeCell ref="M35:O35"/>
    <mergeCell ref="P35:R35"/>
    <mergeCell ref="S35:U35"/>
    <mergeCell ref="V35:X35"/>
    <mergeCell ref="Y35:AA35"/>
    <mergeCell ref="AB35:AD35"/>
    <mergeCell ref="M36:O36"/>
    <mergeCell ref="P36:R36"/>
    <mergeCell ref="S36:U36"/>
    <mergeCell ref="V36:X36"/>
    <mergeCell ref="Y36:AA36"/>
    <mergeCell ref="AB36:AD36"/>
    <mergeCell ref="AB37:AD37"/>
    <mergeCell ref="E30:AD30"/>
    <mergeCell ref="D15:Z15"/>
    <mergeCell ref="AB15:AD15"/>
    <mergeCell ref="D17:Z17"/>
    <mergeCell ref="AB17:AD17"/>
    <mergeCell ref="D19:Z19"/>
    <mergeCell ref="AB19:AD19"/>
    <mergeCell ref="D21:AD21"/>
    <mergeCell ref="X23:AD23"/>
    <mergeCell ref="D25:AD25"/>
    <mergeCell ref="X27:AD27"/>
    <mergeCell ref="E29:AD29"/>
    <mergeCell ref="D13:Z13"/>
    <mergeCell ref="AB13:AD13"/>
    <mergeCell ref="D7:Z7"/>
    <mergeCell ref="D9:J9"/>
    <mergeCell ref="K9:P9"/>
    <mergeCell ref="Q9:V9"/>
    <mergeCell ref="W9:AB9"/>
    <mergeCell ref="D10:J10"/>
    <mergeCell ref="D11:J11"/>
    <mergeCell ref="K11:P11"/>
    <mergeCell ref="Q11:V11"/>
    <mergeCell ref="W11:Y11"/>
    <mergeCell ref="Z11:AB11"/>
    <mergeCell ref="K10:P10"/>
    <mergeCell ref="Q10:V10"/>
  </mergeCells>
  <dataValidations count="1">
    <dataValidation type="whole" allowBlank="1" showInputMessage="1" showErrorMessage="1" errorTitle="GESP SY 2022-2023" error="Please enter valid number between 0 - 999." sqref="K10:V11 AB13:AD13 AB15:AD15 AB17:AD17 AB19:AD19" xr:uid="{00000000-0002-0000-3300-000000000000}">
      <formula1>0</formula1>
      <formula2>999</formula2>
    </dataValidation>
  </dataValidations>
  <printOptions horizontalCentered="1" verticalCentered="1"/>
  <pageMargins left="0.25" right="0.25" top="0.2" bottom="0.2" header="0" footer="0.1"/>
  <pageSetup paperSize="9" scale="64" orientation="portrait" r:id="rId1"/>
  <headerFooter>
    <oddFooter>&amp;L&amp;10&amp;F &amp;A&amp;R&amp;10Page 48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7089" r:id="rId4" name="Check Box 1">
              <controlPr locked="0" defaultSize="0" autoFill="0" autoLine="0" autoPict="0">
                <anchor moveWithCells="1">
                  <from>
                    <xdr:col>6</xdr:col>
                    <xdr:colOff>31750</xdr:colOff>
                    <xdr:row>21</xdr:row>
                    <xdr:rowOff>31750</xdr:rowOff>
                  </from>
                  <to>
                    <xdr:col>8</xdr:col>
                    <xdr:colOff>222250</xdr:colOff>
                    <xdr:row>21</xdr:row>
                    <xdr:rowOff>241300</xdr:rowOff>
                  </to>
                </anchor>
              </controlPr>
            </control>
          </mc:Choice>
        </mc:AlternateContent>
        <mc:AlternateContent xmlns:mc="http://schemas.openxmlformats.org/markup-compatibility/2006">
          <mc:Choice Requires="x14">
            <control shapeId="217090" r:id="rId5" name="Check Box 2">
              <controlPr locked="0" defaultSize="0" autoFill="0" autoLine="0" autoPict="0">
                <anchor moveWithCells="1">
                  <from>
                    <xdr:col>6</xdr:col>
                    <xdr:colOff>31750</xdr:colOff>
                    <xdr:row>22</xdr:row>
                    <xdr:rowOff>31750</xdr:rowOff>
                  </from>
                  <to>
                    <xdr:col>8</xdr:col>
                    <xdr:colOff>222250</xdr:colOff>
                    <xdr:row>22</xdr:row>
                    <xdr:rowOff>241300</xdr:rowOff>
                  </to>
                </anchor>
              </controlPr>
            </control>
          </mc:Choice>
        </mc:AlternateContent>
        <mc:AlternateContent xmlns:mc="http://schemas.openxmlformats.org/markup-compatibility/2006">
          <mc:Choice Requires="x14">
            <control shapeId="217091" r:id="rId6" name="Check Box 3">
              <controlPr locked="0" defaultSize="0" autoFill="0" autoLine="0" autoPict="0">
                <anchor moveWithCells="1">
                  <from>
                    <xdr:col>6</xdr:col>
                    <xdr:colOff>31750</xdr:colOff>
                    <xdr:row>23</xdr:row>
                    <xdr:rowOff>31750</xdr:rowOff>
                  </from>
                  <to>
                    <xdr:col>8</xdr:col>
                    <xdr:colOff>222250</xdr:colOff>
                    <xdr:row>23</xdr:row>
                    <xdr:rowOff>241300</xdr:rowOff>
                  </to>
                </anchor>
              </controlPr>
            </control>
          </mc:Choice>
        </mc:AlternateContent>
        <mc:AlternateContent xmlns:mc="http://schemas.openxmlformats.org/markup-compatibility/2006">
          <mc:Choice Requires="x14">
            <control shapeId="217092" r:id="rId7" name="Check Box 4">
              <controlPr locked="0" defaultSize="0" autoFill="0" autoLine="0" autoPict="0">
                <anchor moveWithCells="1">
                  <from>
                    <xdr:col>6</xdr:col>
                    <xdr:colOff>31750</xdr:colOff>
                    <xdr:row>25</xdr:row>
                    <xdr:rowOff>31750</xdr:rowOff>
                  </from>
                  <to>
                    <xdr:col>8</xdr:col>
                    <xdr:colOff>222250</xdr:colOff>
                    <xdr:row>25</xdr:row>
                    <xdr:rowOff>241300</xdr:rowOff>
                  </to>
                </anchor>
              </controlPr>
            </control>
          </mc:Choice>
        </mc:AlternateContent>
        <mc:AlternateContent xmlns:mc="http://schemas.openxmlformats.org/markup-compatibility/2006">
          <mc:Choice Requires="x14">
            <control shapeId="217093" r:id="rId8" name="Check Box 5">
              <controlPr locked="0" defaultSize="0" autoFill="0" autoLine="0" autoPict="0">
                <anchor moveWithCells="1">
                  <from>
                    <xdr:col>6</xdr:col>
                    <xdr:colOff>31750</xdr:colOff>
                    <xdr:row>26</xdr:row>
                    <xdr:rowOff>31750</xdr:rowOff>
                  </from>
                  <to>
                    <xdr:col>8</xdr:col>
                    <xdr:colOff>222250</xdr:colOff>
                    <xdr:row>26</xdr:row>
                    <xdr:rowOff>241300</xdr:rowOff>
                  </to>
                </anchor>
              </controlPr>
            </control>
          </mc:Choice>
        </mc:AlternateContent>
        <mc:AlternateContent xmlns:mc="http://schemas.openxmlformats.org/markup-compatibility/2006">
          <mc:Choice Requires="x14">
            <control shapeId="217094" r:id="rId9" name="Check Box 6">
              <controlPr locked="0" defaultSize="0" autoFill="0" autoLine="0" autoPict="0">
                <anchor moveWithCells="1">
                  <from>
                    <xdr:col>6</xdr:col>
                    <xdr:colOff>31750</xdr:colOff>
                    <xdr:row>27</xdr:row>
                    <xdr:rowOff>31750</xdr:rowOff>
                  </from>
                  <to>
                    <xdr:col>8</xdr:col>
                    <xdr:colOff>222250</xdr:colOff>
                    <xdr:row>27</xdr:row>
                    <xdr:rowOff>241300</xdr:rowOff>
                  </to>
                </anchor>
              </controlPr>
            </control>
          </mc:Choice>
        </mc:AlternateContent>
        <mc:AlternateContent xmlns:mc="http://schemas.openxmlformats.org/markup-compatibility/2006">
          <mc:Choice Requires="x14">
            <control shapeId="217095" r:id="rId10" name="Check Box 7">
              <controlPr locked="0" defaultSize="0" autoFill="0" autoLine="0" autoPict="0">
                <anchor moveWithCells="1">
                  <from>
                    <xdr:col>3</xdr:col>
                    <xdr:colOff>31750</xdr:colOff>
                    <xdr:row>28</xdr:row>
                    <xdr:rowOff>50800</xdr:rowOff>
                  </from>
                  <to>
                    <xdr:col>5</xdr:col>
                    <xdr:colOff>222250</xdr:colOff>
                    <xdr:row>28</xdr:row>
                    <xdr:rowOff>260350</xdr:rowOff>
                  </to>
                </anchor>
              </controlPr>
            </control>
          </mc:Choice>
        </mc:AlternateContent>
        <mc:AlternateContent xmlns:mc="http://schemas.openxmlformats.org/markup-compatibility/2006">
          <mc:Choice Requires="x14">
            <control shapeId="217096" r:id="rId11" name="Check Box 8">
              <controlPr locked="0" defaultSize="0" autoFill="0" autoLine="0" autoPict="0">
                <anchor moveWithCells="1">
                  <from>
                    <xdr:col>3</xdr:col>
                    <xdr:colOff>31750</xdr:colOff>
                    <xdr:row>29</xdr:row>
                    <xdr:rowOff>50800</xdr:rowOff>
                  </from>
                  <to>
                    <xdr:col>5</xdr:col>
                    <xdr:colOff>222250</xdr:colOff>
                    <xdr:row>29</xdr:row>
                    <xdr:rowOff>260350</xdr:rowOff>
                  </to>
                </anchor>
              </controlPr>
            </control>
          </mc:Choice>
        </mc:AlternateContent>
        <mc:AlternateContent xmlns:mc="http://schemas.openxmlformats.org/markup-compatibility/2006">
          <mc:Choice Requires="x14">
            <control shapeId="217097" r:id="rId12" name="Check Box 9">
              <controlPr locked="0" defaultSize="0" autoFill="0" autoLine="0" autoPict="0">
                <anchor moveWithCells="1">
                  <from>
                    <xdr:col>3</xdr:col>
                    <xdr:colOff>31750</xdr:colOff>
                    <xdr:row>30</xdr:row>
                    <xdr:rowOff>50800</xdr:rowOff>
                  </from>
                  <to>
                    <xdr:col>5</xdr:col>
                    <xdr:colOff>222250</xdr:colOff>
                    <xdr:row>30</xdr:row>
                    <xdr:rowOff>260350</xdr:rowOff>
                  </to>
                </anchor>
              </controlPr>
            </control>
          </mc:Choice>
        </mc:AlternateContent>
        <mc:AlternateContent xmlns:mc="http://schemas.openxmlformats.org/markup-compatibility/2006">
          <mc:Choice Requires="x14">
            <control shapeId="217098" r:id="rId13" name="Check Box 10">
              <controlPr locked="0" defaultSize="0" autoFill="0" autoLine="0" autoPict="0">
                <anchor moveWithCells="1">
                  <from>
                    <xdr:col>18</xdr:col>
                    <xdr:colOff>31750</xdr:colOff>
                    <xdr:row>21</xdr:row>
                    <xdr:rowOff>31750</xdr:rowOff>
                  </from>
                  <to>
                    <xdr:col>20</xdr:col>
                    <xdr:colOff>222250</xdr:colOff>
                    <xdr:row>21</xdr:row>
                    <xdr:rowOff>241300</xdr:rowOff>
                  </to>
                </anchor>
              </controlPr>
            </control>
          </mc:Choice>
        </mc:AlternateContent>
        <mc:AlternateContent xmlns:mc="http://schemas.openxmlformats.org/markup-compatibility/2006">
          <mc:Choice Requires="x14">
            <control shapeId="217099" r:id="rId14" name="Check Box 11">
              <controlPr locked="0" defaultSize="0" autoFill="0" autoLine="0" autoPict="0">
                <anchor moveWithCells="1">
                  <from>
                    <xdr:col>18</xdr:col>
                    <xdr:colOff>31750</xdr:colOff>
                    <xdr:row>22</xdr:row>
                    <xdr:rowOff>31750</xdr:rowOff>
                  </from>
                  <to>
                    <xdr:col>20</xdr:col>
                    <xdr:colOff>222250</xdr:colOff>
                    <xdr:row>22</xdr:row>
                    <xdr:rowOff>241300</xdr:rowOff>
                  </to>
                </anchor>
              </controlPr>
            </control>
          </mc:Choice>
        </mc:AlternateContent>
        <mc:AlternateContent xmlns:mc="http://schemas.openxmlformats.org/markup-compatibility/2006">
          <mc:Choice Requires="x14">
            <control shapeId="217100" r:id="rId15" name="Check Box 12">
              <controlPr locked="0" defaultSize="0" autoFill="0" autoLine="0" autoPict="0">
                <anchor moveWithCells="1">
                  <from>
                    <xdr:col>18</xdr:col>
                    <xdr:colOff>31750</xdr:colOff>
                    <xdr:row>25</xdr:row>
                    <xdr:rowOff>31750</xdr:rowOff>
                  </from>
                  <to>
                    <xdr:col>20</xdr:col>
                    <xdr:colOff>222250</xdr:colOff>
                    <xdr:row>25</xdr:row>
                    <xdr:rowOff>241300</xdr:rowOff>
                  </to>
                </anchor>
              </controlPr>
            </control>
          </mc:Choice>
        </mc:AlternateContent>
        <mc:AlternateContent xmlns:mc="http://schemas.openxmlformats.org/markup-compatibility/2006">
          <mc:Choice Requires="x14">
            <control shapeId="217101" r:id="rId16" name="Check Box 13">
              <controlPr locked="0" defaultSize="0" autoFill="0" autoLine="0" autoPict="0">
                <anchor moveWithCells="1">
                  <from>
                    <xdr:col>18</xdr:col>
                    <xdr:colOff>31750</xdr:colOff>
                    <xdr:row>26</xdr:row>
                    <xdr:rowOff>31750</xdr:rowOff>
                  </from>
                  <to>
                    <xdr:col>20</xdr:col>
                    <xdr:colOff>222250</xdr:colOff>
                    <xdr:row>26</xdr:row>
                    <xdr:rowOff>241300</xdr:rowOff>
                  </to>
                </anchor>
              </controlPr>
            </control>
          </mc:Choice>
        </mc:AlternateContent>
        <mc:AlternateContent xmlns:mc="http://schemas.openxmlformats.org/markup-compatibility/2006">
          <mc:Choice Requires="x14">
            <control shapeId="217102" r:id="rId17" name="Check Box 14">
              <controlPr locked="0" defaultSize="0" autoFill="0" autoLine="0" autoPict="0">
                <anchor moveWithCells="1">
                  <from>
                    <xdr:col>13</xdr:col>
                    <xdr:colOff>31750</xdr:colOff>
                    <xdr:row>35</xdr:row>
                    <xdr:rowOff>31750</xdr:rowOff>
                  </from>
                  <to>
                    <xdr:col>15</xdr:col>
                    <xdr:colOff>222250</xdr:colOff>
                    <xdr:row>35</xdr:row>
                    <xdr:rowOff>241300</xdr:rowOff>
                  </to>
                </anchor>
              </controlPr>
            </control>
          </mc:Choice>
        </mc:AlternateContent>
        <mc:AlternateContent xmlns:mc="http://schemas.openxmlformats.org/markup-compatibility/2006">
          <mc:Choice Requires="x14">
            <control shapeId="217103" r:id="rId18" name="Check Box 15">
              <controlPr locked="0" defaultSize="0" autoFill="0" autoLine="0" autoPict="0">
                <anchor moveWithCells="1">
                  <from>
                    <xdr:col>16</xdr:col>
                    <xdr:colOff>31750</xdr:colOff>
                    <xdr:row>35</xdr:row>
                    <xdr:rowOff>31750</xdr:rowOff>
                  </from>
                  <to>
                    <xdr:col>18</xdr:col>
                    <xdr:colOff>222250</xdr:colOff>
                    <xdr:row>35</xdr:row>
                    <xdr:rowOff>241300</xdr:rowOff>
                  </to>
                </anchor>
              </controlPr>
            </control>
          </mc:Choice>
        </mc:AlternateContent>
        <mc:AlternateContent xmlns:mc="http://schemas.openxmlformats.org/markup-compatibility/2006">
          <mc:Choice Requires="x14">
            <control shapeId="217104" r:id="rId19" name="Check Box 16">
              <controlPr locked="0" defaultSize="0" autoFill="0" autoLine="0" autoPict="0">
                <anchor moveWithCells="1">
                  <from>
                    <xdr:col>19</xdr:col>
                    <xdr:colOff>31750</xdr:colOff>
                    <xdr:row>35</xdr:row>
                    <xdr:rowOff>31750</xdr:rowOff>
                  </from>
                  <to>
                    <xdr:col>21</xdr:col>
                    <xdr:colOff>222250</xdr:colOff>
                    <xdr:row>35</xdr:row>
                    <xdr:rowOff>241300</xdr:rowOff>
                  </to>
                </anchor>
              </controlPr>
            </control>
          </mc:Choice>
        </mc:AlternateContent>
        <mc:AlternateContent xmlns:mc="http://schemas.openxmlformats.org/markup-compatibility/2006">
          <mc:Choice Requires="x14">
            <control shapeId="217105" r:id="rId20" name="Check Box 17">
              <controlPr locked="0" defaultSize="0" autoFill="0" autoLine="0" autoPict="0">
                <anchor moveWithCells="1">
                  <from>
                    <xdr:col>19</xdr:col>
                    <xdr:colOff>31750</xdr:colOff>
                    <xdr:row>37</xdr:row>
                    <xdr:rowOff>31750</xdr:rowOff>
                  </from>
                  <to>
                    <xdr:col>21</xdr:col>
                    <xdr:colOff>222250</xdr:colOff>
                    <xdr:row>37</xdr:row>
                    <xdr:rowOff>241300</xdr:rowOff>
                  </to>
                </anchor>
              </controlPr>
            </control>
          </mc:Choice>
        </mc:AlternateContent>
        <mc:AlternateContent xmlns:mc="http://schemas.openxmlformats.org/markup-compatibility/2006">
          <mc:Choice Requires="x14">
            <control shapeId="217106" r:id="rId21" name="Check Box 18">
              <controlPr locked="0" defaultSize="0" autoFill="0" autoLine="0" autoPict="0">
                <anchor moveWithCells="1">
                  <from>
                    <xdr:col>16</xdr:col>
                    <xdr:colOff>31750</xdr:colOff>
                    <xdr:row>37</xdr:row>
                    <xdr:rowOff>31750</xdr:rowOff>
                  </from>
                  <to>
                    <xdr:col>18</xdr:col>
                    <xdr:colOff>222250</xdr:colOff>
                    <xdr:row>37</xdr:row>
                    <xdr:rowOff>241300</xdr:rowOff>
                  </to>
                </anchor>
              </controlPr>
            </control>
          </mc:Choice>
        </mc:AlternateContent>
        <mc:AlternateContent xmlns:mc="http://schemas.openxmlformats.org/markup-compatibility/2006">
          <mc:Choice Requires="x14">
            <control shapeId="217107" r:id="rId22" name="Check Box 19">
              <controlPr locked="0" defaultSize="0" autoFill="0" autoLine="0" autoPict="0">
                <anchor moveWithCells="1">
                  <from>
                    <xdr:col>13</xdr:col>
                    <xdr:colOff>31750</xdr:colOff>
                    <xdr:row>37</xdr:row>
                    <xdr:rowOff>31750</xdr:rowOff>
                  </from>
                  <to>
                    <xdr:col>15</xdr:col>
                    <xdr:colOff>222250</xdr:colOff>
                    <xdr:row>37</xdr:row>
                    <xdr:rowOff>241300</xdr:rowOff>
                  </to>
                </anchor>
              </controlPr>
            </control>
          </mc:Choice>
        </mc:AlternateContent>
        <mc:AlternateContent xmlns:mc="http://schemas.openxmlformats.org/markup-compatibility/2006">
          <mc:Choice Requires="x14">
            <control shapeId="217108" r:id="rId23" name="Check Box 20">
              <controlPr locked="0" defaultSize="0" autoFill="0" autoLine="0" autoPict="0">
                <anchor moveWithCells="1">
                  <from>
                    <xdr:col>22</xdr:col>
                    <xdr:colOff>31750</xdr:colOff>
                    <xdr:row>35</xdr:row>
                    <xdr:rowOff>31750</xdr:rowOff>
                  </from>
                  <to>
                    <xdr:col>24</xdr:col>
                    <xdr:colOff>222250</xdr:colOff>
                    <xdr:row>35</xdr:row>
                    <xdr:rowOff>241300</xdr:rowOff>
                  </to>
                </anchor>
              </controlPr>
            </control>
          </mc:Choice>
        </mc:AlternateContent>
        <mc:AlternateContent xmlns:mc="http://schemas.openxmlformats.org/markup-compatibility/2006">
          <mc:Choice Requires="x14">
            <control shapeId="217109" r:id="rId24" name="Check Box 21">
              <controlPr locked="0" defaultSize="0" autoFill="0" autoLine="0" autoPict="0">
                <anchor moveWithCells="1">
                  <from>
                    <xdr:col>22</xdr:col>
                    <xdr:colOff>31750</xdr:colOff>
                    <xdr:row>37</xdr:row>
                    <xdr:rowOff>31750</xdr:rowOff>
                  </from>
                  <to>
                    <xdr:col>24</xdr:col>
                    <xdr:colOff>222250</xdr:colOff>
                    <xdr:row>37</xdr:row>
                    <xdr:rowOff>241300</xdr:rowOff>
                  </to>
                </anchor>
              </controlPr>
            </control>
          </mc:Choice>
        </mc:AlternateContent>
        <mc:AlternateContent xmlns:mc="http://schemas.openxmlformats.org/markup-compatibility/2006">
          <mc:Choice Requires="x14">
            <control shapeId="217110" r:id="rId25" name="Check Box 22">
              <controlPr locked="0" defaultSize="0" autoFill="0" autoLine="0" autoPict="0">
                <anchor moveWithCells="1">
                  <from>
                    <xdr:col>25</xdr:col>
                    <xdr:colOff>31750</xdr:colOff>
                    <xdr:row>35</xdr:row>
                    <xdr:rowOff>31750</xdr:rowOff>
                  </from>
                  <to>
                    <xdr:col>27</xdr:col>
                    <xdr:colOff>222250</xdr:colOff>
                    <xdr:row>35</xdr:row>
                    <xdr:rowOff>241300</xdr:rowOff>
                  </to>
                </anchor>
              </controlPr>
            </control>
          </mc:Choice>
        </mc:AlternateContent>
        <mc:AlternateContent xmlns:mc="http://schemas.openxmlformats.org/markup-compatibility/2006">
          <mc:Choice Requires="x14">
            <control shapeId="217111" r:id="rId26" name="Check Box 23">
              <controlPr locked="0" defaultSize="0" autoFill="0" autoLine="0" autoPict="0">
                <anchor moveWithCells="1">
                  <from>
                    <xdr:col>25</xdr:col>
                    <xdr:colOff>31750</xdr:colOff>
                    <xdr:row>37</xdr:row>
                    <xdr:rowOff>31750</xdr:rowOff>
                  </from>
                  <to>
                    <xdr:col>27</xdr:col>
                    <xdr:colOff>222250</xdr:colOff>
                    <xdr:row>37</xdr:row>
                    <xdr:rowOff>241300</xdr:rowOff>
                  </to>
                </anchor>
              </controlPr>
            </control>
          </mc:Choice>
        </mc:AlternateContent>
        <mc:AlternateContent xmlns:mc="http://schemas.openxmlformats.org/markup-compatibility/2006">
          <mc:Choice Requires="x14">
            <control shapeId="217112" r:id="rId27" name="Check Box 24">
              <controlPr locked="0" defaultSize="0" autoFill="0" autoLine="0" autoPict="0">
                <anchor moveWithCells="1">
                  <from>
                    <xdr:col>28</xdr:col>
                    <xdr:colOff>31750</xdr:colOff>
                    <xdr:row>35</xdr:row>
                    <xdr:rowOff>31750</xdr:rowOff>
                  </from>
                  <to>
                    <xdr:col>30</xdr:col>
                    <xdr:colOff>222250</xdr:colOff>
                    <xdr:row>35</xdr:row>
                    <xdr:rowOff>241300</xdr:rowOff>
                  </to>
                </anchor>
              </controlPr>
            </control>
          </mc:Choice>
        </mc:AlternateContent>
        <mc:AlternateContent xmlns:mc="http://schemas.openxmlformats.org/markup-compatibility/2006">
          <mc:Choice Requires="x14">
            <control shapeId="217113" r:id="rId28" name="Check Box 25">
              <controlPr locked="0" defaultSize="0" autoFill="0" autoLine="0" autoPict="0">
                <anchor moveWithCells="1">
                  <from>
                    <xdr:col>28</xdr:col>
                    <xdr:colOff>31750</xdr:colOff>
                    <xdr:row>37</xdr:row>
                    <xdr:rowOff>31750</xdr:rowOff>
                  </from>
                  <to>
                    <xdr:col>30</xdr:col>
                    <xdr:colOff>222250</xdr:colOff>
                    <xdr:row>37</xdr:row>
                    <xdr:rowOff>241300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pageSetUpPr fitToPage="1"/>
  </sheetPr>
  <dimension ref="B1:AO36"/>
  <sheetViews>
    <sheetView showGridLines="0" topLeftCell="A25" zoomScale="98" zoomScaleNormal="98" zoomScaleSheetLayoutView="100" workbookViewId="0">
      <selection activeCell="D4" sqref="D4"/>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41" ht="12" customHeight="1"/>
    <row r="2" spans="2:41" ht="17" thickBot="1">
      <c r="B2" s="1302" t="s">
        <v>1593</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5.15"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45" t="s">
        <v>151</v>
      </c>
      <c r="D4" s="1360" t="b">
        <v>0</v>
      </c>
      <c r="E4" s="3749" t="s">
        <v>1594</v>
      </c>
      <c r="F4" s="3749"/>
      <c r="G4" s="3749"/>
      <c r="H4" s="3749"/>
      <c r="I4" s="3749"/>
      <c r="J4" s="3749"/>
      <c r="K4" s="3749"/>
      <c r="L4" s="3749"/>
      <c r="M4" s="3749"/>
      <c r="N4" s="3749"/>
      <c r="O4" s="3749"/>
      <c r="P4" s="3749"/>
      <c r="Q4" s="3749"/>
      <c r="R4" s="3749"/>
      <c r="S4" s="3749"/>
      <c r="T4" s="3749"/>
      <c r="U4" s="3749"/>
      <c r="V4" s="3749"/>
      <c r="W4" s="3749"/>
      <c r="X4" s="3749"/>
      <c r="Y4" s="3749"/>
      <c r="Z4" s="3749"/>
      <c r="AA4" s="3749"/>
      <c r="AB4" s="3749"/>
      <c r="AC4" s="3749"/>
      <c r="AD4" s="3749"/>
      <c r="AE4" s="1340"/>
      <c r="AF4" s="1341"/>
      <c r="AG4" s="1340"/>
      <c r="AH4" s="1340"/>
      <c r="AI4" s="1340"/>
      <c r="AJ4" s="1340"/>
      <c r="AK4" s="1340"/>
      <c r="AL4" s="1340"/>
      <c r="AM4" s="1340"/>
      <c r="AN4" s="1340"/>
      <c r="AO4" s="1340"/>
    </row>
    <row r="5" spans="2:41" ht="15.65" customHeight="1">
      <c r="B5" s="1298"/>
      <c r="C5" s="1299" t="s">
        <v>152</v>
      </c>
      <c r="D5" s="3703" t="s">
        <v>1873</v>
      </c>
      <c r="E5" s="3703"/>
      <c r="F5" s="3703"/>
      <c r="G5" s="3703"/>
      <c r="H5" s="3703"/>
      <c r="I5" s="3703"/>
      <c r="J5" s="3703"/>
      <c r="K5" s="3703"/>
      <c r="L5" s="3703"/>
      <c r="M5" s="3703"/>
      <c r="N5" s="3703"/>
      <c r="O5" s="3703"/>
      <c r="P5" s="3703"/>
      <c r="Q5" s="3703"/>
      <c r="R5" s="3703"/>
      <c r="S5" s="3703"/>
      <c r="T5" s="3703"/>
      <c r="U5" s="3703"/>
      <c r="V5" s="3703"/>
      <c r="W5" s="3703"/>
      <c r="X5" s="3703"/>
      <c r="Y5" s="3703"/>
      <c r="Z5" s="3703"/>
      <c r="AA5" s="1347"/>
      <c r="AB5" s="1347"/>
      <c r="AC5" s="1347"/>
      <c r="AD5" s="1350"/>
      <c r="AE5" s="1300"/>
      <c r="AF5" s="1301"/>
    </row>
    <row r="6" spans="2:41" ht="5.15" customHeight="1" thickBot="1">
      <c r="B6" s="1331"/>
      <c r="C6" s="1338"/>
      <c r="D6" s="1338"/>
      <c r="E6" s="1338"/>
      <c r="F6" s="1338"/>
      <c r="G6" s="1338"/>
      <c r="H6" s="1338"/>
      <c r="I6" s="1338"/>
      <c r="J6" s="1338"/>
      <c r="K6" s="1338"/>
      <c r="L6" s="1338"/>
      <c r="M6" s="1338"/>
      <c r="N6" s="1338"/>
      <c r="O6" s="1338"/>
      <c r="P6" s="1338"/>
      <c r="Q6" s="1338"/>
      <c r="R6" s="1338"/>
      <c r="S6" s="1338"/>
      <c r="T6" s="1338"/>
      <c r="U6" s="1338"/>
      <c r="V6" s="1338"/>
      <c r="W6" s="1338"/>
      <c r="X6" s="1338"/>
      <c r="Y6" s="1338"/>
      <c r="Z6" s="1338"/>
      <c r="AA6" s="1338"/>
      <c r="AB6" s="1338"/>
      <c r="AC6" s="1338"/>
      <c r="AD6" s="1338"/>
      <c r="AE6" s="1338"/>
      <c r="AF6" s="1310"/>
    </row>
    <row r="7" spans="2:41" s="1291" customFormat="1" ht="53.5" customHeight="1" thickTop="1" thickBot="1">
      <c r="B7" s="1293"/>
      <c r="C7" s="1294"/>
      <c r="D7" s="3733" t="s">
        <v>1573</v>
      </c>
      <c r="E7" s="3734"/>
      <c r="F7" s="3734"/>
      <c r="G7" s="3734"/>
      <c r="H7" s="3734"/>
      <c r="I7" s="3734"/>
      <c r="J7" s="3740"/>
      <c r="K7" s="3734" t="s">
        <v>1595</v>
      </c>
      <c r="L7" s="3734"/>
      <c r="M7" s="3734"/>
      <c r="N7" s="3734"/>
      <c r="O7" s="3734"/>
      <c r="P7" s="3735" t="s">
        <v>1596</v>
      </c>
      <c r="Q7" s="3736"/>
      <c r="R7" s="3736"/>
      <c r="S7" s="3736"/>
      <c r="T7" s="3737"/>
      <c r="U7" s="3735" t="s">
        <v>1597</v>
      </c>
      <c r="V7" s="3736"/>
      <c r="W7" s="3736"/>
      <c r="X7" s="3736"/>
      <c r="Y7" s="3737"/>
      <c r="Z7" s="3734" t="s">
        <v>1547</v>
      </c>
      <c r="AA7" s="3734"/>
      <c r="AB7" s="3734"/>
      <c r="AC7" s="3734"/>
      <c r="AD7" s="3740"/>
      <c r="AF7" s="1292"/>
    </row>
    <row r="8" spans="2:41" s="1291" customFormat="1" ht="16.5" thickTop="1" thickBot="1">
      <c r="B8" s="1293"/>
      <c r="C8" s="1294"/>
      <c r="D8" s="3831" t="s">
        <v>1874</v>
      </c>
      <c r="E8" s="3832"/>
      <c r="F8" s="3832"/>
      <c r="G8" s="3832"/>
      <c r="H8" s="3832"/>
      <c r="I8" s="3832"/>
      <c r="J8" s="3833"/>
      <c r="K8" s="3834"/>
      <c r="L8" s="3835"/>
      <c r="M8" s="3835"/>
      <c r="N8" s="3835"/>
      <c r="O8" s="3835"/>
      <c r="P8" s="3835"/>
      <c r="Q8" s="3835"/>
      <c r="R8" s="3835"/>
      <c r="S8" s="3835"/>
      <c r="T8" s="3835"/>
      <c r="U8" s="3835"/>
      <c r="V8" s="3835"/>
      <c r="W8" s="3835"/>
      <c r="X8" s="3835"/>
      <c r="Y8" s="3835"/>
      <c r="Z8" s="3835"/>
      <c r="AA8" s="3835"/>
      <c r="AB8" s="3835"/>
      <c r="AC8" s="3835"/>
      <c r="AD8" s="3836"/>
      <c r="AF8" s="1292"/>
    </row>
    <row r="9" spans="2:41" s="1291" customFormat="1" ht="30" customHeight="1">
      <c r="B9" s="1293"/>
      <c r="C9" s="1294"/>
      <c r="D9" s="3837" t="s">
        <v>1576</v>
      </c>
      <c r="E9" s="3838"/>
      <c r="F9" s="3838"/>
      <c r="G9" s="3838"/>
      <c r="H9" s="3838"/>
      <c r="I9" s="3838"/>
      <c r="J9" s="3839"/>
      <c r="K9" s="3840">
        <v>0</v>
      </c>
      <c r="L9" s="3840"/>
      <c r="M9" s="3840"/>
      <c r="N9" s="3840"/>
      <c r="O9" s="3840"/>
      <c r="P9" s="3841">
        <v>0</v>
      </c>
      <c r="Q9" s="3842"/>
      <c r="R9" s="3842"/>
      <c r="S9" s="3842"/>
      <c r="T9" s="3843"/>
      <c r="U9" s="3841">
        <v>0</v>
      </c>
      <c r="V9" s="3842"/>
      <c r="W9" s="3842"/>
      <c r="X9" s="3842"/>
      <c r="Y9" s="3843"/>
      <c r="Z9" s="3840">
        <v>0</v>
      </c>
      <c r="AA9" s="3840"/>
      <c r="AB9" s="3840"/>
      <c r="AC9" s="3840"/>
      <c r="AD9" s="3844"/>
      <c r="AF9" s="1292"/>
    </row>
    <row r="10" spans="2:41" s="1291" customFormat="1" ht="30" customHeight="1" thickBot="1">
      <c r="B10" s="1293"/>
      <c r="C10" s="1294"/>
      <c r="D10" s="3845" t="s">
        <v>1577</v>
      </c>
      <c r="E10" s="3846"/>
      <c r="F10" s="3846"/>
      <c r="G10" s="3846"/>
      <c r="H10" s="3846"/>
      <c r="I10" s="3846"/>
      <c r="J10" s="3847"/>
      <c r="K10" s="3723">
        <v>0</v>
      </c>
      <c r="L10" s="3723"/>
      <c r="M10" s="3723"/>
      <c r="N10" s="3723"/>
      <c r="O10" s="3723"/>
      <c r="P10" s="3848">
        <v>0</v>
      </c>
      <c r="Q10" s="3849"/>
      <c r="R10" s="3849"/>
      <c r="S10" s="3849"/>
      <c r="T10" s="3850"/>
      <c r="U10" s="3848">
        <v>0</v>
      </c>
      <c r="V10" s="3849"/>
      <c r="W10" s="3849"/>
      <c r="X10" s="3849"/>
      <c r="Y10" s="3850"/>
      <c r="Z10" s="3723">
        <v>0</v>
      </c>
      <c r="AA10" s="3723"/>
      <c r="AB10" s="3723"/>
      <c r="AC10" s="3723"/>
      <c r="AD10" s="3806"/>
      <c r="AF10" s="1292"/>
    </row>
    <row r="11" spans="2:41" s="1291" customFormat="1" ht="16.5" thickTop="1" thickBot="1">
      <c r="B11" s="1293"/>
      <c r="C11" s="1294"/>
      <c r="D11" s="3831" t="s">
        <v>1875</v>
      </c>
      <c r="E11" s="3832"/>
      <c r="F11" s="3832"/>
      <c r="G11" s="3832"/>
      <c r="H11" s="3832"/>
      <c r="I11" s="3832"/>
      <c r="J11" s="3833"/>
      <c r="K11" s="3834"/>
      <c r="L11" s="3835"/>
      <c r="M11" s="3835"/>
      <c r="N11" s="3835"/>
      <c r="O11" s="3835"/>
      <c r="P11" s="3835"/>
      <c r="Q11" s="3835"/>
      <c r="R11" s="3835"/>
      <c r="S11" s="3835"/>
      <c r="T11" s="3835"/>
      <c r="U11" s="3835"/>
      <c r="V11" s="3835"/>
      <c r="W11" s="3835"/>
      <c r="X11" s="3835"/>
      <c r="Y11" s="3835"/>
      <c r="Z11" s="3835"/>
      <c r="AA11" s="3835"/>
      <c r="AB11" s="3835"/>
      <c r="AC11" s="3835"/>
      <c r="AD11" s="3836"/>
      <c r="AF11" s="1292"/>
    </row>
    <row r="12" spans="2:41" s="1291" customFormat="1" ht="30" customHeight="1">
      <c r="B12" s="1293"/>
      <c r="C12" s="1294"/>
      <c r="D12" s="3837" t="s">
        <v>1576</v>
      </c>
      <c r="E12" s="3838"/>
      <c r="F12" s="3838"/>
      <c r="G12" s="3838"/>
      <c r="H12" s="3838"/>
      <c r="I12" s="3838"/>
      <c r="J12" s="3839"/>
      <c r="K12" s="3840">
        <v>0</v>
      </c>
      <c r="L12" s="3840"/>
      <c r="M12" s="3840"/>
      <c r="N12" s="3840"/>
      <c r="O12" s="3840"/>
      <c r="P12" s="3841">
        <v>0</v>
      </c>
      <c r="Q12" s="3842"/>
      <c r="R12" s="3842"/>
      <c r="S12" s="3842"/>
      <c r="T12" s="3843"/>
      <c r="U12" s="3841">
        <v>0</v>
      </c>
      <c r="V12" s="3842"/>
      <c r="W12" s="3842"/>
      <c r="X12" s="3842"/>
      <c r="Y12" s="3843"/>
      <c r="Z12" s="3840">
        <v>0</v>
      </c>
      <c r="AA12" s="3840"/>
      <c r="AB12" s="3840"/>
      <c r="AC12" s="3840"/>
      <c r="AD12" s="3844"/>
      <c r="AF12" s="1292"/>
    </row>
    <row r="13" spans="2:41" s="1291" customFormat="1" ht="30" customHeight="1" thickBot="1">
      <c r="B13" s="1293"/>
      <c r="C13" s="1294"/>
      <c r="D13" s="3845" t="s">
        <v>1577</v>
      </c>
      <c r="E13" s="3846"/>
      <c r="F13" s="3846"/>
      <c r="G13" s="3846"/>
      <c r="H13" s="3846"/>
      <c r="I13" s="3846"/>
      <c r="J13" s="3847"/>
      <c r="K13" s="3723">
        <v>0</v>
      </c>
      <c r="L13" s="3723"/>
      <c r="M13" s="3723"/>
      <c r="N13" s="3723"/>
      <c r="O13" s="3723"/>
      <c r="P13" s="3848">
        <v>0</v>
      </c>
      <c r="Q13" s="3849"/>
      <c r="R13" s="3849"/>
      <c r="S13" s="3849"/>
      <c r="T13" s="3850"/>
      <c r="U13" s="3848">
        <v>0</v>
      </c>
      <c r="V13" s="3849"/>
      <c r="W13" s="3849"/>
      <c r="X13" s="3849"/>
      <c r="Y13" s="3850"/>
      <c r="Z13" s="3723">
        <v>0</v>
      </c>
      <c r="AA13" s="3723"/>
      <c r="AB13" s="3723"/>
      <c r="AC13" s="3723"/>
      <c r="AD13" s="3806"/>
      <c r="AF13" s="1292"/>
    </row>
    <row r="14" spans="2:41" ht="10" customHeight="1" thickTop="1" thickBot="1">
      <c r="B14" s="1281"/>
      <c r="C14" s="1282"/>
      <c r="D14" s="1283"/>
      <c r="E14" s="1284"/>
      <c r="F14" s="1284"/>
      <c r="G14" s="1284"/>
      <c r="H14" s="1284"/>
      <c r="I14" s="1284"/>
      <c r="J14" s="1284"/>
      <c r="K14" s="1285"/>
      <c r="L14" s="1285"/>
      <c r="M14" s="1285"/>
      <c r="N14" s="1285"/>
      <c r="O14" s="1285"/>
      <c r="P14" s="1285"/>
      <c r="Q14" s="1285"/>
      <c r="R14" s="1285"/>
      <c r="S14" s="1285"/>
      <c r="T14" s="1285"/>
      <c r="U14" s="1285"/>
      <c r="V14" s="1285"/>
      <c r="W14" s="1285"/>
      <c r="X14" s="1285"/>
      <c r="Y14" s="1285"/>
      <c r="Z14" s="1285"/>
      <c r="AA14" s="1285"/>
      <c r="AB14" s="1285"/>
      <c r="AC14" s="1285"/>
      <c r="AD14" s="1285"/>
      <c r="AE14" s="1285"/>
      <c r="AF14" s="1286"/>
    </row>
    <row r="15" spans="2:41" ht="10" customHeight="1" thickTop="1">
      <c r="B15" s="1344"/>
      <c r="C15" s="587"/>
      <c r="E15" s="1300"/>
      <c r="F15" s="1300"/>
      <c r="G15" s="1300"/>
      <c r="H15" s="1300"/>
      <c r="I15" s="1300"/>
      <c r="J15" s="1300"/>
      <c r="K15" s="1287"/>
      <c r="L15" s="1287"/>
      <c r="M15" s="1287"/>
      <c r="N15" s="1287"/>
      <c r="O15" s="1287"/>
      <c r="P15" s="1287"/>
      <c r="Q15" s="1287"/>
      <c r="R15" s="1287"/>
      <c r="S15" s="1287"/>
      <c r="T15" s="1287"/>
      <c r="U15" s="1287"/>
      <c r="V15" s="1287"/>
      <c r="W15" s="1287"/>
      <c r="X15" s="1287"/>
      <c r="Y15" s="1287"/>
      <c r="Z15" s="1287"/>
      <c r="AA15" s="1287"/>
      <c r="AB15" s="1287"/>
      <c r="AC15" s="1287"/>
      <c r="AD15" s="1287"/>
    </row>
    <row r="16" spans="2:41" s="1363" customFormat="1" ht="48" customHeight="1">
      <c r="B16" s="1361" t="s">
        <v>151</v>
      </c>
      <c r="C16" s="3794" t="s">
        <v>1876</v>
      </c>
      <c r="D16" s="3794"/>
      <c r="E16" s="3794"/>
      <c r="F16" s="3794"/>
      <c r="G16" s="3794"/>
      <c r="H16" s="3794"/>
      <c r="I16" s="3794"/>
      <c r="J16" s="3794"/>
      <c r="K16" s="3794"/>
      <c r="L16" s="3794"/>
      <c r="M16" s="3794"/>
      <c r="N16" s="3794"/>
      <c r="O16" s="3794"/>
      <c r="P16" s="3794"/>
      <c r="Q16" s="3794"/>
      <c r="R16" s="3794"/>
      <c r="S16" s="3794"/>
      <c r="T16" s="3794"/>
      <c r="U16" s="3794"/>
      <c r="V16" s="3794"/>
      <c r="W16" s="3794"/>
      <c r="X16" s="3794"/>
      <c r="Y16" s="3794"/>
      <c r="Z16" s="3794"/>
      <c r="AA16" s="3794"/>
      <c r="AB16" s="3794"/>
      <c r="AC16" s="3794"/>
      <c r="AD16" s="3794"/>
      <c r="AE16" s="3794"/>
      <c r="AF16" s="3794"/>
      <c r="AG16" s="1362"/>
      <c r="AH16" s="1362"/>
      <c r="AI16" s="1362"/>
      <c r="AJ16" s="1362"/>
      <c r="AK16" s="1362"/>
      <c r="AL16" s="1362"/>
      <c r="AM16" s="1362"/>
    </row>
    <row r="17" spans="2:39" s="1363" customFormat="1" ht="119.5" customHeight="1">
      <c r="B17" s="1361" t="s">
        <v>152</v>
      </c>
      <c r="C17" s="3794" t="s">
        <v>1877</v>
      </c>
      <c r="D17" s="3794"/>
      <c r="E17" s="3794"/>
      <c r="F17" s="3794"/>
      <c r="G17" s="3794"/>
      <c r="H17" s="3794"/>
      <c r="I17" s="3794"/>
      <c r="J17" s="3794"/>
      <c r="K17" s="3794"/>
      <c r="L17" s="3794"/>
      <c r="M17" s="3794"/>
      <c r="N17" s="3794"/>
      <c r="O17" s="3794"/>
      <c r="P17" s="3794"/>
      <c r="Q17" s="3794"/>
      <c r="R17" s="3794"/>
      <c r="S17" s="3794"/>
      <c r="T17" s="3794"/>
      <c r="U17" s="3794"/>
      <c r="V17" s="3794"/>
      <c r="W17" s="3794"/>
      <c r="X17" s="3794"/>
      <c r="Y17" s="3794"/>
      <c r="Z17" s="3794"/>
      <c r="AA17" s="3794"/>
      <c r="AB17" s="3794"/>
      <c r="AC17" s="3794"/>
      <c r="AD17" s="3794"/>
      <c r="AE17" s="3794"/>
      <c r="AF17" s="3794"/>
      <c r="AG17" s="1362"/>
      <c r="AH17" s="1362"/>
      <c r="AI17" s="1362"/>
      <c r="AJ17" s="1362"/>
      <c r="AK17" s="1362"/>
      <c r="AL17" s="1362"/>
      <c r="AM17" s="1362"/>
    </row>
    <row r="18" spans="2:39" s="1363" customFormat="1" ht="104.5" customHeight="1">
      <c r="B18" s="1361" t="s">
        <v>153</v>
      </c>
      <c r="C18" s="3794" t="s">
        <v>1878</v>
      </c>
      <c r="D18" s="3794"/>
      <c r="E18" s="3794"/>
      <c r="F18" s="3794"/>
      <c r="G18" s="3794"/>
      <c r="H18" s="3794"/>
      <c r="I18" s="3794"/>
      <c r="J18" s="3794"/>
      <c r="K18" s="3794"/>
      <c r="L18" s="3794"/>
      <c r="M18" s="3794"/>
      <c r="N18" s="3794"/>
      <c r="O18" s="3794"/>
      <c r="P18" s="3794"/>
      <c r="Q18" s="3794"/>
      <c r="R18" s="3794"/>
      <c r="S18" s="3794"/>
      <c r="T18" s="3794"/>
      <c r="U18" s="3794"/>
      <c r="V18" s="3794"/>
      <c r="W18" s="3794"/>
      <c r="X18" s="3794"/>
      <c r="Y18" s="3794"/>
      <c r="Z18" s="3794"/>
      <c r="AA18" s="3794"/>
      <c r="AB18" s="3794"/>
      <c r="AC18" s="3794"/>
      <c r="AD18" s="3794"/>
      <c r="AE18" s="3794"/>
      <c r="AF18" s="3794"/>
      <c r="AG18" s="1362"/>
      <c r="AH18" s="1362"/>
      <c r="AI18" s="1362"/>
      <c r="AJ18" s="1362"/>
      <c r="AK18" s="1362"/>
      <c r="AL18" s="1362"/>
      <c r="AM18" s="1362"/>
    </row>
    <row r="19" spans="2:39" s="1363" customFormat="1" ht="132" customHeight="1">
      <c r="B19" s="1361" t="s">
        <v>154</v>
      </c>
      <c r="C19" s="3794" t="s">
        <v>1879</v>
      </c>
      <c r="D19" s="3794"/>
      <c r="E19" s="3794"/>
      <c r="F19" s="3794"/>
      <c r="G19" s="3794"/>
      <c r="H19" s="3794"/>
      <c r="I19" s="3794"/>
      <c r="J19" s="3794"/>
      <c r="K19" s="3794"/>
      <c r="L19" s="3794"/>
      <c r="M19" s="3794"/>
      <c r="N19" s="3794"/>
      <c r="O19" s="3794"/>
      <c r="P19" s="3794"/>
      <c r="Q19" s="3794"/>
      <c r="R19" s="3794"/>
      <c r="S19" s="3794"/>
      <c r="T19" s="3794"/>
      <c r="U19" s="3794"/>
      <c r="V19" s="3794"/>
      <c r="W19" s="3794"/>
      <c r="X19" s="3794"/>
      <c r="Y19" s="3794"/>
      <c r="Z19" s="3794"/>
      <c r="AA19" s="3794"/>
      <c r="AB19" s="3794"/>
      <c r="AC19" s="3794"/>
      <c r="AD19" s="3794"/>
      <c r="AE19" s="3794"/>
      <c r="AF19" s="3794"/>
      <c r="AG19" s="1362"/>
      <c r="AH19" s="1362"/>
      <c r="AI19" s="1362"/>
      <c r="AJ19" s="1362"/>
      <c r="AK19" s="1362"/>
      <c r="AL19" s="1362"/>
      <c r="AM19" s="1362"/>
    </row>
    <row r="20" spans="2:39" s="1363" customFormat="1" ht="50.15" customHeight="1">
      <c r="B20" s="1361" t="s">
        <v>155</v>
      </c>
      <c r="C20" s="3794" t="s">
        <v>1880</v>
      </c>
      <c r="D20" s="3794"/>
      <c r="E20" s="3794"/>
      <c r="F20" s="3794"/>
      <c r="G20" s="3794"/>
      <c r="H20" s="3794"/>
      <c r="I20" s="3794"/>
      <c r="J20" s="3794"/>
      <c r="K20" s="3794"/>
      <c r="L20" s="3794"/>
      <c r="M20" s="3794"/>
      <c r="N20" s="3794"/>
      <c r="O20" s="3794"/>
      <c r="P20" s="3794"/>
      <c r="Q20" s="3794"/>
      <c r="R20" s="3794"/>
      <c r="S20" s="3794"/>
      <c r="T20" s="3794"/>
      <c r="U20" s="3794"/>
      <c r="V20" s="3794"/>
      <c r="W20" s="3794"/>
      <c r="X20" s="3794"/>
      <c r="Y20" s="3794"/>
      <c r="Z20" s="3794"/>
      <c r="AA20" s="3794"/>
      <c r="AB20" s="3794"/>
      <c r="AC20" s="3794"/>
      <c r="AD20" s="3794"/>
      <c r="AE20" s="3794"/>
      <c r="AF20" s="3794"/>
      <c r="AG20" s="1362"/>
      <c r="AH20" s="1362"/>
      <c r="AI20" s="1362"/>
      <c r="AJ20" s="1362"/>
      <c r="AK20" s="1362"/>
      <c r="AL20" s="1362"/>
      <c r="AM20" s="1362"/>
    </row>
    <row r="21" spans="2:39" s="1363" customFormat="1" ht="45" customHeight="1">
      <c r="B21" s="1361" t="s">
        <v>156</v>
      </c>
      <c r="C21" s="3794" t="s">
        <v>1881</v>
      </c>
      <c r="D21" s="3794"/>
      <c r="E21" s="3794"/>
      <c r="F21" s="3794"/>
      <c r="G21" s="3794"/>
      <c r="H21" s="3794"/>
      <c r="I21" s="3794"/>
      <c r="J21" s="3794"/>
      <c r="K21" s="3794"/>
      <c r="L21" s="3794"/>
      <c r="M21" s="3794"/>
      <c r="N21" s="3794"/>
      <c r="O21" s="3794"/>
      <c r="P21" s="3794"/>
      <c r="Q21" s="3794"/>
      <c r="R21" s="3794"/>
      <c r="S21" s="3794"/>
      <c r="T21" s="3794"/>
      <c r="U21" s="3794"/>
      <c r="V21" s="3794"/>
      <c r="W21" s="3794"/>
      <c r="X21" s="3794"/>
      <c r="Y21" s="3794"/>
      <c r="Z21" s="3794"/>
      <c r="AA21" s="3794"/>
      <c r="AB21" s="3794"/>
      <c r="AC21" s="3794"/>
      <c r="AD21" s="3794"/>
      <c r="AE21" s="3794"/>
      <c r="AF21" s="3794"/>
      <c r="AG21" s="1362"/>
      <c r="AH21" s="1362"/>
      <c r="AI21" s="1362"/>
      <c r="AJ21" s="1362"/>
      <c r="AK21" s="1362"/>
      <c r="AL21" s="1362"/>
      <c r="AM21" s="1362"/>
    </row>
    <row r="22" spans="2:39" s="1363" customFormat="1" ht="45.65" customHeight="1">
      <c r="B22" s="1361" t="s">
        <v>157</v>
      </c>
      <c r="C22" s="3794" t="s">
        <v>1882</v>
      </c>
      <c r="D22" s="3794"/>
      <c r="E22" s="3794"/>
      <c r="F22" s="3794"/>
      <c r="G22" s="3794"/>
      <c r="H22" s="3794"/>
      <c r="I22" s="3794"/>
      <c r="J22" s="3794"/>
      <c r="K22" s="3794"/>
      <c r="L22" s="3794"/>
      <c r="M22" s="3794"/>
      <c r="N22" s="3794"/>
      <c r="O22" s="3794"/>
      <c r="P22" s="3794"/>
      <c r="Q22" s="3794"/>
      <c r="R22" s="3794"/>
      <c r="S22" s="3794"/>
      <c r="T22" s="3794"/>
      <c r="U22" s="3794"/>
      <c r="V22" s="3794"/>
      <c r="W22" s="3794"/>
      <c r="X22" s="3794"/>
      <c r="Y22" s="3794"/>
      <c r="Z22" s="3794"/>
      <c r="AA22" s="3794"/>
      <c r="AB22" s="3794"/>
      <c r="AC22" s="3794"/>
      <c r="AD22" s="3794"/>
      <c r="AE22" s="3794"/>
      <c r="AF22" s="3794"/>
      <c r="AG22" s="1362"/>
      <c r="AH22" s="1362"/>
      <c r="AI22" s="1362"/>
      <c r="AJ22" s="1362"/>
      <c r="AK22" s="1362"/>
      <c r="AL22" s="1362"/>
      <c r="AM22" s="1362"/>
    </row>
    <row r="23" spans="2:39" s="1363" customFormat="1" ht="30.65" customHeight="1">
      <c r="B23" s="1361" t="s">
        <v>158</v>
      </c>
      <c r="C23" s="3794" t="s">
        <v>1883</v>
      </c>
      <c r="D23" s="3794"/>
      <c r="E23" s="3794"/>
      <c r="F23" s="3794"/>
      <c r="G23" s="3794"/>
      <c r="H23" s="3794"/>
      <c r="I23" s="3794"/>
      <c r="J23" s="3794"/>
      <c r="K23" s="3794"/>
      <c r="L23" s="3794"/>
      <c r="M23" s="3794"/>
      <c r="N23" s="3794"/>
      <c r="O23" s="3794"/>
      <c r="P23" s="3794"/>
      <c r="Q23" s="3794"/>
      <c r="R23" s="3794"/>
      <c r="S23" s="3794"/>
      <c r="T23" s="3794"/>
      <c r="U23" s="3794"/>
      <c r="V23" s="3794"/>
      <c r="W23" s="3794"/>
      <c r="X23" s="3794"/>
      <c r="Y23" s="3794"/>
      <c r="Z23" s="3794"/>
      <c r="AA23" s="3794"/>
      <c r="AB23" s="3794"/>
      <c r="AC23" s="3794"/>
      <c r="AD23" s="3794"/>
      <c r="AE23" s="3794"/>
      <c r="AF23" s="3794"/>
      <c r="AG23" s="1362"/>
      <c r="AH23" s="1362"/>
      <c r="AI23" s="1362"/>
      <c r="AJ23" s="1362"/>
      <c r="AK23" s="1362"/>
      <c r="AL23" s="1362"/>
      <c r="AM23" s="1362"/>
    </row>
    <row r="24" spans="2:39" s="1363" customFormat="1" ht="47.15" customHeight="1">
      <c r="B24" s="1361" t="s">
        <v>159</v>
      </c>
      <c r="C24" s="3794" t="s">
        <v>1884</v>
      </c>
      <c r="D24" s="3794"/>
      <c r="E24" s="3794"/>
      <c r="F24" s="3794"/>
      <c r="G24" s="3794"/>
      <c r="H24" s="3794"/>
      <c r="I24" s="3794"/>
      <c r="J24" s="3794"/>
      <c r="K24" s="3794"/>
      <c r="L24" s="3794"/>
      <c r="M24" s="3794"/>
      <c r="N24" s="3794"/>
      <c r="O24" s="3794"/>
      <c r="P24" s="3794"/>
      <c r="Q24" s="3794"/>
      <c r="R24" s="3794"/>
      <c r="S24" s="3794"/>
      <c r="T24" s="3794"/>
      <c r="U24" s="3794"/>
      <c r="V24" s="3794"/>
      <c r="W24" s="3794"/>
      <c r="X24" s="3794"/>
      <c r="Y24" s="3794"/>
      <c r="Z24" s="3794"/>
      <c r="AA24" s="3794"/>
      <c r="AB24" s="3794"/>
      <c r="AC24" s="3794"/>
      <c r="AD24" s="3794"/>
      <c r="AE24" s="3794"/>
      <c r="AF24" s="3794"/>
      <c r="AG24" s="1362"/>
      <c r="AH24" s="1362"/>
      <c r="AI24" s="1362"/>
      <c r="AJ24" s="1362"/>
      <c r="AK24" s="1362"/>
      <c r="AL24" s="1362"/>
      <c r="AM24" s="1362"/>
    </row>
    <row r="25" spans="2:39" s="1363" customFormat="1" ht="33" customHeight="1">
      <c r="B25" s="1361" t="s">
        <v>160</v>
      </c>
      <c r="C25" s="3794" t="s">
        <v>1885</v>
      </c>
      <c r="D25" s="3794"/>
      <c r="E25" s="3794"/>
      <c r="F25" s="3794"/>
      <c r="G25" s="3794"/>
      <c r="H25" s="3794"/>
      <c r="I25" s="3794"/>
      <c r="J25" s="3794"/>
      <c r="K25" s="3794"/>
      <c r="L25" s="3794"/>
      <c r="M25" s="3794"/>
      <c r="N25" s="3794"/>
      <c r="O25" s="3794"/>
      <c r="P25" s="3794"/>
      <c r="Q25" s="3794"/>
      <c r="R25" s="3794"/>
      <c r="S25" s="3794"/>
      <c r="T25" s="3794"/>
      <c r="U25" s="3794"/>
      <c r="V25" s="3794"/>
      <c r="W25" s="3794"/>
      <c r="X25" s="3794"/>
      <c r="Y25" s="3794"/>
      <c r="Z25" s="3794"/>
      <c r="AA25" s="3794"/>
      <c r="AB25" s="3794"/>
      <c r="AC25" s="3794"/>
      <c r="AD25" s="3794"/>
      <c r="AE25" s="3794"/>
      <c r="AF25" s="3794"/>
      <c r="AG25" s="1362"/>
      <c r="AH25" s="1362"/>
      <c r="AI25" s="1362"/>
      <c r="AJ25" s="1362"/>
      <c r="AK25" s="1362"/>
      <c r="AL25" s="1362"/>
      <c r="AM25" s="1362"/>
    </row>
    <row r="26" spans="2:39" s="602" customFormat="1" ht="30.75" customHeight="1"/>
    <row r="27" spans="2:39" s="1235" customFormat="1" ht="14">
      <c r="B27" s="169" t="s">
        <v>847</v>
      </c>
      <c r="T27" s="169" t="s">
        <v>747</v>
      </c>
    </row>
    <row r="28" spans="2:39" s="1235" customFormat="1" ht="21.75" customHeight="1">
      <c r="B28" s="169" t="s">
        <v>748</v>
      </c>
      <c r="F28" s="3607" t="str">
        <f>activesheet!E29</f>
        <v>RICO S. MISPEROS</v>
      </c>
      <c r="G28" s="3607"/>
      <c r="H28" s="3607"/>
      <c r="I28" s="3607"/>
      <c r="J28" s="3607"/>
      <c r="K28" s="3607"/>
      <c r="L28" s="3607"/>
      <c r="M28" s="3607"/>
      <c r="N28" s="3607"/>
      <c r="O28" s="1290"/>
      <c r="P28" s="1290"/>
      <c r="Q28" s="1290"/>
      <c r="R28" s="1290"/>
      <c r="S28" s="1290"/>
      <c r="T28" s="3607" t="str">
        <f>activesheet!E3244</f>
        <v>ELYN KENDRA D. DELA CRUZ</v>
      </c>
      <c r="U28" s="3607"/>
      <c r="V28" s="3607"/>
      <c r="W28" s="3607"/>
      <c r="X28" s="3607"/>
      <c r="Y28" s="3607"/>
      <c r="Z28" s="3607"/>
      <c r="AA28" s="3607"/>
      <c r="AB28" s="3607"/>
      <c r="AC28" s="3607"/>
      <c r="AD28" s="3607"/>
      <c r="AE28" s="3607"/>
      <c r="AF28" s="3607"/>
    </row>
    <row r="29" spans="2:39" s="1237" customFormat="1" ht="14.15" customHeight="1">
      <c r="B29" s="655"/>
      <c r="F29" s="1776" t="s">
        <v>741</v>
      </c>
      <c r="G29" s="1776"/>
      <c r="H29" s="1776"/>
      <c r="I29" s="1776"/>
      <c r="J29" s="1776"/>
      <c r="K29" s="1776"/>
      <c r="L29" s="1776"/>
      <c r="M29" s="1776"/>
      <c r="N29" s="1776"/>
      <c r="O29" s="151"/>
      <c r="P29" s="151"/>
      <c r="Q29" s="151"/>
      <c r="R29" s="151"/>
      <c r="S29" s="151"/>
      <c r="T29" s="1776" t="s">
        <v>741</v>
      </c>
      <c r="U29" s="1776"/>
      <c r="V29" s="1776"/>
      <c r="W29" s="1776"/>
      <c r="X29" s="1776"/>
      <c r="Y29" s="1776"/>
      <c r="Z29" s="1776"/>
      <c r="AA29" s="1776"/>
      <c r="AB29" s="1776"/>
      <c r="AC29" s="1776"/>
      <c r="AD29" s="1776"/>
      <c r="AE29" s="1776"/>
      <c r="AF29" s="1776"/>
    </row>
    <row r="30" spans="2:39" s="1235" customFormat="1" ht="21.75" customHeight="1">
      <c r="B30" s="169" t="s">
        <v>71</v>
      </c>
      <c r="F30" s="3607" t="str">
        <f>activesheet!E30</f>
        <v>SCHOOL PRINCIPAL II</v>
      </c>
      <c r="G30" s="3607"/>
      <c r="H30" s="3607"/>
      <c r="I30" s="3607"/>
      <c r="J30" s="3607"/>
      <c r="K30" s="3607"/>
      <c r="L30" s="3607"/>
      <c r="M30" s="3607"/>
      <c r="N30" s="3607"/>
      <c r="O30" s="1290"/>
      <c r="P30" s="1290"/>
      <c r="Q30" s="1290"/>
      <c r="R30" s="1290"/>
      <c r="S30" s="1290"/>
      <c r="T30" s="169" t="s">
        <v>71</v>
      </c>
      <c r="X30" s="3607" t="str">
        <f>activesheet!E3245</f>
        <v>Project Development Officer II</v>
      </c>
      <c r="Y30" s="3607"/>
      <c r="Z30" s="3607"/>
      <c r="AA30" s="3607"/>
      <c r="AB30" s="3607"/>
      <c r="AC30" s="3607"/>
      <c r="AD30" s="3607"/>
      <c r="AE30" s="3607"/>
      <c r="AF30" s="3607"/>
    </row>
    <row r="31" spans="2:39" s="602" customFormat="1" ht="30.75" customHeight="1"/>
    <row r="32" spans="2:39" s="1235" customFormat="1" ht="14">
      <c r="K32" s="169" t="s">
        <v>783</v>
      </c>
    </row>
    <row r="33" spans="10:24" s="1235" customFormat="1" ht="21.75" customHeight="1">
      <c r="K33" s="1956" t="str">
        <f>activesheet!E31</f>
        <v>MICHAEL T. JAMIS</v>
      </c>
      <c r="L33" s="1956"/>
      <c r="M33" s="1956"/>
      <c r="N33" s="1956"/>
      <c r="O33" s="1956"/>
      <c r="P33" s="1956"/>
      <c r="Q33" s="1956"/>
      <c r="R33" s="1956"/>
      <c r="S33" s="1956"/>
      <c r="T33" s="1956"/>
      <c r="U33" s="1956"/>
      <c r="V33" s="1956"/>
      <c r="W33" s="1956"/>
    </row>
    <row r="34" spans="10:24" s="1237" customFormat="1" ht="14.15" customHeight="1">
      <c r="K34" s="1957"/>
      <c r="L34" s="1957"/>
      <c r="M34" s="1957"/>
      <c r="N34" s="1957"/>
      <c r="O34" s="1957"/>
      <c r="P34" s="1957"/>
      <c r="Q34" s="1957"/>
      <c r="R34" s="1957"/>
      <c r="S34" s="1957"/>
      <c r="T34" s="1957"/>
      <c r="U34" s="1957"/>
      <c r="V34" s="1957"/>
      <c r="W34" s="1957"/>
    </row>
    <row r="35" spans="10:24" s="1235" customFormat="1" ht="21.75" customHeight="1">
      <c r="K35" s="1776" t="s">
        <v>741</v>
      </c>
      <c r="L35" s="1776"/>
      <c r="M35" s="1776"/>
      <c r="N35" s="1776"/>
      <c r="O35" s="1776"/>
      <c r="P35" s="1776"/>
      <c r="Q35" s="1776"/>
      <c r="R35" s="1776"/>
      <c r="S35" s="1776"/>
      <c r="T35" s="1776"/>
      <c r="U35" s="1776"/>
      <c r="V35" s="1776"/>
      <c r="W35" s="1776"/>
    </row>
    <row r="36" spans="10:24" s="1287" customFormat="1">
      <c r="J36" s="1291"/>
      <c r="K36" s="1291"/>
      <c r="W36" s="1291"/>
      <c r="X36" s="1291"/>
    </row>
  </sheetData>
  <sheetProtection algorithmName="SHA-512" hashValue="7aAxp5RfeB3XqNlcMSeUAwFPcowBJhInUFywYgJGftZOqm1QDjr8J7ww0pOIMRmq7Fjy9yGlJmVAIU9Z0OGoMw==" saltValue="0DFXh22Ya4q7cosBHukXiw==" spinCount="100000" sheet="1" objects="1" scenarios="1" selectLockedCells="1"/>
  <mergeCells count="49">
    <mergeCell ref="K35:W35"/>
    <mergeCell ref="C22:AF22"/>
    <mergeCell ref="C23:AF23"/>
    <mergeCell ref="C24:AF24"/>
    <mergeCell ref="C25:AF25"/>
    <mergeCell ref="F28:N28"/>
    <mergeCell ref="T28:AF28"/>
    <mergeCell ref="F29:N29"/>
    <mergeCell ref="T29:AF29"/>
    <mergeCell ref="F30:N30"/>
    <mergeCell ref="X30:AF30"/>
    <mergeCell ref="K33:W34"/>
    <mergeCell ref="C21:AF21"/>
    <mergeCell ref="D12:J12"/>
    <mergeCell ref="K12:O12"/>
    <mergeCell ref="P12:T12"/>
    <mergeCell ref="U12:Y12"/>
    <mergeCell ref="Z12:AD12"/>
    <mergeCell ref="D13:J13"/>
    <mergeCell ref="K13:O13"/>
    <mergeCell ref="P13:T13"/>
    <mergeCell ref="U13:Y13"/>
    <mergeCell ref="Z13:AD13"/>
    <mergeCell ref="C16:AF16"/>
    <mergeCell ref="C17:AF17"/>
    <mergeCell ref="C18:AF18"/>
    <mergeCell ref="C19:AF19"/>
    <mergeCell ref="C20:AF20"/>
    <mergeCell ref="D11:J11"/>
    <mergeCell ref="K11:AD11"/>
    <mergeCell ref="D8:J8"/>
    <mergeCell ref="K8:AD8"/>
    <mergeCell ref="D9:J9"/>
    <mergeCell ref="K9:O9"/>
    <mergeCell ref="P9:T9"/>
    <mergeCell ref="U9:Y9"/>
    <mergeCell ref="Z9:AD9"/>
    <mergeCell ref="D10:J10"/>
    <mergeCell ref="K10:O10"/>
    <mergeCell ref="P10:T10"/>
    <mergeCell ref="U10:Y10"/>
    <mergeCell ref="Z10:AD10"/>
    <mergeCell ref="E4:AD4"/>
    <mergeCell ref="D5:Z5"/>
    <mergeCell ref="D7:J7"/>
    <mergeCell ref="K7:O7"/>
    <mergeCell ref="P7:T7"/>
    <mergeCell ref="U7:Y7"/>
    <mergeCell ref="Z7:AD7"/>
  </mergeCells>
  <dataValidations count="1">
    <dataValidation type="whole" allowBlank="1" showInputMessage="1" showErrorMessage="1" errorTitle="GESP SY 2022-2023" error="Please enter valid number between 0 - 999." sqref="K9:AD10 K12:AD13" xr:uid="{00000000-0002-0000-3400-000000000000}">
      <formula1>0</formula1>
      <formula2>999</formula2>
    </dataValidation>
  </dataValidations>
  <printOptions horizontalCentered="1" verticalCentered="1"/>
  <pageMargins left="0.25" right="0.25" top="0.2" bottom="0.2" header="0" footer="0.1"/>
  <pageSetup paperSize="9" scale="64" orientation="portrait" r:id="rId1"/>
  <headerFooter>
    <oddFooter>&amp;L&amp;10&amp;F &amp;A&amp;R&amp;10Page 49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8113" r:id="rId4" name="Check Box 1">
              <controlPr locked="0" defaultSize="0" autoFill="0" autoLine="0" autoPict="0">
                <anchor moveWithCells="1">
                  <from>
                    <xdr:col>3</xdr:col>
                    <xdr:colOff>50800</xdr:colOff>
                    <xdr:row>3</xdr:row>
                    <xdr:rowOff>50800</xdr:rowOff>
                  </from>
                  <to>
                    <xdr:col>6</xdr:col>
                    <xdr:colOff>31750</xdr:colOff>
                    <xdr:row>3</xdr:row>
                    <xdr:rowOff>260350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pageSetUpPr fitToPage="1"/>
  </sheetPr>
  <dimension ref="B1:AQ76"/>
  <sheetViews>
    <sheetView showGridLines="0" zoomScale="98" zoomScaleNormal="98" zoomScaleSheetLayoutView="100" workbookViewId="0">
      <selection activeCell="AD62" sqref="AD62:AF62"/>
    </sheetView>
  </sheetViews>
  <sheetFormatPr defaultColWidth="8" defaultRowHeight="15.5"/>
  <cols>
    <col min="1" max="1" width="2.08203125" style="1287" customWidth="1"/>
    <col min="2" max="32" width="3.58203125" style="1291" customWidth="1"/>
    <col min="33" max="34" width="3.58203125" style="1287" customWidth="1"/>
    <col min="35" max="35" width="2.08203125" style="1287" customWidth="1"/>
    <col min="36" max="167" width="3.58203125" style="1287" customWidth="1"/>
    <col min="168" max="16384" width="8" style="1287"/>
  </cols>
  <sheetData>
    <row r="1" spans="2:43" ht="12" customHeight="1"/>
    <row r="2" spans="2:43" ht="16.5">
      <c r="B2" s="1302" t="s">
        <v>11816</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row>
    <row r="3" spans="2:43" ht="16.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c r="AE3" s="1287"/>
      <c r="AF3" s="1287"/>
    </row>
    <row r="4" spans="2:43"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c r="AE4" s="1287"/>
      <c r="AF4" s="1287"/>
    </row>
    <row r="5" spans="2:43" ht="17" thickBot="1">
      <c r="B5" s="1302" t="s">
        <v>1598</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c r="AE5" s="1287"/>
      <c r="AF5" s="1287"/>
    </row>
    <row r="6" spans="2:43" ht="5.15"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5"/>
      <c r="AG6" s="1305"/>
      <c r="AH6" s="1306"/>
    </row>
    <row r="7" spans="2:43" s="1342" customFormat="1" ht="24.75" customHeight="1">
      <c r="B7" s="1339"/>
      <c r="C7" s="1345" t="s">
        <v>151</v>
      </c>
      <c r="D7" s="1360" t="b">
        <v>0</v>
      </c>
      <c r="E7" s="3749" t="s">
        <v>1599</v>
      </c>
      <c r="F7" s="3749"/>
      <c r="G7" s="3749"/>
      <c r="H7" s="3749"/>
      <c r="I7" s="3749"/>
      <c r="J7" s="3749"/>
      <c r="K7" s="3749"/>
      <c r="L7" s="3749"/>
      <c r="M7" s="3749"/>
      <c r="N7" s="3749"/>
      <c r="O7" s="3749"/>
      <c r="P7" s="3749"/>
      <c r="Q7" s="3749"/>
      <c r="R7" s="3749"/>
      <c r="S7" s="3749"/>
      <c r="T7" s="3749"/>
      <c r="U7" s="3749"/>
      <c r="V7" s="3749"/>
      <c r="W7" s="3749"/>
      <c r="X7" s="3749"/>
      <c r="Y7" s="3749"/>
      <c r="Z7" s="3749"/>
      <c r="AA7" s="3749"/>
      <c r="AB7" s="3749"/>
      <c r="AC7" s="3749"/>
      <c r="AD7" s="3749"/>
      <c r="AE7" s="3749"/>
      <c r="AF7" s="3749"/>
      <c r="AG7" s="1340"/>
      <c r="AH7" s="1341"/>
      <c r="AI7" s="1340"/>
      <c r="AJ7" s="1340"/>
      <c r="AK7" s="1340"/>
      <c r="AL7" s="1340"/>
      <c r="AM7" s="1340"/>
      <c r="AN7" s="1340"/>
      <c r="AO7" s="1340"/>
      <c r="AP7" s="1340"/>
      <c r="AQ7" s="1340"/>
    </row>
    <row r="8" spans="2:43" s="1342" customFormat="1" ht="16" customHeight="1">
      <c r="B8" s="1339"/>
      <c r="C8" s="1299" t="s">
        <v>152</v>
      </c>
      <c r="D8" s="1360" t="b">
        <v>0</v>
      </c>
      <c r="E8" s="3786" t="s">
        <v>1600</v>
      </c>
      <c r="F8" s="3786"/>
      <c r="G8" s="3786"/>
      <c r="H8" s="3786"/>
      <c r="I8" s="3786"/>
      <c r="J8" s="3786"/>
      <c r="K8" s="3786"/>
      <c r="L8" s="3786"/>
      <c r="M8" s="3786"/>
      <c r="N8" s="3786"/>
      <c r="O8" s="3786"/>
      <c r="P8" s="3786"/>
      <c r="Q8" s="3786"/>
      <c r="R8" s="3786"/>
      <c r="S8" s="3786"/>
      <c r="T8" s="3786"/>
      <c r="U8" s="3786"/>
      <c r="V8" s="3786"/>
      <c r="W8" s="3786"/>
      <c r="X8" s="3786"/>
      <c r="Y8" s="3786"/>
      <c r="Z8" s="3786"/>
      <c r="AA8" s="3786"/>
      <c r="AB8" s="3786"/>
      <c r="AC8" s="3786"/>
      <c r="AD8" s="3786"/>
      <c r="AE8" s="3786"/>
      <c r="AF8" s="3786"/>
      <c r="AG8" s="1340"/>
      <c r="AH8" s="1341"/>
      <c r="AI8" s="1340"/>
      <c r="AJ8" s="1340"/>
      <c r="AK8" s="1340"/>
      <c r="AL8" s="1340"/>
      <c r="AM8" s="1340"/>
      <c r="AN8" s="1340"/>
      <c r="AO8" s="1340"/>
      <c r="AP8" s="1340"/>
      <c r="AQ8" s="1340"/>
    </row>
    <row r="9" spans="2:43" s="1342" customFormat="1" ht="16" customHeight="1">
      <c r="B9" s="1339"/>
      <c r="C9" s="1299"/>
      <c r="D9" s="1365"/>
      <c r="E9" s="3786"/>
      <c r="F9" s="3786"/>
      <c r="G9" s="3786"/>
      <c r="H9" s="3786"/>
      <c r="I9" s="3786"/>
      <c r="J9" s="3786"/>
      <c r="K9" s="3786"/>
      <c r="L9" s="3786"/>
      <c r="M9" s="3786"/>
      <c r="N9" s="3786"/>
      <c r="O9" s="3786"/>
      <c r="P9" s="3786"/>
      <c r="Q9" s="3786"/>
      <c r="R9" s="3786"/>
      <c r="S9" s="3786"/>
      <c r="T9" s="3786"/>
      <c r="U9" s="3786"/>
      <c r="V9" s="3786"/>
      <c r="W9" s="3786"/>
      <c r="X9" s="3786"/>
      <c r="Y9" s="3786"/>
      <c r="Z9" s="3786"/>
      <c r="AA9" s="3786"/>
      <c r="AB9" s="3786"/>
      <c r="AC9" s="3786"/>
      <c r="AD9" s="3786"/>
      <c r="AE9" s="3786"/>
      <c r="AF9" s="3786"/>
      <c r="AG9" s="1340"/>
      <c r="AH9" s="1341"/>
      <c r="AI9" s="1340"/>
      <c r="AJ9" s="1340"/>
      <c r="AK9" s="1340"/>
      <c r="AL9" s="1340"/>
      <c r="AM9" s="1340"/>
      <c r="AN9" s="1340"/>
      <c r="AO9" s="1340"/>
      <c r="AP9" s="1340"/>
      <c r="AQ9" s="1340"/>
    </row>
    <row r="10" spans="2:43" s="1342" customFormat="1" ht="16" customHeight="1">
      <c r="B10" s="1339"/>
      <c r="C10" s="1299" t="s">
        <v>153</v>
      </c>
      <c r="D10" s="1360" t="b">
        <v>0</v>
      </c>
      <c r="E10" s="3786" t="s">
        <v>1601</v>
      </c>
      <c r="F10" s="3786"/>
      <c r="G10" s="3786"/>
      <c r="H10" s="3786"/>
      <c r="I10" s="3786"/>
      <c r="J10" s="3786"/>
      <c r="K10" s="3786"/>
      <c r="L10" s="3786"/>
      <c r="M10" s="3786"/>
      <c r="N10" s="3786"/>
      <c r="O10" s="3786"/>
      <c r="P10" s="3786"/>
      <c r="Q10" s="3786"/>
      <c r="R10" s="3786"/>
      <c r="S10" s="3786"/>
      <c r="T10" s="3786"/>
      <c r="U10" s="3786"/>
      <c r="V10" s="3786"/>
      <c r="W10" s="3786"/>
      <c r="X10" s="3786"/>
      <c r="Y10" s="3786"/>
      <c r="Z10" s="3786"/>
      <c r="AA10" s="3786"/>
      <c r="AB10" s="3786"/>
      <c r="AC10" s="3786"/>
      <c r="AD10" s="3786"/>
      <c r="AE10" s="3786"/>
      <c r="AF10" s="3786"/>
      <c r="AG10" s="1340"/>
      <c r="AH10" s="1341"/>
      <c r="AI10" s="1340"/>
      <c r="AJ10" s="1340"/>
      <c r="AK10" s="1340"/>
      <c r="AL10" s="1340"/>
      <c r="AM10" s="1340"/>
      <c r="AN10" s="1340"/>
      <c r="AO10" s="1340"/>
      <c r="AP10" s="1340"/>
      <c r="AQ10" s="1340"/>
    </row>
    <row r="11" spans="2:43" s="1342" customFormat="1" ht="16" customHeight="1">
      <c r="B11" s="1339"/>
      <c r="C11" s="1299"/>
      <c r="D11" s="1365"/>
      <c r="E11" s="3786"/>
      <c r="F11" s="3786"/>
      <c r="G11" s="3786"/>
      <c r="H11" s="3786"/>
      <c r="I11" s="3786"/>
      <c r="J11" s="3786"/>
      <c r="K11" s="3786"/>
      <c r="L11" s="3786"/>
      <c r="M11" s="3786"/>
      <c r="N11" s="3786"/>
      <c r="O11" s="3786"/>
      <c r="P11" s="3786"/>
      <c r="Q11" s="3786"/>
      <c r="R11" s="3786"/>
      <c r="S11" s="3786"/>
      <c r="T11" s="3786"/>
      <c r="U11" s="3786"/>
      <c r="V11" s="3786"/>
      <c r="W11" s="3786"/>
      <c r="X11" s="3786"/>
      <c r="Y11" s="3786"/>
      <c r="Z11" s="3786"/>
      <c r="AA11" s="3786"/>
      <c r="AB11" s="3786"/>
      <c r="AC11" s="3786"/>
      <c r="AD11" s="3786"/>
      <c r="AE11" s="3786"/>
      <c r="AF11" s="3786"/>
      <c r="AG11" s="1340"/>
      <c r="AH11" s="1341"/>
      <c r="AI11" s="1340"/>
      <c r="AJ11" s="1340"/>
      <c r="AK11" s="1340"/>
      <c r="AL11" s="1340"/>
      <c r="AM11" s="1340"/>
      <c r="AN11" s="1340"/>
      <c r="AO11" s="1340"/>
      <c r="AP11" s="1340"/>
      <c r="AQ11" s="1340"/>
    </row>
    <row r="12" spans="2:43" s="1342" customFormat="1" ht="16" customHeight="1">
      <c r="B12" s="1339"/>
      <c r="C12" s="1299" t="s">
        <v>154</v>
      </c>
      <c r="D12" s="1360" t="b">
        <v>0</v>
      </c>
      <c r="E12" s="3786" t="s">
        <v>1602</v>
      </c>
      <c r="F12" s="3786"/>
      <c r="G12" s="3786"/>
      <c r="H12" s="3786"/>
      <c r="I12" s="3786"/>
      <c r="J12" s="3786"/>
      <c r="K12" s="3786"/>
      <c r="L12" s="3786"/>
      <c r="M12" s="3786"/>
      <c r="N12" s="3786"/>
      <c r="O12" s="3786"/>
      <c r="P12" s="3786"/>
      <c r="Q12" s="3786"/>
      <c r="R12" s="3786"/>
      <c r="S12" s="3786"/>
      <c r="T12" s="3786"/>
      <c r="U12" s="3786"/>
      <c r="V12" s="3786"/>
      <c r="W12" s="3786"/>
      <c r="X12" s="3786"/>
      <c r="Y12" s="3786"/>
      <c r="Z12" s="3786"/>
      <c r="AA12" s="3786"/>
      <c r="AB12" s="3786"/>
      <c r="AC12" s="3786"/>
      <c r="AD12" s="3786"/>
      <c r="AE12" s="3786"/>
      <c r="AF12" s="3786"/>
      <c r="AG12" s="1340"/>
      <c r="AH12" s="1341"/>
      <c r="AI12" s="1340"/>
      <c r="AJ12" s="1340"/>
      <c r="AK12" s="1340"/>
      <c r="AL12" s="1340"/>
      <c r="AM12" s="1340"/>
      <c r="AN12" s="1340"/>
      <c r="AO12" s="1340"/>
      <c r="AP12" s="1340"/>
      <c r="AQ12" s="1340"/>
    </row>
    <row r="13" spans="2:43" s="1342" customFormat="1" ht="16" customHeight="1">
      <c r="B13" s="1339"/>
      <c r="C13" s="1299"/>
      <c r="D13" s="1365"/>
      <c r="E13" s="3786"/>
      <c r="F13" s="3786"/>
      <c r="G13" s="3786"/>
      <c r="H13" s="3786"/>
      <c r="I13" s="3786"/>
      <c r="J13" s="3786"/>
      <c r="K13" s="3786"/>
      <c r="L13" s="3786"/>
      <c r="M13" s="3786"/>
      <c r="N13" s="3786"/>
      <c r="O13" s="3786"/>
      <c r="P13" s="3786"/>
      <c r="Q13" s="3786"/>
      <c r="R13" s="3786"/>
      <c r="S13" s="3786"/>
      <c r="T13" s="3786"/>
      <c r="U13" s="3786"/>
      <c r="V13" s="3786"/>
      <c r="W13" s="3786"/>
      <c r="X13" s="3786"/>
      <c r="Y13" s="3786"/>
      <c r="Z13" s="3786"/>
      <c r="AA13" s="3786"/>
      <c r="AB13" s="3786"/>
      <c r="AC13" s="3786"/>
      <c r="AD13" s="3786"/>
      <c r="AE13" s="3786"/>
      <c r="AF13" s="3786"/>
      <c r="AG13" s="1340"/>
      <c r="AH13" s="1341"/>
      <c r="AI13" s="1340"/>
      <c r="AJ13" s="1340"/>
      <c r="AK13" s="1340"/>
      <c r="AL13" s="1340"/>
      <c r="AM13" s="1340"/>
      <c r="AN13" s="1340"/>
      <c r="AO13" s="1340"/>
      <c r="AP13" s="1340"/>
      <c r="AQ13" s="1340"/>
    </row>
    <row r="14" spans="2:43" s="1342" customFormat="1" ht="16" customHeight="1">
      <c r="B14" s="1339"/>
      <c r="C14" s="1299" t="s">
        <v>155</v>
      </c>
      <c r="D14" s="1360" t="b">
        <v>0</v>
      </c>
      <c r="E14" s="3786" t="s">
        <v>1603</v>
      </c>
      <c r="F14" s="3786"/>
      <c r="G14" s="3786"/>
      <c r="H14" s="3786"/>
      <c r="I14" s="3786"/>
      <c r="J14" s="3786"/>
      <c r="K14" s="3786"/>
      <c r="L14" s="3786"/>
      <c r="M14" s="3786"/>
      <c r="N14" s="3786"/>
      <c r="O14" s="3786"/>
      <c r="P14" s="3786"/>
      <c r="Q14" s="3786"/>
      <c r="R14" s="3786"/>
      <c r="S14" s="3786"/>
      <c r="T14" s="3786"/>
      <c r="U14" s="3786"/>
      <c r="V14" s="3786"/>
      <c r="W14" s="3786"/>
      <c r="X14" s="3786"/>
      <c r="Y14" s="3786"/>
      <c r="Z14" s="3786"/>
      <c r="AA14" s="3786"/>
      <c r="AB14" s="3786"/>
      <c r="AC14" s="3786"/>
      <c r="AD14" s="3786"/>
      <c r="AE14" s="3786"/>
      <c r="AF14" s="3786"/>
      <c r="AG14" s="1340"/>
      <c r="AH14" s="1341"/>
      <c r="AI14" s="1340"/>
      <c r="AJ14" s="1340"/>
      <c r="AK14" s="1340"/>
      <c r="AL14" s="1340"/>
      <c r="AM14" s="1340"/>
      <c r="AN14" s="1340"/>
      <c r="AO14" s="1340"/>
      <c r="AP14" s="1340"/>
      <c r="AQ14" s="1340"/>
    </row>
    <row r="15" spans="2:43" s="1342" customFormat="1" ht="16" customHeight="1">
      <c r="B15" s="1339"/>
      <c r="C15" s="1299"/>
      <c r="D15" s="1365"/>
      <c r="E15" s="3786"/>
      <c r="F15" s="3786"/>
      <c r="G15" s="3786"/>
      <c r="H15" s="3786"/>
      <c r="I15" s="3786"/>
      <c r="J15" s="3786"/>
      <c r="K15" s="3786"/>
      <c r="L15" s="3786"/>
      <c r="M15" s="3786"/>
      <c r="N15" s="3786"/>
      <c r="O15" s="3786"/>
      <c r="P15" s="3786"/>
      <c r="Q15" s="3786"/>
      <c r="R15" s="3786"/>
      <c r="S15" s="3786"/>
      <c r="T15" s="3786"/>
      <c r="U15" s="3786"/>
      <c r="V15" s="3786"/>
      <c r="W15" s="3786"/>
      <c r="X15" s="3786"/>
      <c r="Y15" s="3786"/>
      <c r="Z15" s="3786"/>
      <c r="AA15" s="3786"/>
      <c r="AB15" s="3786"/>
      <c r="AC15" s="3786"/>
      <c r="AD15" s="3786"/>
      <c r="AE15" s="3786"/>
      <c r="AF15" s="3786"/>
      <c r="AG15" s="1340"/>
      <c r="AH15" s="1341"/>
      <c r="AI15" s="1340"/>
      <c r="AJ15" s="1340"/>
      <c r="AK15" s="1340"/>
      <c r="AL15" s="1340"/>
      <c r="AM15" s="1340"/>
      <c r="AN15" s="1340"/>
      <c r="AO15" s="1340"/>
      <c r="AP15" s="1340"/>
      <c r="AQ15" s="1340"/>
    </row>
    <row r="16" spans="2:43">
      <c r="B16" s="1298"/>
      <c r="C16" s="1299" t="s">
        <v>156</v>
      </c>
      <c r="D16" s="3732" t="s">
        <v>1886</v>
      </c>
      <c r="E16" s="3732"/>
      <c r="F16" s="3732"/>
      <c r="G16" s="3732"/>
      <c r="H16" s="3732"/>
      <c r="I16" s="3732"/>
      <c r="J16" s="3732"/>
      <c r="K16" s="3732"/>
      <c r="L16" s="3732"/>
      <c r="M16" s="3732"/>
      <c r="N16" s="3732"/>
      <c r="O16" s="3732"/>
      <c r="P16" s="3732"/>
      <c r="Q16" s="3732"/>
      <c r="R16" s="3732"/>
      <c r="S16" s="3732"/>
      <c r="T16" s="3732"/>
      <c r="U16" s="3732"/>
      <c r="V16" s="3732"/>
      <c r="W16" s="3732"/>
      <c r="X16" s="3732"/>
      <c r="Y16" s="3732"/>
      <c r="Z16" s="3732"/>
      <c r="AA16" s="3732"/>
      <c r="AB16" s="3732"/>
      <c r="AC16" s="3732"/>
      <c r="AD16" s="3732"/>
      <c r="AE16" s="3732"/>
      <c r="AF16" s="3732"/>
      <c r="AG16" s="1300"/>
      <c r="AH16" s="1301"/>
    </row>
    <row r="17" spans="2:34" s="1372" customFormat="1" ht="19.75" customHeight="1">
      <c r="B17" s="1374"/>
      <c r="D17" s="1379" t="s">
        <v>1887</v>
      </c>
      <c r="E17" s="1380"/>
      <c r="H17" s="1380"/>
      <c r="L17" s="1380"/>
      <c r="M17" s="1380"/>
      <c r="N17" s="1380"/>
      <c r="O17" s="1380"/>
      <c r="P17" s="1380"/>
      <c r="Q17" s="1380"/>
      <c r="R17" s="1380"/>
      <c r="S17" s="1380"/>
      <c r="V17" s="565" t="s">
        <v>1888</v>
      </c>
      <c r="W17" s="1381"/>
      <c r="AH17" s="1378"/>
    </row>
    <row r="18" spans="2:34" s="1372" customFormat="1" ht="19.75" customHeight="1">
      <c r="B18" s="1374"/>
      <c r="D18" s="1387" t="b">
        <v>0</v>
      </c>
      <c r="E18" s="1342" t="s">
        <v>678</v>
      </c>
      <c r="J18" s="1387" t="b">
        <v>1</v>
      </c>
      <c r="K18" s="1385" t="s">
        <v>102</v>
      </c>
      <c r="L18" s="1382"/>
      <c r="M18" s="1382"/>
      <c r="N18" s="1377"/>
      <c r="O18" s="1342"/>
      <c r="P18" s="1382"/>
      <c r="Q18" s="1382"/>
      <c r="R18" s="1382"/>
      <c r="S18" s="1382"/>
      <c r="V18" s="1387" t="b">
        <v>0</v>
      </c>
      <c r="W18" s="1342" t="s">
        <v>682</v>
      </c>
      <c r="AD18" s="1377"/>
      <c r="AE18" s="1377"/>
      <c r="AF18" s="1377"/>
      <c r="AG18" s="1342"/>
      <c r="AH18" s="1383"/>
    </row>
    <row r="19" spans="2:34" s="1372" customFormat="1" ht="19.75" customHeight="1">
      <c r="B19" s="1374"/>
      <c r="D19" s="1387" t="b">
        <v>0</v>
      </c>
      <c r="E19" s="1385" t="s">
        <v>768</v>
      </c>
      <c r="J19" s="1387" t="b">
        <v>0</v>
      </c>
      <c r="K19" s="1385" t="s">
        <v>103</v>
      </c>
      <c r="L19" s="1382"/>
      <c r="M19" s="1382"/>
      <c r="N19" s="1377"/>
      <c r="O19" s="1342"/>
      <c r="P19" s="1382"/>
      <c r="Q19" s="1382"/>
      <c r="R19" s="1382"/>
      <c r="S19" s="1382"/>
      <c r="V19" s="1387" t="b">
        <v>0</v>
      </c>
      <c r="W19" s="1342" t="s">
        <v>681</v>
      </c>
      <c r="AD19" s="1377"/>
      <c r="AE19" s="1377"/>
      <c r="AF19" s="1377"/>
      <c r="AG19" s="1342"/>
      <c r="AH19" s="1383"/>
    </row>
    <row r="20" spans="2:34" s="1372" customFormat="1" ht="19.75" customHeight="1">
      <c r="B20" s="1374"/>
      <c r="D20" s="1387" t="b">
        <v>1</v>
      </c>
      <c r="E20" s="1342" t="s">
        <v>100</v>
      </c>
      <c r="J20" s="1387" t="b">
        <v>0</v>
      </c>
      <c r="K20" s="1385" t="s">
        <v>99</v>
      </c>
      <c r="L20" s="1382"/>
      <c r="M20" s="1382"/>
      <c r="N20" s="1382"/>
      <c r="O20" s="1342"/>
      <c r="P20" s="1382"/>
      <c r="Q20" s="1382"/>
      <c r="R20" s="1382"/>
      <c r="S20" s="1382"/>
      <c r="V20" s="1387" t="b">
        <v>0</v>
      </c>
      <c r="W20" s="1342" t="s">
        <v>680</v>
      </c>
      <c r="AG20" s="568"/>
      <c r="AH20" s="1386"/>
    </row>
    <row r="21" spans="2:34" s="1372" customFormat="1" ht="19.75" customHeight="1">
      <c r="B21" s="1374"/>
      <c r="D21" s="1387" t="b">
        <v>0</v>
      </c>
      <c r="E21" s="1385" t="s">
        <v>101</v>
      </c>
      <c r="J21" s="1387" t="b">
        <v>0</v>
      </c>
      <c r="K21" s="1385" t="s">
        <v>679</v>
      </c>
      <c r="L21" s="1382"/>
      <c r="M21" s="1382"/>
      <c r="N21" s="1377"/>
      <c r="O21" s="1342"/>
      <c r="P21" s="1382"/>
      <c r="Q21" s="1382"/>
      <c r="R21" s="1382"/>
      <c r="S21" s="1382"/>
      <c r="V21" s="1387" t="b">
        <v>1</v>
      </c>
      <c r="W21" s="1385" t="s">
        <v>679</v>
      </c>
      <c r="AD21" s="1377"/>
      <c r="AE21" s="1377"/>
      <c r="AF21" s="1377"/>
      <c r="AG21" s="1342"/>
      <c r="AH21" s="1383"/>
    </row>
    <row r="22" spans="2:34" s="1372" customFormat="1" ht="19.75" customHeight="1">
      <c r="B22" s="1374"/>
      <c r="D22" s="1360" t="b">
        <v>0</v>
      </c>
      <c r="E22" s="1342" t="s">
        <v>104</v>
      </c>
      <c r="J22" s="1360" t="b">
        <v>0</v>
      </c>
      <c r="K22" s="735" t="s">
        <v>908</v>
      </c>
      <c r="L22" s="1359"/>
      <c r="M22" s="1287"/>
      <c r="N22" s="1287"/>
      <c r="O22" s="3812"/>
      <c r="P22" s="3812"/>
      <c r="Q22" s="3812"/>
      <c r="R22" s="3812"/>
      <c r="S22" s="3812"/>
      <c r="T22" s="3812"/>
      <c r="V22" s="1387" t="b">
        <v>0</v>
      </c>
      <c r="W22" s="735" t="s">
        <v>908</v>
      </c>
      <c r="X22" s="1359"/>
      <c r="Y22" s="1287"/>
      <c r="Z22" s="1287"/>
      <c r="AA22" s="3812"/>
      <c r="AB22" s="3812"/>
      <c r="AC22" s="3812"/>
      <c r="AD22" s="3812"/>
      <c r="AE22" s="3812"/>
      <c r="AF22" s="3812"/>
      <c r="AG22" s="1376"/>
      <c r="AH22" s="1378"/>
    </row>
    <row r="23" spans="2:34" s="1372" customFormat="1" ht="12.65" customHeight="1">
      <c r="B23" s="1374"/>
      <c r="D23" s="587"/>
      <c r="E23" s="1342"/>
      <c r="J23" s="587"/>
      <c r="K23" s="735"/>
      <c r="L23" s="1359"/>
      <c r="M23" s="1287"/>
      <c r="N23" s="1287"/>
      <c r="O23" s="1375" t="str">
        <f>IF(AND(spec_cont_plan_nh_others=TRUE,ISBLANK(spec_cont_plan_nh_others_specify)), "Please specify.", "")</f>
        <v/>
      </c>
      <c r="P23" s="1376"/>
      <c r="Q23" s="1376"/>
      <c r="R23" s="1376"/>
      <c r="S23" s="1376"/>
      <c r="T23" s="1376"/>
      <c r="V23" s="1377"/>
      <c r="W23" s="735"/>
      <c r="X23" s="1359"/>
      <c r="Y23" s="1287"/>
      <c r="Z23" s="1287"/>
      <c r="AA23" s="1375" t="str">
        <f>IF(AND(spec_cont_plan_hih_others=TRUE,ISBLANK(spec_cont_plan_hih_others_specify)), "Please specify.", "")</f>
        <v/>
      </c>
      <c r="AB23" s="1376"/>
      <c r="AC23" s="1376"/>
      <c r="AD23" s="1376"/>
      <c r="AE23" s="1376"/>
      <c r="AF23" s="1376"/>
      <c r="AG23" s="1376"/>
      <c r="AH23" s="1378"/>
    </row>
    <row r="24" spans="2:34" ht="15.65" customHeight="1">
      <c r="B24" s="1298"/>
      <c r="C24" s="1299" t="s">
        <v>157</v>
      </c>
      <c r="D24" s="3732" t="s">
        <v>1889</v>
      </c>
      <c r="E24" s="3732"/>
      <c r="F24" s="3732"/>
      <c r="G24" s="3732"/>
      <c r="H24" s="3732"/>
      <c r="I24" s="3732"/>
      <c r="J24" s="3732"/>
      <c r="K24" s="3732"/>
      <c r="L24" s="3732"/>
      <c r="M24" s="3732"/>
      <c r="N24" s="3732"/>
      <c r="O24" s="3732"/>
      <c r="P24" s="3732"/>
      <c r="Q24" s="3732"/>
      <c r="R24" s="3732"/>
      <c r="S24" s="3732"/>
      <c r="T24" s="3732"/>
      <c r="U24" s="3732"/>
      <c r="V24" s="3732"/>
      <c r="W24" s="3732"/>
      <c r="X24" s="3732"/>
      <c r="Y24" s="3732"/>
      <c r="Z24" s="3732"/>
      <c r="AA24" s="3732"/>
      <c r="AB24" s="3732"/>
      <c r="AC24" s="3732"/>
      <c r="AD24" s="3732"/>
      <c r="AE24" s="3732"/>
      <c r="AF24" s="3732"/>
      <c r="AG24" s="1300"/>
      <c r="AH24" s="1301"/>
    </row>
    <row r="25" spans="2:34" s="1372" customFormat="1" ht="19.75" customHeight="1">
      <c r="B25" s="1374"/>
      <c r="D25" s="1379" t="s">
        <v>1604</v>
      </c>
      <c r="E25" s="1380"/>
      <c r="H25" s="1380"/>
      <c r="L25" s="1380"/>
      <c r="M25" s="1380"/>
      <c r="N25" s="1380"/>
      <c r="O25" s="1380"/>
      <c r="P25" s="1380"/>
      <c r="Q25" s="1380"/>
      <c r="R25" s="1380"/>
      <c r="S25" s="1380"/>
      <c r="V25" s="565"/>
      <c r="W25" s="1381"/>
      <c r="AH25" s="1378"/>
    </row>
    <row r="26" spans="2:34" s="1372" customFormat="1" ht="17.149999999999999" customHeight="1">
      <c r="B26" s="1374"/>
      <c r="D26" s="1387" t="b">
        <v>1</v>
      </c>
      <c r="E26" s="3851" t="s">
        <v>1605</v>
      </c>
      <c r="F26" s="3851"/>
      <c r="G26" s="3851"/>
      <c r="H26" s="3851"/>
      <c r="I26" s="3851"/>
      <c r="J26" s="3851"/>
      <c r="K26" s="3851"/>
      <c r="L26" s="3851"/>
      <c r="M26" s="3851"/>
      <c r="N26" s="3851"/>
      <c r="O26" s="3851"/>
      <c r="P26" s="3851"/>
      <c r="Q26" s="1382"/>
      <c r="R26" s="1382"/>
      <c r="S26" s="1382"/>
      <c r="T26" s="1387" t="b">
        <v>0</v>
      </c>
      <c r="U26" s="3851" t="s">
        <v>1612</v>
      </c>
      <c r="V26" s="3851"/>
      <c r="W26" s="3851"/>
      <c r="X26" s="3851"/>
      <c r="Y26" s="3851"/>
      <c r="Z26" s="3851"/>
      <c r="AA26" s="3851"/>
      <c r="AB26" s="3851"/>
      <c r="AC26" s="3851"/>
      <c r="AD26" s="3851"/>
      <c r="AE26" s="3851"/>
      <c r="AF26" s="3851"/>
      <c r="AG26" s="1342"/>
      <c r="AH26" s="1383"/>
    </row>
    <row r="27" spans="2:34" s="1372" customFormat="1" ht="17.149999999999999" customHeight="1">
      <c r="B27" s="1374"/>
      <c r="D27" s="1384"/>
      <c r="E27" s="3851"/>
      <c r="F27" s="3851"/>
      <c r="G27" s="3851"/>
      <c r="H27" s="3851"/>
      <c r="I27" s="3851"/>
      <c r="J27" s="3851"/>
      <c r="K27" s="3851"/>
      <c r="L27" s="3851"/>
      <c r="M27" s="3851"/>
      <c r="N27" s="3851"/>
      <c r="O27" s="3851"/>
      <c r="P27" s="3851"/>
      <c r="Q27" s="1382"/>
      <c r="R27" s="1382"/>
      <c r="S27" s="1382"/>
      <c r="T27" s="1377"/>
      <c r="U27" s="3851"/>
      <c r="V27" s="3851"/>
      <c r="W27" s="3851"/>
      <c r="X27" s="3851"/>
      <c r="Y27" s="3851"/>
      <c r="Z27" s="3851"/>
      <c r="AA27" s="3851"/>
      <c r="AB27" s="3851"/>
      <c r="AC27" s="3851"/>
      <c r="AD27" s="3851"/>
      <c r="AE27" s="3851"/>
      <c r="AF27" s="3851"/>
      <c r="AG27" s="1342"/>
      <c r="AH27" s="1383"/>
    </row>
    <row r="28" spans="2:34" s="1372" customFormat="1" ht="17.149999999999999" customHeight="1">
      <c r="B28" s="1374"/>
      <c r="D28" s="1387" t="b">
        <v>1</v>
      </c>
      <c r="E28" s="3852" t="s">
        <v>1606</v>
      </c>
      <c r="F28" s="3852"/>
      <c r="G28" s="3852"/>
      <c r="H28" s="3852"/>
      <c r="I28" s="3852"/>
      <c r="J28" s="3852"/>
      <c r="K28" s="3852"/>
      <c r="L28" s="3852"/>
      <c r="M28" s="3852"/>
      <c r="N28" s="3852"/>
      <c r="O28" s="3852"/>
      <c r="P28" s="3852"/>
      <c r="Q28" s="1382"/>
      <c r="R28" s="1382"/>
      <c r="S28" s="1382"/>
      <c r="T28" s="1377"/>
      <c r="U28" s="3851"/>
      <c r="V28" s="3851"/>
      <c r="W28" s="3851"/>
      <c r="X28" s="3851"/>
      <c r="Y28" s="3851"/>
      <c r="Z28" s="3851"/>
      <c r="AA28" s="3851"/>
      <c r="AB28" s="3851"/>
      <c r="AC28" s="3851"/>
      <c r="AD28" s="3851"/>
      <c r="AE28" s="3851"/>
      <c r="AF28" s="3851"/>
      <c r="AG28" s="1342"/>
      <c r="AH28" s="1383"/>
    </row>
    <row r="29" spans="2:34" s="1372" customFormat="1" ht="17.149999999999999" customHeight="1">
      <c r="B29" s="1374"/>
      <c r="D29" s="1387" t="b">
        <v>1</v>
      </c>
      <c r="E29" s="3852" t="s">
        <v>1607</v>
      </c>
      <c r="F29" s="3852"/>
      <c r="G29" s="3852"/>
      <c r="H29" s="3852"/>
      <c r="I29" s="3852"/>
      <c r="J29" s="3852"/>
      <c r="K29" s="3852"/>
      <c r="L29" s="3852"/>
      <c r="M29" s="3852"/>
      <c r="N29" s="3852"/>
      <c r="O29" s="3852"/>
      <c r="P29" s="3852"/>
      <c r="Q29" s="1382"/>
      <c r="R29" s="1382"/>
      <c r="S29" s="1382"/>
      <c r="T29" s="1387" t="b">
        <v>0</v>
      </c>
      <c r="U29" s="3852" t="s">
        <v>1613</v>
      </c>
      <c r="V29" s="3852"/>
      <c r="W29" s="3852"/>
      <c r="X29" s="3852"/>
      <c r="Y29" s="3852"/>
      <c r="Z29" s="3852"/>
      <c r="AA29" s="3852"/>
      <c r="AB29" s="3852"/>
      <c r="AC29" s="3852"/>
      <c r="AD29" s="3852"/>
      <c r="AE29" s="3852"/>
      <c r="AF29" s="3852"/>
      <c r="AG29" s="1342"/>
      <c r="AH29" s="1383"/>
    </row>
    <row r="30" spans="2:34" s="1372" customFormat="1" ht="17.149999999999999" customHeight="1">
      <c r="B30" s="1374"/>
      <c r="D30" s="1377"/>
      <c r="E30" s="3852"/>
      <c r="F30" s="3852"/>
      <c r="G30" s="3852"/>
      <c r="H30" s="3852"/>
      <c r="I30" s="3852"/>
      <c r="J30" s="3852"/>
      <c r="K30" s="3852"/>
      <c r="L30" s="3852"/>
      <c r="M30" s="3852"/>
      <c r="N30" s="3852"/>
      <c r="O30" s="3852"/>
      <c r="P30" s="3852"/>
      <c r="Q30" s="1382"/>
      <c r="R30" s="1382"/>
      <c r="S30" s="1382"/>
      <c r="T30" s="1387" t="b">
        <v>1</v>
      </c>
      <c r="U30" s="3852" t="s">
        <v>1614</v>
      </c>
      <c r="V30" s="3852"/>
      <c r="W30" s="3852"/>
      <c r="X30" s="3852"/>
      <c r="Y30" s="3852"/>
      <c r="Z30" s="3852"/>
      <c r="AA30" s="3852"/>
      <c r="AB30" s="3852"/>
      <c r="AC30" s="3852"/>
      <c r="AD30" s="3852"/>
      <c r="AE30" s="3852"/>
      <c r="AF30" s="3852"/>
      <c r="AG30" s="1342"/>
      <c r="AH30" s="1383"/>
    </row>
    <row r="31" spans="2:34" s="1372" customFormat="1" ht="17.149999999999999" customHeight="1">
      <c r="B31" s="1374"/>
      <c r="D31" s="1387" t="b">
        <v>1</v>
      </c>
      <c r="E31" s="3852" t="s">
        <v>1608</v>
      </c>
      <c r="F31" s="3852"/>
      <c r="G31" s="3852"/>
      <c r="H31" s="3852"/>
      <c r="I31" s="3852"/>
      <c r="J31" s="3852"/>
      <c r="K31" s="3852"/>
      <c r="L31" s="3852"/>
      <c r="M31" s="3852"/>
      <c r="N31" s="3852"/>
      <c r="O31" s="3852"/>
      <c r="P31" s="3852"/>
      <c r="Q31" s="1382"/>
      <c r="R31" s="1382"/>
      <c r="S31" s="1382"/>
      <c r="T31" s="1377"/>
      <c r="U31" s="3852"/>
      <c r="V31" s="3852"/>
      <c r="W31" s="3852"/>
      <c r="X31" s="3852"/>
      <c r="Y31" s="3852"/>
      <c r="Z31" s="3852"/>
      <c r="AA31" s="3852"/>
      <c r="AB31" s="3852"/>
      <c r="AC31" s="3852"/>
      <c r="AD31" s="3852"/>
      <c r="AE31" s="3852"/>
      <c r="AF31" s="3852"/>
      <c r="AG31" s="1342"/>
      <c r="AH31" s="1383"/>
    </row>
    <row r="32" spans="2:34" s="1372" customFormat="1" ht="17.149999999999999" customHeight="1">
      <c r="B32" s="1374"/>
      <c r="D32" s="1377"/>
      <c r="E32" s="3852"/>
      <c r="F32" s="3852"/>
      <c r="G32" s="3852"/>
      <c r="H32" s="3852"/>
      <c r="I32" s="3852"/>
      <c r="J32" s="3852"/>
      <c r="K32" s="3852"/>
      <c r="L32" s="3852"/>
      <c r="M32" s="3852"/>
      <c r="N32" s="3852"/>
      <c r="O32" s="3852"/>
      <c r="P32" s="3852"/>
      <c r="Q32" s="1382"/>
      <c r="R32" s="1382"/>
      <c r="S32" s="1382"/>
      <c r="T32" s="1387" t="b">
        <v>1</v>
      </c>
      <c r="U32" s="3852" t="s">
        <v>1615</v>
      </c>
      <c r="V32" s="3852"/>
      <c r="W32" s="3852"/>
      <c r="X32" s="3852"/>
      <c r="Y32" s="3852"/>
      <c r="Z32" s="3852"/>
      <c r="AA32" s="3852"/>
      <c r="AB32" s="3852"/>
      <c r="AC32" s="3852"/>
      <c r="AD32" s="3852"/>
      <c r="AE32" s="3852"/>
      <c r="AF32" s="3852"/>
      <c r="AG32" s="1342"/>
      <c r="AH32" s="1383"/>
    </row>
    <row r="33" spans="2:43" s="1372" customFormat="1" ht="17.149999999999999" customHeight="1">
      <c r="B33" s="1374"/>
      <c r="D33" s="1387" t="b">
        <v>1</v>
      </c>
      <c r="E33" s="3852" t="s">
        <v>1609</v>
      </c>
      <c r="F33" s="3852"/>
      <c r="G33" s="3852"/>
      <c r="H33" s="3852"/>
      <c r="I33" s="3852"/>
      <c r="J33" s="3852"/>
      <c r="K33" s="3852"/>
      <c r="L33" s="3852"/>
      <c r="M33" s="3852"/>
      <c r="N33" s="3852"/>
      <c r="O33" s="3852"/>
      <c r="P33" s="3852"/>
      <c r="Q33" s="1382"/>
      <c r="R33" s="1382"/>
      <c r="S33" s="1382"/>
      <c r="T33" s="1377"/>
      <c r="U33" s="3852"/>
      <c r="V33" s="3852"/>
      <c r="W33" s="3852"/>
      <c r="X33" s="3852"/>
      <c r="Y33" s="3852"/>
      <c r="Z33" s="3852"/>
      <c r="AA33" s="3852"/>
      <c r="AB33" s="3852"/>
      <c r="AC33" s="3852"/>
      <c r="AD33" s="3852"/>
      <c r="AE33" s="3852"/>
      <c r="AF33" s="3852"/>
      <c r="AG33" s="1342"/>
      <c r="AH33" s="1383"/>
    </row>
    <row r="34" spans="2:43" s="1372" customFormat="1" ht="17.149999999999999" customHeight="1">
      <c r="B34" s="1374"/>
      <c r="D34" s="1387" t="b">
        <v>1</v>
      </c>
      <c r="E34" s="3852" t="s">
        <v>1610</v>
      </c>
      <c r="F34" s="3852"/>
      <c r="G34" s="3852"/>
      <c r="H34" s="3852"/>
      <c r="I34" s="3852"/>
      <c r="J34" s="3852"/>
      <c r="K34" s="3852"/>
      <c r="L34" s="3852"/>
      <c r="M34" s="3852"/>
      <c r="N34" s="3852"/>
      <c r="O34" s="3852"/>
      <c r="P34" s="3852"/>
      <c r="Q34" s="1382"/>
      <c r="R34" s="1382"/>
      <c r="S34" s="1382"/>
      <c r="T34" s="1387" t="b">
        <v>1</v>
      </c>
      <c r="U34" s="3852" t="s">
        <v>1616</v>
      </c>
      <c r="V34" s="3852"/>
      <c r="W34" s="3852"/>
      <c r="X34" s="3852"/>
      <c r="Y34" s="3852"/>
      <c r="Z34" s="3852"/>
      <c r="AA34" s="3852"/>
      <c r="AB34" s="3852"/>
      <c r="AC34" s="3852"/>
      <c r="AD34" s="3852"/>
      <c r="AE34" s="3852"/>
      <c r="AF34" s="3852"/>
      <c r="AG34" s="1342"/>
      <c r="AH34" s="1383"/>
    </row>
    <row r="35" spans="2:43" s="1372" customFormat="1" ht="17.149999999999999" customHeight="1">
      <c r="B35" s="1374"/>
      <c r="D35" s="1377"/>
      <c r="E35" s="3852"/>
      <c r="F35" s="3852"/>
      <c r="G35" s="3852"/>
      <c r="H35" s="3852"/>
      <c r="I35" s="3852"/>
      <c r="J35" s="3852"/>
      <c r="K35" s="3852"/>
      <c r="L35" s="3852"/>
      <c r="M35" s="3852"/>
      <c r="N35" s="3852"/>
      <c r="O35" s="3852"/>
      <c r="P35" s="3852"/>
      <c r="Q35" s="1382"/>
      <c r="R35" s="1382"/>
      <c r="S35" s="1382"/>
      <c r="T35" s="1377"/>
      <c r="U35" s="3852"/>
      <c r="V35" s="3852"/>
      <c r="W35" s="3852"/>
      <c r="X35" s="3852"/>
      <c r="Y35" s="3852"/>
      <c r="Z35" s="3852"/>
      <c r="AA35" s="3852"/>
      <c r="AB35" s="3852"/>
      <c r="AC35" s="3852"/>
      <c r="AD35" s="3852"/>
      <c r="AE35" s="3852"/>
      <c r="AF35" s="3852"/>
      <c r="AG35" s="1342"/>
      <c r="AH35" s="1383"/>
    </row>
    <row r="36" spans="2:43" s="1372" customFormat="1" ht="17.149999999999999" customHeight="1">
      <c r="B36" s="1374"/>
      <c r="D36" s="1387" t="b">
        <v>1</v>
      </c>
      <c r="E36" s="3852" t="s">
        <v>1611</v>
      </c>
      <c r="F36" s="3852"/>
      <c r="G36" s="3852"/>
      <c r="H36" s="3852"/>
      <c r="I36" s="3852"/>
      <c r="J36" s="3852"/>
      <c r="K36" s="3852"/>
      <c r="L36" s="3852"/>
      <c r="M36" s="3852"/>
      <c r="N36" s="3852"/>
      <c r="O36" s="3852"/>
      <c r="P36" s="3852"/>
      <c r="Q36" s="1382"/>
      <c r="R36" s="1382"/>
      <c r="S36" s="1382"/>
      <c r="T36" s="1387" t="b">
        <v>0</v>
      </c>
      <c r="U36" s="3852" t="s">
        <v>1617</v>
      </c>
      <c r="V36" s="3852"/>
      <c r="W36" s="3852"/>
      <c r="X36" s="3852"/>
      <c r="Y36" s="3852"/>
      <c r="Z36" s="3852"/>
      <c r="AA36" s="3852"/>
      <c r="AB36" s="3852"/>
      <c r="AC36" s="3852"/>
      <c r="AD36" s="3852"/>
      <c r="AE36" s="3852"/>
      <c r="AF36" s="3852"/>
      <c r="AG36" s="1342"/>
      <c r="AH36" s="1383"/>
    </row>
    <row r="37" spans="2:43" s="1372" customFormat="1" ht="12" customHeight="1">
      <c r="B37" s="1374"/>
      <c r="D37" s="587"/>
      <c r="E37" s="1342"/>
      <c r="J37" s="587"/>
      <c r="K37" s="735"/>
      <c r="L37" s="1359"/>
      <c r="M37" s="1287"/>
      <c r="N37" s="1287"/>
      <c r="O37" s="1376"/>
      <c r="P37" s="1376"/>
      <c r="Q37" s="1376"/>
      <c r="R37" s="1376"/>
      <c r="S37" s="1376"/>
      <c r="T37" s="1376"/>
      <c r="V37" s="1377"/>
      <c r="W37" s="735"/>
      <c r="X37" s="1359"/>
      <c r="Y37" s="1287"/>
      <c r="Z37" s="1287"/>
      <c r="AA37" s="1376"/>
      <c r="AB37" s="1376"/>
      <c r="AC37" s="1376"/>
      <c r="AD37" s="1376"/>
      <c r="AE37" s="1376"/>
      <c r="AF37" s="1376"/>
      <c r="AG37" s="1376"/>
      <c r="AH37" s="1378"/>
    </row>
    <row r="38" spans="2:43" s="1372" customFormat="1" ht="19.75" customHeight="1">
      <c r="B38" s="1374"/>
      <c r="D38" s="1379" t="s">
        <v>1618</v>
      </c>
      <c r="E38" s="1380"/>
      <c r="H38" s="1380"/>
      <c r="L38" s="1380"/>
      <c r="M38" s="1380"/>
      <c r="N38" s="1380"/>
      <c r="O38" s="1380"/>
      <c r="P38" s="1380"/>
      <c r="Q38" s="1380"/>
      <c r="R38" s="1380"/>
      <c r="S38" s="1380"/>
      <c r="V38" s="565"/>
      <c r="W38" s="1381"/>
      <c r="AH38" s="1378"/>
    </row>
    <row r="39" spans="2:43" s="1372" customFormat="1" ht="17.149999999999999" customHeight="1">
      <c r="B39" s="1374"/>
      <c r="D39" s="1387" t="b">
        <v>1</v>
      </c>
      <c r="E39" s="3852" t="s">
        <v>1619</v>
      </c>
      <c r="F39" s="3852"/>
      <c r="G39" s="3852"/>
      <c r="H39" s="3852"/>
      <c r="I39" s="3852"/>
      <c r="J39" s="3852"/>
      <c r="K39" s="3852"/>
      <c r="L39" s="3852"/>
      <c r="M39" s="3852"/>
      <c r="N39" s="3852"/>
      <c r="O39" s="3852"/>
      <c r="P39" s="3852"/>
      <c r="Q39" s="1382"/>
      <c r="R39" s="1382"/>
      <c r="S39" s="1382"/>
      <c r="T39" s="1387" t="b">
        <v>0</v>
      </c>
      <c r="U39" s="3852" t="s">
        <v>1621</v>
      </c>
      <c r="V39" s="3852"/>
      <c r="W39" s="3852"/>
      <c r="X39" s="3852"/>
      <c r="Y39" s="3852"/>
      <c r="Z39" s="3852"/>
      <c r="AA39" s="3852"/>
      <c r="AB39" s="3852"/>
      <c r="AC39" s="3852"/>
      <c r="AD39" s="3852"/>
      <c r="AE39" s="3852"/>
      <c r="AF39" s="3852"/>
      <c r="AG39" s="1342"/>
      <c r="AH39" s="1383"/>
    </row>
    <row r="40" spans="2:43" s="1372" customFormat="1" ht="17.149999999999999" customHeight="1">
      <c r="B40" s="1374"/>
      <c r="D40" s="1377"/>
      <c r="E40" s="3852"/>
      <c r="F40" s="3852"/>
      <c r="G40" s="3852"/>
      <c r="H40" s="3852"/>
      <c r="I40" s="3852"/>
      <c r="J40" s="3852"/>
      <c r="K40" s="3852"/>
      <c r="L40" s="3852"/>
      <c r="M40" s="3852"/>
      <c r="N40" s="3852"/>
      <c r="O40" s="3852"/>
      <c r="P40" s="3852"/>
      <c r="Q40" s="1382"/>
      <c r="R40" s="1382"/>
      <c r="S40" s="1382"/>
      <c r="T40" s="1377"/>
      <c r="U40" s="3852"/>
      <c r="V40" s="3852"/>
      <c r="W40" s="3852"/>
      <c r="X40" s="3852"/>
      <c r="Y40" s="3852"/>
      <c r="Z40" s="3852"/>
      <c r="AA40" s="3852"/>
      <c r="AB40" s="3852"/>
      <c r="AC40" s="3852"/>
      <c r="AD40" s="3852"/>
      <c r="AE40" s="3852"/>
      <c r="AF40" s="3852"/>
      <c r="AG40" s="1342"/>
      <c r="AH40" s="1383"/>
    </row>
    <row r="41" spans="2:43" s="1372" customFormat="1" ht="17.149999999999999" customHeight="1">
      <c r="B41" s="1374"/>
      <c r="D41" s="1377"/>
      <c r="E41" s="3852"/>
      <c r="F41" s="3852"/>
      <c r="G41" s="3852"/>
      <c r="H41" s="3852"/>
      <c r="I41" s="3852"/>
      <c r="J41" s="3852"/>
      <c r="K41" s="3852"/>
      <c r="L41" s="3852"/>
      <c r="M41" s="3852"/>
      <c r="N41" s="3852"/>
      <c r="O41" s="3852"/>
      <c r="P41" s="3852"/>
      <c r="Q41" s="1382"/>
      <c r="R41" s="1382"/>
      <c r="S41" s="1382"/>
      <c r="T41" s="1387" t="b">
        <v>1</v>
      </c>
      <c r="U41" s="3852" t="s">
        <v>1622</v>
      </c>
      <c r="V41" s="3852"/>
      <c r="W41" s="3852"/>
      <c r="X41" s="3852"/>
      <c r="Y41" s="3852"/>
      <c r="Z41" s="3852"/>
      <c r="AA41" s="3852"/>
      <c r="AB41" s="3852"/>
      <c r="AC41" s="3852"/>
      <c r="AD41" s="3852"/>
      <c r="AE41" s="3852"/>
      <c r="AF41" s="3852"/>
      <c r="AG41" s="1342"/>
      <c r="AH41" s="1383"/>
    </row>
    <row r="42" spans="2:43" s="1372" customFormat="1" ht="17.149999999999999" customHeight="1">
      <c r="B42" s="1374"/>
      <c r="D42" s="1387" t="b">
        <v>1</v>
      </c>
      <c r="E42" s="3852" t="s">
        <v>1620</v>
      </c>
      <c r="F42" s="3852"/>
      <c r="G42" s="3852"/>
      <c r="H42" s="3852"/>
      <c r="I42" s="3852"/>
      <c r="J42" s="3852"/>
      <c r="K42" s="3852"/>
      <c r="L42" s="3852"/>
      <c r="M42" s="3852"/>
      <c r="N42" s="3852"/>
      <c r="O42" s="3852"/>
      <c r="P42" s="3852"/>
      <c r="Q42" s="1382"/>
      <c r="R42" s="1382"/>
      <c r="S42" s="1382"/>
      <c r="T42" s="1377"/>
      <c r="U42" s="3852"/>
      <c r="V42" s="3852"/>
      <c r="W42" s="3852"/>
      <c r="X42" s="3852"/>
      <c r="Y42" s="3852"/>
      <c r="Z42" s="3852"/>
      <c r="AA42" s="3852"/>
      <c r="AB42" s="3852"/>
      <c r="AC42" s="3852"/>
      <c r="AD42" s="3852"/>
      <c r="AE42" s="3852"/>
      <c r="AF42" s="3852"/>
      <c r="AG42" s="1342"/>
      <c r="AH42" s="1383"/>
    </row>
    <row r="43" spans="2:43" s="1372" customFormat="1" ht="5.15" customHeight="1">
      <c r="B43" s="1374"/>
      <c r="D43" s="587"/>
      <c r="E43" s="1342"/>
      <c r="J43" s="587"/>
      <c r="K43" s="735"/>
      <c r="L43" s="1359"/>
      <c r="M43" s="1287"/>
      <c r="N43" s="1287"/>
      <c r="O43" s="1376"/>
      <c r="P43" s="1376"/>
      <c r="Q43" s="1376"/>
      <c r="R43" s="1376"/>
      <c r="S43" s="1376"/>
      <c r="T43" s="1376"/>
      <c r="V43" s="1377"/>
      <c r="W43" s="735"/>
      <c r="X43" s="1359"/>
      <c r="Y43" s="1287"/>
      <c r="Z43" s="1287"/>
      <c r="AA43" s="1376"/>
      <c r="AB43" s="1376"/>
      <c r="AC43" s="1376"/>
      <c r="AD43" s="1376"/>
      <c r="AE43" s="1376"/>
      <c r="AF43" s="1376"/>
      <c r="AG43" s="1376"/>
      <c r="AH43" s="1378"/>
    </row>
    <row r="44" spans="2:43" ht="19.5" customHeight="1">
      <c r="B44" s="1298"/>
      <c r="C44" s="1299" t="s">
        <v>158</v>
      </c>
      <c r="D44" s="3732" t="s">
        <v>1890</v>
      </c>
      <c r="E44" s="3732"/>
      <c r="F44" s="3732"/>
      <c r="G44" s="3732"/>
      <c r="H44" s="3732"/>
      <c r="I44" s="3732"/>
      <c r="J44" s="3732"/>
      <c r="K44" s="3732"/>
      <c r="L44" s="3732"/>
      <c r="M44" s="3732"/>
      <c r="N44" s="3732"/>
      <c r="O44" s="3732"/>
      <c r="P44" s="3732"/>
      <c r="Q44" s="3732"/>
      <c r="R44" s="3732"/>
      <c r="S44" s="3732"/>
      <c r="T44" s="3732"/>
      <c r="U44" s="3732"/>
      <c r="V44" s="3732"/>
      <c r="W44" s="3732"/>
      <c r="X44" s="3732"/>
      <c r="Y44" s="3732"/>
      <c r="Z44" s="3732"/>
      <c r="AA44" s="3732"/>
      <c r="AB44" s="3732"/>
      <c r="AC44" s="3732"/>
      <c r="AD44" s="3732"/>
      <c r="AE44" s="3732"/>
      <c r="AF44" s="3732"/>
      <c r="AG44" s="1300"/>
      <c r="AH44" s="1301"/>
    </row>
    <row r="45" spans="2:43" ht="20.5">
      <c r="B45" s="1298"/>
      <c r="C45" s="1299"/>
      <c r="D45" s="1287"/>
      <c r="E45" s="1287"/>
      <c r="F45" s="1287"/>
      <c r="G45" s="1360" t="b">
        <v>1</v>
      </c>
      <c r="H45" s="1358" t="s">
        <v>341</v>
      </c>
      <c r="I45" s="1287"/>
      <c r="J45" s="1287"/>
      <c r="K45" s="1287"/>
      <c r="L45" s="1360" t="b">
        <v>1</v>
      </c>
      <c r="M45" s="1358" t="s">
        <v>676</v>
      </c>
      <c r="N45" s="1287"/>
      <c r="O45" s="1287"/>
      <c r="P45" s="1287"/>
      <c r="Q45" s="1359"/>
      <c r="R45" s="1360" t="b">
        <v>1</v>
      </c>
      <c r="S45" s="1358" t="s">
        <v>206</v>
      </c>
      <c r="T45" s="1359"/>
      <c r="U45" s="1359"/>
      <c r="V45" s="1287"/>
      <c r="W45" s="1360" t="b">
        <v>1</v>
      </c>
      <c r="X45" s="1358" t="s">
        <v>66</v>
      </c>
      <c r="Y45" s="1359"/>
      <c r="Z45" s="1359"/>
      <c r="AA45" s="1287"/>
      <c r="AB45" s="1360" t="b">
        <v>1</v>
      </c>
      <c r="AC45" s="1358" t="s">
        <v>677</v>
      </c>
      <c r="AD45" s="1359"/>
      <c r="AE45" s="1359"/>
      <c r="AF45" s="1359"/>
      <c r="AG45" s="1300"/>
      <c r="AH45" s="1301"/>
    </row>
    <row r="46" spans="2:43" s="1342" customFormat="1" ht="16" customHeight="1">
      <c r="B46" s="1339"/>
      <c r="C46" s="1299" t="s">
        <v>159</v>
      </c>
      <c r="D46" s="1360" t="b">
        <v>0</v>
      </c>
      <c r="E46" s="3786" t="s">
        <v>1772</v>
      </c>
      <c r="F46" s="3786"/>
      <c r="G46" s="3786"/>
      <c r="H46" s="3786"/>
      <c r="I46" s="3786"/>
      <c r="J46" s="3786"/>
      <c r="K46" s="3786"/>
      <c r="L46" s="3786"/>
      <c r="M46" s="3786"/>
      <c r="N46" s="3786"/>
      <c r="O46" s="3786"/>
      <c r="P46" s="3786"/>
      <c r="Q46" s="3786"/>
      <c r="R46" s="3786"/>
      <c r="S46" s="3786"/>
      <c r="T46" s="3786"/>
      <c r="U46" s="3786"/>
      <c r="V46" s="3786"/>
      <c r="W46" s="3786"/>
      <c r="X46" s="3786"/>
      <c r="Y46" s="3786"/>
      <c r="Z46" s="3786"/>
      <c r="AA46" s="3786"/>
      <c r="AB46" s="3786"/>
      <c r="AC46" s="3786"/>
      <c r="AD46" s="3786"/>
      <c r="AE46" s="3786"/>
      <c r="AF46" s="3786"/>
      <c r="AG46" s="1340"/>
      <c r="AH46" s="1341"/>
      <c r="AI46" s="1340"/>
      <c r="AJ46" s="1340"/>
      <c r="AK46" s="1340"/>
      <c r="AL46" s="1340"/>
      <c r="AM46" s="1340"/>
      <c r="AN46" s="1340"/>
      <c r="AO46" s="1340"/>
      <c r="AP46" s="1340"/>
      <c r="AQ46" s="1340"/>
    </row>
    <row r="47" spans="2:43" s="1342" customFormat="1" ht="16" customHeight="1">
      <c r="B47" s="1339"/>
      <c r="C47" s="1299"/>
      <c r="D47" s="1365"/>
      <c r="E47" s="3786"/>
      <c r="F47" s="3786"/>
      <c r="G47" s="3786"/>
      <c r="H47" s="3786"/>
      <c r="I47" s="3786"/>
      <c r="J47" s="3786"/>
      <c r="K47" s="3786"/>
      <c r="L47" s="3786"/>
      <c r="M47" s="3786"/>
      <c r="N47" s="3786"/>
      <c r="O47" s="3786"/>
      <c r="P47" s="3786"/>
      <c r="Q47" s="3786"/>
      <c r="R47" s="3786"/>
      <c r="S47" s="3786"/>
      <c r="T47" s="3786"/>
      <c r="U47" s="3786"/>
      <c r="V47" s="3786"/>
      <c r="W47" s="3786"/>
      <c r="X47" s="3786"/>
      <c r="Y47" s="3786"/>
      <c r="Z47" s="3786"/>
      <c r="AA47" s="3786"/>
      <c r="AB47" s="3786"/>
      <c r="AC47" s="3786"/>
      <c r="AD47" s="3786"/>
      <c r="AE47" s="3786"/>
      <c r="AF47" s="3786"/>
      <c r="AG47" s="1340"/>
      <c r="AH47" s="1341"/>
      <c r="AI47" s="1340"/>
      <c r="AJ47" s="1340"/>
      <c r="AK47" s="1340"/>
      <c r="AL47" s="1340"/>
      <c r="AM47" s="1340"/>
      <c r="AN47" s="1340"/>
      <c r="AO47" s="1340"/>
      <c r="AP47" s="1340"/>
      <c r="AQ47" s="1340"/>
    </row>
    <row r="48" spans="2:43" s="1342" customFormat="1" ht="16" customHeight="1">
      <c r="B48" s="1339"/>
      <c r="C48" s="1299" t="s">
        <v>160</v>
      </c>
      <c r="D48" s="1360" t="b">
        <v>0</v>
      </c>
      <c r="E48" s="3786" t="s">
        <v>1623</v>
      </c>
      <c r="F48" s="3786"/>
      <c r="G48" s="3786"/>
      <c r="H48" s="3786"/>
      <c r="I48" s="3786"/>
      <c r="J48" s="3786"/>
      <c r="K48" s="3786"/>
      <c r="L48" s="3786"/>
      <c r="M48" s="3786"/>
      <c r="N48" s="3786"/>
      <c r="O48" s="3786"/>
      <c r="P48" s="3786"/>
      <c r="Q48" s="3786"/>
      <c r="R48" s="3786"/>
      <c r="S48" s="3786"/>
      <c r="T48" s="3786"/>
      <c r="U48" s="3786"/>
      <c r="V48" s="3786"/>
      <c r="W48" s="3786"/>
      <c r="X48" s="3786"/>
      <c r="Y48" s="3786"/>
      <c r="Z48" s="3786"/>
      <c r="AA48" s="3786"/>
      <c r="AB48" s="3786"/>
      <c r="AC48" s="3786"/>
      <c r="AD48" s="3786"/>
      <c r="AE48" s="3786"/>
      <c r="AF48" s="3786"/>
      <c r="AG48" s="1340"/>
      <c r="AH48" s="1341"/>
      <c r="AI48" s="1340"/>
      <c r="AJ48" s="1340"/>
      <c r="AK48" s="1340"/>
      <c r="AL48" s="1340"/>
      <c r="AM48" s="1340"/>
      <c r="AN48" s="1340"/>
      <c r="AO48" s="1340"/>
      <c r="AP48" s="1340"/>
      <c r="AQ48" s="1340"/>
    </row>
    <row r="49" spans="2:43" s="1342" customFormat="1" ht="16" customHeight="1">
      <c r="B49" s="1339"/>
      <c r="C49" s="1299"/>
      <c r="D49" s="1365"/>
      <c r="E49" s="3786"/>
      <c r="F49" s="3786"/>
      <c r="G49" s="3786"/>
      <c r="H49" s="3786"/>
      <c r="I49" s="3786"/>
      <c r="J49" s="3786"/>
      <c r="K49" s="3786"/>
      <c r="L49" s="3786"/>
      <c r="M49" s="3786"/>
      <c r="N49" s="3786"/>
      <c r="O49" s="3786"/>
      <c r="P49" s="3786"/>
      <c r="Q49" s="3786"/>
      <c r="R49" s="3786"/>
      <c r="S49" s="3786"/>
      <c r="T49" s="3786"/>
      <c r="U49" s="3786"/>
      <c r="V49" s="3786"/>
      <c r="W49" s="3786"/>
      <c r="X49" s="3786"/>
      <c r="Y49" s="3786"/>
      <c r="Z49" s="3786"/>
      <c r="AA49" s="3786"/>
      <c r="AB49" s="3786"/>
      <c r="AC49" s="3786"/>
      <c r="AD49" s="3786"/>
      <c r="AE49" s="3786"/>
      <c r="AF49" s="3786"/>
      <c r="AG49" s="1340"/>
      <c r="AH49" s="1341"/>
      <c r="AI49" s="1340"/>
      <c r="AJ49" s="1340"/>
      <c r="AK49" s="1340"/>
      <c r="AL49" s="1340"/>
      <c r="AM49" s="1340"/>
      <c r="AN49" s="1340"/>
      <c r="AO49" s="1340"/>
      <c r="AP49" s="1340"/>
      <c r="AQ49" s="1340"/>
    </row>
    <row r="50" spans="2:43" s="1342" customFormat="1" ht="20.5">
      <c r="B50" s="1339"/>
      <c r="C50" s="1345" t="s">
        <v>161</v>
      </c>
      <c r="D50" s="1360" t="b">
        <v>0</v>
      </c>
      <c r="E50" s="3853" t="s">
        <v>1624</v>
      </c>
      <c r="F50" s="3853"/>
      <c r="G50" s="3853"/>
      <c r="H50" s="3853"/>
      <c r="I50" s="3853"/>
      <c r="J50" s="3853"/>
      <c r="K50" s="3853"/>
      <c r="L50" s="3853"/>
      <c r="M50" s="3853"/>
      <c r="N50" s="3853"/>
      <c r="O50" s="3853"/>
      <c r="P50" s="3853"/>
      <c r="Q50" s="3853"/>
      <c r="R50" s="3853"/>
      <c r="S50" s="3853"/>
      <c r="T50" s="3853"/>
      <c r="U50" s="3853"/>
      <c r="V50" s="3853"/>
      <c r="W50" s="3853"/>
      <c r="X50" s="3853"/>
      <c r="Y50" s="3853"/>
      <c r="Z50" s="3853"/>
      <c r="AA50" s="3853"/>
      <c r="AB50" s="3853"/>
      <c r="AC50" s="3853"/>
      <c r="AD50" s="3853"/>
      <c r="AE50" s="3853"/>
      <c r="AF50" s="3853"/>
      <c r="AG50" s="1340"/>
      <c r="AH50" s="1341"/>
      <c r="AI50" s="1340"/>
      <c r="AJ50" s="1340"/>
      <c r="AK50" s="1340"/>
      <c r="AL50" s="1340"/>
      <c r="AM50" s="1340"/>
      <c r="AN50" s="1340"/>
      <c r="AO50" s="1340"/>
      <c r="AP50" s="1340"/>
      <c r="AQ50" s="1340"/>
    </row>
    <row r="51" spans="2:43" s="1342" customFormat="1" ht="20.5">
      <c r="B51" s="1339"/>
      <c r="C51" s="1345" t="s">
        <v>162</v>
      </c>
      <c r="D51" s="1360" t="b">
        <v>0</v>
      </c>
      <c r="E51" s="3853" t="s">
        <v>665</v>
      </c>
      <c r="F51" s="3853"/>
      <c r="G51" s="3853"/>
      <c r="H51" s="3853"/>
      <c r="I51" s="3853"/>
      <c r="J51" s="3853"/>
      <c r="K51" s="3853"/>
      <c r="L51" s="3853"/>
      <c r="M51" s="3853"/>
      <c r="N51" s="3853"/>
      <c r="O51" s="3853"/>
      <c r="P51" s="3853"/>
      <c r="Q51" s="3853"/>
      <c r="R51" s="3853"/>
      <c r="S51" s="3853"/>
      <c r="T51" s="3853"/>
      <c r="U51" s="3853"/>
      <c r="V51" s="3853"/>
      <c r="W51" s="3853"/>
      <c r="X51" s="3853"/>
      <c r="Y51" s="3853"/>
      <c r="Z51" s="3853"/>
      <c r="AA51" s="3853"/>
      <c r="AB51" s="3853"/>
      <c r="AC51" s="3853"/>
      <c r="AD51" s="3853"/>
      <c r="AE51" s="3853"/>
      <c r="AF51" s="3853"/>
      <c r="AG51" s="1340"/>
      <c r="AH51" s="1341"/>
      <c r="AI51" s="1340"/>
      <c r="AJ51" s="1340"/>
      <c r="AK51" s="1340"/>
      <c r="AL51" s="1340"/>
      <c r="AM51" s="1340"/>
      <c r="AN51" s="1340"/>
      <c r="AO51" s="1340"/>
      <c r="AP51" s="1340"/>
      <c r="AQ51" s="1340"/>
    </row>
    <row r="52" spans="2:43" s="1342" customFormat="1" ht="20.5">
      <c r="B52" s="1339"/>
      <c r="C52" s="1345" t="s">
        <v>163</v>
      </c>
      <c r="D52" s="1360" t="b">
        <v>1</v>
      </c>
      <c r="E52" s="3853" t="s">
        <v>1625</v>
      </c>
      <c r="F52" s="3853"/>
      <c r="G52" s="3853"/>
      <c r="H52" s="3853"/>
      <c r="I52" s="3853"/>
      <c r="J52" s="3853"/>
      <c r="K52" s="3853"/>
      <c r="L52" s="3853"/>
      <c r="M52" s="3853"/>
      <c r="N52" s="3853"/>
      <c r="O52" s="3853"/>
      <c r="P52" s="3853"/>
      <c r="Q52" s="3853"/>
      <c r="R52" s="3853"/>
      <c r="S52" s="3853"/>
      <c r="T52" s="3853"/>
      <c r="U52" s="3853"/>
      <c r="V52" s="3853"/>
      <c r="W52" s="3853"/>
      <c r="X52" s="3853"/>
      <c r="Y52" s="3853"/>
      <c r="Z52" s="3853"/>
      <c r="AA52" s="3853"/>
      <c r="AB52" s="3853"/>
      <c r="AC52" s="3853"/>
      <c r="AD52" s="3853"/>
      <c r="AE52" s="3853"/>
      <c r="AF52" s="3853"/>
      <c r="AG52" s="1340"/>
      <c r="AH52" s="1341"/>
      <c r="AI52" s="1340"/>
      <c r="AJ52" s="1340"/>
      <c r="AK52" s="1340"/>
      <c r="AL52" s="1340"/>
      <c r="AM52" s="1340"/>
      <c r="AN52" s="1340"/>
      <c r="AO52" s="1340"/>
      <c r="AP52" s="1340"/>
      <c r="AQ52" s="1340"/>
    </row>
    <row r="53" spans="2:43" s="1342" customFormat="1" ht="20.5">
      <c r="B53" s="1339"/>
      <c r="C53" s="1345" t="s">
        <v>164</v>
      </c>
      <c r="D53" s="1360" t="b">
        <v>1</v>
      </c>
      <c r="E53" s="3853" t="s">
        <v>1626</v>
      </c>
      <c r="F53" s="3853"/>
      <c r="G53" s="3853"/>
      <c r="H53" s="3853"/>
      <c r="I53" s="3853"/>
      <c r="J53" s="3853"/>
      <c r="K53" s="3853"/>
      <c r="L53" s="3853"/>
      <c r="M53" s="3853"/>
      <c r="N53" s="3853"/>
      <c r="O53" s="3853"/>
      <c r="P53" s="3853"/>
      <c r="Q53" s="3853"/>
      <c r="R53" s="3853"/>
      <c r="S53" s="3853"/>
      <c r="T53" s="3853"/>
      <c r="U53" s="3853"/>
      <c r="V53" s="3853"/>
      <c r="W53" s="3853"/>
      <c r="X53" s="3853"/>
      <c r="Y53" s="3853"/>
      <c r="Z53" s="3853"/>
      <c r="AA53" s="3853"/>
      <c r="AB53" s="3853"/>
      <c r="AC53" s="3853"/>
      <c r="AD53" s="3853"/>
      <c r="AE53" s="3853"/>
      <c r="AF53" s="3853"/>
      <c r="AG53" s="1340"/>
      <c r="AH53" s="1341"/>
      <c r="AI53" s="1340"/>
      <c r="AJ53" s="1340"/>
      <c r="AK53" s="1340"/>
      <c r="AL53" s="1340"/>
      <c r="AM53" s="1340"/>
      <c r="AN53" s="1340"/>
      <c r="AO53" s="1340"/>
      <c r="AP53" s="1340"/>
      <c r="AQ53" s="1340"/>
    </row>
    <row r="54" spans="2:43" s="1342" customFormat="1" ht="20.5">
      <c r="B54" s="1339"/>
      <c r="C54" s="1345" t="s">
        <v>706</v>
      </c>
      <c r="D54" s="1360" t="b">
        <v>1</v>
      </c>
      <c r="E54" s="3853" t="s">
        <v>1627</v>
      </c>
      <c r="F54" s="3853"/>
      <c r="G54" s="3853"/>
      <c r="H54" s="3853"/>
      <c r="I54" s="3853"/>
      <c r="J54" s="3853"/>
      <c r="K54" s="3853"/>
      <c r="L54" s="3853"/>
      <c r="M54" s="3853"/>
      <c r="N54" s="3853"/>
      <c r="O54" s="3853"/>
      <c r="P54" s="3853"/>
      <c r="Q54" s="3853"/>
      <c r="R54" s="3853"/>
      <c r="S54" s="3853"/>
      <c r="T54" s="3853"/>
      <c r="U54" s="3853"/>
      <c r="V54" s="3853"/>
      <c r="W54" s="3853"/>
      <c r="X54" s="3853"/>
      <c r="Y54" s="3853"/>
      <c r="Z54" s="3853"/>
      <c r="AA54" s="3853"/>
      <c r="AB54" s="3853"/>
      <c r="AC54" s="3853"/>
      <c r="AD54" s="3853"/>
      <c r="AE54" s="3853"/>
      <c r="AF54" s="3853"/>
      <c r="AG54" s="1340"/>
      <c r="AH54" s="1341"/>
      <c r="AI54" s="1340"/>
      <c r="AJ54" s="1340"/>
      <c r="AK54" s="1340"/>
      <c r="AL54" s="1340"/>
      <c r="AM54" s="1340"/>
      <c r="AN54" s="1340"/>
      <c r="AO54" s="1340"/>
      <c r="AP54" s="1340"/>
      <c r="AQ54" s="1340"/>
    </row>
    <row r="55" spans="2:43" ht="5.15" customHeight="1" thickBot="1">
      <c r="B55" s="1331"/>
      <c r="C55" s="1338"/>
      <c r="D55" s="1338"/>
      <c r="E55" s="1338"/>
      <c r="F55" s="1338"/>
      <c r="G55" s="1338"/>
      <c r="H55" s="1338"/>
      <c r="I55" s="1338"/>
      <c r="J55" s="1338"/>
      <c r="K55" s="1338"/>
      <c r="L55" s="1338"/>
      <c r="M55" s="1338"/>
      <c r="N55" s="1338"/>
      <c r="O55" s="1338"/>
      <c r="P55" s="1338"/>
      <c r="Q55" s="1338"/>
      <c r="R55" s="1338"/>
      <c r="S55" s="1338"/>
      <c r="T55" s="1338"/>
      <c r="U55" s="1338"/>
      <c r="V55" s="1338"/>
      <c r="W55" s="1338"/>
      <c r="X55" s="1338"/>
      <c r="Y55" s="1338"/>
      <c r="Z55" s="1338"/>
      <c r="AA55" s="1338"/>
      <c r="AB55" s="1338"/>
      <c r="AC55" s="1338"/>
      <c r="AD55" s="1338"/>
      <c r="AE55" s="1338"/>
      <c r="AF55" s="1338"/>
      <c r="AG55" s="1338"/>
      <c r="AH55" s="1310"/>
    </row>
    <row r="56" spans="2:43" ht="30" customHeight="1" thickBot="1">
      <c r="B56" s="1298"/>
      <c r="C56" s="1299" t="s">
        <v>704</v>
      </c>
      <c r="D56" s="3854" t="s">
        <v>1628</v>
      </c>
      <c r="E56" s="3854"/>
      <c r="F56" s="3854"/>
      <c r="G56" s="3854"/>
      <c r="H56" s="3854"/>
      <c r="I56" s="3854"/>
      <c r="J56" s="3854"/>
      <c r="K56" s="3854"/>
      <c r="L56" s="3854"/>
      <c r="M56" s="3854"/>
      <c r="N56" s="3854"/>
      <c r="O56" s="3854"/>
      <c r="P56" s="3854"/>
      <c r="Q56" s="3854"/>
      <c r="R56" s="3854"/>
      <c r="S56" s="3854"/>
      <c r="T56" s="3854"/>
      <c r="U56" s="3854"/>
      <c r="V56" s="3854"/>
      <c r="W56" s="3854"/>
      <c r="X56" s="3854"/>
      <c r="Y56" s="3854"/>
      <c r="Z56" s="3854"/>
      <c r="AA56" s="3854"/>
      <c r="AB56" s="3854"/>
      <c r="AC56" s="1346"/>
      <c r="AD56" s="3778">
        <v>4</v>
      </c>
      <c r="AE56" s="3779"/>
      <c r="AF56" s="3780"/>
      <c r="AG56" s="1300"/>
      <c r="AH56" s="1301"/>
    </row>
    <row r="57" spans="2:43" ht="5.15" customHeight="1" thickBot="1">
      <c r="B57" s="1331"/>
      <c r="C57" s="1338"/>
      <c r="D57" s="1338"/>
      <c r="E57" s="1338"/>
      <c r="F57" s="1338"/>
      <c r="G57" s="1338"/>
      <c r="H57" s="1338"/>
      <c r="I57" s="1338"/>
      <c r="J57" s="1338"/>
      <c r="K57" s="1338"/>
      <c r="L57" s="1338"/>
      <c r="M57" s="1338"/>
      <c r="N57" s="1338"/>
      <c r="O57" s="1338"/>
      <c r="P57" s="1338"/>
      <c r="Q57" s="1338"/>
      <c r="R57" s="1338"/>
      <c r="S57" s="1338"/>
      <c r="T57" s="1338"/>
      <c r="U57" s="1338"/>
      <c r="V57" s="1338"/>
      <c r="W57" s="1338"/>
      <c r="X57" s="1338"/>
      <c r="Y57" s="1338"/>
      <c r="Z57" s="1338"/>
      <c r="AA57" s="1338"/>
      <c r="AB57" s="1338"/>
      <c r="AC57" s="1338"/>
      <c r="AD57" s="1338"/>
      <c r="AE57" s="1338"/>
      <c r="AF57" s="1338"/>
      <c r="AG57" s="1338"/>
      <c r="AH57" s="1310"/>
    </row>
    <row r="58" spans="2:43" ht="30" customHeight="1" thickBot="1">
      <c r="B58" s="1298"/>
      <c r="C58" s="1299" t="s">
        <v>702</v>
      </c>
      <c r="D58" s="3732" t="s">
        <v>1629</v>
      </c>
      <c r="E58" s="3732"/>
      <c r="F58" s="3732"/>
      <c r="G58" s="3732"/>
      <c r="H58" s="3732"/>
      <c r="I58" s="3732"/>
      <c r="J58" s="3732"/>
      <c r="K58" s="3732"/>
      <c r="L58" s="3732"/>
      <c r="M58" s="3732"/>
      <c r="N58" s="3732"/>
      <c r="O58" s="3732"/>
      <c r="P58" s="3732"/>
      <c r="Q58" s="3732"/>
      <c r="R58" s="3732"/>
      <c r="S58" s="3732"/>
      <c r="T58" s="3732"/>
      <c r="U58" s="3732"/>
      <c r="V58" s="3732"/>
      <c r="W58" s="3732"/>
      <c r="X58" s="3732"/>
      <c r="Y58" s="3732"/>
      <c r="Z58" s="3732"/>
      <c r="AA58" s="3732"/>
      <c r="AB58" s="3732"/>
      <c r="AC58" s="1347"/>
      <c r="AD58" s="3778">
        <v>0</v>
      </c>
      <c r="AE58" s="3779"/>
      <c r="AF58" s="3780"/>
      <c r="AG58" s="1300"/>
      <c r="AH58" s="1301"/>
    </row>
    <row r="59" spans="2:43" ht="5.15" customHeight="1" thickBot="1">
      <c r="B59" s="1331"/>
      <c r="C59" s="1338"/>
      <c r="D59" s="1338"/>
      <c r="E59" s="1338"/>
      <c r="F59" s="1338"/>
      <c r="G59" s="1338"/>
      <c r="H59" s="1338"/>
      <c r="I59" s="1338"/>
      <c r="J59" s="1338"/>
      <c r="K59" s="1338"/>
      <c r="L59" s="1338"/>
      <c r="M59" s="1338"/>
      <c r="N59" s="1338"/>
      <c r="O59" s="1338"/>
      <c r="P59" s="1338"/>
      <c r="Q59" s="1338"/>
      <c r="R59" s="1338"/>
      <c r="S59" s="1338"/>
      <c r="T59" s="1338"/>
      <c r="U59" s="1338"/>
      <c r="V59" s="1338"/>
      <c r="W59" s="1338"/>
      <c r="X59" s="1338"/>
      <c r="Y59" s="1338"/>
      <c r="Z59" s="1338"/>
      <c r="AA59" s="1338"/>
      <c r="AB59" s="1338"/>
      <c r="AC59" s="1338"/>
      <c r="AD59" s="1338"/>
      <c r="AE59" s="1338"/>
      <c r="AF59" s="1338"/>
      <c r="AG59" s="1338"/>
      <c r="AH59" s="1310"/>
    </row>
    <row r="60" spans="2:43" ht="30" customHeight="1" thickBot="1">
      <c r="B60" s="1298"/>
      <c r="C60" s="1345" t="s">
        <v>700</v>
      </c>
      <c r="D60" s="3854" t="s">
        <v>1630</v>
      </c>
      <c r="E60" s="3854"/>
      <c r="F60" s="3854"/>
      <c r="G60" s="3854"/>
      <c r="H60" s="3854"/>
      <c r="I60" s="3854"/>
      <c r="J60" s="3854"/>
      <c r="K60" s="3854"/>
      <c r="L60" s="3854"/>
      <c r="M60" s="3854"/>
      <c r="N60" s="3854"/>
      <c r="O60" s="3854"/>
      <c r="P60" s="3854"/>
      <c r="Q60" s="3854"/>
      <c r="R60" s="3854"/>
      <c r="S60" s="3854"/>
      <c r="T60" s="3854"/>
      <c r="U60" s="3854"/>
      <c r="V60" s="3854"/>
      <c r="W60" s="3854"/>
      <c r="X60" s="3854"/>
      <c r="Y60" s="3854"/>
      <c r="Z60" s="3854"/>
      <c r="AA60" s="3854"/>
      <c r="AB60" s="3854"/>
      <c r="AC60" s="1346"/>
      <c r="AD60" s="3778">
        <v>1</v>
      </c>
      <c r="AE60" s="3779"/>
      <c r="AF60" s="3780"/>
      <c r="AG60" s="1300"/>
      <c r="AH60" s="1301"/>
    </row>
    <row r="61" spans="2:43" ht="5.15" customHeight="1" thickBot="1">
      <c r="B61" s="1331"/>
      <c r="C61" s="1338"/>
      <c r="D61" s="1338"/>
      <c r="E61" s="1338"/>
      <c r="F61" s="1338"/>
      <c r="G61" s="1338"/>
      <c r="H61" s="1338"/>
      <c r="I61" s="1338"/>
      <c r="J61" s="1338"/>
      <c r="K61" s="1338"/>
      <c r="L61" s="1338"/>
      <c r="M61" s="1338"/>
      <c r="N61" s="1338"/>
      <c r="O61" s="1338"/>
      <c r="P61" s="1338"/>
      <c r="Q61" s="1338"/>
      <c r="R61" s="1338"/>
      <c r="S61" s="1338"/>
      <c r="T61" s="1338"/>
      <c r="U61" s="1338"/>
      <c r="V61" s="1338"/>
      <c r="W61" s="1338"/>
      <c r="X61" s="1338"/>
      <c r="Y61" s="1338"/>
      <c r="Z61" s="1338"/>
      <c r="AA61" s="1338"/>
      <c r="AB61" s="1338"/>
      <c r="AC61" s="1338"/>
      <c r="AD61" s="77"/>
      <c r="AE61" s="77"/>
      <c r="AF61" s="77"/>
      <c r="AG61" s="1338"/>
      <c r="AH61" s="1310"/>
    </row>
    <row r="62" spans="2:43" ht="30" customHeight="1" thickBot="1">
      <c r="B62" s="1298"/>
      <c r="C62" s="1299" t="s">
        <v>698</v>
      </c>
      <c r="D62" s="3732" t="s">
        <v>1631</v>
      </c>
      <c r="E62" s="3732"/>
      <c r="F62" s="3732"/>
      <c r="G62" s="3732"/>
      <c r="H62" s="3732"/>
      <c r="I62" s="3732"/>
      <c r="J62" s="3732"/>
      <c r="K62" s="3732"/>
      <c r="L62" s="3732"/>
      <c r="M62" s="3732"/>
      <c r="N62" s="3732"/>
      <c r="O62" s="3732"/>
      <c r="P62" s="3732"/>
      <c r="Q62" s="3732"/>
      <c r="R62" s="3732"/>
      <c r="S62" s="3732"/>
      <c r="T62" s="3732"/>
      <c r="U62" s="3732"/>
      <c r="V62" s="3732"/>
      <c r="W62" s="3732"/>
      <c r="X62" s="3732"/>
      <c r="Y62" s="3732"/>
      <c r="Z62" s="3732"/>
      <c r="AA62" s="3732"/>
      <c r="AB62" s="3732"/>
      <c r="AC62" s="1347"/>
      <c r="AD62" s="3778">
        <v>0</v>
      </c>
      <c r="AE62" s="3779"/>
      <c r="AF62" s="3780"/>
      <c r="AG62" s="1300"/>
      <c r="AH62" s="1301"/>
    </row>
    <row r="63" spans="2:43" ht="10" customHeight="1" thickBot="1">
      <c r="B63" s="1281"/>
      <c r="C63" s="1282"/>
      <c r="D63" s="1283"/>
      <c r="E63" s="1284"/>
      <c r="F63" s="1284"/>
      <c r="G63" s="1284"/>
      <c r="H63" s="1284"/>
      <c r="I63" s="1284"/>
      <c r="J63" s="1284"/>
      <c r="K63" s="1285"/>
      <c r="L63" s="1285"/>
      <c r="M63" s="1285"/>
      <c r="N63" s="1285"/>
      <c r="O63" s="1285"/>
      <c r="P63" s="1285"/>
      <c r="Q63" s="1285"/>
      <c r="R63" s="1285"/>
      <c r="S63" s="1285"/>
      <c r="T63" s="1285"/>
      <c r="U63" s="1285"/>
      <c r="V63" s="1285"/>
      <c r="W63" s="1285"/>
      <c r="X63" s="1285"/>
      <c r="Y63" s="1285"/>
      <c r="Z63" s="1285"/>
      <c r="AA63" s="1285"/>
      <c r="AB63" s="1285"/>
      <c r="AC63" s="1285"/>
      <c r="AD63" s="1285"/>
      <c r="AE63" s="1285"/>
      <c r="AF63" s="1285"/>
      <c r="AG63" s="1285"/>
      <c r="AH63" s="1286"/>
      <c r="AK63" s="1372"/>
    </row>
    <row r="64" spans="2:43" ht="10" customHeight="1" thickTop="1">
      <c r="B64" s="1344"/>
      <c r="C64" s="587"/>
      <c r="E64" s="1300"/>
      <c r="F64" s="1300"/>
      <c r="G64" s="1300"/>
      <c r="H64" s="1300"/>
      <c r="I64" s="1300"/>
      <c r="J64" s="1300"/>
      <c r="K64" s="1287"/>
      <c r="L64" s="1287"/>
      <c r="M64" s="1287"/>
      <c r="N64" s="1287"/>
      <c r="O64" s="1287"/>
      <c r="P64" s="1287"/>
      <c r="Q64" s="1287"/>
      <c r="R64" s="1287"/>
      <c r="S64" s="1287"/>
      <c r="T64" s="1287"/>
      <c r="U64" s="1287"/>
      <c r="V64" s="1287"/>
      <c r="W64" s="1287"/>
      <c r="X64" s="1287"/>
      <c r="Y64" s="1287"/>
      <c r="Z64" s="1287"/>
      <c r="AA64" s="1287"/>
      <c r="AB64" s="1287"/>
      <c r="AC64" s="1287"/>
      <c r="AD64" s="1287"/>
      <c r="AE64" s="1287"/>
      <c r="AF64" s="1287"/>
    </row>
    <row r="65" spans="2:36" s="180" customFormat="1" ht="17.25" customHeight="1">
      <c r="B65" s="3855" t="s">
        <v>1891</v>
      </c>
      <c r="C65" s="3855"/>
      <c r="D65" s="3855"/>
      <c r="E65" s="3855"/>
      <c r="F65" s="3855"/>
      <c r="G65" s="3855"/>
      <c r="H65" s="3855"/>
      <c r="I65" s="3855"/>
      <c r="J65" s="3855"/>
      <c r="K65" s="3855"/>
      <c r="L65" s="3855"/>
      <c r="M65" s="3855"/>
      <c r="N65" s="3855"/>
      <c r="O65" s="3855"/>
      <c r="P65" s="3855"/>
      <c r="Q65" s="3855"/>
      <c r="R65" s="3855"/>
      <c r="S65" s="3855"/>
      <c r="T65" s="3855"/>
      <c r="U65" s="3855"/>
      <c r="V65" s="3855"/>
      <c r="W65" s="3855"/>
      <c r="X65" s="3855"/>
      <c r="Y65" s="3855"/>
      <c r="Z65" s="3855"/>
      <c r="AA65" s="3855"/>
      <c r="AB65" s="3855"/>
      <c r="AC65" s="3855"/>
      <c r="AD65" s="3855"/>
    </row>
    <row r="66" spans="2:36" s="602" customFormat="1" ht="30.75" customHeight="1"/>
    <row r="67" spans="2:36" s="1235" customFormat="1" ht="14">
      <c r="B67" s="169" t="s">
        <v>847</v>
      </c>
      <c r="V67" s="169" t="s">
        <v>747</v>
      </c>
    </row>
    <row r="68" spans="2:36" s="1235" customFormat="1" ht="21.75" customHeight="1">
      <c r="B68" s="169" t="s">
        <v>748</v>
      </c>
      <c r="F68" s="3607" t="str">
        <f>activesheet!E29</f>
        <v>RICO S. MISPEROS</v>
      </c>
      <c r="G68" s="3607"/>
      <c r="H68" s="3607"/>
      <c r="I68" s="3607"/>
      <c r="J68" s="3607"/>
      <c r="K68" s="3607"/>
      <c r="L68" s="3607"/>
      <c r="M68" s="3607"/>
      <c r="N68" s="3607"/>
      <c r="O68" s="1290"/>
      <c r="P68" s="1290"/>
      <c r="Q68" s="1290"/>
      <c r="R68" s="1290"/>
      <c r="S68" s="1290"/>
      <c r="T68" s="1290"/>
      <c r="U68" s="1290"/>
      <c r="V68" s="3607" t="str">
        <f>activesheet!E3244</f>
        <v>ELYN KENDRA D. DELA CRUZ</v>
      </c>
      <c r="W68" s="3607"/>
      <c r="X68" s="3607"/>
      <c r="Y68" s="3607"/>
      <c r="Z68" s="3607"/>
      <c r="AA68" s="3607"/>
      <c r="AB68" s="3607"/>
      <c r="AC68" s="3607"/>
      <c r="AD68" s="3607"/>
      <c r="AE68" s="3607"/>
      <c r="AF68" s="3607"/>
      <c r="AG68" s="3607"/>
      <c r="AH68" s="3607"/>
    </row>
    <row r="69" spans="2:36" s="1237" customFormat="1" ht="14.15" customHeight="1">
      <c r="B69" s="655"/>
      <c r="F69" s="1776" t="s">
        <v>741</v>
      </c>
      <c r="G69" s="1776"/>
      <c r="H69" s="1776"/>
      <c r="I69" s="1776"/>
      <c r="J69" s="1776"/>
      <c r="K69" s="1776"/>
      <c r="L69" s="1776"/>
      <c r="M69" s="1776"/>
      <c r="N69" s="1776"/>
      <c r="O69" s="151"/>
      <c r="P69" s="151"/>
      <c r="Q69" s="151"/>
      <c r="R69" s="151"/>
      <c r="S69" s="151"/>
      <c r="T69" s="151"/>
      <c r="U69" s="151"/>
      <c r="V69" s="1776" t="s">
        <v>741</v>
      </c>
      <c r="W69" s="1776"/>
      <c r="X69" s="1776"/>
      <c r="Y69" s="1776"/>
      <c r="Z69" s="1776"/>
      <c r="AA69" s="1776"/>
      <c r="AB69" s="1776"/>
      <c r="AC69" s="1776"/>
      <c r="AD69" s="1776"/>
      <c r="AE69" s="1776"/>
      <c r="AF69" s="1776"/>
      <c r="AG69" s="1776"/>
      <c r="AH69" s="1776"/>
      <c r="AI69" s="153"/>
      <c r="AJ69" s="153"/>
    </row>
    <row r="70" spans="2:36" s="1235" customFormat="1" ht="21.75" customHeight="1">
      <c r="B70" s="169" t="s">
        <v>71</v>
      </c>
      <c r="F70" s="3607" t="str">
        <f>activesheet!E30</f>
        <v>SCHOOL PRINCIPAL II</v>
      </c>
      <c r="G70" s="3607"/>
      <c r="H70" s="3607"/>
      <c r="I70" s="3607"/>
      <c r="J70" s="3607"/>
      <c r="K70" s="3607"/>
      <c r="L70" s="3607"/>
      <c r="M70" s="3607"/>
      <c r="N70" s="3607"/>
      <c r="O70" s="1290"/>
      <c r="P70" s="1290"/>
      <c r="Q70" s="1290"/>
      <c r="R70" s="1290"/>
      <c r="S70" s="1290"/>
      <c r="T70" s="1290"/>
      <c r="U70" s="1290"/>
      <c r="V70" s="169" t="s">
        <v>71</v>
      </c>
      <c r="Z70" s="3607" t="str">
        <f>activesheet!E3245</f>
        <v>Project Development Officer II</v>
      </c>
      <c r="AA70" s="3607"/>
      <c r="AB70" s="3607"/>
      <c r="AC70" s="3607"/>
      <c r="AD70" s="3607"/>
      <c r="AE70" s="3607"/>
      <c r="AF70" s="3607"/>
      <c r="AG70" s="3607"/>
      <c r="AH70" s="3607"/>
    </row>
    <row r="71" spans="2:36" s="602" customFormat="1" ht="30.75" customHeight="1"/>
    <row r="72" spans="2:36" s="1235" customFormat="1" ht="14">
      <c r="L72" s="169" t="s">
        <v>783</v>
      </c>
    </row>
    <row r="73" spans="2:36" s="1235" customFormat="1" ht="21.75" customHeight="1">
      <c r="L73" s="3856" t="str">
        <f>activesheet!E31</f>
        <v>MICHAEL T. JAMIS</v>
      </c>
      <c r="M73" s="3856"/>
      <c r="N73" s="3856"/>
      <c r="O73" s="3856"/>
      <c r="P73" s="3856"/>
      <c r="Q73" s="3856"/>
      <c r="R73" s="3856"/>
      <c r="S73" s="3856"/>
      <c r="T73" s="3856"/>
      <c r="U73" s="3856"/>
      <c r="V73" s="3856"/>
      <c r="W73" s="3856"/>
      <c r="X73" s="3856"/>
    </row>
    <row r="74" spans="2:36" s="1237" customFormat="1" ht="14.15" customHeight="1">
      <c r="L74" s="3857"/>
      <c r="M74" s="3857"/>
      <c r="N74" s="3857"/>
      <c r="O74" s="3857"/>
      <c r="P74" s="3857"/>
      <c r="Q74" s="3857"/>
      <c r="R74" s="3857"/>
      <c r="S74" s="3857"/>
      <c r="T74" s="3857"/>
      <c r="U74" s="3857"/>
      <c r="V74" s="3857"/>
      <c r="W74" s="3857"/>
      <c r="X74" s="3857"/>
    </row>
    <row r="75" spans="2:36" s="1235" customFormat="1" ht="21.75" customHeight="1">
      <c r="L75" s="1776" t="s">
        <v>741</v>
      </c>
      <c r="M75" s="1776"/>
      <c r="N75" s="1776"/>
      <c r="O75" s="1776"/>
      <c r="P75" s="1776"/>
      <c r="Q75" s="1776"/>
      <c r="R75" s="1776"/>
      <c r="S75" s="1776"/>
      <c r="T75" s="1776"/>
      <c r="U75" s="1776"/>
      <c r="V75" s="1776"/>
      <c r="W75" s="1776"/>
      <c r="X75" s="1776"/>
    </row>
    <row r="76" spans="2:36">
      <c r="B76" s="602"/>
      <c r="C76" s="602"/>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row>
  </sheetData>
  <sheetProtection algorithmName="SHA-512" hashValue="oMdqjlaiWMms9YN+6M2HaEl+WzNiFes/wmCNB0jL5FuwGuWBAv5mh81YKUzXSCbYtTP6sC5CA12QHhngCPJJWA==" saltValue="V9iuzXoypN2ceooLdVxFBA==" spinCount="100000" sheet="1" objects="1" scenarios="1" selectLockedCells="1"/>
  <mergeCells count="51">
    <mergeCell ref="L75:X75"/>
    <mergeCell ref="D60:AB60"/>
    <mergeCell ref="AD60:AF60"/>
    <mergeCell ref="D62:AB62"/>
    <mergeCell ref="AD62:AF62"/>
    <mergeCell ref="B65:AD65"/>
    <mergeCell ref="F68:N68"/>
    <mergeCell ref="V68:AH68"/>
    <mergeCell ref="F69:N69"/>
    <mergeCell ref="V69:AH69"/>
    <mergeCell ref="F70:N70"/>
    <mergeCell ref="Z70:AH70"/>
    <mergeCell ref="L73:X74"/>
    <mergeCell ref="E53:AF53"/>
    <mergeCell ref="E54:AF54"/>
    <mergeCell ref="D56:AB56"/>
    <mergeCell ref="AD56:AF56"/>
    <mergeCell ref="D58:AB58"/>
    <mergeCell ref="AD58:AF58"/>
    <mergeCell ref="E52:AF52"/>
    <mergeCell ref="E34:P35"/>
    <mergeCell ref="U34:AF35"/>
    <mergeCell ref="E36:P36"/>
    <mergeCell ref="U36:AF36"/>
    <mergeCell ref="E39:P41"/>
    <mergeCell ref="U39:AF40"/>
    <mergeCell ref="U41:AF42"/>
    <mergeCell ref="E42:P42"/>
    <mergeCell ref="D44:AF44"/>
    <mergeCell ref="E46:AF47"/>
    <mergeCell ref="E48:AF49"/>
    <mergeCell ref="E50:AF50"/>
    <mergeCell ref="E51:AF51"/>
    <mergeCell ref="E29:P30"/>
    <mergeCell ref="U29:AF29"/>
    <mergeCell ref="U30:AF31"/>
    <mergeCell ref="E31:P32"/>
    <mergeCell ref="U32:AF33"/>
    <mergeCell ref="E33:P33"/>
    <mergeCell ref="O22:T22"/>
    <mergeCell ref="AA22:AF22"/>
    <mergeCell ref="D24:AF24"/>
    <mergeCell ref="E26:P27"/>
    <mergeCell ref="U26:AF28"/>
    <mergeCell ref="E28:P28"/>
    <mergeCell ref="D16:AF16"/>
    <mergeCell ref="E7:AF7"/>
    <mergeCell ref="E8:AF9"/>
    <mergeCell ref="E10:AF11"/>
    <mergeCell ref="E12:AF13"/>
    <mergeCell ref="E14:AF15"/>
  </mergeCells>
  <dataValidations count="1">
    <dataValidation type="whole" allowBlank="1" showInputMessage="1" showErrorMessage="1" errorTitle="GESP SY 2022-2023" error="Please enter valid number between 0 - 999." sqref="AD56:AF56 AD58:AF58 AD60:AF60 AD62:AF62" xr:uid="{00000000-0002-0000-3500-000000000000}">
      <formula1>0</formula1>
      <formula2>999</formula2>
    </dataValidation>
  </dataValidations>
  <printOptions horizontalCentered="1" verticalCentered="1"/>
  <pageMargins left="0.25" right="0.25" top="0.2" bottom="0.2" header="0" footer="0.1"/>
  <pageSetup paperSize="9" scale="61" orientation="portrait" r:id="rId1"/>
  <headerFooter>
    <oddFooter>&amp;L&amp;10&amp;F &amp;A&amp;R&amp;10Page 50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9137" r:id="rId4" name="Check Box 1">
              <controlPr locked="0" defaultSize="0" autoFill="0" autoLine="0" autoPict="0">
                <anchor moveWithCells="1">
                  <from>
                    <xdr:col>3</xdr:col>
                    <xdr:colOff>38100</xdr:colOff>
                    <xdr:row>6</xdr:row>
                    <xdr:rowOff>50800</xdr:rowOff>
                  </from>
                  <to>
                    <xdr:col>5</xdr:col>
                    <xdr:colOff>260350</xdr:colOff>
                    <xdr:row>6</xdr:row>
                    <xdr:rowOff>260350</xdr:rowOff>
                  </to>
                </anchor>
              </controlPr>
            </control>
          </mc:Choice>
        </mc:AlternateContent>
        <mc:AlternateContent xmlns:mc="http://schemas.openxmlformats.org/markup-compatibility/2006">
          <mc:Choice Requires="x14">
            <control shapeId="219138" r:id="rId5" name="Check Box 2">
              <controlPr locked="0" defaultSize="0" autoFill="0" autoLine="0" autoPict="0">
                <anchor moveWithCells="1">
                  <from>
                    <xdr:col>3</xdr:col>
                    <xdr:colOff>38100</xdr:colOff>
                    <xdr:row>6</xdr:row>
                    <xdr:rowOff>304800</xdr:rowOff>
                  </from>
                  <to>
                    <xdr:col>5</xdr:col>
                    <xdr:colOff>260350</xdr:colOff>
                    <xdr:row>8</xdr:row>
                    <xdr:rowOff>12700</xdr:rowOff>
                  </to>
                </anchor>
              </controlPr>
            </control>
          </mc:Choice>
        </mc:AlternateContent>
        <mc:AlternateContent xmlns:mc="http://schemas.openxmlformats.org/markup-compatibility/2006">
          <mc:Choice Requires="x14">
            <control shapeId="219139" r:id="rId6" name="Check Box 3">
              <controlPr locked="0" defaultSize="0" autoFill="0" autoLine="0" autoPict="0">
                <anchor moveWithCells="1">
                  <from>
                    <xdr:col>3</xdr:col>
                    <xdr:colOff>38100</xdr:colOff>
                    <xdr:row>8</xdr:row>
                    <xdr:rowOff>190500</xdr:rowOff>
                  </from>
                  <to>
                    <xdr:col>5</xdr:col>
                    <xdr:colOff>260350</xdr:colOff>
                    <xdr:row>10</xdr:row>
                    <xdr:rowOff>12700</xdr:rowOff>
                  </to>
                </anchor>
              </controlPr>
            </control>
          </mc:Choice>
        </mc:AlternateContent>
        <mc:AlternateContent xmlns:mc="http://schemas.openxmlformats.org/markup-compatibility/2006">
          <mc:Choice Requires="x14">
            <control shapeId="219140" r:id="rId7" name="Check Box 4">
              <controlPr locked="0" defaultSize="0" autoFill="0" autoLine="0" autoPict="0">
                <anchor moveWithCells="1">
                  <from>
                    <xdr:col>3</xdr:col>
                    <xdr:colOff>38100</xdr:colOff>
                    <xdr:row>11</xdr:row>
                    <xdr:rowOff>12700</xdr:rowOff>
                  </from>
                  <to>
                    <xdr:col>5</xdr:col>
                    <xdr:colOff>260350</xdr:colOff>
                    <xdr:row>12</xdr:row>
                    <xdr:rowOff>31750</xdr:rowOff>
                  </to>
                </anchor>
              </controlPr>
            </control>
          </mc:Choice>
        </mc:AlternateContent>
        <mc:AlternateContent xmlns:mc="http://schemas.openxmlformats.org/markup-compatibility/2006">
          <mc:Choice Requires="x14">
            <control shapeId="219141" r:id="rId8" name="Check Box 5">
              <controlPr locked="0" defaultSize="0" autoFill="0" autoLine="0" autoPict="0">
                <anchor moveWithCells="1">
                  <from>
                    <xdr:col>3</xdr:col>
                    <xdr:colOff>38100</xdr:colOff>
                    <xdr:row>12</xdr:row>
                    <xdr:rowOff>190500</xdr:rowOff>
                  </from>
                  <to>
                    <xdr:col>5</xdr:col>
                    <xdr:colOff>260350</xdr:colOff>
                    <xdr:row>14</xdr:row>
                    <xdr:rowOff>12700</xdr:rowOff>
                  </to>
                </anchor>
              </controlPr>
            </control>
          </mc:Choice>
        </mc:AlternateContent>
        <mc:AlternateContent xmlns:mc="http://schemas.openxmlformats.org/markup-compatibility/2006">
          <mc:Choice Requires="x14">
            <control shapeId="219142" r:id="rId9" name="Check Box 6">
              <controlPr locked="0" defaultSize="0" autoFill="0" autoLine="0" autoPict="0">
                <anchor moveWithCells="1">
                  <from>
                    <xdr:col>3</xdr:col>
                    <xdr:colOff>38100</xdr:colOff>
                    <xdr:row>17</xdr:row>
                    <xdr:rowOff>31750</xdr:rowOff>
                  </from>
                  <to>
                    <xdr:col>5</xdr:col>
                    <xdr:colOff>260350</xdr:colOff>
                    <xdr:row>17</xdr:row>
                    <xdr:rowOff>241300</xdr:rowOff>
                  </to>
                </anchor>
              </controlPr>
            </control>
          </mc:Choice>
        </mc:AlternateContent>
        <mc:AlternateContent xmlns:mc="http://schemas.openxmlformats.org/markup-compatibility/2006">
          <mc:Choice Requires="x14">
            <control shapeId="219143" r:id="rId10" name="Check Box 7">
              <controlPr locked="0" defaultSize="0" autoFill="0" autoLine="0" autoPict="0">
                <anchor moveWithCells="1">
                  <from>
                    <xdr:col>3</xdr:col>
                    <xdr:colOff>38100</xdr:colOff>
                    <xdr:row>18</xdr:row>
                    <xdr:rowOff>31750</xdr:rowOff>
                  </from>
                  <to>
                    <xdr:col>5</xdr:col>
                    <xdr:colOff>260350</xdr:colOff>
                    <xdr:row>18</xdr:row>
                    <xdr:rowOff>241300</xdr:rowOff>
                  </to>
                </anchor>
              </controlPr>
            </control>
          </mc:Choice>
        </mc:AlternateContent>
        <mc:AlternateContent xmlns:mc="http://schemas.openxmlformats.org/markup-compatibility/2006">
          <mc:Choice Requires="x14">
            <control shapeId="219144" r:id="rId11" name="Check Box 8">
              <controlPr locked="0" defaultSize="0" autoFill="0" autoLine="0" autoPict="0">
                <anchor moveWithCells="1">
                  <from>
                    <xdr:col>3</xdr:col>
                    <xdr:colOff>38100</xdr:colOff>
                    <xdr:row>19</xdr:row>
                    <xdr:rowOff>31750</xdr:rowOff>
                  </from>
                  <to>
                    <xdr:col>5</xdr:col>
                    <xdr:colOff>260350</xdr:colOff>
                    <xdr:row>19</xdr:row>
                    <xdr:rowOff>241300</xdr:rowOff>
                  </to>
                </anchor>
              </controlPr>
            </control>
          </mc:Choice>
        </mc:AlternateContent>
        <mc:AlternateContent xmlns:mc="http://schemas.openxmlformats.org/markup-compatibility/2006">
          <mc:Choice Requires="x14">
            <control shapeId="219145" r:id="rId12" name="Check Box 9">
              <controlPr locked="0" defaultSize="0" autoFill="0" autoLine="0" autoPict="0">
                <anchor moveWithCells="1">
                  <from>
                    <xdr:col>3</xdr:col>
                    <xdr:colOff>38100</xdr:colOff>
                    <xdr:row>20</xdr:row>
                    <xdr:rowOff>31750</xdr:rowOff>
                  </from>
                  <to>
                    <xdr:col>5</xdr:col>
                    <xdr:colOff>260350</xdr:colOff>
                    <xdr:row>20</xdr:row>
                    <xdr:rowOff>241300</xdr:rowOff>
                  </to>
                </anchor>
              </controlPr>
            </control>
          </mc:Choice>
        </mc:AlternateContent>
        <mc:AlternateContent xmlns:mc="http://schemas.openxmlformats.org/markup-compatibility/2006">
          <mc:Choice Requires="x14">
            <control shapeId="219146" r:id="rId13" name="Check Box 10">
              <controlPr locked="0" defaultSize="0" autoFill="0" autoLine="0" autoPict="0">
                <anchor moveWithCells="1">
                  <from>
                    <xdr:col>3</xdr:col>
                    <xdr:colOff>38100</xdr:colOff>
                    <xdr:row>21</xdr:row>
                    <xdr:rowOff>31750</xdr:rowOff>
                  </from>
                  <to>
                    <xdr:col>5</xdr:col>
                    <xdr:colOff>260350</xdr:colOff>
                    <xdr:row>21</xdr:row>
                    <xdr:rowOff>241300</xdr:rowOff>
                  </to>
                </anchor>
              </controlPr>
            </control>
          </mc:Choice>
        </mc:AlternateContent>
        <mc:AlternateContent xmlns:mc="http://schemas.openxmlformats.org/markup-compatibility/2006">
          <mc:Choice Requires="x14">
            <control shapeId="219147" r:id="rId14" name="Check Box 11">
              <controlPr locked="0" defaultSize="0" autoFill="0" autoLine="0" autoPict="0">
                <anchor moveWithCells="1">
                  <from>
                    <xdr:col>3</xdr:col>
                    <xdr:colOff>38100</xdr:colOff>
                    <xdr:row>25</xdr:row>
                    <xdr:rowOff>12700</xdr:rowOff>
                  </from>
                  <to>
                    <xdr:col>5</xdr:col>
                    <xdr:colOff>260350</xdr:colOff>
                    <xdr:row>26</xdr:row>
                    <xdr:rowOff>12700</xdr:rowOff>
                  </to>
                </anchor>
              </controlPr>
            </control>
          </mc:Choice>
        </mc:AlternateContent>
        <mc:AlternateContent xmlns:mc="http://schemas.openxmlformats.org/markup-compatibility/2006">
          <mc:Choice Requires="x14">
            <control shapeId="219148" r:id="rId15" name="Check Box 12">
              <controlPr locked="0" defaultSize="0" autoFill="0" autoLine="0" autoPict="0">
                <anchor moveWithCells="1">
                  <from>
                    <xdr:col>3</xdr:col>
                    <xdr:colOff>38100</xdr:colOff>
                    <xdr:row>27</xdr:row>
                    <xdr:rowOff>12700</xdr:rowOff>
                  </from>
                  <to>
                    <xdr:col>5</xdr:col>
                    <xdr:colOff>260350</xdr:colOff>
                    <xdr:row>28</xdr:row>
                    <xdr:rowOff>12700</xdr:rowOff>
                  </to>
                </anchor>
              </controlPr>
            </control>
          </mc:Choice>
        </mc:AlternateContent>
        <mc:AlternateContent xmlns:mc="http://schemas.openxmlformats.org/markup-compatibility/2006">
          <mc:Choice Requires="x14">
            <control shapeId="219149" r:id="rId16" name="Check Box 13">
              <controlPr locked="0" defaultSize="0" autoFill="0" autoLine="0" autoPict="0">
                <anchor moveWithCells="1">
                  <from>
                    <xdr:col>3</xdr:col>
                    <xdr:colOff>38100</xdr:colOff>
                    <xdr:row>28</xdr:row>
                    <xdr:rowOff>12700</xdr:rowOff>
                  </from>
                  <to>
                    <xdr:col>5</xdr:col>
                    <xdr:colOff>260350</xdr:colOff>
                    <xdr:row>29</xdr:row>
                    <xdr:rowOff>12700</xdr:rowOff>
                  </to>
                </anchor>
              </controlPr>
            </control>
          </mc:Choice>
        </mc:AlternateContent>
        <mc:AlternateContent xmlns:mc="http://schemas.openxmlformats.org/markup-compatibility/2006">
          <mc:Choice Requires="x14">
            <control shapeId="219150" r:id="rId17" name="Check Box 14">
              <controlPr locked="0" defaultSize="0" autoFill="0" autoLine="0" autoPict="0">
                <anchor moveWithCells="1">
                  <from>
                    <xdr:col>3</xdr:col>
                    <xdr:colOff>38100</xdr:colOff>
                    <xdr:row>30</xdr:row>
                    <xdr:rowOff>12700</xdr:rowOff>
                  </from>
                  <to>
                    <xdr:col>5</xdr:col>
                    <xdr:colOff>260350</xdr:colOff>
                    <xdr:row>31</xdr:row>
                    <xdr:rowOff>12700</xdr:rowOff>
                  </to>
                </anchor>
              </controlPr>
            </control>
          </mc:Choice>
        </mc:AlternateContent>
        <mc:AlternateContent xmlns:mc="http://schemas.openxmlformats.org/markup-compatibility/2006">
          <mc:Choice Requires="x14">
            <control shapeId="219151" r:id="rId18" name="Check Box 15">
              <controlPr locked="0" defaultSize="0" autoFill="0" autoLine="0" autoPict="0">
                <anchor moveWithCells="1">
                  <from>
                    <xdr:col>3</xdr:col>
                    <xdr:colOff>38100</xdr:colOff>
                    <xdr:row>32</xdr:row>
                    <xdr:rowOff>12700</xdr:rowOff>
                  </from>
                  <to>
                    <xdr:col>5</xdr:col>
                    <xdr:colOff>260350</xdr:colOff>
                    <xdr:row>33</xdr:row>
                    <xdr:rowOff>12700</xdr:rowOff>
                  </to>
                </anchor>
              </controlPr>
            </control>
          </mc:Choice>
        </mc:AlternateContent>
        <mc:AlternateContent xmlns:mc="http://schemas.openxmlformats.org/markup-compatibility/2006">
          <mc:Choice Requires="x14">
            <control shapeId="219152" r:id="rId19" name="Check Box 16">
              <controlPr locked="0" defaultSize="0" autoFill="0" autoLine="0" autoPict="0">
                <anchor moveWithCells="1">
                  <from>
                    <xdr:col>3</xdr:col>
                    <xdr:colOff>38100</xdr:colOff>
                    <xdr:row>33</xdr:row>
                    <xdr:rowOff>12700</xdr:rowOff>
                  </from>
                  <to>
                    <xdr:col>5</xdr:col>
                    <xdr:colOff>260350</xdr:colOff>
                    <xdr:row>34</xdr:row>
                    <xdr:rowOff>12700</xdr:rowOff>
                  </to>
                </anchor>
              </controlPr>
            </control>
          </mc:Choice>
        </mc:AlternateContent>
        <mc:AlternateContent xmlns:mc="http://schemas.openxmlformats.org/markup-compatibility/2006">
          <mc:Choice Requires="x14">
            <control shapeId="219153" r:id="rId20" name="Check Box 17">
              <controlPr locked="0" defaultSize="0" autoFill="0" autoLine="0" autoPict="0">
                <anchor moveWithCells="1">
                  <from>
                    <xdr:col>3</xdr:col>
                    <xdr:colOff>38100</xdr:colOff>
                    <xdr:row>35</xdr:row>
                    <xdr:rowOff>12700</xdr:rowOff>
                  </from>
                  <to>
                    <xdr:col>5</xdr:col>
                    <xdr:colOff>260350</xdr:colOff>
                    <xdr:row>36</xdr:row>
                    <xdr:rowOff>12700</xdr:rowOff>
                  </to>
                </anchor>
              </controlPr>
            </control>
          </mc:Choice>
        </mc:AlternateContent>
        <mc:AlternateContent xmlns:mc="http://schemas.openxmlformats.org/markup-compatibility/2006">
          <mc:Choice Requires="x14">
            <control shapeId="219154" r:id="rId21" name="Check Box 18">
              <controlPr locked="0" defaultSize="0" autoFill="0" autoLine="0" autoPict="0">
                <anchor moveWithCells="1">
                  <from>
                    <xdr:col>3</xdr:col>
                    <xdr:colOff>38100</xdr:colOff>
                    <xdr:row>38</xdr:row>
                    <xdr:rowOff>12700</xdr:rowOff>
                  </from>
                  <to>
                    <xdr:col>5</xdr:col>
                    <xdr:colOff>260350</xdr:colOff>
                    <xdr:row>39</xdr:row>
                    <xdr:rowOff>12700</xdr:rowOff>
                  </to>
                </anchor>
              </controlPr>
            </control>
          </mc:Choice>
        </mc:AlternateContent>
        <mc:AlternateContent xmlns:mc="http://schemas.openxmlformats.org/markup-compatibility/2006">
          <mc:Choice Requires="x14">
            <control shapeId="219155" r:id="rId22" name="Check Box 19">
              <controlPr locked="0" defaultSize="0" autoFill="0" autoLine="0" autoPict="0">
                <anchor moveWithCells="1">
                  <from>
                    <xdr:col>3</xdr:col>
                    <xdr:colOff>38100</xdr:colOff>
                    <xdr:row>41</xdr:row>
                    <xdr:rowOff>12700</xdr:rowOff>
                  </from>
                  <to>
                    <xdr:col>5</xdr:col>
                    <xdr:colOff>260350</xdr:colOff>
                    <xdr:row>42</xdr:row>
                    <xdr:rowOff>12700</xdr:rowOff>
                  </to>
                </anchor>
              </controlPr>
            </control>
          </mc:Choice>
        </mc:AlternateContent>
        <mc:AlternateContent xmlns:mc="http://schemas.openxmlformats.org/markup-compatibility/2006">
          <mc:Choice Requires="x14">
            <control shapeId="219156" r:id="rId23" name="Check Box 20">
              <controlPr locked="0" defaultSize="0" autoFill="0" autoLine="0" autoPict="0">
                <anchor moveWithCells="1">
                  <from>
                    <xdr:col>3</xdr:col>
                    <xdr:colOff>38100</xdr:colOff>
                    <xdr:row>45</xdr:row>
                    <xdr:rowOff>12700</xdr:rowOff>
                  </from>
                  <to>
                    <xdr:col>5</xdr:col>
                    <xdr:colOff>260350</xdr:colOff>
                    <xdr:row>46</xdr:row>
                    <xdr:rowOff>31750</xdr:rowOff>
                  </to>
                </anchor>
              </controlPr>
            </control>
          </mc:Choice>
        </mc:AlternateContent>
        <mc:AlternateContent xmlns:mc="http://schemas.openxmlformats.org/markup-compatibility/2006">
          <mc:Choice Requires="x14">
            <control shapeId="219157" r:id="rId24" name="Check Box 21">
              <controlPr locked="0" defaultSize="0" autoFill="0" autoLine="0" autoPict="0">
                <anchor moveWithCells="1">
                  <from>
                    <xdr:col>3</xdr:col>
                    <xdr:colOff>38100</xdr:colOff>
                    <xdr:row>47</xdr:row>
                    <xdr:rowOff>12700</xdr:rowOff>
                  </from>
                  <to>
                    <xdr:col>5</xdr:col>
                    <xdr:colOff>260350</xdr:colOff>
                    <xdr:row>48</xdr:row>
                    <xdr:rowOff>31750</xdr:rowOff>
                  </to>
                </anchor>
              </controlPr>
            </control>
          </mc:Choice>
        </mc:AlternateContent>
        <mc:AlternateContent xmlns:mc="http://schemas.openxmlformats.org/markup-compatibility/2006">
          <mc:Choice Requires="x14">
            <control shapeId="219158" r:id="rId25" name="Check Box 22">
              <controlPr locked="0" defaultSize="0" autoFill="0" autoLine="0" autoPict="0">
                <anchor moveWithCells="1">
                  <from>
                    <xdr:col>3</xdr:col>
                    <xdr:colOff>38100</xdr:colOff>
                    <xdr:row>49</xdr:row>
                    <xdr:rowOff>31750</xdr:rowOff>
                  </from>
                  <to>
                    <xdr:col>5</xdr:col>
                    <xdr:colOff>260350</xdr:colOff>
                    <xdr:row>49</xdr:row>
                    <xdr:rowOff>241300</xdr:rowOff>
                  </to>
                </anchor>
              </controlPr>
            </control>
          </mc:Choice>
        </mc:AlternateContent>
        <mc:AlternateContent xmlns:mc="http://schemas.openxmlformats.org/markup-compatibility/2006">
          <mc:Choice Requires="x14">
            <control shapeId="219159" r:id="rId26" name="Check Box 23">
              <controlPr locked="0" defaultSize="0" autoFill="0" autoLine="0" autoPict="0">
                <anchor moveWithCells="1">
                  <from>
                    <xdr:col>3</xdr:col>
                    <xdr:colOff>38100</xdr:colOff>
                    <xdr:row>50</xdr:row>
                    <xdr:rowOff>31750</xdr:rowOff>
                  </from>
                  <to>
                    <xdr:col>5</xdr:col>
                    <xdr:colOff>260350</xdr:colOff>
                    <xdr:row>50</xdr:row>
                    <xdr:rowOff>241300</xdr:rowOff>
                  </to>
                </anchor>
              </controlPr>
            </control>
          </mc:Choice>
        </mc:AlternateContent>
        <mc:AlternateContent xmlns:mc="http://schemas.openxmlformats.org/markup-compatibility/2006">
          <mc:Choice Requires="x14">
            <control shapeId="219160" r:id="rId27" name="Check Box 24">
              <controlPr locked="0" defaultSize="0" autoFill="0" autoLine="0" autoPict="0">
                <anchor moveWithCells="1">
                  <from>
                    <xdr:col>3</xdr:col>
                    <xdr:colOff>38100</xdr:colOff>
                    <xdr:row>51</xdr:row>
                    <xdr:rowOff>31750</xdr:rowOff>
                  </from>
                  <to>
                    <xdr:col>5</xdr:col>
                    <xdr:colOff>260350</xdr:colOff>
                    <xdr:row>51</xdr:row>
                    <xdr:rowOff>241300</xdr:rowOff>
                  </to>
                </anchor>
              </controlPr>
            </control>
          </mc:Choice>
        </mc:AlternateContent>
        <mc:AlternateContent xmlns:mc="http://schemas.openxmlformats.org/markup-compatibility/2006">
          <mc:Choice Requires="x14">
            <control shapeId="219161" r:id="rId28" name="Check Box 25">
              <controlPr locked="0" defaultSize="0" autoFill="0" autoLine="0" autoPict="0">
                <anchor moveWithCells="1">
                  <from>
                    <xdr:col>3</xdr:col>
                    <xdr:colOff>38100</xdr:colOff>
                    <xdr:row>52</xdr:row>
                    <xdr:rowOff>31750</xdr:rowOff>
                  </from>
                  <to>
                    <xdr:col>5</xdr:col>
                    <xdr:colOff>260350</xdr:colOff>
                    <xdr:row>52</xdr:row>
                    <xdr:rowOff>241300</xdr:rowOff>
                  </to>
                </anchor>
              </controlPr>
            </control>
          </mc:Choice>
        </mc:AlternateContent>
        <mc:AlternateContent xmlns:mc="http://schemas.openxmlformats.org/markup-compatibility/2006">
          <mc:Choice Requires="x14">
            <control shapeId="219162" r:id="rId29" name="Check Box 26">
              <controlPr locked="0" defaultSize="0" autoFill="0" autoLine="0" autoPict="0">
                <anchor moveWithCells="1">
                  <from>
                    <xdr:col>3</xdr:col>
                    <xdr:colOff>38100</xdr:colOff>
                    <xdr:row>53</xdr:row>
                    <xdr:rowOff>31750</xdr:rowOff>
                  </from>
                  <to>
                    <xdr:col>5</xdr:col>
                    <xdr:colOff>260350</xdr:colOff>
                    <xdr:row>53</xdr:row>
                    <xdr:rowOff>241300</xdr:rowOff>
                  </to>
                </anchor>
              </controlPr>
            </control>
          </mc:Choice>
        </mc:AlternateContent>
        <mc:AlternateContent xmlns:mc="http://schemas.openxmlformats.org/markup-compatibility/2006">
          <mc:Choice Requires="x14">
            <control shapeId="219163" r:id="rId30" name="Check Box 27">
              <controlPr locked="0" defaultSize="0" autoFill="0" autoLine="0" autoPict="0">
                <anchor moveWithCells="1">
                  <from>
                    <xdr:col>9</xdr:col>
                    <xdr:colOff>38100</xdr:colOff>
                    <xdr:row>17</xdr:row>
                    <xdr:rowOff>31750</xdr:rowOff>
                  </from>
                  <to>
                    <xdr:col>11</xdr:col>
                    <xdr:colOff>260350</xdr:colOff>
                    <xdr:row>17</xdr:row>
                    <xdr:rowOff>241300</xdr:rowOff>
                  </to>
                </anchor>
              </controlPr>
            </control>
          </mc:Choice>
        </mc:AlternateContent>
        <mc:AlternateContent xmlns:mc="http://schemas.openxmlformats.org/markup-compatibility/2006">
          <mc:Choice Requires="x14">
            <control shapeId="219164" r:id="rId31" name="Check Box 28">
              <controlPr locked="0" defaultSize="0" autoFill="0" autoLine="0" autoPict="0">
                <anchor moveWithCells="1">
                  <from>
                    <xdr:col>9</xdr:col>
                    <xdr:colOff>38100</xdr:colOff>
                    <xdr:row>18</xdr:row>
                    <xdr:rowOff>31750</xdr:rowOff>
                  </from>
                  <to>
                    <xdr:col>11</xdr:col>
                    <xdr:colOff>260350</xdr:colOff>
                    <xdr:row>18</xdr:row>
                    <xdr:rowOff>241300</xdr:rowOff>
                  </to>
                </anchor>
              </controlPr>
            </control>
          </mc:Choice>
        </mc:AlternateContent>
        <mc:AlternateContent xmlns:mc="http://schemas.openxmlformats.org/markup-compatibility/2006">
          <mc:Choice Requires="x14">
            <control shapeId="219165" r:id="rId32" name="Check Box 29">
              <controlPr locked="0" defaultSize="0" autoFill="0" autoLine="0" autoPict="0">
                <anchor moveWithCells="1">
                  <from>
                    <xdr:col>9</xdr:col>
                    <xdr:colOff>38100</xdr:colOff>
                    <xdr:row>19</xdr:row>
                    <xdr:rowOff>31750</xdr:rowOff>
                  </from>
                  <to>
                    <xdr:col>11</xdr:col>
                    <xdr:colOff>260350</xdr:colOff>
                    <xdr:row>19</xdr:row>
                    <xdr:rowOff>241300</xdr:rowOff>
                  </to>
                </anchor>
              </controlPr>
            </control>
          </mc:Choice>
        </mc:AlternateContent>
        <mc:AlternateContent xmlns:mc="http://schemas.openxmlformats.org/markup-compatibility/2006">
          <mc:Choice Requires="x14">
            <control shapeId="219166" r:id="rId33" name="Check Box 30">
              <controlPr locked="0" defaultSize="0" autoFill="0" autoLine="0" autoPict="0">
                <anchor moveWithCells="1">
                  <from>
                    <xdr:col>9</xdr:col>
                    <xdr:colOff>38100</xdr:colOff>
                    <xdr:row>20</xdr:row>
                    <xdr:rowOff>31750</xdr:rowOff>
                  </from>
                  <to>
                    <xdr:col>11</xdr:col>
                    <xdr:colOff>260350</xdr:colOff>
                    <xdr:row>20</xdr:row>
                    <xdr:rowOff>241300</xdr:rowOff>
                  </to>
                </anchor>
              </controlPr>
            </control>
          </mc:Choice>
        </mc:AlternateContent>
        <mc:AlternateContent xmlns:mc="http://schemas.openxmlformats.org/markup-compatibility/2006">
          <mc:Choice Requires="x14">
            <control shapeId="219167" r:id="rId34" name="Check Box 31">
              <controlPr locked="0" defaultSize="0" autoFill="0" autoLine="0" autoPict="0">
                <anchor moveWithCells="1">
                  <from>
                    <xdr:col>9</xdr:col>
                    <xdr:colOff>38100</xdr:colOff>
                    <xdr:row>21</xdr:row>
                    <xdr:rowOff>31750</xdr:rowOff>
                  </from>
                  <to>
                    <xdr:col>11</xdr:col>
                    <xdr:colOff>260350</xdr:colOff>
                    <xdr:row>21</xdr:row>
                    <xdr:rowOff>241300</xdr:rowOff>
                  </to>
                </anchor>
              </controlPr>
            </control>
          </mc:Choice>
        </mc:AlternateContent>
        <mc:AlternateContent xmlns:mc="http://schemas.openxmlformats.org/markup-compatibility/2006">
          <mc:Choice Requires="x14">
            <control shapeId="219168" r:id="rId35" name="Check Box 32">
              <controlPr locked="0" defaultSize="0" autoFill="0" autoLine="0" autoPict="0">
                <anchor moveWithCells="1">
                  <from>
                    <xdr:col>6</xdr:col>
                    <xdr:colOff>38100</xdr:colOff>
                    <xdr:row>44</xdr:row>
                    <xdr:rowOff>31750</xdr:rowOff>
                  </from>
                  <to>
                    <xdr:col>8</xdr:col>
                    <xdr:colOff>260350</xdr:colOff>
                    <xdr:row>44</xdr:row>
                    <xdr:rowOff>241300</xdr:rowOff>
                  </to>
                </anchor>
              </controlPr>
            </control>
          </mc:Choice>
        </mc:AlternateContent>
        <mc:AlternateContent xmlns:mc="http://schemas.openxmlformats.org/markup-compatibility/2006">
          <mc:Choice Requires="x14">
            <control shapeId="219169" r:id="rId36" name="Check Box 33">
              <controlPr locked="0" defaultSize="0" autoFill="0" autoLine="0" autoPict="0">
                <anchor moveWithCells="1">
                  <from>
                    <xdr:col>11</xdr:col>
                    <xdr:colOff>38100</xdr:colOff>
                    <xdr:row>44</xdr:row>
                    <xdr:rowOff>31750</xdr:rowOff>
                  </from>
                  <to>
                    <xdr:col>13</xdr:col>
                    <xdr:colOff>260350</xdr:colOff>
                    <xdr:row>44</xdr:row>
                    <xdr:rowOff>241300</xdr:rowOff>
                  </to>
                </anchor>
              </controlPr>
            </control>
          </mc:Choice>
        </mc:AlternateContent>
        <mc:AlternateContent xmlns:mc="http://schemas.openxmlformats.org/markup-compatibility/2006">
          <mc:Choice Requires="x14">
            <control shapeId="219170" r:id="rId37" name="Check Box 34">
              <controlPr locked="0" defaultSize="0" autoFill="0" autoLine="0" autoPict="0">
                <anchor moveWithCells="1">
                  <from>
                    <xdr:col>17</xdr:col>
                    <xdr:colOff>38100</xdr:colOff>
                    <xdr:row>44</xdr:row>
                    <xdr:rowOff>31750</xdr:rowOff>
                  </from>
                  <to>
                    <xdr:col>19</xdr:col>
                    <xdr:colOff>260350</xdr:colOff>
                    <xdr:row>44</xdr:row>
                    <xdr:rowOff>241300</xdr:rowOff>
                  </to>
                </anchor>
              </controlPr>
            </control>
          </mc:Choice>
        </mc:AlternateContent>
        <mc:AlternateContent xmlns:mc="http://schemas.openxmlformats.org/markup-compatibility/2006">
          <mc:Choice Requires="x14">
            <control shapeId="219171" r:id="rId38" name="Check Box 35">
              <controlPr locked="0" defaultSize="0" autoFill="0" autoLine="0" autoPict="0">
                <anchor moveWithCells="1">
                  <from>
                    <xdr:col>22</xdr:col>
                    <xdr:colOff>38100</xdr:colOff>
                    <xdr:row>44</xdr:row>
                    <xdr:rowOff>31750</xdr:rowOff>
                  </from>
                  <to>
                    <xdr:col>24</xdr:col>
                    <xdr:colOff>260350</xdr:colOff>
                    <xdr:row>44</xdr:row>
                    <xdr:rowOff>241300</xdr:rowOff>
                  </to>
                </anchor>
              </controlPr>
            </control>
          </mc:Choice>
        </mc:AlternateContent>
        <mc:AlternateContent xmlns:mc="http://schemas.openxmlformats.org/markup-compatibility/2006">
          <mc:Choice Requires="x14">
            <control shapeId="219172" r:id="rId39" name="Check Box 36">
              <controlPr locked="0" defaultSize="0" autoFill="0" autoLine="0" autoPict="0">
                <anchor moveWithCells="1">
                  <from>
                    <xdr:col>27</xdr:col>
                    <xdr:colOff>38100</xdr:colOff>
                    <xdr:row>44</xdr:row>
                    <xdr:rowOff>31750</xdr:rowOff>
                  </from>
                  <to>
                    <xdr:col>29</xdr:col>
                    <xdr:colOff>260350</xdr:colOff>
                    <xdr:row>44</xdr:row>
                    <xdr:rowOff>241300</xdr:rowOff>
                  </to>
                </anchor>
              </controlPr>
            </control>
          </mc:Choice>
        </mc:AlternateContent>
        <mc:AlternateContent xmlns:mc="http://schemas.openxmlformats.org/markup-compatibility/2006">
          <mc:Choice Requires="x14">
            <control shapeId="219173" r:id="rId40" name="Check Box 37">
              <controlPr locked="0" defaultSize="0" autoFill="0" autoLine="0" autoPict="0">
                <anchor moveWithCells="1">
                  <from>
                    <xdr:col>21</xdr:col>
                    <xdr:colOff>38100</xdr:colOff>
                    <xdr:row>17</xdr:row>
                    <xdr:rowOff>31750</xdr:rowOff>
                  </from>
                  <to>
                    <xdr:col>23</xdr:col>
                    <xdr:colOff>260350</xdr:colOff>
                    <xdr:row>17</xdr:row>
                    <xdr:rowOff>241300</xdr:rowOff>
                  </to>
                </anchor>
              </controlPr>
            </control>
          </mc:Choice>
        </mc:AlternateContent>
        <mc:AlternateContent xmlns:mc="http://schemas.openxmlformats.org/markup-compatibility/2006">
          <mc:Choice Requires="x14">
            <control shapeId="219174" r:id="rId41" name="Check Box 38">
              <controlPr locked="0" defaultSize="0" autoFill="0" autoLine="0" autoPict="0">
                <anchor moveWithCells="1">
                  <from>
                    <xdr:col>21</xdr:col>
                    <xdr:colOff>38100</xdr:colOff>
                    <xdr:row>18</xdr:row>
                    <xdr:rowOff>31750</xdr:rowOff>
                  </from>
                  <to>
                    <xdr:col>23</xdr:col>
                    <xdr:colOff>260350</xdr:colOff>
                    <xdr:row>18</xdr:row>
                    <xdr:rowOff>241300</xdr:rowOff>
                  </to>
                </anchor>
              </controlPr>
            </control>
          </mc:Choice>
        </mc:AlternateContent>
        <mc:AlternateContent xmlns:mc="http://schemas.openxmlformats.org/markup-compatibility/2006">
          <mc:Choice Requires="x14">
            <control shapeId="219175" r:id="rId42" name="Check Box 39">
              <controlPr locked="0" defaultSize="0" autoFill="0" autoLine="0" autoPict="0">
                <anchor moveWithCells="1">
                  <from>
                    <xdr:col>21</xdr:col>
                    <xdr:colOff>38100</xdr:colOff>
                    <xdr:row>19</xdr:row>
                    <xdr:rowOff>31750</xdr:rowOff>
                  </from>
                  <to>
                    <xdr:col>23</xdr:col>
                    <xdr:colOff>260350</xdr:colOff>
                    <xdr:row>19</xdr:row>
                    <xdr:rowOff>241300</xdr:rowOff>
                  </to>
                </anchor>
              </controlPr>
            </control>
          </mc:Choice>
        </mc:AlternateContent>
        <mc:AlternateContent xmlns:mc="http://schemas.openxmlformats.org/markup-compatibility/2006">
          <mc:Choice Requires="x14">
            <control shapeId="219176" r:id="rId43" name="Check Box 40">
              <controlPr locked="0" defaultSize="0" autoFill="0" autoLine="0" autoPict="0">
                <anchor moveWithCells="1">
                  <from>
                    <xdr:col>21</xdr:col>
                    <xdr:colOff>38100</xdr:colOff>
                    <xdr:row>20</xdr:row>
                    <xdr:rowOff>31750</xdr:rowOff>
                  </from>
                  <to>
                    <xdr:col>23</xdr:col>
                    <xdr:colOff>260350</xdr:colOff>
                    <xdr:row>20</xdr:row>
                    <xdr:rowOff>241300</xdr:rowOff>
                  </to>
                </anchor>
              </controlPr>
            </control>
          </mc:Choice>
        </mc:AlternateContent>
        <mc:AlternateContent xmlns:mc="http://schemas.openxmlformats.org/markup-compatibility/2006">
          <mc:Choice Requires="x14">
            <control shapeId="219177" r:id="rId44" name="Check Box 41">
              <controlPr locked="0" defaultSize="0" autoFill="0" autoLine="0" autoPict="0">
                <anchor moveWithCells="1">
                  <from>
                    <xdr:col>21</xdr:col>
                    <xdr:colOff>38100</xdr:colOff>
                    <xdr:row>21</xdr:row>
                    <xdr:rowOff>31750</xdr:rowOff>
                  </from>
                  <to>
                    <xdr:col>23</xdr:col>
                    <xdr:colOff>260350</xdr:colOff>
                    <xdr:row>21</xdr:row>
                    <xdr:rowOff>241300</xdr:rowOff>
                  </to>
                </anchor>
              </controlPr>
            </control>
          </mc:Choice>
        </mc:AlternateContent>
        <mc:AlternateContent xmlns:mc="http://schemas.openxmlformats.org/markup-compatibility/2006">
          <mc:Choice Requires="x14">
            <control shapeId="219178" r:id="rId45" name="Check Box 42">
              <controlPr locked="0" defaultSize="0" autoFill="0" autoLine="0" autoPict="0">
                <anchor moveWithCells="1">
                  <from>
                    <xdr:col>19</xdr:col>
                    <xdr:colOff>38100</xdr:colOff>
                    <xdr:row>24</xdr:row>
                    <xdr:rowOff>260350</xdr:rowOff>
                  </from>
                  <to>
                    <xdr:col>21</xdr:col>
                    <xdr:colOff>260350</xdr:colOff>
                    <xdr:row>25</xdr:row>
                    <xdr:rowOff>203200</xdr:rowOff>
                  </to>
                </anchor>
              </controlPr>
            </control>
          </mc:Choice>
        </mc:AlternateContent>
        <mc:AlternateContent xmlns:mc="http://schemas.openxmlformats.org/markup-compatibility/2006">
          <mc:Choice Requires="x14">
            <control shapeId="219179" r:id="rId46" name="Check Box 43">
              <controlPr locked="0" defaultSize="0" autoFill="0" autoLine="0" autoPict="0">
                <anchor moveWithCells="1">
                  <from>
                    <xdr:col>19</xdr:col>
                    <xdr:colOff>38100</xdr:colOff>
                    <xdr:row>28</xdr:row>
                    <xdr:rowOff>12700</xdr:rowOff>
                  </from>
                  <to>
                    <xdr:col>21</xdr:col>
                    <xdr:colOff>260350</xdr:colOff>
                    <xdr:row>29</xdr:row>
                    <xdr:rowOff>12700</xdr:rowOff>
                  </to>
                </anchor>
              </controlPr>
            </control>
          </mc:Choice>
        </mc:AlternateContent>
        <mc:AlternateContent xmlns:mc="http://schemas.openxmlformats.org/markup-compatibility/2006">
          <mc:Choice Requires="x14">
            <control shapeId="219180" r:id="rId47" name="Check Box 44">
              <controlPr locked="0" defaultSize="0" autoFill="0" autoLine="0" autoPict="0">
                <anchor moveWithCells="1">
                  <from>
                    <xdr:col>19</xdr:col>
                    <xdr:colOff>38100</xdr:colOff>
                    <xdr:row>29</xdr:row>
                    <xdr:rowOff>12700</xdr:rowOff>
                  </from>
                  <to>
                    <xdr:col>21</xdr:col>
                    <xdr:colOff>260350</xdr:colOff>
                    <xdr:row>30</xdr:row>
                    <xdr:rowOff>12700</xdr:rowOff>
                  </to>
                </anchor>
              </controlPr>
            </control>
          </mc:Choice>
        </mc:AlternateContent>
        <mc:AlternateContent xmlns:mc="http://schemas.openxmlformats.org/markup-compatibility/2006">
          <mc:Choice Requires="x14">
            <control shapeId="219181" r:id="rId48" name="Check Box 45">
              <controlPr locked="0" defaultSize="0" autoFill="0" autoLine="0" autoPict="0">
                <anchor moveWithCells="1">
                  <from>
                    <xdr:col>19</xdr:col>
                    <xdr:colOff>38100</xdr:colOff>
                    <xdr:row>31</xdr:row>
                    <xdr:rowOff>12700</xdr:rowOff>
                  </from>
                  <to>
                    <xdr:col>21</xdr:col>
                    <xdr:colOff>260350</xdr:colOff>
                    <xdr:row>32</xdr:row>
                    <xdr:rowOff>12700</xdr:rowOff>
                  </to>
                </anchor>
              </controlPr>
            </control>
          </mc:Choice>
        </mc:AlternateContent>
        <mc:AlternateContent xmlns:mc="http://schemas.openxmlformats.org/markup-compatibility/2006">
          <mc:Choice Requires="x14">
            <control shapeId="219182" r:id="rId49" name="Check Box 46">
              <controlPr locked="0" defaultSize="0" autoFill="0" autoLine="0" autoPict="0">
                <anchor moveWithCells="1">
                  <from>
                    <xdr:col>19</xdr:col>
                    <xdr:colOff>38100</xdr:colOff>
                    <xdr:row>33</xdr:row>
                    <xdr:rowOff>12700</xdr:rowOff>
                  </from>
                  <to>
                    <xdr:col>21</xdr:col>
                    <xdr:colOff>260350</xdr:colOff>
                    <xdr:row>34</xdr:row>
                    <xdr:rowOff>12700</xdr:rowOff>
                  </to>
                </anchor>
              </controlPr>
            </control>
          </mc:Choice>
        </mc:AlternateContent>
        <mc:AlternateContent xmlns:mc="http://schemas.openxmlformats.org/markup-compatibility/2006">
          <mc:Choice Requires="x14">
            <control shapeId="219183" r:id="rId50" name="Check Box 47">
              <controlPr locked="0" defaultSize="0" autoFill="0" autoLine="0" autoPict="0">
                <anchor moveWithCells="1">
                  <from>
                    <xdr:col>19</xdr:col>
                    <xdr:colOff>38100</xdr:colOff>
                    <xdr:row>34</xdr:row>
                    <xdr:rowOff>222250</xdr:rowOff>
                  </from>
                  <to>
                    <xdr:col>21</xdr:col>
                    <xdr:colOff>260350</xdr:colOff>
                    <xdr:row>36</xdr:row>
                    <xdr:rowOff>0</xdr:rowOff>
                  </to>
                </anchor>
              </controlPr>
            </control>
          </mc:Choice>
        </mc:AlternateContent>
        <mc:AlternateContent xmlns:mc="http://schemas.openxmlformats.org/markup-compatibility/2006">
          <mc:Choice Requires="x14">
            <control shapeId="219184" r:id="rId51" name="Check Box 48">
              <controlPr locked="0" defaultSize="0" autoFill="0" autoLine="0" autoPict="0">
                <anchor moveWithCells="1">
                  <from>
                    <xdr:col>19</xdr:col>
                    <xdr:colOff>38100</xdr:colOff>
                    <xdr:row>38</xdr:row>
                    <xdr:rowOff>12700</xdr:rowOff>
                  </from>
                  <to>
                    <xdr:col>21</xdr:col>
                    <xdr:colOff>260350</xdr:colOff>
                    <xdr:row>39</xdr:row>
                    <xdr:rowOff>12700</xdr:rowOff>
                  </to>
                </anchor>
              </controlPr>
            </control>
          </mc:Choice>
        </mc:AlternateContent>
        <mc:AlternateContent xmlns:mc="http://schemas.openxmlformats.org/markup-compatibility/2006">
          <mc:Choice Requires="x14">
            <control shapeId="219185" r:id="rId52" name="Check Box 49">
              <controlPr locked="0" defaultSize="0" autoFill="0" autoLine="0" autoPict="0">
                <anchor moveWithCells="1">
                  <from>
                    <xdr:col>19</xdr:col>
                    <xdr:colOff>38100</xdr:colOff>
                    <xdr:row>40</xdr:row>
                    <xdr:rowOff>12700</xdr:rowOff>
                  </from>
                  <to>
                    <xdr:col>21</xdr:col>
                    <xdr:colOff>260350</xdr:colOff>
                    <xdr:row>41</xdr:row>
                    <xdr:rowOff>12700</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pageSetUpPr fitToPage="1"/>
  </sheetPr>
  <dimension ref="B1:AX76"/>
  <sheetViews>
    <sheetView showGridLines="0" zoomScaleNormal="100" zoomScaleSheetLayoutView="100" workbookViewId="0">
      <selection activeCell="AJ48" sqref="AJ48:AK48"/>
    </sheetView>
  </sheetViews>
  <sheetFormatPr defaultColWidth="8" defaultRowHeight="15.5"/>
  <cols>
    <col min="1" max="1" width="2.08203125" style="1287" customWidth="1"/>
    <col min="2" max="3" width="3.58203125" style="1287" customWidth="1"/>
    <col min="4" max="37" width="3.58203125" style="1291" customWidth="1"/>
    <col min="38" max="41" width="3.58203125" style="1287" customWidth="1"/>
    <col min="42" max="42" width="2.08203125" style="1287" customWidth="1"/>
    <col min="43" max="174" width="3.58203125" style="1287" customWidth="1"/>
    <col min="175" max="16384" width="8" style="1287"/>
  </cols>
  <sheetData>
    <row r="1" spans="4:50" ht="12" customHeight="1"/>
    <row r="2" spans="4:50" ht="17" thickBot="1">
      <c r="D2" s="1302" t="s">
        <v>1632</v>
      </c>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row>
    <row r="3" spans="4:50" ht="5.15" customHeight="1" thickTop="1">
      <c r="D3" s="1304"/>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6"/>
      <c r="AN3" s="1338"/>
      <c r="AO3" s="1338"/>
    </row>
    <row r="4" spans="4:50" s="1342" customFormat="1" ht="24.75" customHeight="1">
      <c r="D4" s="1339"/>
      <c r="E4" s="1345" t="s">
        <v>151</v>
      </c>
      <c r="F4" s="1360" t="b">
        <v>0</v>
      </c>
      <c r="G4" s="3749" t="s">
        <v>1633</v>
      </c>
      <c r="H4" s="3749"/>
      <c r="I4" s="3749"/>
      <c r="J4" s="3749"/>
      <c r="K4" s="3749"/>
      <c r="L4" s="3749"/>
      <c r="M4" s="3749"/>
      <c r="N4" s="3749"/>
      <c r="O4" s="3749"/>
      <c r="P4" s="3749"/>
      <c r="Q4" s="3749"/>
      <c r="R4" s="3749"/>
      <c r="S4" s="3749"/>
      <c r="T4" s="3749"/>
      <c r="U4" s="3749"/>
      <c r="V4" s="3749"/>
      <c r="W4" s="3749"/>
      <c r="X4" s="3749"/>
      <c r="Y4" s="3749"/>
      <c r="Z4" s="3749"/>
      <c r="AA4" s="3749"/>
      <c r="AB4" s="3749"/>
      <c r="AC4" s="3749"/>
      <c r="AD4" s="3749"/>
      <c r="AE4" s="3749"/>
      <c r="AF4" s="3749"/>
      <c r="AG4" s="3749"/>
      <c r="AH4" s="3749"/>
      <c r="AI4" s="3749"/>
      <c r="AJ4" s="3749"/>
      <c r="AK4" s="3749"/>
      <c r="AL4" s="1340"/>
      <c r="AM4" s="1341"/>
      <c r="AN4" s="1340"/>
      <c r="AO4" s="1340"/>
      <c r="AP4" s="1340"/>
      <c r="AQ4" s="1340"/>
      <c r="AR4" s="1340"/>
      <c r="AS4" s="1340"/>
      <c r="AT4" s="1340"/>
      <c r="AU4" s="1340"/>
      <c r="AV4" s="1340"/>
      <c r="AW4" s="1340"/>
      <c r="AX4" s="1340"/>
    </row>
    <row r="5" spans="4:50" s="1342" customFormat="1" ht="16" customHeight="1">
      <c r="D5" s="1339"/>
      <c r="E5" s="1299" t="s">
        <v>152</v>
      </c>
      <c r="F5" s="1360" t="b">
        <v>1</v>
      </c>
      <c r="G5" s="3786" t="s">
        <v>1892</v>
      </c>
      <c r="H5" s="3786"/>
      <c r="I5" s="3786"/>
      <c r="J5" s="3786"/>
      <c r="K5" s="3786"/>
      <c r="L5" s="3786"/>
      <c r="M5" s="3786"/>
      <c r="N5" s="3786"/>
      <c r="O5" s="3786"/>
      <c r="P5" s="3786"/>
      <c r="Q5" s="3786"/>
      <c r="R5" s="3786"/>
      <c r="S5" s="3786"/>
      <c r="T5" s="3786"/>
      <c r="U5" s="3786"/>
      <c r="V5" s="3786"/>
      <c r="W5" s="3786"/>
      <c r="X5" s="3786"/>
      <c r="Y5" s="3786"/>
      <c r="Z5" s="3786"/>
      <c r="AA5" s="3786"/>
      <c r="AB5" s="3786"/>
      <c r="AC5" s="3786"/>
      <c r="AD5" s="3786"/>
      <c r="AE5" s="3786"/>
      <c r="AF5" s="3786"/>
      <c r="AG5" s="3786"/>
      <c r="AH5" s="3786"/>
      <c r="AI5" s="3786"/>
      <c r="AJ5" s="3786"/>
      <c r="AK5" s="3786"/>
      <c r="AL5" s="1340"/>
      <c r="AM5" s="1341"/>
      <c r="AN5" s="1340"/>
      <c r="AO5" s="1340"/>
      <c r="AP5" s="1340"/>
      <c r="AQ5" s="1340"/>
      <c r="AR5" s="1340"/>
      <c r="AS5" s="1340"/>
      <c r="AT5" s="1340"/>
      <c r="AU5" s="1340"/>
      <c r="AV5" s="1340"/>
      <c r="AW5" s="1340"/>
      <c r="AX5" s="1340"/>
    </row>
    <row r="6" spans="4:50" s="1342" customFormat="1" ht="16" customHeight="1">
      <c r="D6" s="1339"/>
      <c r="E6" s="1299"/>
      <c r="F6" s="1365"/>
      <c r="G6" s="3786"/>
      <c r="H6" s="3786"/>
      <c r="I6" s="3786"/>
      <c r="J6" s="3786"/>
      <c r="K6" s="3786"/>
      <c r="L6" s="3786"/>
      <c r="M6" s="3786"/>
      <c r="N6" s="3786"/>
      <c r="O6" s="3786"/>
      <c r="P6" s="3786"/>
      <c r="Q6" s="3786"/>
      <c r="R6" s="3786"/>
      <c r="S6" s="3786"/>
      <c r="T6" s="3786"/>
      <c r="U6" s="3786"/>
      <c r="V6" s="3786"/>
      <c r="W6" s="3786"/>
      <c r="X6" s="3786"/>
      <c r="Y6" s="3786"/>
      <c r="Z6" s="3786"/>
      <c r="AA6" s="3786"/>
      <c r="AB6" s="3786"/>
      <c r="AC6" s="3786"/>
      <c r="AD6" s="3786"/>
      <c r="AE6" s="3786"/>
      <c r="AF6" s="3786"/>
      <c r="AG6" s="3786"/>
      <c r="AH6" s="3786"/>
      <c r="AI6" s="3786"/>
      <c r="AJ6" s="3786"/>
      <c r="AK6" s="3786"/>
      <c r="AL6" s="1340"/>
      <c r="AM6" s="1341"/>
      <c r="AN6" s="1340"/>
      <c r="AO6" s="1340"/>
      <c r="AP6" s="1340"/>
      <c r="AQ6" s="1340"/>
      <c r="AR6" s="1340"/>
      <c r="AS6" s="1340"/>
      <c r="AT6" s="1340"/>
      <c r="AU6" s="1340"/>
      <c r="AV6" s="1340"/>
      <c r="AW6" s="1340"/>
      <c r="AX6" s="1340"/>
    </row>
    <row r="7" spans="4:50" s="1342" customFormat="1" ht="24.75" customHeight="1">
      <c r="D7" s="1339"/>
      <c r="E7" s="1345" t="s">
        <v>153</v>
      </c>
      <c r="F7" s="1360" t="b">
        <v>1</v>
      </c>
      <c r="G7" s="3749" t="s">
        <v>1634</v>
      </c>
      <c r="H7" s="3749"/>
      <c r="I7" s="3749"/>
      <c r="J7" s="3749"/>
      <c r="K7" s="3749"/>
      <c r="L7" s="3749"/>
      <c r="M7" s="3749"/>
      <c r="N7" s="3749"/>
      <c r="O7" s="3749"/>
      <c r="P7" s="3749"/>
      <c r="Q7" s="3749"/>
      <c r="R7" s="3749"/>
      <c r="S7" s="3749"/>
      <c r="T7" s="3749"/>
      <c r="U7" s="3749"/>
      <c r="V7" s="3749"/>
      <c r="W7" s="3749"/>
      <c r="X7" s="3749"/>
      <c r="Y7" s="3749"/>
      <c r="Z7" s="3749"/>
      <c r="AA7" s="3749"/>
      <c r="AB7" s="3749"/>
      <c r="AC7" s="3749"/>
      <c r="AD7" s="3749"/>
      <c r="AE7" s="3749"/>
      <c r="AF7" s="3749"/>
      <c r="AG7" s="3749"/>
      <c r="AH7" s="3749"/>
      <c r="AI7" s="3749"/>
      <c r="AJ7" s="3749"/>
      <c r="AK7" s="3749"/>
      <c r="AL7" s="1340"/>
      <c r="AM7" s="1341"/>
      <c r="AN7" s="1340"/>
      <c r="AO7" s="1340"/>
      <c r="AP7" s="1340"/>
      <c r="AQ7" s="1340"/>
      <c r="AR7" s="1340"/>
      <c r="AS7" s="1340"/>
      <c r="AT7" s="1340"/>
      <c r="AU7" s="1340"/>
      <c r="AV7" s="1340"/>
      <c r="AW7" s="1340"/>
      <c r="AX7" s="1340"/>
    </row>
    <row r="8" spans="4:50" ht="15.65" customHeight="1">
      <c r="D8" s="1298"/>
      <c r="E8" s="1299" t="s">
        <v>154</v>
      </c>
      <c r="F8" s="3732" t="s">
        <v>1635</v>
      </c>
      <c r="G8" s="3732"/>
      <c r="H8" s="3732"/>
      <c r="I8" s="3732"/>
      <c r="J8" s="3732"/>
      <c r="K8" s="3732"/>
      <c r="L8" s="3732"/>
      <c r="M8" s="3732"/>
      <c r="N8" s="3732"/>
      <c r="O8" s="3732"/>
      <c r="P8" s="3732"/>
      <c r="Q8" s="3732"/>
      <c r="R8" s="3732"/>
      <c r="S8" s="3732"/>
      <c r="T8" s="3732"/>
      <c r="U8" s="3732"/>
      <c r="V8" s="3732"/>
      <c r="W8" s="3732"/>
      <c r="X8" s="3732"/>
      <c r="Y8" s="3732"/>
      <c r="Z8" s="3732"/>
      <c r="AA8" s="3732"/>
      <c r="AB8" s="3732"/>
      <c r="AC8" s="3732"/>
      <c r="AD8" s="3732"/>
      <c r="AE8" s="3732"/>
      <c r="AF8" s="3732"/>
      <c r="AG8" s="3732"/>
      <c r="AH8" s="3732"/>
      <c r="AI8" s="3732"/>
      <c r="AJ8" s="3732"/>
      <c r="AK8" s="3732"/>
      <c r="AM8" s="1325"/>
    </row>
    <row r="9" spans="4:50" ht="5.15" customHeight="1" thickBot="1">
      <c r="D9" s="1331"/>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M9" s="1325"/>
    </row>
    <row r="10" spans="4:50" s="1291" customFormat="1" ht="35.15" customHeight="1" thickTop="1" thickBot="1">
      <c r="D10" s="1331"/>
      <c r="E10" s="1332"/>
      <c r="F10" s="1398" t="s">
        <v>1893</v>
      </c>
      <c r="G10" s="3858" t="s">
        <v>1894</v>
      </c>
      <c r="H10" s="3858"/>
      <c r="I10" s="3858"/>
      <c r="J10" s="3858"/>
      <c r="K10" s="3858"/>
      <c r="L10" s="3858"/>
      <c r="M10" s="3858"/>
      <c r="N10" s="3710" t="s">
        <v>318</v>
      </c>
      <c r="O10" s="3711"/>
      <c r="P10" s="3713"/>
      <c r="Q10" s="3711" t="s">
        <v>677</v>
      </c>
      <c r="R10" s="3711"/>
      <c r="S10" s="3714"/>
      <c r="T10" s="1351"/>
      <c r="U10" s="1351"/>
      <c r="V10" s="1351"/>
      <c r="W10" s="1351"/>
      <c r="X10" s="1398" t="s">
        <v>1895</v>
      </c>
      <c r="Y10" s="3858" t="s">
        <v>1896</v>
      </c>
      <c r="Z10" s="3858"/>
      <c r="AA10" s="3858"/>
      <c r="AB10" s="3858"/>
      <c r="AC10" s="3858"/>
      <c r="AD10" s="3858"/>
      <c r="AE10" s="3858"/>
      <c r="AF10" s="3710" t="s">
        <v>318</v>
      </c>
      <c r="AG10" s="3711"/>
      <c r="AH10" s="3713"/>
      <c r="AI10" s="3711" t="s">
        <v>677</v>
      </c>
      <c r="AJ10" s="3711"/>
      <c r="AK10" s="3714"/>
      <c r="AM10" s="1292"/>
    </row>
    <row r="11" spans="4:50" s="1291" customFormat="1" ht="19.5" customHeight="1" thickTop="1">
      <c r="D11" s="1331"/>
      <c r="E11" s="1332"/>
      <c r="F11" s="3799" t="s">
        <v>1636</v>
      </c>
      <c r="G11" s="3800"/>
      <c r="H11" s="3800"/>
      <c r="I11" s="3800"/>
      <c r="J11" s="3800"/>
      <c r="K11" s="3800"/>
      <c r="L11" s="3800"/>
      <c r="M11" s="3800"/>
      <c r="N11" s="3865">
        <v>1</v>
      </c>
      <c r="O11" s="3866"/>
      <c r="P11" s="3867"/>
      <c r="Q11" s="3866">
        <v>0</v>
      </c>
      <c r="R11" s="3866"/>
      <c r="S11" s="3868"/>
      <c r="T11" s="1373"/>
      <c r="U11" s="1373"/>
      <c r="V11" s="1373"/>
      <c r="W11" s="1351"/>
      <c r="X11" s="3799" t="s">
        <v>1652</v>
      </c>
      <c r="Y11" s="3800"/>
      <c r="Z11" s="3800"/>
      <c r="AA11" s="3800"/>
      <c r="AB11" s="3800"/>
      <c r="AC11" s="3800"/>
      <c r="AD11" s="3800"/>
      <c r="AE11" s="3800"/>
      <c r="AF11" s="3865">
        <v>0</v>
      </c>
      <c r="AG11" s="3866"/>
      <c r="AH11" s="3867"/>
      <c r="AI11" s="3866">
        <v>0</v>
      </c>
      <c r="AJ11" s="3866"/>
      <c r="AK11" s="3868"/>
      <c r="AM11" s="1292"/>
    </row>
    <row r="12" spans="4:50" s="1291" customFormat="1" ht="19.5" customHeight="1">
      <c r="D12" s="1293"/>
      <c r="E12" s="1294"/>
      <c r="F12" s="3859" t="s">
        <v>1637</v>
      </c>
      <c r="G12" s="3860"/>
      <c r="H12" s="3860"/>
      <c r="I12" s="3860"/>
      <c r="J12" s="3860"/>
      <c r="K12" s="3860"/>
      <c r="L12" s="3860"/>
      <c r="M12" s="3860"/>
      <c r="N12" s="3861">
        <v>0</v>
      </c>
      <c r="O12" s="3862"/>
      <c r="P12" s="3863"/>
      <c r="Q12" s="3862">
        <v>0</v>
      </c>
      <c r="R12" s="3862"/>
      <c r="S12" s="3864"/>
      <c r="T12" s="1348"/>
      <c r="U12" s="1348"/>
      <c r="V12" s="1348"/>
      <c r="W12" s="1351"/>
      <c r="X12" s="3859" t="s">
        <v>1653</v>
      </c>
      <c r="Y12" s="3860"/>
      <c r="Z12" s="3860"/>
      <c r="AA12" s="3860"/>
      <c r="AB12" s="3860"/>
      <c r="AC12" s="3860"/>
      <c r="AD12" s="3860"/>
      <c r="AE12" s="3860"/>
      <c r="AF12" s="3861">
        <v>0</v>
      </c>
      <c r="AG12" s="3862"/>
      <c r="AH12" s="3863"/>
      <c r="AI12" s="3862">
        <v>0</v>
      </c>
      <c r="AJ12" s="3862"/>
      <c r="AK12" s="3864"/>
      <c r="AM12" s="1292"/>
    </row>
    <row r="13" spans="4:50" s="1291" customFormat="1" ht="19.5" customHeight="1">
      <c r="D13" s="1293"/>
      <c r="E13" s="1294"/>
      <c r="F13" s="3859" t="s">
        <v>675</v>
      </c>
      <c r="G13" s="3860"/>
      <c r="H13" s="3860"/>
      <c r="I13" s="3860"/>
      <c r="J13" s="3860"/>
      <c r="K13" s="3860"/>
      <c r="L13" s="3860"/>
      <c r="M13" s="3860"/>
      <c r="N13" s="3861">
        <v>0</v>
      </c>
      <c r="O13" s="3862"/>
      <c r="P13" s="3863"/>
      <c r="Q13" s="3862">
        <v>0</v>
      </c>
      <c r="R13" s="3862"/>
      <c r="S13" s="3864"/>
      <c r="T13" s="1348"/>
      <c r="U13" s="1348"/>
      <c r="V13" s="1348"/>
      <c r="W13" s="1351"/>
      <c r="X13" s="3859" t="s">
        <v>515</v>
      </c>
      <c r="Y13" s="3860"/>
      <c r="Z13" s="3860"/>
      <c r="AA13" s="3860"/>
      <c r="AB13" s="3860"/>
      <c r="AC13" s="3860"/>
      <c r="AD13" s="3860"/>
      <c r="AE13" s="3860"/>
      <c r="AF13" s="3861">
        <v>0</v>
      </c>
      <c r="AG13" s="3862"/>
      <c r="AH13" s="3863"/>
      <c r="AI13" s="3862">
        <v>0</v>
      </c>
      <c r="AJ13" s="3862"/>
      <c r="AK13" s="3864"/>
      <c r="AM13" s="1292"/>
    </row>
    <row r="14" spans="4:50" s="1291" customFormat="1" ht="19.5" customHeight="1">
      <c r="D14" s="1293"/>
      <c r="E14" s="1294"/>
      <c r="F14" s="3859" t="s">
        <v>1638</v>
      </c>
      <c r="G14" s="3860"/>
      <c r="H14" s="3860"/>
      <c r="I14" s="3860"/>
      <c r="J14" s="3860"/>
      <c r="K14" s="3860"/>
      <c r="L14" s="3860"/>
      <c r="M14" s="3860"/>
      <c r="N14" s="3861">
        <v>0</v>
      </c>
      <c r="O14" s="3862"/>
      <c r="P14" s="3863"/>
      <c r="Q14" s="3862">
        <v>0</v>
      </c>
      <c r="R14" s="3862"/>
      <c r="S14" s="3864"/>
      <c r="T14" s="1348"/>
      <c r="U14" s="1348"/>
      <c r="V14" s="1348"/>
      <c r="W14" s="1351"/>
      <c r="X14" s="3859" t="s">
        <v>1654</v>
      </c>
      <c r="Y14" s="3860"/>
      <c r="Z14" s="3860"/>
      <c r="AA14" s="3860"/>
      <c r="AB14" s="3860"/>
      <c r="AC14" s="3860"/>
      <c r="AD14" s="3860"/>
      <c r="AE14" s="3860"/>
      <c r="AF14" s="3861">
        <v>0</v>
      </c>
      <c r="AG14" s="3862"/>
      <c r="AH14" s="3863"/>
      <c r="AI14" s="3862">
        <v>0</v>
      </c>
      <c r="AJ14" s="3862"/>
      <c r="AK14" s="3864"/>
      <c r="AM14" s="1292"/>
    </row>
    <row r="15" spans="4:50" s="1291" customFormat="1" ht="19.5" customHeight="1">
      <c r="D15" s="1293"/>
      <c r="E15" s="1294"/>
      <c r="F15" s="3859" t="s">
        <v>1639</v>
      </c>
      <c r="G15" s="3860"/>
      <c r="H15" s="3860"/>
      <c r="I15" s="3860"/>
      <c r="J15" s="3860"/>
      <c r="K15" s="3860"/>
      <c r="L15" s="3860"/>
      <c r="M15" s="3860"/>
      <c r="N15" s="3861">
        <v>0</v>
      </c>
      <c r="O15" s="3862"/>
      <c r="P15" s="3863"/>
      <c r="Q15" s="3862">
        <v>0</v>
      </c>
      <c r="R15" s="3862"/>
      <c r="S15" s="3864"/>
      <c r="T15" s="1348"/>
      <c r="U15" s="1348"/>
      <c r="V15" s="1348"/>
      <c r="W15" s="1351"/>
      <c r="X15" s="3859" t="s">
        <v>1655</v>
      </c>
      <c r="Y15" s="3860"/>
      <c r="Z15" s="3860"/>
      <c r="AA15" s="3860"/>
      <c r="AB15" s="3860"/>
      <c r="AC15" s="3860"/>
      <c r="AD15" s="3860"/>
      <c r="AE15" s="3860"/>
      <c r="AF15" s="3861">
        <v>0</v>
      </c>
      <c r="AG15" s="3862"/>
      <c r="AH15" s="3863"/>
      <c r="AI15" s="3862">
        <v>0</v>
      </c>
      <c r="AJ15" s="3862"/>
      <c r="AK15" s="3864"/>
      <c r="AM15" s="1292"/>
    </row>
    <row r="16" spans="4:50" s="1291" customFormat="1" ht="19.5" customHeight="1">
      <c r="D16" s="1293"/>
      <c r="E16" s="1294"/>
      <c r="F16" s="3859" t="s">
        <v>673</v>
      </c>
      <c r="G16" s="3860"/>
      <c r="H16" s="3860"/>
      <c r="I16" s="3860"/>
      <c r="J16" s="3860"/>
      <c r="K16" s="3860"/>
      <c r="L16" s="3860"/>
      <c r="M16" s="3860"/>
      <c r="N16" s="3861">
        <v>0</v>
      </c>
      <c r="O16" s="3862"/>
      <c r="P16" s="3863"/>
      <c r="Q16" s="3862">
        <v>0</v>
      </c>
      <c r="R16" s="3862"/>
      <c r="S16" s="3864"/>
      <c r="T16" s="1348"/>
      <c r="U16" s="1348"/>
      <c r="V16" s="1348"/>
      <c r="W16" s="1351"/>
      <c r="X16" s="3859"/>
      <c r="Y16" s="3860"/>
      <c r="Z16" s="3860"/>
      <c r="AA16" s="3860"/>
      <c r="AB16" s="3860"/>
      <c r="AC16" s="3860"/>
      <c r="AD16" s="3860"/>
      <c r="AE16" s="3860"/>
      <c r="AF16" s="3861"/>
      <c r="AG16" s="3862"/>
      <c r="AH16" s="3863"/>
      <c r="AI16" s="3862"/>
      <c r="AJ16" s="3862"/>
      <c r="AK16" s="3864"/>
      <c r="AM16" s="1292"/>
    </row>
    <row r="17" spans="4:39" s="1291" customFormat="1" ht="19.5" customHeight="1">
      <c r="D17" s="1293"/>
      <c r="E17" s="1294"/>
      <c r="F17" s="3859" t="s">
        <v>671</v>
      </c>
      <c r="G17" s="3860"/>
      <c r="H17" s="3860"/>
      <c r="I17" s="3860"/>
      <c r="J17" s="3860"/>
      <c r="K17" s="3860"/>
      <c r="L17" s="3860"/>
      <c r="M17" s="3860"/>
      <c r="N17" s="3861">
        <v>0</v>
      </c>
      <c r="O17" s="3862"/>
      <c r="P17" s="3863"/>
      <c r="Q17" s="3862">
        <v>0</v>
      </c>
      <c r="R17" s="3862"/>
      <c r="S17" s="3864"/>
      <c r="T17" s="1348"/>
      <c r="U17" s="1348"/>
      <c r="V17" s="1348"/>
      <c r="W17" s="1351"/>
      <c r="X17" s="3859" t="s">
        <v>1656</v>
      </c>
      <c r="Y17" s="3860"/>
      <c r="Z17" s="3860"/>
      <c r="AA17" s="3860"/>
      <c r="AB17" s="3860"/>
      <c r="AC17" s="3860"/>
      <c r="AD17" s="3860"/>
      <c r="AE17" s="3860"/>
      <c r="AF17" s="3861">
        <v>0</v>
      </c>
      <c r="AG17" s="3862"/>
      <c r="AH17" s="3863"/>
      <c r="AI17" s="3862">
        <v>0</v>
      </c>
      <c r="AJ17" s="3862"/>
      <c r="AK17" s="3864"/>
      <c r="AM17" s="1292"/>
    </row>
    <row r="18" spans="4:39" s="1291" customFormat="1" ht="19.5" customHeight="1">
      <c r="D18" s="1293"/>
      <c r="E18" s="1294"/>
      <c r="F18" s="3859" t="s">
        <v>515</v>
      </c>
      <c r="G18" s="3860"/>
      <c r="H18" s="3860"/>
      <c r="I18" s="3860"/>
      <c r="J18" s="3860"/>
      <c r="K18" s="3860"/>
      <c r="L18" s="3860"/>
      <c r="M18" s="3860"/>
      <c r="N18" s="3861">
        <v>1</v>
      </c>
      <c r="O18" s="3862"/>
      <c r="P18" s="3863"/>
      <c r="Q18" s="3862">
        <v>0</v>
      </c>
      <c r="R18" s="3862"/>
      <c r="S18" s="3864"/>
      <c r="T18" s="1348"/>
      <c r="U18" s="1348"/>
      <c r="V18" s="1348"/>
      <c r="W18" s="1351"/>
      <c r="X18" s="3859"/>
      <c r="Y18" s="3860"/>
      <c r="Z18" s="3860"/>
      <c r="AA18" s="3860"/>
      <c r="AB18" s="3860"/>
      <c r="AC18" s="3860"/>
      <c r="AD18" s="3860"/>
      <c r="AE18" s="3860"/>
      <c r="AF18" s="3861"/>
      <c r="AG18" s="3862"/>
      <c r="AH18" s="3863"/>
      <c r="AI18" s="3862"/>
      <c r="AJ18" s="3862"/>
      <c r="AK18" s="3864"/>
      <c r="AM18" s="1292"/>
    </row>
    <row r="19" spans="4:39" s="1291" customFormat="1" ht="19.5" customHeight="1" thickBot="1">
      <c r="D19" s="1293"/>
      <c r="E19" s="1294"/>
      <c r="F19" s="3859" t="s">
        <v>1640</v>
      </c>
      <c r="G19" s="3860"/>
      <c r="H19" s="3860"/>
      <c r="I19" s="3860"/>
      <c r="J19" s="3860"/>
      <c r="K19" s="3860"/>
      <c r="L19" s="3860"/>
      <c r="M19" s="3860"/>
      <c r="N19" s="3869">
        <v>0</v>
      </c>
      <c r="O19" s="3870"/>
      <c r="P19" s="3871"/>
      <c r="Q19" s="3870">
        <v>0</v>
      </c>
      <c r="R19" s="3870"/>
      <c r="S19" s="3872"/>
      <c r="T19" s="1348"/>
      <c r="U19" s="1348"/>
      <c r="V19" s="1348"/>
      <c r="W19" s="1351"/>
      <c r="X19" s="3802" t="s">
        <v>1657</v>
      </c>
      <c r="Y19" s="3803"/>
      <c r="Z19" s="3803"/>
      <c r="AA19" s="3803"/>
      <c r="AB19" s="3803"/>
      <c r="AC19" s="3803"/>
      <c r="AD19" s="3803"/>
      <c r="AE19" s="3803"/>
      <c r="AF19" s="3741">
        <v>0</v>
      </c>
      <c r="AG19" s="3742"/>
      <c r="AH19" s="3792"/>
      <c r="AI19" s="3742">
        <v>0</v>
      </c>
      <c r="AJ19" s="3742"/>
      <c r="AK19" s="3748"/>
      <c r="AM19" s="1292"/>
    </row>
    <row r="20" spans="4:39" s="1291" customFormat="1" ht="19.5" customHeight="1" thickTop="1">
      <c r="D20" s="1293"/>
      <c r="E20" s="1294"/>
      <c r="F20" s="3859" t="s">
        <v>1897</v>
      </c>
      <c r="G20" s="3860"/>
      <c r="H20" s="3860"/>
      <c r="I20" s="3860"/>
      <c r="J20" s="3860"/>
      <c r="K20" s="3860"/>
      <c r="L20" s="3860"/>
      <c r="M20" s="3860"/>
      <c r="N20" s="3861">
        <v>0</v>
      </c>
      <c r="O20" s="3862"/>
      <c r="P20" s="3863"/>
      <c r="Q20" s="3862">
        <v>0</v>
      </c>
      <c r="R20" s="3862"/>
      <c r="S20" s="3864"/>
      <c r="T20" s="1348"/>
      <c r="U20" s="1348"/>
      <c r="V20" s="1348"/>
      <c r="W20" s="1351"/>
      <c r="X20" s="1351"/>
      <c r="Y20" s="1351"/>
      <c r="Z20" s="1351"/>
      <c r="AA20" s="1351"/>
      <c r="AB20" s="1351"/>
      <c r="AC20" s="1351"/>
      <c r="AD20" s="1351"/>
      <c r="AE20" s="1351"/>
      <c r="AF20" s="1348"/>
      <c r="AG20" s="1348"/>
      <c r="AH20" s="1348"/>
      <c r="AI20" s="1348"/>
      <c r="AJ20" s="1348"/>
      <c r="AK20" s="1348"/>
      <c r="AM20" s="1292"/>
    </row>
    <row r="21" spans="4:39" s="1291" customFormat="1" ht="19.5" customHeight="1">
      <c r="D21" s="1293"/>
      <c r="E21" s="1294"/>
      <c r="F21" s="3859"/>
      <c r="G21" s="3860"/>
      <c r="H21" s="3860"/>
      <c r="I21" s="3860"/>
      <c r="J21" s="3860"/>
      <c r="K21" s="3860"/>
      <c r="L21" s="3860"/>
      <c r="M21" s="3860"/>
      <c r="N21" s="3861"/>
      <c r="O21" s="3862"/>
      <c r="P21" s="3863"/>
      <c r="Q21" s="3862"/>
      <c r="R21" s="3862"/>
      <c r="S21" s="3864"/>
      <c r="T21" s="1348"/>
      <c r="U21" s="1348"/>
      <c r="V21" s="1348"/>
      <c r="W21" s="1351"/>
      <c r="X21" s="1351"/>
      <c r="Y21" s="1351"/>
      <c r="Z21" s="1351"/>
      <c r="AA21" s="1351"/>
      <c r="AB21" s="1351"/>
      <c r="AC21" s="1351"/>
      <c r="AD21" s="1351"/>
      <c r="AE21" s="1351"/>
      <c r="AF21" s="1348"/>
      <c r="AG21" s="1348"/>
      <c r="AH21" s="1348"/>
      <c r="AI21" s="1348"/>
      <c r="AJ21" s="1348"/>
      <c r="AK21" s="1348"/>
      <c r="AM21" s="1292"/>
    </row>
    <row r="22" spans="4:39" s="1291" customFormat="1" ht="19.5" customHeight="1">
      <c r="D22" s="1293"/>
      <c r="E22" s="1294"/>
      <c r="F22" s="3859" t="s">
        <v>1898</v>
      </c>
      <c r="G22" s="3860"/>
      <c r="H22" s="3860"/>
      <c r="I22" s="3860"/>
      <c r="J22" s="3860"/>
      <c r="K22" s="3860"/>
      <c r="L22" s="3860"/>
      <c r="M22" s="3860"/>
      <c r="N22" s="3869">
        <v>0</v>
      </c>
      <c r="O22" s="3870"/>
      <c r="P22" s="3871"/>
      <c r="Q22" s="3870">
        <v>0</v>
      </c>
      <c r="R22" s="3870"/>
      <c r="S22" s="3872"/>
      <c r="T22" s="1348"/>
      <c r="U22" s="1348"/>
      <c r="V22" s="1348"/>
      <c r="W22" s="1351"/>
      <c r="X22" s="1351"/>
      <c r="Y22" s="1351"/>
      <c r="Z22" s="1351"/>
      <c r="AA22" s="1351"/>
      <c r="AB22" s="1351"/>
      <c r="AC22" s="1351"/>
      <c r="AD22" s="1351"/>
      <c r="AE22" s="1351"/>
      <c r="AF22" s="1348"/>
      <c r="AG22" s="1348"/>
      <c r="AH22" s="1348"/>
      <c r="AI22" s="1348"/>
      <c r="AJ22" s="1348"/>
      <c r="AK22" s="1348"/>
      <c r="AM22" s="1292"/>
    </row>
    <row r="23" spans="4:39" s="1291" customFormat="1" ht="19.5" customHeight="1">
      <c r="D23" s="1293"/>
      <c r="E23" s="1294"/>
      <c r="F23" s="3859"/>
      <c r="G23" s="3860"/>
      <c r="H23" s="3860"/>
      <c r="I23" s="3860"/>
      <c r="J23" s="3860"/>
      <c r="K23" s="3860"/>
      <c r="L23" s="3860"/>
      <c r="M23" s="3860"/>
      <c r="N23" s="3869"/>
      <c r="O23" s="3870"/>
      <c r="P23" s="3871"/>
      <c r="Q23" s="3870"/>
      <c r="R23" s="3870"/>
      <c r="S23" s="3872"/>
      <c r="T23" s="1348"/>
      <c r="U23" s="1348"/>
      <c r="V23" s="1348"/>
      <c r="W23" s="1351"/>
      <c r="X23" s="1351"/>
      <c r="Y23" s="1351"/>
      <c r="Z23" s="1351"/>
      <c r="AA23" s="1351"/>
      <c r="AB23" s="1351"/>
      <c r="AC23" s="1351"/>
      <c r="AD23" s="1351"/>
      <c r="AE23" s="1351"/>
      <c r="AF23" s="1348"/>
      <c r="AG23" s="1348"/>
      <c r="AH23" s="1348"/>
      <c r="AI23" s="1348"/>
      <c r="AJ23" s="1348"/>
      <c r="AK23" s="1348"/>
      <c r="AM23" s="1292"/>
    </row>
    <row r="24" spans="4:39" s="1291" customFormat="1" ht="19.5" customHeight="1">
      <c r="D24" s="1293"/>
      <c r="E24" s="1294"/>
      <c r="F24" s="3859" t="s">
        <v>1899</v>
      </c>
      <c r="G24" s="3860"/>
      <c r="H24" s="3860"/>
      <c r="I24" s="3860"/>
      <c r="J24" s="3860"/>
      <c r="K24" s="3860"/>
      <c r="L24" s="3860"/>
      <c r="M24" s="3860"/>
      <c r="N24" s="3861">
        <v>0</v>
      </c>
      <c r="O24" s="3862"/>
      <c r="P24" s="3863"/>
      <c r="Q24" s="3862">
        <v>0</v>
      </c>
      <c r="R24" s="3862"/>
      <c r="S24" s="3864"/>
      <c r="T24" s="1348"/>
      <c r="U24" s="1348"/>
      <c r="V24" s="1348"/>
      <c r="W24" s="1351"/>
      <c r="X24" s="1351"/>
      <c r="Y24" s="1351"/>
      <c r="Z24" s="1351"/>
      <c r="AA24" s="1351"/>
      <c r="AB24" s="1351"/>
      <c r="AC24" s="1351"/>
      <c r="AD24" s="1351"/>
      <c r="AE24" s="1351"/>
      <c r="AF24" s="1348"/>
      <c r="AG24" s="1348"/>
      <c r="AH24" s="1348"/>
      <c r="AI24" s="1348"/>
      <c r="AJ24" s="1348"/>
      <c r="AK24" s="1348"/>
      <c r="AM24" s="1292"/>
    </row>
    <row r="25" spans="4:39" s="1291" customFormat="1" ht="19.5" customHeight="1">
      <c r="D25" s="1293"/>
      <c r="E25" s="1294"/>
      <c r="F25" s="3859"/>
      <c r="G25" s="3860"/>
      <c r="H25" s="3860"/>
      <c r="I25" s="3860"/>
      <c r="J25" s="3860"/>
      <c r="K25" s="3860"/>
      <c r="L25" s="3860"/>
      <c r="M25" s="3860"/>
      <c r="N25" s="3861"/>
      <c r="O25" s="3862"/>
      <c r="P25" s="3863"/>
      <c r="Q25" s="3862"/>
      <c r="R25" s="3862"/>
      <c r="S25" s="3864"/>
      <c r="T25" s="1348"/>
      <c r="U25" s="1348"/>
      <c r="V25" s="1348"/>
      <c r="W25" s="1351"/>
      <c r="X25" s="1351"/>
      <c r="Y25" s="1351"/>
      <c r="Z25" s="1351"/>
      <c r="AA25" s="1351"/>
      <c r="AB25" s="1351"/>
      <c r="AC25" s="1351"/>
      <c r="AD25" s="1351"/>
      <c r="AE25" s="1351"/>
      <c r="AF25" s="1348"/>
      <c r="AG25" s="1348"/>
      <c r="AH25" s="1348"/>
      <c r="AI25" s="1348"/>
      <c r="AJ25" s="1348"/>
      <c r="AK25" s="1348"/>
      <c r="AM25" s="1292"/>
    </row>
    <row r="26" spans="4:39" s="1291" customFormat="1" ht="19.5" customHeight="1">
      <c r="D26" s="1293"/>
      <c r="E26" s="1294"/>
      <c r="F26" s="3859" t="s">
        <v>1641</v>
      </c>
      <c r="G26" s="3860"/>
      <c r="H26" s="3860"/>
      <c r="I26" s="3860"/>
      <c r="J26" s="3860"/>
      <c r="K26" s="3860"/>
      <c r="L26" s="3860"/>
      <c r="M26" s="3860"/>
      <c r="N26" s="3861">
        <v>0</v>
      </c>
      <c r="O26" s="3862"/>
      <c r="P26" s="3863"/>
      <c r="Q26" s="3862">
        <v>0</v>
      </c>
      <c r="R26" s="3862"/>
      <c r="S26" s="3864"/>
      <c r="T26" s="1348"/>
      <c r="U26" s="1348"/>
      <c r="V26" s="1348"/>
      <c r="W26" s="1351"/>
      <c r="X26" s="1351"/>
      <c r="Y26" s="1351"/>
      <c r="Z26" s="1351"/>
      <c r="AA26" s="1351"/>
      <c r="AB26" s="1351"/>
      <c r="AC26" s="1351"/>
      <c r="AD26" s="1351"/>
      <c r="AE26" s="1351"/>
      <c r="AF26" s="1348"/>
      <c r="AG26" s="1348"/>
      <c r="AH26" s="1348"/>
      <c r="AI26" s="1348"/>
      <c r="AJ26" s="1348"/>
      <c r="AK26" s="1348"/>
      <c r="AM26" s="1292"/>
    </row>
    <row r="27" spans="4:39" s="1291" customFormat="1" ht="19.5" customHeight="1">
      <c r="D27" s="1293"/>
      <c r="E27" s="1294"/>
      <c r="F27" s="3859" t="s">
        <v>1642</v>
      </c>
      <c r="G27" s="3860"/>
      <c r="H27" s="3860"/>
      <c r="I27" s="3860"/>
      <c r="J27" s="3860"/>
      <c r="K27" s="3860"/>
      <c r="L27" s="3860"/>
      <c r="M27" s="3860"/>
      <c r="N27" s="3861">
        <v>0</v>
      </c>
      <c r="O27" s="3862"/>
      <c r="P27" s="3863"/>
      <c r="Q27" s="3862">
        <v>0</v>
      </c>
      <c r="R27" s="3862"/>
      <c r="S27" s="3864"/>
      <c r="T27" s="1348"/>
      <c r="U27" s="1348"/>
      <c r="V27" s="1348"/>
      <c r="W27" s="1351"/>
      <c r="X27" s="1351"/>
      <c r="Y27" s="1351"/>
      <c r="Z27" s="1351"/>
      <c r="AA27" s="1351"/>
      <c r="AB27" s="1351"/>
      <c r="AC27" s="1351"/>
      <c r="AD27" s="1351"/>
      <c r="AE27" s="1351"/>
      <c r="AF27" s="1348"/>
      <c r="AG27" s="1348"/>
      <c r="AH27" s="1348"/>
      <c r="AI27" s="1348"/>
      <c r="AJ27" s="1348"/>
      <c r="AK27" s="1348"/>
      <c r="AM27" s="1292"/>
    </row>
    <row r="28" spans="4:39" s="1291" customFormat="1" ht="19.5" customHeight="1">
      <c r="D28" s="1293"/>
      <c r="E28" s="1294"/>
      <c r="F28" s="3859" t="s">
        <v>1643</v>
      </c>
      <c r="G28" s="3860"/>
      <c r="H28" s="3860"/>
      <c r="I28" s="3860"/>
      <c r="J28" s="3860"/>
      <c r="K28" s="3860"/>
      <c r="L28" s="3860"/>
      <c r="M28" s="3860"/>
      <c r="N28" s="3861">
        <v>0</v>
      </c>
      <c r="O28" s="3862"/>
      <c r="P28" s="3863"/>
      <c r="Q28" s="3862">
        <v>0</v>
      </c>
      <c r="R28" s="3862"/>
      <c r="S28" s="3864"/>
      <c r="T28" s="1348"/>
      <c r="U28" s="1348"/>
      <c r="V28" s="1348"/>
      <c r="W28" s="1351"/>
      <c r="X28" s="1351"/>
      <c r="Y28" s="1351"/>
      <c r="Z28" s="1351"/>
      <c r="AA28" s="1351"/>
      <c r="AB28" s="1351"/>
      <c r="AC28" s="1351"/>
      <c r="AD28" s="1351"/>
      <c r="AE28" s="1351"/>
      <c r="AF28" s="1348"/>
      <c r="AG28" s="1348"/>
      <c r="AH28" s="1348"/>
      <c r="AI28" s="1348"/>
      <c r="AJ28" s="1348"/>
      <c r="AK28" s="1348"/>
      <c r="AM28" s="1292"/>
    </row>
    <row r="29" spans="4:39" s="1291" customFormat="1" ht="19.5" customHeight="1">
      <c r="D29" s="1293"/>
      <c r="E29" s="1294"/>
      <c r="F29" s="3859" t="s">
        <v>674</v>
      </c>
      <c r="G29" s="3860"/>
      <c r="H29" s="3860"/>
      <c r="I29" s="3860"/>
      <c r="J29" s="3860"/>
      <c r="K29" s="3860"/>
      <c r="L29" s="3860"/>
      <c r="M29" s="3860"/>
      <c r="N29" s="3861">
        <v>0</v>
      </c>
      <c r="O29" s="3862"/>
      <c r="P29" s="3863"/>
      <c r="Q29" s="3862">
        <v>0</v>
      </c>
      <c r="R29" s="3862"/>
      <c r="S29" s="3864"/>
      <c r="T29" s="1348"/>
      <c r="U29" s="1348"/>
      <c r="V29" s="1348"/>
      <c r="W29" s="1351"/>
      <c r="X29" s="1351"/>
      <c r="Y29" s="1351"/>
      <c r="Z29" s="1351"/>
      <c r="AA29" s="1351"/>
      <c r="AB29" s="1351"/>
      <c r="AC29" s="1351"/>
      <c r="AD29" s="1351"/>
      <c r="AE29" s="1351"/>
      <c r="AF29" s="1348"/>
      <c r="AG29" s="1348"/>
      <c r="AH29" s="1348"/>
      <c r="AI29" s="1348"/>
      <c r="AJ29" s="1348"/>
      <c r="AK29" s="1348"/>
      <c r="AM29" s="1292"/>
    </row>
    <row r="30" spans="4:39" s="1291" customFormat="1" ht="19.5" customHeight="1">
      <c r="D30" s="1293"/>
      <c r="E30" s="1294"/>
      <c r="F30" s="3859" t="s">
        <v>1644</v>
      </c>
      <c r="G30" s="3860"/>
      <c r="H30" s="3860"/>
      <c r="I30" s="3860"/>
      <c r="J30" s="3860"/>
      <c r="K30" s="3860"/>
      <c r="L30" s="3860"/>
      <c r="M30" s="3860"/>
      <c r="N30" s="3861">
        <v>0</v>
      </c>
      <c r="O30" s="3862"/>
      <c r="P30" s="3863"/>
      <c r="Q30" s="3862">
        <v>0</v>
      </c>
      <c r="R30" s="3862"/>
      <c r="S30" s="3864"/>
      <c r="T30" s="1348"/>
      <c r="U30" s="1348"/>
      <c r="V30" s="1348"/>
      <c r="W30" s="1351"/>
      <c r="X30" s="1351"/>
      <c r="Y30" s="1351"/>
      <c r="Z30" s="1351"/>
      <c r="AA30" s="1351"/>
      <c r="AB30" s="1351"/>
      <c r="AC30" s="1351"/>
      <c r="AD30" s="1351"/>
      <c r="AE30" s="1351"/>
      <c r="AF30" s="1348"/>
      <c r="AG30" s="1348"/>
      <c r="AH30" s="1348"/>
      <c r="AI30" s="1348"/>
      <c r="AJ30" s="1348"/>
      <c r="AK30" s="1348"/>
      <c r="AM30" s="1292"/>
    </row>
    <row r="31" spans="4:39" s="1291" customFormat="1" ht="19.5" customHeight="1">
      <c r="D31" s="1293"/>
      <c r="E31" s="1294"/>
      <c r="F31" s="3859" t="s">
        <v>1900</v>
      </c>
      <c r="G31" s="3860"/>
      <c r="H31" s="3860"/>
      <c r="I31" s="3860"/>
      <c r="J31" s="3860"/>
      <c r="K31" s="3860"/>
      <c r="L31" s="3860"/>
      <c r="M31" s="3860"/>
      <c r="N31" s="3861">
        <v>0</v>
      </c>
      <c r="O31" s="3862"/>
      <c r="P31" s="3863"/>
      <c r="Q31" s="3862">
        <v>0</v>
      </c>
      <c r="R31" s="3862"/>
      <c r="S31" s="3864"/>
      <c r="T31" s="1348"/>
      <c r="U31" s="1348"/>
      <c r="V31" s="1348"/>
      <c r="W31" s="1351"/>
      <c r="X31" s="1351"/>
      <c r="Y31" s="1351"/>
      <c r="Z31" s="1351"/>
      <c r="AA31" s="1351"/>
      <c r="AB31" s="1351"/>
      <c r="AC31" s="1351"/>
      <c r="AD31" s="1351"/>
      <c r="AE31" s="1351"/>
      <c r="AF31" s="1348"/>
      <c r="AG31" s="1348"/>
      <c r="AH31" s="1348"/>
      <c r="AI31" s="1348"/>
      <c r="AJ31" s="1348"/>
      <c r="AK31" s="1348"/>
      <c r="AM31" s="1292"/>
    </row>
    <row r="32" spans="4:39" s="1291" customFormat="1" ht="19.5" customHeight="1">
      <c r="D32" s="1293"/>
      <c r="E32" s="1294"/>
      <c r="F32" s="3859"/>
      <c r="G32" s="3860"/>
      <c r="H32" s="3860"/>
      <c r="I32" s="3860"/>
      <c r="J32" s="3860"/>
      <c r="K32" s="3860"/>
      <c r="L32" s="3860"/>
      <c r="M32" s="3860"/>
      <c r="N32" s="3861"/>
      <c r="O32" s="3862"/>
      <c r="P32" s="3863"/>
      <c r="Q32" s="3862"/>
      <c r="R32" s="3862"/>
      <c r="S32" s="3864"/>
      <c r="T32" s="1348"/>
      <c r="U32" s="1348"/>
      <c r="V32" s="1348"/>
      <c r="W32" s="1351"/>
      <c r="X32" s="1351"/>
      <c r="Y32" s="1351"/>
      <c r="Z32" s="1351"/>
      <c r="AA32" s="1351"/>
      <c r="AB32" s="1351"/>
      <c r="AC32" s="1351"/>
      <c r="AD32" s="1351"/>
      <c r="AE32" s="1351"/>
      <c r="AF32" s="1348"/>
      <c r="AG32" s="1348"/>
      <c r="AH32" s="1348"/>
      <c r="AI32" s="1348"/>
      <c r="AJ32" s="1348"/>
      <c r="AK32" s="1348"/>
      <c r="AM32" s="1292"/>
    </row>
    <row r="33" spans="4:46" s="1291" customFormat="1" ht="19.5" customHeight="1">
      <c r="D33" s="1293"/>
      <c r="E33" s="1294"/>
      <c r="F33" s="3859" t="s">
        <v>1645</v>
      </c>
      <c r="G33" s="3860"/>
      <c r="H33" s="3860"/>
      <c r="I33" s="3860"/>
      <c r="J33" s="3860"/>
      <c r="K33" s="3860"/>
      <c r="L33" s="3860"/>
      <c r="M33" s="3860"/>
      <c r="N33" s="3861">
        <v>0</v>
      </c>
      <c r="O33" s="3862"/>
      <c r="P33" s="3863"/>
      <c r="Q33" s="3862">
        <v>0</v>
      </c>
      <c r="R33" s="3862"/>
      <c r="S33" s="3864"/>
      <c r="T33" s="1348"/>
      <c r="U33" s="1348"/>
      <c r="V33" s="1348"/>
      <c r="W33" s="1351"/>
      <c r="X33" s="1351"/>
      <c r="Y33" s="1351"/>
      <c r="Z33" s="1351"/>
      <c r="AA33" s="1351"/>
      <c r="AB33" s="1351"/>
      <c r="AC33" s="1351"/>
      <c r="AD33" s="1351"/>
      <c r="AE33" s="1351"/>
      <c r="AF33" s="1348"/>
      <c r="AG33" s="1348"/>
      <c r="AH33" s="1348"/>
      <c r="AI33" s="1348"/>
      <c r="AJ33" s="1348"/>
      <c r="AK33" s="1348"/>
      <c r="AM33" s="1292"/>
    </row>
    <row r="34" spans="4:46" s="1291" customFormat="1" ht="19.5" customHeight="1">
      <c r="D34" s="1293"/>
      <c r="E34" s="1294"/>
      <c r="F34" s="3859" t="s">
        <v>672</v>
      </c>
      <c r="G34" s="3860"/>
      <c r="H34" s="3860"/>
      <c r="I34" s="3860"/>
      <c r="J34" s="3860"/>
      <c r="K34" s="3860"/>
      <c r="L34" s="3860"/>
      <c r="M34" s="3860"/>
      <c r="N34" s="3861">
        <v>0</v>
      </c>
      <c r="O34" s="3862"/>
      <c r="P34" s="3863"/>
      <c r="Q34" s="3862">
        <v>0</v>
      </c>
      <c r="R34" s="3862"/>
      <c r="S34" s="3864"/>
      <c r="T34" s="1348"/>
      <c r="U34" s="1348"/>
      <c r="V34" s="1348"/>
      <c r="W34" s="1351"/>
      <c r="X34" s="1351"/>
      <c r="Y34" s="1351"/>
      <c r="Z34" s="1351"/>
      <c r="AA34" s="1351"/>
      <c r="AB34" s="1351"/>
      <c r="AC34" s="1351"/>
      <c r="AD34" s="1351"/>
      <c r="AE34" s="1351"/>
      <c r="AF34" s="1348"/>
      <c r="AG34" s="1348"/>
      <c r="AH34" s="1348"/>
      <c r="AI34" s="1348"/>
      <c r="AJ34" s="1348"/>
      <c r="AK34" s="1348"/>
      <c r="AM34" s="1292"/>
    </row>
    <row r="35" spans="4:46" s="1291" customFormat="1" ht="19.5" customHeight="1">
      <c r="D35" s="1293"/>
      <c r="E35" s="1294"/>
      <c r="F35" s="3859" t="s">
        <v>1646</v>
      </c>
      <c r="G35" s="3860"/>
      <c r="H35" s="3860"/>
      <c r="I35" s="3860"/>
      <c r="J35" s="3860"/>
      <c r="K35" s="3860"/>
      <c r="L35" s="3860"/>
      <c r="M35" s="3860"/>
      <c r="N35" s="3861">
        <v>0</v>
      </c>
      <c r="O35" s="3862"/>
      <c r="P35" s="3863"/>
      <c r="Q35" s="3862">
        <v>0</v>
      </c>
      <c r="R35" s="3862"/>
      <c r="S35" s="3864"/>
      <c r="T35" s="1348"/>
      <c r="U35" s="1348"/>
      <c r="V35" s="1348"/>
      <c r="W35" s="1351"/>
      <c r="X35" s="1351"/>
      <c r="Y35" s="1351"/>
      <c r="Z35" s="1351"/>
      <c r="AA35" s="1351"/>
      <c r="AB35" s="1351"/>
      <c r="AC35" s="1351"/>
      <c r="AD35" s="1351"/>
      <c r="AE35" s="1351"/>
      <c r="AF35" s="1348"/>
      <c r="AG35" s="1348"/>
      <c r="AH35" s="1348"/>
      <c r="AI35" s="1348"/>
      <c r="AJ35" s="1348"/>
      <c r="AK35" s="1348"/>
      <c r="AM35" s="1292"/>
    </row>
    <row r="36" spans="4:46" s="1291" customFormat="1" ht="19.5" customHeight="1">
      <c r="D36" s="1293"/>
      <c r="E36" s="1294"/>
      <c r="F36" s="3859" t="s">
        <v>670</v>
      </c>
      <c r="G36" s="3860"/>
      <c r="H36" s="3860"/>
      <c r="I36" s="3860"/>
      <c r="J36" s="3860"/>
      <c r="K36" s="3860"/>
      <c r="L36" s="3860"/>
      <c r="M36" s="3860"/>
      <c r="N36" s="3861">
        <v>0</v>
      </c>
      <c r="O36" s="3862"/>
      <c r="P36" s="3863"/>
      <c r="Q36" s="3862">
        <v>0</v>
      </c>
      <c r="R36" s="3862"/>
      <c r="S36" s="3864"/>
      <c r="T36" s="1348"/>
      <c r="U36" s="1348"/>
      <c r="V36" s="1348"/>
      <c r="W36" s="1351"/>
      <c r="X36" s="1351"/>
      <c r="Y36" s="1351"/>
      <c r="Z36" s="1351"/>
      <c r="AA36" s="1351"/>
      <c r="AB36" s="1351"/>
      <c r="AC36" s="1351"/>
      <c r="AD36" s="1351"/>
      <c r="AE36" s="1351"/>
      <c r="AF36" s="1348"/>
      <c r="AG36" s="1348"/>
      <c r="AH36" s="1348"/>
      <c r="AI36" s="1348"/>
      <c r="AJ36" s="1348"/>
      <c r="AK36" s="1348"/>
      <c r="AM36" s="1292"/>
    </row>
    <row r="37" spans="4:46" s="1291" customFormat="1" ht="19.5" customHeight="1">
      <c r="D37" s="1293"/>
      <c r="E37" s="1294"/>
      <c r="F37" s="3859" t="s">
        <v>669</v>
      </c>
      <c r="G37" s="3860"/>
      <c r="H37" s="3860"/>
      <c r="I37" s="3860"/>
      <c r="J37" s="3860"/>
      <c r="K37" s="3860"/>
      <c r="L37" s="3860"/>
      <c r="M37" s="3860"/>
      <c r="N37" s="3861">
        <v>0</v>
      </c>
      <c r="O37" s="3862"/>
      <c r="P37" s="3863"/>
      <c r="Q37" s="3862">
        <v>0</v>
      </c>
      <c r="R37" s="3862"/>
      <c r="S37" s="3864"/>
      <c r="T37" s="1348"/>
      <c r="U37" s="1348"/>
      <c r="V37" s="1348"/>
      <c r="W37" s="1351"/>
      <c r="X37" s="1351"/>
      <c r="Y37" s="1351"/>
      <c r="Z37" s="1351"/>
      <c r="AA37" s="1351"/>
      <c r="AB37" s="1351"/>
      <c r="AC37" s="1351"/>
      <c r="AD37" s="1351"/>
      <c r="AE37" s="1351"/>
      <c r="AF37" s="1348"/>
      <c r="AG37" s="1348"/>
      <c r="AH37" s="1348"/>
      <c r="AI37" s="1348"/>
      <c r="AJ37" s="1348"/>
      <c r="AK37" s="1348"/>
      <c r="AM37" s="1292"/>
    </row>
    <row r="38" spans="4:46" s="1291" customFormat="1" ht="19.5" customHeight="1">
      <c r="D38" s="1293"/>
      <c r="E38" s="1294"/>
      <c r="F38" s="3859" t="s">
        <v>1647</v>
      </c>
      <c r="G38" s="3860"/>
      <c r="H38" s="3860"/>
      <c r="I38" s="3860"/>
      <c r="J38" s="3860"/>
      <c r="K38" s="3860"/>
      <c r="L38" s="3860"/>
      <c r="M38" s="3860"/>
      <c r="N38" s="3861">
        <v>0</v>
      </c>
      <c r="O38" s="3862"/>
      <c r="P38" s="3863"/>
      <c r="Q38" s="3862">
        <v>0</v>
      </c>
      <c r="R38" s="3862"/>
      <c r="S38" s="3864"/>
      <c r="T38" s="1348"/>
      <c r="U38" s="1348"/>
      <c r="V38" s="1348"/>
      <c r="W38" s="1351"/>
      <c r="X38" s="1351"/>
      <c r="Y38" s="1351"/>
      <c r="Z38" s="1351"/>
      <c r="AA38" s="1351"/>
      <c r="AB38" s="1351"/>
      <c r="AC38" s="1351"/>
      <c r="AD38" s="1351"/>
      <c r="AE38" s="1351"/>
      <c r="AF38" s="1348"/>
      <c r="AG38" s="1348"/>
      <c r="AH38" s="1348"/>
      <c r="AI38" s="1348"/>
      <c r="AJ38" s="1348"/>
      <c r="AK38" s="1348"/>
      <c r="AM38" s="1292"/>
    </row>
    <row r="39" spans="4:46" s="1291" customFormat="1" ht="19.5" customHeight="1">
      <c r="D39" s="1293"/>
      <c r="E39" s="1294"/>
      <c r="F39" s="3859" t="s">
        <v>1648</v>
      </c>
      <c r="G39" s="3860"/>
      <c r="H39" s="3860"/>
      <c r="I39" s="3860"/>
      <c r="J39" s="3860"/>
      <c r="K39" s="3860"/>
      <c r="L39" s="3860"/>
      <c r="M39" s="3860"/>
      <c r="N39" s="3861">
        <v>0</v>
      </c>
      <c r="O39" s="3862"/>
      <c r="P39" s="3863"/>
      <c r="Q39" s="3862">
        <v>0</v>
      </c>
      <c r="R39" s="3862"/>
      <c r="S39" s="3864"/>
      <c r="T39" s="1348"/>
      <c r="U39" s="1348"/>
      <c r="V39" s="1348"/>
      <c r="W39" s="1351"/>
      <c r="X39" s="1351"/>
      <c r="Y39" s="1351"/>
      <c r="Z39" s="1351"/>
      <c r="AA39" s="1351"/>
      <c r="AB39" s="1351"/>
      <c r="AC39" s="1351"/>
      <c r="AD39" s="1351"/>
      <c r="AE39" s="1351"/>
      <c r="AF39" s="1348"/>
      <c r="AG39" s="1348"/>
      <c r="AH39" s="1348"/>
      <c r="AI39" s="1348"/>
      <c r="AJ39" s="1348"/>
      <c r="AK39" s="1348"/>
      <c r="AM39" s="1292"/>
    </row>
    <row r="40" spans="4:46" s="1291" customFormat="1" ht="19.5" customHeight="1">
      <c r="D40" s="1293"/>
      <c r="E40" s="1294"/>
      <c r="F40" s="3859" t="s">
        <v>1649</v>
      </c>
      <c r="G40" s="3860"/>
      <c r="H40" s="3860"/>
      <c r="I40" s="3860"/>
      <c r="J40" s="3860"/>
      <c r="K40" s="3860"/>
      <c r="L40" s="3860"/>
      <c r="M40" s="3860"/>
      <c r="N40" s="3861">
        <v>0</v>
      </c>
      <c r="O40" s="3862"/>
      <c r="P40" s="3863"/>
      <c r="Q40" s="3862">
        <v>0</v>
      </c>
      <c r="R40" s="3862"/>
      <c r="S40" s="3864"/>
      <c r="T40" s="1348"/>
      <c r="U40" s="1348"/>
      <c r="V40" s="1348"/>
      <c r="W40" s="1351"/>
      <c r="X40" s="1351"/>
      <c r="Y40" s="1351"/>
      <c r="Z40" s="1351"/>
      <c r="AA40" s="1351"/>
      <c r="AB40" s="1351"/>
      <c r="AC40" s="1351"/>
      <c r="AD40" s="1351"/>
      <c r="AE40" s="1351"/>
      <c r="AF40" s="1348"/>
      <c r="AG40" s="1348"/>
      <c r="AH40" s="1348"/>
      <c r="AI40" s="1348"/>
      <c r="AJ40" s="1348"/>
      <c r="AK40" s="1348"/>
      <c r="AM40" s="1292"/>
    </row>
    <row r="41" spans="4:46" s="1291" customFormat="1" ht="19.5" customHeight="1">
      <c r="D41" s="1293"/>
      <c r="E41" s="1294"/>
      <c r="F41" s="3859" t="s">
        <v>1650</v>
      </c>
      <c r="G41" s="3860"/>
      <c r="H41" s="3860"/>
      <c r="I41" s="3860"/>
      <c r="J41" s="3860"/>
      <c r="K41" s="3860"/>
      <c r="L41" s="3860"/>
      <c r="M41" s="3860"/>
      <c r="N41" s="3861">
        <v>0</v>
      </c>
      <c r="O41" s="3862"/>
      <c r="P41" s="3863"/>
      <c r="Q41" s="3862">
        <v>0</v>
      </c>
      <c r="R41" s="3862"/>
      <c r="S41" s="3864"/>
      <c r="T41" s="1348"/>
      <c r="U41" s="1348"/>
      <c r="V41" s="1348"/>
      <c r="W41" s="1351"/>
      <c r="X41" s="1351"/>
      <c r="Y41" s="1351"/>
      <c r="Z41" s="1351"/>
      <c r="AA41" s="1351"/>
      <c r="AB41" s="1351"/>
      <c r="AC41" s="1351"/>
      <c r="AD41" s="1351"/>
      <c r="AE41" s="1351"/>
      <c r="AF41" s="1348"/>
      <c r="AG41" s="1348"/>
      <c r="AH41" s="1348"/>
      <c r="AI41" s="1348"/>
      <c r="AJ41" s="1348"/>
      <c r="AK41" s="1348"/>
      <c r="AM41" s="1292"/>
    </row>
    <row r="42" spans="4:46" s="1291" customFormat="1" ht="19.5" customHeight="1">
      <c r="D42" s="1293"/>
      <c r="E42" s="1294"/>
      <c r="F42" s="3859" t="s">
        <v>1901</v>
      </c>
      <c r="G42" s="3860"/>
      <c r="H42" s="3860"/>
      <c r="I42" s="3860"/>
      <c r="J42" s="3860"/>
      <c r="K42" s="3860"/>
      <c r="L42" s="3860"/>
      <c r="M42" s="3860"/>
      <c r="N42" s="3861">
        <v>0</v>
      </c>
      <c r="O42" s="3862"/>
      <c r="P42" s="3863"/>
      <c r="Q42" s="3862">
        <v>0</v>
      </c>
      <c r="R42" s="3862"/>
      <c r="S42" s="3864"/>
      <c r="T42" s="1348"/>
      <c r="U42" s="1348"/>
      <c r="V42" s="1348"/>
      <c r="W42" s="1351"/>
      <c r="X42" s="1351"/>
      <c r="Y42" s="1351"/>
      <c r="Z42" s="1351"/>
      <c r="AA42" s="1351"/>
      <c r="AB42" s="1351"/>
      <c r="AC42" s="1351"/>
      <c r="AD42" s="1351"/>
      <c r="AE42" s="1351"/>
      <c r="AF42" s="1348"/>
      <c r="AG42" s="1348"/>
      <c r="AH42" s="1348"/>
      <c r="AI42" s="1348"/>
      <c r="AJ42" s="1348"/>
      <c r="AK42" s="1348"/>
      <c r="AM42" s="1292"/>
    </row>
    <row r="43" spans="4:46" s="1291" customFormat="1" ht="19.5" customHeight="1">
      <c r="D43" s="1293"/>
      <c r="E43" s="1294"/>
      <c r="F43" s="3859"/>
      <c r="G43" s="3860"/>
      <c r="H43" s="3860"/>
      <c r="I43" s="3860"/>
      <c r="J43" s="3860"/>
      <c r="K43" s="3860"/>
      <c r="L43" s="3860"/>
      <c r="M43" s="3860"/>
      <c r="N43" s="3861"/>
      <c r="O43" s="3862"/>
      <c r="P43" s="3863"/>
      <c r="Q43" s="3862"/>
      <c r="R43" s="3862"/>
      <c r="S43" s="3864"/>
      <c r="T43" s="1348"/>
      <c r="U43" s="1348"/>
      <c r="V43" s="1348"/>
      <c r="W43" s="1351"/>
      <c r="X43" s="1351"/>
      <c r="Y43" s="1351"/>
      <c r="Z43" s="1351"/>
      <c r="AA43" s="1351"/>
      <c r="AB43" s="1351"/>
      <c r="AC43" s="1351"/>
      <c r="AD43" s="1351"/>
      <c r="AE43" s="1351"/>
      <c r="AF43" s="1348"/>
      <c r="AG43" s="1348"/>
      <c r="AH43" s="1348"/>
      <c r="AI43" s="1348"/>
      <c r="AJ43" s="1348"/>
      <c r="AK43" s="1348"/>
      <c r="AM43" s="1292"/>
    </row>
    <row r="44" spans="4:46" s="1291" customFormat="1" ht="19.5" customHeight="1" thickBot="1">
      <c r="D44" s="1293"/>
      <c r="E44" s="1294"/>
      <c r="F44" s="3802" t="s">
        <v>1651</v>
      </c>
      <c r="G44" s="3803"/>
      <c r="H44" s="3803"/>
      <c r="I44" s="3803"/>
      <c r="J44" s="3803"/>
      <c r="K44" s="3803"/>
      <c r="L44" s="3803"/>
      <c r="M44" s="3803"/>
      <c r="N44" s="3741">
        <v>0</v>
      </c>
      <c r="O44" s="3742"/>
      <c r="P44" s="3792"/>
      <c r="Q44" s="3742">
        <v>0</v>
      </c>
      <c r="R44" s="3742"/>
      <c r="S44" s="3748"/>
      <c r="T44" s="1348"/>
      <c r="U44" s="1348"/>
      <c r="V44" s="1348"/>
      <c r="W44" s="1351"/>
      <c r="X44" s="1351"/>
      <c r="Y44" s="1351"/>
      <c r="Z44" s="1351"/>
      <c r="AA44" s="1351"/>
      <c r="AB44" s="1351"/>
      <c r="AC44" s="1351"/>
      <c r="AD44" s="1351"/>
      <c r="AE44" s="1351"/>
      <c r="AF44" s="1348"/>
      <c r="AG44" s="1348"/>
      <c r="AH44" s="1348"/>
      <c r="AI44" s="1348"/>
      <c r="AJ44" s="1348"/>
      <c r="AK44" s="1348"/>
      <c r="AM44" s="1292"/>
    </row>
    <row r="45" spans="4:46" s="1291" customFormat="1" ht="10" customHeight="1" thickTop="1">
      <c r="D45" s="1293"/>
      <c r="E45" s="1294"/>
      <c r="F45" s="1351"/>
      <c r="G45" s="1351"/>
      <c r="H45" s="1351"/>
      <c r="I45" s="1351"/>
      <c r="J45" s="1351"/>
      <c r="K45" s="1351"/>
      <c r="L45" s="1351"/>
      <c r="M45" s="1351"/>
      <c r="N45" s="1351"/>
      <c r="O45" s="1348"/>
      <c r="P45" s="1348"/>
      <c r="Q45" s="1348"/>
      <c r="R45" s="1348"/>
      <c r="S45" s="1348"/>
      <c r="T45" s="1348"/>
      <c r="U45" s="1348"/>
      <c r="V45" s="1348"/>
      <c r="W45" s="1348"/>
      <c r="X45" s="1351"/>
      <c r="Y45" s="1351"/>
      <c r="Z45" s="1351"/>
      <c r="AA45" s="1351"/>
      <c r="AB45" s="1351"/>
      <c r="AC45" s="1351"/>
      <c r="AD45" s="1351"/>
      <c r="AE45" s="1351"/>
      <c r="AF45" s="1351"/>
      <c r="AG45" s="1348"/>
      <c r="AH45" s="1348"/>
      <c r="AI45" s="1348"/>
      <c r="AJ45" s="1348"/>
      <c r="AK45" s="1348"/>
      <c r="AL45" s="1348"/>
      <c r="AM45" s="1292"/>
    </row>
    <row r="46" spans="4:46" s="1392" customFormat="1" ht="35.5" customHeight="1" thickBot="1">
      <c r="D46" s="1393"/>
      <c r="E46" s="1394" t="s">
        <v>155</v>
      </c>
      <c r="F46" s="3873" t="s">
        <v>11854</v>
      </c>
      <c r="G46" s="3873"/>
      <c r="H46" s="3873"/>
      <c r="I46" s="3873"/>
      <c r="J46" s="3873"/>
      <c r="K46" s="3873"/>
      <c r="L46" s="3873"/>
      <c r="M46" s="3873"/>
      <c r="N46" s="3873"/>
      <c r="O46" s="3873"/>
      <c r="P46" s="3873"/>
      <c r="Q46" s="3873"/>
      <c r="R46" s="3873"/>
      <c r="S46" s="3873"/>
      <c r="T46" s="3873"/>
      <c r="U46" s="3873"/>
      <c r="V46" s="3873"/>
      <c r="W46" s="3873"/>
      <c r="X46" s="3873"/>
      <c r="Y46" s="3873"/>
      <c r="Z46" s="3873"/>
      <c r="AA46" s="3873"/>
      <c r="AB46" s="3873"/>
      <c r="AC46" s="3873"/>
      <c r="AD46" s="3873"/>
      <c r="AE46" s="3873"/>
      <c r="AF46" s="3873"/>
      <c r="AG46" s="3873"/>
      <c r="AH46" s="3873"/>
      <c r="AI46" s="3873"/>
      <c r="AJ46" s="3873"/>
      <c r="AK46" s="3873"/>
      <c r="AL46" s="1395"/>
      <c r="AM46" s="1396"/>
      <c r="AN46" s="1395"/>
      <c r="AO46" s="1395"/>
      <c r="AP46" s="1395"/>
      <c r="AQ46" s="1395"/>
      <c r="AR46" s="1395"/>
      <c r="AS46" s="1395"/>
      <c r="AT46" s="1395"/>
    </row>
    <row r="47" spans="4:46" s="1372" customFormat="1" ht="19.75" customHeight="1" thickTop="1" thickBot="1">
      <c r="D47" s="1374"/>
      <c r="E47" s="1388"/>
      <c r="F47" s="3874" t="s">
        <v>1658</v>
      </c>
      <c r="G47" s="3875"/>
      <c r="H47" s="3875"/>
      <c r="I47" s="3875"/>
      <c r="J47" s="3875"/>
      <c r="K47" s="3875"/>
      <c r="L47" s="3875"/>
      <c r="M47" s="3876"/>
      <c r="N47" s="3877" t="s">
        <v>191</v>
      </c>
      <c r="O47" s="3878" t="s">
        <v>192</v>
      </c>
      <c r="P47" s="3879" t="s">
        <v>192</v>
      </c>
      <c r="Q47" s="3880" t="s">
        <v>193</v>
      </c>
      <c r="R47" s="3877" t="s">
        <v>193</v>
      </c>
      <c r="S47" s="3878" t="s">
        <v>116</v>
      </c>
      <c r="T47" s="3879" t="s">
        <v>116</v>
      </c>
      <c r="U47" s="3880"/>
      <c r="V47" s="3877" t="s">
        <v>117</v>
      </c>
      <c r="W47" s="3878"/>
      <c r="X47" s="3879" t="s">
        <v>184</v>
      </c>
      <c r="Y47" s="3880"/>
      <c r="Z47" s="3877" t="s">
        <v>185</v>
      </c>
      <c r="AA47" s="3878"/>
      <c r="AB47" s="3879" t="s">
        <v>186</v>
      </c>
      <c r="AC47" s="3880"/>
      <c r="AD47" s="3877" t="s">
        <v>187</v>
      </c>
      <c r="AE47" s="3878"/>
      <c r="AF47" s="3879" t="s">
        <v>188</v>
      </c>
      <c r="AG47" s="3880"/>
      <c r="AH47" s="3879" t="s">
        <v>189</v>
      </c>
      <c r="AI47" s="3880"/>
      <c r="AJ47" s="3877" t="s">
        <v>190</v>
      </c>
      <c r="AK47" s="3881"/>
      <c r="AL47" s="1397"/>
      <c r="AM47" s="1378"/>
    </row>
    <row r="48" spans="4:46" s="1372" customFormat="1" ht="19.75" customHeight="1" thickTop="1">
      <c r="D48" s="1374"/>
      <c r="E48" s="1388"/>
      <c r="F48" s="3882" t="s">
        <v>528</v>
      </c>
      <c r="G48" s="3883"/>
      <c r="H48" s="3883"/>
      <c r="I48" s="3883"/>
      <c r="J48" s="3883"/>
      <c r="K48" s="3883"/>
      <c r="L48" s="3883"/>
      <c r="M48" s="3884"/>
      <c r="N48" s="3885">
        <v>0</v>
      </c>
      <c r="O48" s="3886"/>
      <c r="P48" s="3887">
        <v>0</v>
      </c>
      <c r="Q48" s="3888"/>
      <c r="R48" s="3885">
        <v>1</v>
      </c>
      <c r="S48" s="3886"/>
      <c r="T48" s="3887">
        <v>0</v>
      </c>
      <c r="U48" s="3888"/>
      <c r="V48" s="3885">
        <v>0</v>
      </c>
      <c r="W48" s="3886"/>
      <c r="X48" s="3887">
        <v>1</v>
      </c>
      <c r="Y48" s="3888"/>
      <c r="Z48" s="3885">
        <v>0</v>
      </c>
      <c r="AA48" s="3886"/>
      <c r="AB48" s="3887">
        <v>0</v>
      </c>
      <c r="AC48" s="3888"/>
      <c r="AD48" s="3885">
        <v>1</v>
      </c>
      <c r="AE48" s="3886"/>
      <c r="AF48" s="3887">
        <v>0</v>
      </c>
      <c r="AG48" s="3888"/>
      <c r="AH48" s="3887">
        <v>0</v>
      </c>
      <c r="AI48" s="3888"/>
      <c r="AJ48" s="3885">
        <v>1</v>
      </c>
      <c r="AK48" s="3889"/>
      <c r="AL48" s="1390"/>
      <c r="AM48" s="1378"/>
    </row>
    <row r="49" spans="4:42" s="1372" customFormat="1" ht="19.75" customHeight="1">
      <c r="D49" s="1374"/>
      <c r="E49" s="1388"/>
      <c r="F49" s="3890" t="s">
        <v>530</v>
      </c>
      <c r="G49" s="3891"/>
      <c r="H49" s="3891"/>
      <c r="I49" s="3891"/>
      <c r="J49" s="3891"/>
      <c r="K49" s="3891"/>
      <c r="L49" s="3891"/>
      <c r="M49" s="3892"/>
      <c r="N49" s="3893">
        <v>0</v>
      </c>
      <c r="O49" s="3894"/>
      <c r="P49" s="3895">
        <v>0</v>
      </c>
      <c r="Q49" s="3896"/>
      <c r="R49" s="3893">
        <v>1</v>
      </c>
      <c r="S49" s="3894"/>
      <c r="T49" s="3895">
        <v>0</v>
      </c>
      <c r="U49" s="3896"/>
      <c r="V49" s="3893">
        <v>0</v>
      </c>
      <c r="W49" s="3894"/>
      <c r="X49" s="3895">
        <v>1</v>
      </c>
      <c r="Y49" s="3896"/>
      <c r="Z49" s="3893">
        <v>0</v>
      </c>
      <c r="AA49" s="3894"/>
      <c r="AB49" s="3895">
        <v>0</v>
      </c>
      <c r="AC49" s="3896"/>
      <c r="AD49" s="3893">
        <v>1</v>
      </c>
      <c r="AE49" s="3894"/>
      <c r="AF49" s="3895">
        <v>0</v>
      </c>
      <c r="AG49" s="3896"/>
      <c r="AH49" s="3895">
        <v>0</v>
      </c>
      <c r="AI49" s="3896"/>
      <c r="AJ49" s="3893">
        <v>1</v>
      </c>
      <c r="AK49" s="3897"/>
      <c r="AL49" s="1390"/>
      <c r="AM49" s="1378"/>
    </row>
    <row r="50" spans="4:42" s="1372" customFormat="1" ht="19.75" customHeight="1">
      <c r="D50" s="1374"/>
      <c r="E50" s="1388"/>
      <c r="F50" s="3890" t="s">
        <v>529</v>
      </c>
      <c r="G50" s="3891"/>
      <c r="H50" s="3891"/>
      <c r="I50" s="3891"/>
      <c r="J50" s="3891"/>
      <c r="K50" s="3891"/>
      <c r="L50" s="3891"/>
      <c r="M50" s="3892"/>
      <c r="N50" s="3893">
        <v>0</v>
      </c>
      <c r="O50" s="3894"/>
      <c r="P50" s="3895">
        <v>0</v>
      </c>
      <c r="Q50" s="3896"/>
      <c r="R50" s="3893">
        <v>0</v>
      </c>
      <c r="S50" s="3894"/>
      <c r="T50" s="3895">
        <v>0</v>
      </c>
      <c r="U50" s="3896"/>
      <c r="V50" s="3893">
        <v>0</v>
      </c>
      <c r="W50" s="3894"/>
      <c r="X50" s="3895">
        <v>0</v>
      </c>
      <c r="Y50" s="3896"/>
      <c r="Z50" s="3893">
        <v>0</v>
      </c>
      <c r="AA50" s="3894"/>
      <c r="AB50" s="3895">
        <v>0</v>
      </c>
      <c r="AC50" s="3896"/>
      <c r="AD50" s="3893">
        <v>0</v>
      </c>
      <c r="AE50" s="3894"/>
      <c r="AF50" s="3895">
        <v>0</v>
      </c>
      <c r="AG50" s="3896"/>
      <c r="AH50" s="3895">
        <v>0</v>
      </c>
      <c r="AI50" s="3896"/>
      <c r="AJ50" s="3893">
        <v>0</v>
      </c>
      <c r="AK50" s="3897"/>
      <c r="AL50" s="1390"/>
      <c r="AM50" s="1378"/>
    </row>
    <row r="51" spans="4:42" s="1372" customFormat="1" ht="19.75" customHeight="1">
      <c r="D51" s="1374"/>
      <c r="E51" s="1388"/>
      <c r="F51" s="3890" t="s">
        <v>662</v>
      </c>
      <c r="G51" s="3891"/>
      <c r="H51" s="3891"/>
      <c r="I51" s="3891"/>
      <c r="J51" s="3891"/>
      <c r="K51" s="3891"/>
      <c r="L51" s="3891"/>
      <c r="M51" s="3892"/>
      <c r="N51" s="3893">
        <v>0</v>
      </c>
      <c r="O51" s="3894"/>
      <c r="P51" s="3895">
        <v>0</v>
      </c>
      <c r="Q51" s="3896"/>
      <c r="R51" s="3893">
        <v>0</v>
      </c>
      <c r="S51" s="3894"/>
      <c r="T51" s="3895">
        <v>0</v>
      </c>
      <c r="U51" s="3896"/>
      <c r="V51" s="3893">
        <v>0</v>
      </c>
      <c r="W51" s="3894"/>
      <c r="X51" s="3895">
        <v>0</v>
      </c>
      <c r="Y51" s="3896"/>
      <c r="Z51" s="3893">
        <v>0</v>
      </c>
      <c r="AA51" s="3894"/>
      <c r="AB51" s="3895">
        <v>0</v>
      </c>
      <c r="AC51" s="3896"/>
      <c r="AD51" s="3893">
        <v>0</v>
      </c>
      <c r="AE51" s="3894"/>
      <c r="AF51" s="3895">
        <v>0</v>
      </c>
      <c r="AG51" s="3896"/>
      <c r="AH51" s="3895">
        <v>0</v>
      </c>
      <c r="AI51" s="3896"/>
      <c r="AJ51" s="3893">
        <v>0</v>
      </c>
      <c r="AK51" s="3897"/>
      <c r="AL51" s="1390"/>
      <c r="AM51" s="1378"/>
    </row>
    <row r="52" spans="4:42" s="1372" customFormat="1" ht="19.75" customHeight="1">
      <c r="D52" s="1374"/>
      <c r="E52" s="1388"/>
      <c r="F52" s="3890" t="s">
        <v>663</v>
      </c>
      <c r="G52" s="3891"/>
      <c r="H52" s="3891"/>
      <c r="I52" s="3891"/>
      <c r="J52" s="3891"/>
      <c r="K52" s="3891"/>
      <c r="L52" s="3891"/>
      <c r="M52" s="3892"/>
      <c r="N52" s="3893">
        <v>0</v>
      </c>
      <c r="O52" s="3894"/>
      <c r="P52" s="3895">
        <v>0</v>
      </c>
      <c r="Q52" s="3896"/>
      <c r="R52" s="3893">
        <v>0</v>
      </c>
      <c r="S52" s="3894"/>
      <c r="T52" s="3895">
        <v>0</v>
      </c>
      <c r="U52" s="3896"/>
      <c r="V52" s="3893">
        <v>0</v>
      </c>
      <c r="W52" s="3894"/>
      <c r="X52" s="3895">
        <v>0</v>
      </c>
      <c r="Y52" s="3896"/>
      <c r="Z52" s="3893">
        <v>0</v>
      </c>
      <c r="AA52" s="3894"/>
      <c r="AB52" s="3895">
        <v>0</v>
      </c>
      <c r="AC52" s="3896"/>
      <c r="AD52" s="3893">
        <v>0</v>
      </c>
      <c r="AE52" s="3894"/>
      <c r="AF52" s="3895">
        <v>0</v>
      </c>
      <c r="AG52" s="3896"/>
      <c r="AH52" s="3895">
        <v>0</v>
      </c>
      <c r="AI52" s="3896"/>
      <c r="AJ52" s="3893">
        <v>0</v>
      </c>
      <c r="AK52" s="3897"/>
      <c r="AL52" s="1390"/>
      <c r="AM52" s="1378"/>
    </row>
    <row r="53" spans="4:42" s="1372" customFormat="1" ht="19.75" customHeight="1" thickBot="1">
      <c r="D53" s="1374"/>
      <c r="E53" s="1388"/>
      <c r="F53" s="3902" t="s">
        <v>664</v>
      </c>
      <c r="G53" s="3903"/>
      <c r="H53" s="3903"/>
      <c r="I53" s="3903"/>
      <c r="J53" s="3903"/>
      <c r="K53" s="3903"/>
      <c r="L53" s="3903"/>
      <c r="M53" s="3904"/>
      <c r="N53" s="3900">
        <v>0</v>
      </c>
      <c r="O53" s="3905"/>
      <c r="P53" s="3898">
        <v>0</v>
      </c>
      <c r="Q53" s="3899"/>
      <c r="R53" s="3900">
        <v>0</v>
      </c>
      <c r="S53" s="3905"/>
      <c r="T53" s="3898">
        <v>0</v>
      </c>
      <c r="U53" s="3899"/>
      <c r="V53" s="3900">
        <v>0</v>
      </c>
      <c r="W53" s="3905"/>
      <c r="X53" s="3898">
        <v>0</v>
      </c>
      <c r="Y53" s="3899"/>
      <c r="Z53" s="3900">
        <v>0</v>
      </c>
      <c r="AA53" s="3905"/>
      <c r="AB53" s="3898">
        <v>0</v>
      </c>
      <c r="AC53" s="3899"/>
      <c r="AD53" s="3900">
        <v>0</v>
      </c>
      <c r="AE53" s="3905"/>
      <c r="AF53" s="3898">
        <v>0</v>
      </c>
      <c r="AG53" s="3899"/>
      <c r="AH53" s="3898">
        <v>0</v>
      </c>
      <c r="AI53" s="3899"/>
      <c r="AJ53" s="3900">
        <v>0</v>
      </c>
      <c r="AK53" s="3901"/>
      <c r="AL53" s="1390"/>
      <c r="AM53" s="1378"/>
    </row>
    <row r="54" spans="4:42" s="1372" customFormat="1" ht="9" customHeight="1" thickTop="1">
      <c r="D54" s="1374"/>
      <c r="E54" s="1388"/>
      <c r="F54" s="1389"/>
      <c r="I54" s="1382"/>
      <c r="J54" s="1382"/>
      <c r="K54" s="1382"/>
      <c r="L54" s="1382"/>
      <c r="M54" s="1382"/>
      <c r="N54" s="1382"/>
      <c r="O54" s="1390"/>
      <c r="P54" s="1390"/>
      <c r="Q54" s="1390"/>
      <c r="R54" s="1390"/>
      <c r="S54" s="1390"/>
      <c r="T54" s="1390"/>
      <c r="U54" s="1390"/>
      <c r="V54" s="1390"/>
      <c r="W54" s="1390"/>
      <c r="X54" s="1390"/>
      <c r="Y54" s="1390"/>
      <c r="Z54" s="1390"/>
      <c r="AA54" s="1390"/>
      <c r="AB54" s="1390"/>
      <c r="AC54" s="1390"/>
      <c r="AD54" s="1390"/>
      <c r="AE54" s="1390"/>
      <c r="AF54" s="1390"/>
      <c r="AG54" s="1390"/>
      <c r="AH54" s="1390"/>
      <c r="AI54" s="1390"/>
      <c r="AJ54" s="1390"/>
      <c r="AK54" s="1390"/>
      <c r="AL54" s="1390"/>
      <c r="AM54" s="1391"/>
      <c r="AN54" s="1390"/>
      <c r="AO54" s="1390"/>
      <c r="AP54" s="1390"/>
    </row>
    <row r="55" spans="4:42" ht="15.65" customHeight="1">
      <c r="D55" s="1298"/>
      <c r="E55" s="1299" t="s">
        <v>156</v>
      </c>
      <c r="F55" s="3732" t="s">
        <v>1659</v>
      </c>
      <c r="G55" s="3732"/>
      <c r="H55" s="3732"/>
      <c r="I55" s="3732"/>
      <c r="J55" s="3732"/>
      <c r="K55" s="3732"/>
      <c r="L55" s="3732"/>
      <c r="M55" s="3732"/>
      <c r="N55" s="3732"/>
      <c r="O55" s="3732"/>
      <c r="P55" s="3732"/>
      <c r="Q55" s="3732"/>
      <c r="R55" s="3732"/>
      <c r="S55" s="3732"/>
      <c r="T55" s="3732"/>
      <c r="U55" s="3732"/>
      <c r="V55" s="3732"/>
      <c r="W55" s="3732"/>
      <c r="X55" s="3732"/>
      <c r="Y55" s="3732"/>
      <c r="Z55" s="3732"/>
      <c r="AA55" s="3732"/>
      <c r="AB55" s="3732"/>
      <c r="AC55" s="3732"/>
      <c r="AD55" s="3732"/>
      <c r="AE55" s="3732"/>
      <c r="AF55" s="3732"/>
      <c r="AG55" s="3732"/>
      <c r="AH55" s="3732"/>
      <c r="AI55" s="3732"/>
      <c r="AJ55" s="3732"/>
      <c r="AK55" s="3732"/>
      <c r="AL55" s="1300"/>
      <c r="AM55" s="1301"/>
      <c r="AN55" s="1300"/>
      <c r="AO55" s="1300"/>
    </row>
    <row r="56" spans="4:42" ht="5.15" customHeight="1" thickBot="1">
      <c r="D56" s="1331"/>
      <c r="E56" s="1338"/>
      <c r="F56" s="1338"/>
      <c r="G56" s="1338"/>
      <c r="H56" s="1338"/>
      <c r="I56" s="1338"/>
      <c r="J56" s="1338"/>
      <c r="K56" s="1338"/>
      <c r="L56" s="1338"/>
      <c r="M56" s="1338"/>
      <c r="N56" s="1338"/>
      <c r="O56" s="1338"/>
      <c r="P56" s="1338"/>
      <c r="Q56" s="1338"/>
      <c r="R56" s="1338"/>
      <c r="S56" s="1338"/>
      <c r="T56" s="1338"/>
      <c r="U56" s="1338"/>
      <c r="V56" s="1338"/>
      <c r="W56" s="1338"/>
      <c r="X56" s="1338"/>
      <c r="Y56" s="1338"/>
      <c r="Z56" s="1338"/>
      <c r="AA56" s="1338"/>
      <c r="AB56" s="1338"/>
      <c r="AC56" s="1338"/>
      <c r="AD56" s="1338"/>
      <c r="AE56" s="1338"/>
      <c r="AF56" s="1338"/>
      <c r="AG56" s="1338"/>
      <c r="AH56" s="1338"/>
      <c r="AI56" s="1338"/>
      <c r="AJ56" s="1338"/>
      <c r="AK56" s="1338"/>
      <c r="AL56" s="1338"/>
      <c r="AM56" s="1310"/>
      <c r="AN56" s="1338"/>
      <c r="AO56" s="1338"/>
    </row>
    <row r="57" spans="4:42" s="1291" customFormat="1" ht="35.15" customHeight="1" thickTop="1" thickBot="1">
      <c r="D57" s="1331"/>
      <c r="E57" s="1332"/>
      <c r="F57" s="3710" t="s">
        <v>758</v>
      </c>
      <c r="G57" s="3711"/>
      <c r="H57" s="3711"/>
      <c r="I57" s="3711"/>
      <c r="J57" s="3711"/>
      <c r="K57" s="3713"/>
      <c r="L57" s="3711" t="s">
        <v>759</v>
      </c>
      <c r="M57" s="3711"/>
      <c r="N57" s="3711"/>
      <c r="O57" s="3711"/>
      <c r="P57" s="3711"/>
      <c r="Q57" s="3714"/>
      <c r="R57" s="1351"/>
      <c r="S57" s="1332"/>
      <c r="T57" s="1332"/>
      <c r="U57" s="1332"/>
      <c r="V57" s="1332"/>
      <c r="W57" s="1332"/>
      <c r="X57" s="1351"/>
      <c r="Y57" s="1332"/>
      <c r="Z57" s="1332"/>
      <c r="AA57" s="1332"/>
      <c r="AB57" s="1332"/>
      <c r="AC57" s="1332"/>
      <c r="AD57" s="1332"/>
      <c r="AE57" s="1332"/>
      <c r="AF57" s="1332"/>
      <c r="AG57" s="1332"/>
      <c r="AH57" s="1332"/>
      <c r="AI57" s="1332"/>
      <c r="AJ57" s="1332"/>
      <c r="AK57" s="1332"/>
      <c r="AL57" s="1332"/>
      <c r="AM57" s="1333"/>
      <c r="AN57" s="1332"/>
      <c r="AO57" s="1332"/>
    </row>
    <row r="58" spans="4:42" s="1291" customFormat="1" ht="19.5" customHeight="1" thickBot="1">
      <c r="D58" s="1293"/>
      <c r="E58" s="1294"/>
      <c r="F58" s="3715" t="s">
        <v>15</v>
      </c>
      <c r="G58" s="3716"/>
      <c r="H58" s="3717"/>
      <c r="I58" s="3720" t="s">
        <v>16</v>
      </c>
      <c r="J58" s="3716"/>
      <c r="K58" s="3719"/>
      <c r="L58" s="3716" t="s">
        <v>15</v>
      </c>
      <c r="M58" s="3716"/>
      <c r="N58" s="3717"/>
      <c r="O58" s="3720" t="s">
        <v>16</v>
      </c>
      <c r="P58" s="3716"/>
      <c r="Q58" s="3721"/>
      <c r="R58" s="1352"/>
      <c r="X58" s="1352"/>
      <c r="AM58" s="1292"/>
    </row>
    <row r="59" spans="4:42" s="1291" customFormat="1" ht="25" customHeight="1" thickTop="1" thickBot="1">
      <c r="D59" s="1293"/>
      <c r="E59" s="1294"/>
      <c r="F59" s="3741">
        <v>2</v>
      </c>
      <c r="G59" s="3742"/>
      <c r="H59" s="3746"/>
      <c r="I59" s="3783">
        <v>40</v>
      </c>
      <c r="J59" s="3768"/>
      <c r="K59" s="3784"/>
      <c r="L59" s="3742">
        <v>3</v>
      </c>
      <c r="M59" s="3742"/>
      <c r="N59" s="3746"/>
      <c r="O59" s="3783">
        <v>1</v>
      </c>
      <c r="P59" s="3768"/>
      <c r="Q59" s="3785"/>
      <c r="R59" s="1349"/>
      <c r="X59" s="1349"/>
      <c r="AM59" s="1292"/>
    </row>
    <row r="60" spans="4:42" ht="5.15" customHeight="1" thickTop="1">
      <c r="D60" s="1331"/>
      <c r="E60" s="1338"/>
      <c r="F60" s="1338"/>
      <c r="G60" s="1338"/>
      <c r="H60" s="1338"/>
      <c r="I60" s="1338"/>
      <c r="J60" s="1338"/>
      <c r="K60" s="1338"/>
      <c r="L60" s="1338"/>
      <c r="M60" s="1338"/>
      <c r="N60" s="1338"/>
      <c r="O60" s="1338"/>
      <c r="P60" s="1338"/>
      <c r="Q60" s="1338"/>
      <c r="R60" s="1338"/>
      <c r="S60" s="1338"/>
      <c r="T60" s="1338"/>
      <c r="U60" s="1338"/>
      <c r="V60" s="1338"/>
      <c r="W60" s="1338"/>
      <c r="X60" s="1338"/>
      <c r="Y60" s="1338"/>
      <c r="Z60" s="1338"/>
      <c r="AA60" s="1338"/>
      <c r="AB60" s="1338"/>
      <c r="AC60" s="1338"/>
      <c r="AD60" s="1338"/>
      <c r="AE60" s="1338"/>
      <c r="AF60" s="1338"/>
      <c r="AG60" s="1338"/>
      <c r="AH60" s="1338"/>
      <c r="AI60" s="1338"/>
      <c r="AJ60" s="1338"/>
      <c r="AK60" s="1338"/>
      <c r="AL60" s="1338"/>
      <c r="AM60" s="1310"/>
      <c r="AN60" s="1338"/>
      <c r="AO60" s="1338"/>
    </row>
    <row r="61" spans="4:42" ht="15.65" customHeight="1">
      <c r="D61" s="1298"/>
      <c r="E61" s="1299" t="s">
        <v>157</v>
      </c>
      <c r="F61" s="3732" t="s">
        <v>1660</v>
      </c>
      <c r="G61" s="3732"/>
      <c r="H61" s="3732"/>
      <c r="I61" s="3732"/>
      <c r="J61" s="3732"/>
      <c r="K61" s="3732"/>
      <c r="L61" s="3732"/>
      <c r="M61" s="3732"/>
      <c r="N61" s="3732"/>
      <c r="O61" s="3732"/>
      <c r="P61" s="3732"/>
      <c r="Q61" s="3732"/>
      <c r="R61" s="3732"/>
      <c r="S61" s="3732"/>
      <c r="T61" s="3732"/>
      <c r="U61" s="3732"/>
      <c r="V61" s="3732"/>
      <c r="W61" s="3732"/>
      <c r="X61" s="3732"/>
      <c r="Y61" s="3732"/>
      <c r="Z61" s="3732"/>
      <c r="AA61" s="3732"/>
      <c r="AB61" s="3732"/>
      <c r="AC61" s="3732"/>
      <c r="AD61" s="3732"/>
      <c r="AE61" s="3732"/>
      <c r="AF61" s="3732"/>
      <c r="AG61" s="3732"/>
      <c r="AH61" s="3732"/>
      <c r="AI61" s="3732"/>
      <c r="AJ61" s="3732"/>
      <c r="AK61" s="3732"/>
      <c r="AL61" s="1300"/>
      <c r="AM61" s="1301"/>
      <c r="AN61" s="1300"/>
      <c r="AO61" s="1300"/>
    </row>
    <row r="62" spans="4:42" ht="5.15" customHeight="1" thickBot="1">
      <c r="D62" s="1331"/>
      <c r="E62" s="1338"/>
      <c r="F62" s="1338"/>
      <c r="G62" s="1338"/>
      <c r="H62" s="1338"/>
      <c r="I62" s="1338"/>
      <c r="J62" s="1338"/>
      <c r="K62" s="1338"/>
      <c r="L62" s="1338"/>
      <c r="M62" s="1338"/>
      <c r="N62" s="1338"/>
      <c r="O62" s="1338"/>
      <c r="P62" s="1338"/>
      <c r="Q62" s="1338"/>
      <c r="R62" s="1338"/>
      <c r="S62" s="1338"/>
      <c r="T62" s="1338"/>
      <c r="U62" s="1338"/>
      <c r="V62" s="1338"/>
      <c r="W62" s="1338"/>
      <c r="X62" s="1338"/>
      <c r="Y62" s="1338"/>
      <c r="Z62" s="1338"/>
      <c r="AA62" s="1338"/>
      <c r="AB62" s="1338"/>
      <c r="AC62" s="1338"/>
      <c r="AD62" s="1338"/>
      <c r="AE62" s="1338"/>
      <c r="AF62" s="1338"/>
      <c r="AG62" s="1338"/>
      <c r="AH62" s="1338"/>
      <c r="AI62" s="1338"/>
      <c r="AJ62" s="1338"/>
      <c r="AK62" s="1338"/>
      <c r="AL62" s="1338"/>
      <c r="AM62" s="1310"/>
      <c r="AN62" s="1338"/>
      <c r="AO62" s="1338"/>
    </row>
    <row r="63" spans="4:42" s="1291" customFormat="1" ht="59.15" customHeight="1" thickTop="1" thickBot="1">
      <c r="D63" s="1331"/>
      <c r="E63" s="1332"/>
      <c r="F63" s="3710" t="s">
        <v>1824</v>
      </c>
      <c r="G63" s="3711"/>
      <c r="H63" s="3711"/>
      <c r="I63" s="3711"/>
      <c r="J63" s="3711"/>
      <c r="K63" s="3711"/>
      <c r="L63" s="3712" t="s">
        <v>1661</v>
      </c>
      <c r="M63" s="3711"/>
      <c r="N63" s="3711"/>
      <c r="O63" s="3711"/>
      <c r="P63" s="3711"/>
      <c r="Q63" s="3713"/>
      <c r="R63" s="3712" t="s">
        <v>1662</v>
      </c>
      <c r="S63" s="3711"/>
      <c r="T63" s="3711"/>
      <c r="U63" s="3711"/>
      <c r="V63" s="3711"/>
      <c r="W63" s="3713"/>
      <c r="X63" s="3711" t="s">
        <v>1813</v>
      </c>
      <c r="Y63" s="3711"/>
      <c r="Z63" s="3711"/>
      <c r="AA63" s="3711"/>
      <c r="AB63" s="3711"/>
      <c r="AC63" s="3714"/>
      <c r="AD63" s="1332"/>
      <c r="AE63" s="1332"/>
      <c r="AF63" s="1332"/>
      <c r="AG63" s="1332"/>
      <c r="AH63" s="1332"/>
      <c r="AI63" s="1332"/>
      <c r="AJ63" s="1332"/>
      <c r="AK63" s="1332"/>
      <c r="AL63" s="1332"/>
      <c r="AM63" s="1333"/>
    </row>
    <row r="64" spans="4:42" s="1291" customFormat="1" ht="19.5" customHeight="1" thickBot="1">
      <c r="D64" s="1293"/>
      <c r="E64" s="1294"/>
      <c r="F64" s="3715" t="s">
        <v>15</v>
      </c>
      <c r="G64" s="3716"/>
      <c r="H64" s="3717"/>
      <c r="I64" s="3716" t="s">
        <v>16</v>
      </c>
      <c r="J64" s="3716"/>
      <c r="K64" s="3716"/>
      <c r="L64" s="3718" t="s">
        <v>15</v>
      </c>
      <c r="M64" s="3716" t="s">
        <v>16</v>
      </c>
      <c r="N64" s="3717"/>
      <c r="O64" s="3716" t="s">
        <v>16</v>
      </c>
      <c r="P64" s="3716"/>
      <c r="Q64" s="3719"/>
      <c r="R64" s="3718" t="s">
        <v>15</v>
      </c>
      <c r="S64" s="3716" t="s">
        <v>16</v>
      </c>
      <c r="T64" s="3717"/>
      <c r="U64" s="3716" t="s">
        <v>16</v>
      </c>
      <c r="V64" s="3716"/>
      <c r="W64" s="3719"/>
      <c r="X64" s="3716" t="s">
        <v>15</v>
      </c>
      <c r="Y64" s="3716" t="s">
        <v>16</v>
      </c>
      <c r="Z64" s="3717"/>
      <c r="AA64" s="3720" t="s">
        <v>16</v>
      </c>
      <c r="AB64" s="3716"/>
      <c r="AC64" s="3721"/>
      <c r="AM64" s="1292"/>
    </row>
    <row r="65" spans="2:41" s="1291" customFormat="1" ht="30" customHeight="1" thickTop="1" thickBot="1">
      <c r="D65" s="1293"/>
      <c r="E65" s="1294"/>
      <c r="F65" s="3722">
        <v>524</v>
      </c>
      <c r="G65" s="3723"/>
      <c r="H65" s="3724"/>
      <c r="I65" s="3725">
        <v>299</v>
      </c>
      <c r="J65" s="3726"/>
      <c r="K65" s="3726"/>
      <c r="L65" s="3727">
        <v>0</v>
      </c>
      <c r="M65" s="3723"/>
      <c r="N65" s="3724"/>
      <c r="O65" s="3726">
        <v>0</v>
      </c>
      <c r="P65" s="3726"/>
      <c r="Q65" s="3728"/>
      <c r="R65" s="3727">
        <v>0</v>
      </c>
      <c r="S65" s="3723"/>
      <c r="T65" s="3724"/>
      <c r="U65" s="3726">
        <v>0</v>
      </c>
      <c r="V65" s="3726"/>
      <c r="W65" s="3728"/>
      <c r="X65" s="3723">
        <v>39</v>
      </c>
      <c r="Y65" s="3723"/>
      <c r="Z65" s="3724"/>
      <c r="AA65" s="3725">
        <v>16</v>
      </c>
      <c r="AB65" s="3726"/>
      <c r="AC65" s="3729"/>
      <c r="AM65" s="1292"/>
    </row>
    <row r="66" spans="2:41" s="1291" customFormat="1" ht="5.15" customHeight="1" thickTop="1">
      <c r="D66" s="1293"/>
      <c r="E66" s="1294"/>
      <c r="F66" s="1295"/>
      <c r="G66" s="1295"/>
      <c r="H66" s="1295"/>
      <c r="I66" s="1296"/>
      <c r="J66" s="1296"/>
      <c r="K66" s="1296"/>
      <c r="L66" s="1297"/>
      <c r="M66" s="1297"/>
      <c r="N66" s="1297"/>
      <c r="O66" s="1296"/>
      <c r="P66" s="1296"/>
      <c r="Q66" s="1296"/>
      <c r="R66" s="1297"/>
      <c r="S66" s="1297"/>
      <c r="T66" s="1297"/>
      <c r="U66" s="1296"/>
      <c r="V66" s="1296"/>
      <c r="W66" s="1296"/>
      <c r="X66" s="1297"/>
      <c r="Y66" s="1297"/>
      <c r="Z66" s="1297"/>
      <c r="AA66" s="1296"/>
      <c r="AB66" s="1296"/>
      <c r="AC66" s="1296"/>
      <c r="AM66" s="1292"/>
    </row>
    <row r="67" spans="2:41" s="1291" customFormat="1" ht="34" customHeight="1">
      <c r="D67" s="1293"/>
      <c r="E67" s="1294"/>
      <c r="F67" s="216" t="s">
        <v>143</v>
      </c>
      <c r="G67" s="1295"/>
      <c r="H67" s="1295"/>
      <c r="I67" s="3731" t="s">
        <v>1902</v>
      </c>
      <c r="J67" s="3731"/>
      <c r="K67" s="3731"/>
      <c r="L67" s="3731"/>
      <c r="M67" s="3731"/>
      <c r="N67" s="3731"/>
      <c r="O67" s="3731"/>
      <c r="P67" s="3731"/>
      <c r="Q67" s="3731"/>
      <c r="R67" s="3731"/>
      <c r="S67" s="3731"/>
      <c r="T67" s="3731"/>
      <c r="U67" s="3731"/>
      <c r="V67" s="3731"/>
      <c r="W67" s="3731"/>
      <c r="X67" s="3731"/>
      <c r="Y67" s="3731"/>
      <c r="Z67" s="3731"/>
      <c r="AA67" s="3731"/>
      <c r="AB67" s="3731"/>
      <c r="AC67" s="3731"/>
      <c r="AM67" s="1292"/>
    </row>
    <row r="68" spans="2:41" ht="10" customHeight="1" thickBot="1">
      <c r="D68" s="1281"/>
      <c r="E68" s="1282"/>
      <c r="F68" s="1283"/>
      <c r="G68" s="1284"/>
      <c r="H68" s="1284"/>
      <c r="I68" s="1284"/>
      <c r="J68" s="1284"/>
      <c r="K68" s="1284"/>
      <c r="L68" s="1284"/>
      <c r="M68" s="1285"/>
      <c r="N68" s="1285"/>
      <c r="O68" s="1285"/>
      <c r="P68" s="1285"/>
      <c r="Q68" s="1285"/>
      <c r="R68" s="1285"/>
      <c r="S68" s="1285"/>
      <c r="T68" s="1285"/>
      <c r="U68" s="1285"/>
      <c r="V68" s="1285"/>
      <c r="W68" s="1285"/>
      <c r="X68" s="1285"/>
      <c r="Y68" s="1285"/>
      <c r="Z68" s="1285"/>
      <c r="AA68" s="1285"/>
      <c r="AB68" s="1285"/>
      <c r="AC68" s="1285"/>
      <c r="AD68" s="1285"/>
      <c r="AE68" s="1285"/>
      <c r="AF68" s="1285"/>
      <c r="AG68" s="1285"/>
      <c r="AH68" s="1285"/>
      <c r="AI68" s="1285"/>
      <c r="AJ68" s="1285"/>
      <c r="AK68" s="1285"/>
      <c r="AL68" s="1285"/>
      <c r="AM68" s="1286"/>
    </row>
    <row r="69" spans="2:41" ht="10" customHeight="1" thickTop="1">
      <c r="D69" s="1344"/>
      <c r="E69" s="587"/>
      <c r="G69" s="1300"/>
      <c r="H69" s="1300"/>
      <c r="I69" s="1300"/>
      <c r="J69" s="1300"/>
      <c r="K69" s="1300"/>
      <c r="L69" s="1300"/>
      <c r="M69" s="1287"/>
      <c r="N69" s="1287"/>
      <c r="O69" s="1287"/>
      <c r="P69" s="1287"/>
      <c r="Q69" s="1287"/>
      <c r="R69" s="1287"/>
      <c r="S69" s="1287"/>
      <c r="T69" s="1287"/>
      <c r="U69" s="1287"/>
      <c r="V69" s="1287"/>
      <c r="W69" s="1287"/>
      <c r="X69" s="1287"/>
      <c r="Y69" s="1287"/>
      <c r="Z69" s="1287"/>
      <c r="AA69" s="1287"/>
      <c r="AB69" s="1287"/>
      <c r="AC69" s="1287"/>
      <c r="AD69" s="1287"/>
      <c r="AE69" s="1287"/>
      <c r="AF69" s="1287"/>
      <c r="AG69" s="1287"/>
      <c r="AH69" s="1287"/>
      <c r="AI69" s="1287"/>
      <c r="AJ69" s="1287"/>
      <c r="AK69" s="1287"/>
    </row>
    <row r="70" spans="2:41" s="180" customFormat="1" ht="17.25" customHeight="1">
      <c r="D70" s="3855" t="s">
        <v>1891</v>
      </c>
      <c r="E70" s="3855"/>
      <c r="F70" s="3855"/>
      <c r="G70" s="3855"/>
      <c r="H70" s="3855"/>
      <c r="I70" s="3855"/>
      <c r="J70" s="3855"/>
      <c r="K70" s="3855"/>
      <c r="L70" s="3855"/>
      <c r="M70" s="3855"/>
      <c r="N70" s="3855"/>
      <c r="O70" s="3855"/>
      <c r="P70" s="3855"/>
      <c r="Q70" s="3855"/>
      <c r="R70" s="3855"/>
      <c r="S70" s="3855"/>
      <c r="T70" s="3855"/>
      <c r="U70" s="3855"/>
      <c r="V70" s="3855"/>
      <c r="W70" s="3855"/>
      <c r="X70" s="3855"/>
      <c r="Y70" s="3855"/>
      <c r="Z70" s="3855"/>
      <c r="AA70" s="3855"/>
      <c r="AB70" s="3855"/>
      <c r="AC70" s="3855"/>
      <c r="AD70" s="3855"/>
      <c r="AE70" s="3855"/>
      <c r="AF70" s="3855"/>
    </row>
    <row r="71" spans="2:41" s="602" customFormat="1" ht="30.75" customHeight="1"/>
    <row r="72" spans="2:41" s="1235" customFormat="1" ht="14">
      <c r="B72" s="169" t="s">
        <v>847</v>
      </c>
      <c r="P72" s="169" t="s">
        <v>747</v>
      </c>
      <c r="AD72" s="169" t="s">
        <v>783</v>
      </c>
    </row>
    <row r="73" spans="2:41" s="1235" customFormat="1" ht="21.75" customHeight="1">
      <c r="B73" s="169" t="s">
        <v>748</v>
      </c>
      <c r="F73" s="3607" t="str">
        <f>activesheet!E29</f>
        <v>RICO S. MISPEROS</v>
      </c>
      <c r="G73" s="3607"/>
      <c r="H73" s="3607"/>
      <c r="I73" s="3607"/>
      <c r="J73" s="3607"/>
      <c r="K73" s="3607"/>
      <c r="L73" s="3607"/>
      <c r="M73" s="3607"/>
      <c r="P73" s="3607" t="str">
        <f>activesheet!E3244</f>
        <v>ELYN KENDRA D. DELA CRUZ</v>
      </c>
      <c r="Q73" s="3607"/>
      <c r="R73" s="3607"/>
      <c r="S73" s="3607"/>
      <c r="T73" s="3607"/>
      <c r="U73" s="3607"/>
      <c r="V73" s="3607"/>
      <c r="W73" s="3607"/>
      <c r="X73" s="3607"/>
      <c r="Y73" s="3607"/>
      <c r="Z73" s="3607"/>
      <c r="AA73" s="3607"/>
      <c r="AD73" s="3906" t="str">
        <f>activesheet!E31</f>
        <v>MICHAEL T. JAMIS</v>
      </c>
      <c r="AE73" s="3906"/>
      <c r="AF73" s="3906"/>
      <c r="AG73" s="3906"/>
      <c r="AH73" s="3906"/>
      <c r="AI73" s="3906"/>
      <c r="AJ73" s="3906"/>
      <c r="AK73" s="3906"/>
      <c r="AL73" s="3906"/>
      <c r="AM73" s="3906"/>
      <c r="AN73" s="3906"/>
      <c r="AO73" s="3906"/>
    </row>
    <row r="74" spans="2:41" s="1237" customFormat="1" ht="14.15" customHeight="1">
      <c r="B74" s="655"/>
      <c r="F74" s="1776" t="s">
        <v>741</v>
      </c>
      <c r="G74" s="1776"/>
      <c r="H74" s="1776"/>
      <c r="I74" s="1776"/>
      <c r="J74" s="1776"/>
      <c r="K74" s="1776"/>
      <c r="L74" s="1776"/>
      <c r="M74" s="1776"/>
      <c r="N74" s="153"/>
      <c r="O74" s="153"/>
      <c r="P74" s="1776" t="s">
        <v>741</v>
      </c>
      <c r="Q74" s="1776"/>
      <c r="R74" s="1776"/>
      <c r="S74" s="1776"/>
      <c r="T74" s="1776"/>
      <c r="U74" s="1776"/>
      <c r="V74" s="1776"/>
      <c r="W74" s="1776"/>
      <c r="X74" s="1776"/>
      <c r="Y74" s="1776"/>
      <c r="Z74" s="1776"/>
      <c r="AA74" s="1776"/>
      <c r="AB74" s="153"/>
      <c r="AC74" s="153"/>
      <c r="AD74" s="3907"/>
      <c r="AE74" s="3907"/>
      <c r="AF74" s="3907"/>
      <c r="AG74" s="3907"/>
      <c r="AH74" s="3907"/>
      <c r="AI74" s="3907"/>
      <c r="AJ74" s="3907"/>
      <c r="AK74" s="3907"/>
      <c r="AL74" s="3907"/>
      <c r="AM74" s="3907"/>
      <c r="AN74" s="3907"/>
      <c r="AO74" s="3907"/>
    </row>
    <row r="75" spans="2:41" s="1235" customFormat="1" ht="21.75" customHeight="1">
      <c r="B75" s="169" t="s">
        <v>71</v>
      </c>
      <c r="F75" s="3607" t="str">
        <f>activesheet!E30</f>
        <v>SCHOOL PRINCIPAL II</v>
      </c>
      <c r="G75" s="3607"/>
      <c r="H75" s="3607"/>
      <c r="I75" s="3607"/>
      <c r="J75" s="3607"/>
      <c r="K75" s="3607"/>
      <c r="L75" s="3607"/>
      <c r="M75" s="3607"/>
      <c r="P75" s="169" t="s">
        <v>71</v>
      </c>
      <c r="T75" s="3607" t="str">
        <f>activesheet!E3245</f>
        <v>Project Development Officer II</v>
      </c>
      <c r="U75" s="3607"/>
      <c r="V75" s="3607"/>
      <c r="W75" s="3607"/>
      <c r="X75" s="3607"/>
      <c r="Y75" s="3607"/>
      <c r="Z75" s="3607"/>
      <c r="AA75" s="3607"/>
      <c r="AD75" s="1776" t="s">
        <v>741</v>
      </c>
      <c r="AE75" s="1776"/>
      <c r="AF75" s="1776"/>
      <c r="AG75" s="1776"/>
      <c r="AH75" s="1776"/>
      <c r="AI75" s="1776"/>
      <c r="AJ75" s="1776"/>
      <c r="AK75" s="1776"/>
      <c r="AL75" s="1776"/>
      <c r="AM75" s="1776"/>
      <c r="AN75" s="1776"/>
      <c r="AO75" s="1776"/>
    </row>
    <row r="76" spans="2:41">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c r="AI76" s="602"/>
      <c r="AJ76" s="602"/>
      <c r="AK76" s="602"/>
      <c r="AL76" s="602"/>
      <c r="AM76" s="602"/>
      <c r="AN76" s="602"/>
      <c r="AO76" s="602"/>
    </row>
  </sheetData>
  <sheetProtection algorithmName="SHA-512" hashValue="LMPzDoC3dVmRdeVcVA6X4vCe8oQ1X5LaTqx8OgU+AnVTMnsf9XayVFzZ16nphonYeLMb25MvpnSAuGPCx9QPqQ==" saltValue="MRtAc7IVumQ9UJ13Bsmv3w==" spinCount="100000" sheet="1" objects="1" scenarios="1" selectLockedCells="1"/>
  <mergeCells count="252">
    <mergeCell ref="AD75:AO75"/>
    <mergeCell ref="AA65:AC65"/>
    <mergeCell ref="I67:AC67"/>
    <mergeCell ref="D70:AF70"/>
    <mergeCell ref="F73:M73"/>
    <mergeCell ref="P73:AA73"/>
    <mergeCell ref="AD73:AO74"/>
    <mergeCell ref="F74:M74"/>
    <mergeCell ref="P74:AA74"/>
    <mergeCell ref="F65:H65"/>
    <mergeCell ref="I65:K65"/>
    <mergeCell ref="L65:N65"/>
    <mergeCell ref="O65:Q65"/>
    <mergeCell ref="R65:T65"/>
    <mergeCell ref="U65:W65"/>
    <mergeCell ref="X65:Z65"/>
    <mergeCell ref="F75:M75"/>
    <mergeCell ref="T75:AA75"/>
    <mergeCell ref="F61:AK61"/>
    <mergeCell ref="F63:K63"/>
    <mergeCell ref="L63:Q63"/>
    <mergeCell ref="R63:W63"/>
    <mergeCell ref="X63:AC63"/>
    <mergeCell ref="F64:H64"/>
    <mergeCell ref="I64:K64"/>
    <mergeCell ref="L64:N64"/>
    <mergeCell ref="O64:Q64"/>
    <mergeCell ref="R64:T64"/>
    <mergeCell ref="U64:W64"/>
    <mergeCell ref="X64:Z64"/>
    <mergeCell ref="AA64:AC64"/>
    <mergeCell ref="F58:H58"/>
    <mergeCell ref="I58:K58"/>
    <mergeCell ref="L58:N58"/>
    <mergeCell ref="O58:Q58"/>
    <mergeCell ref="F59:H59"/>
    <mergeCell ref="I59:K59"/>
    <mergeCell ref="L59:N59"/>
    <mergeCell ref="O59:Q59"/>
    <mergeCell ref="AD53:AE53"/>
    <mergeCell ref="AF53:AG53"/>
    <mergeCell ref="AH53:AI53"/>
    <mergeCell ref="AJ53:AK53"/>
    <mergeCell ref="F55:AK55"/>
    <mergeCell ref="F57:K57"/>
    <mergeCell ref="L57:Q57"/>
    <mergeCell ref="AJ52:AK52"/>
    <mergeCell ref="F53:M53"/>
    <mergeCell ref="N53:O53"/>
    <mergeCell ref="P53:Q53"/>
    <mergeCell ref="R53:S53"/>
    <mergeCell ref="T53:U53"/>
    <mergeCell ref="V53:W53"/>
    <mergeCell ref="X53:Y53"/>
    <mergeCell ref="Z53:AA53"/>
    <mergeCell ref="AB53:AC53"/>
    <mergeCell ref="X52:Y52"/>
    <mergeCell ref="Z52:AA52"/>
    <mergeCell ref="AB52:AC52"/>
    <mergeCell ref="AD52:AE52"/>
    <mergeCell ref="AF52:AG52"/>
    <mergeCell ref="AH52:AI52"/>
    <mergeCell ref="AD51:AE51"/>
    <mergeCell ref="AF51:AG51"/>
    <mergeCell ref="AH51:AI51"/>
    <mergeCell ref="AJ51:AK51"/>
    <mergeCell ref="F52:M52"/>
    <mergeCell ref="N52:O52"/>
    <mergeCell ref="P52:Q52"/>
    <mergeCell ref="R52:S52"/>
    <mergeCell ref="T52:U52"/>
    <mergeCell ref="V52:W52"/>
    <mergeCell ref="F51:M51"/>
    <mergeCell ref="N51:O51"/>
    <mergeCell ref="P51:Q51"/>
    <mergeCell ref="R51:S51"/>
    <mergeCell ref="T51:U51"/>
    <mergeCell ref="V51:W51"/>
    <mergeCell ref="X51:Y51"/>
    <mergeCell ref="Z51:AA51"/>
    <mergeCell ref="AB51:AC51"/>
    <mergeCell ref="AH49:AI49"/>
    <mergeCell ref="AJ49:AK49"/>
    <mergeCell ref="F50:M50"/>
    <mergeCell ref="N50:O50"/>
    <mergeCell ref="P50:Q50"/>
    <mergeCell ref="R50:S50"/>
    <mergeCell ref="T50:U50"/>
    <mergeCell ref="V50:W50"/>
    <mergeCell ref="AJ50:AK50"/>
    <mergeCell ref="X50:Y50"/>
    <mergeCell ref="Z50:AA50"/>
    <mergeCell ref="AB50:AC50"/>
    <mergeCell ref="AD50:AE50"/>
    <mergeCell ref="AF50:AG50"/>
    <mergeCell ref="AH50:AI50"/>
    <mergeCell ref="F48:M48"/>
    <mergeCell ref="N48:O48"/>
    <mergeCell ref="P48:Q48"/>
    <mergeCell ref="R48:S48"/>
    <mergeCell ref="T48:U48"/>
    <mergeCell ref="V48:W48"/>
    <mergeCell ref="AJ48:AK48"/>
    <mergeCell ref="F49:M49"/>
    <mergeCell ref="N49:O49"/>
    <mergeCell ref="P49:Q49"/>
    <mergeCell ref="R49:S49"/>
    <mergeCell ref="T49:U49"/>
    <mergeCell ref="V49:W49"/>
    <mergeCell ref="X49:Y49"/>
    <mergeCell ref="Z49:AA49"/>
    <mergeCell ref="AB49:AC49"/>
    <mergeCell ref="X48:Y48"/>
    <mergeCell ref="Z48:AA48"/>
    <mergeCell ref="AB48:AC48"/>
    <mergeCell ref="AD48:AE48"/>
    <mergeCell ref="AF48:AG48"/>
    <mergeCell ref="AH48:AI48"/>
    <mergeCell ref="AD49:AE49"/>
    <mergeCell ref="AF49:AG49"/>
    <mergeCell ref="F46:AK46"/>
    <mergeCell ref="F47:M47"/>
    <mergeCell ref="N47:O47"/>
    <mergeCell ref="P47:Q47"/>
    <mergeCell ref="R47:S47"/>
    <mergeCell ref="T47:U47"/>
    <mergeCell ref="V47:W47"/>
    <mergeCell ref="X47:Y47"/>
    <mergeCell ref="Z47:AA47"/>
    <mergeCell ref="AB47:AC47"/>
    <mergeCell ref="AD47:AE47"/>
    <mergeCell ref="AF47:AG47"/>
    <mergeCell ref="AH47:AI47"/>
    <mergeCell ref="AJ47:AK47"/>
    <mergeCell ref="F42:M43"/>
    <mergeCell ref="N42:P43"/>
    <mergeCell ref="Q42:S43"/>
    <mergeCell ref="F44:M44"/>
    <mergeCell ref="N44:P44"/>
    <mergeCell ref="Q44:S44"/>
    <mergeCell ref="F40:M40"/>
    <mergeCell ref="N40:P40"/>
    <mergeCell ref="Q40:S40"/>
    <mergeCell ref="F41:M41"/>
    <mergeCell ref="N41:P41"/>
    <mergeCell ref="Q41:S41"/>
    <mergeCell ref="F38:M38"/>
    <mergeCell ref="N38:P38"/>
    <mergeCell ref="Q38:S38"/>
    <mergeCell ref="F39:M39"/>
    <mergeCell ref="N39:P39"/>
    <mergeCell ref="Q39:S39"/>
    <mergeCell ref="F36:M36"/>
    <mergeCell ref="N36:P36"/>
    <mergeCell ref="Q36:S36"/>
    <mergeCell ref="F37:M37"/>
    <mergeCell ref="N37:P37"/>
    <mergeCell ref="Q37:S37"/>
    <mergeCell ref="F34:M34"/>
    <mergeCell ref="N34:P34"/>
    <mergeCell ref="Q34:S34"/>
    <mergeCell ref="F35:M35"/>
    <mergeCell ref="N35:P35"/>
    <mergeCell ref="Q35:S35"/>
    <mergeCell ref="F31:M32"/>
    <mergeCell ref="N31:P32"/>
    <mergeCell ref="Q31:S32"/>
    <mergeCell ref="F33:M33"/>
    <mergeCell ref="N33:P33"/>
    <mergeCell ref="Q33:S33"/>
    <mergeCell ref="F29:M29"/>
    <mergeCell ref="N29:P29"/>
    <mergeCell ref="Q29:S29"/>
    <mergeCell ref="F30:M30"/>
    <mergeCell ref="N30:P30"/>
    <mergeCell ref="Q30:S30"/>
    <mergeCell ref="F27:M27"/>
    <mergeCell ref="N27:P27"/>
    <mergeCell ref="Q27:S27"/>
    <mergeCell ref="F28:M28"/>
    <mergeCell ref="N28:P28"/>
    <mergeCell ref="Q28:S28"/>
    <mergeCell ref="F24:M25"/>
    <mergeCell ref="N24:P25"/>
    <mergeCell ref="Q24:S25"/>
    <mergeCell ref="F26:M26"/>
    <mergeCell ref="N26:P26"/>
    <mergeCell ref="Q26:S26"/>
    <mergeCell ref="F20:M21"/>
    <mergeCell ref="N20:P21"/>
    <mergeCell ref="Q20:S21"/>
    <mergeCell ref="F22:M23"/>
    <mergeCell ref="N22:P23"/>
    <mergeCell ref="Q22:S23"/>
    <mergeCell ref="F19:M19"/>
    <mergeCell ref="N19:P19"/>
    <mergeCell ref="Q19:S19"/>
    <mergeCell ref="X19:AE19"/>
    <mergeCell ref="AF19:AH19"/>
    <mergeCell ref="AI19:AK19"/>
    <mergeCell ref="F17:M17"/>
    <mergeCell ref="N17:P17"/>
    <mergeCell ref="Q17:S17"/>
    <mergeCell ref="X17:AE18"/>
    <mergeCell ref="AF17:AH18"/>
    <mergeCell ref="AI17:AK18"/>
    <mergeCell ref="F18:M18"/>
    <mergeCell ref="N18:P18"/>
    <mergeCell ref="Q18:S18"/>
    <mergeCell ref="F15:M15"/>
    <mergeCell ref="N15:P15"/>
    <mergeCell ref="Q15:S15"/>
    <mergeCell ref="X15:AE16"/>
    <mergeCell ref="AF15:AH16"/>
    <mergeCell ref="AI15:AK16"/>
    <mergeCell ref="F16:M16"/>
    <mergeCell ref="N16:P16"/>
    <mergeCell ref="Q16:S16"/>
    <mergeCell ref="F14:M14"/>
    <mergeCell ref="N14:P14"/>
    <mergeCell ref="Q14:S14"/>
    <mergeCell ref="X14:AE14"/>
    <mergeCell ref="AF14:AH14"/>
    <mergeCell ref="AI14:AK14"/>
    <mergeCell ref="F13:M13"/>
    <mergeCell ref="N13:P13"/>
    <mergeCell ref="Q13:S13"/>
    <mergeCell ref="X13:AE13"/>
    <mergeCell ref="AF13:AH13"/>
    <mergeCell ref="AI13:AK13"/>
    <mergeCell ref="F12:M12"/>
    <mergeCell ref="N12:P12"/>
    <mergeCell ref="Q12:S12"/>
    <mergeCell ref="X12:AE12"/>
    <mergeCell ref="AF12:AH12"/>
    <mergeCell ref="AI12:AK12"/>
    <mergeCell ref="F11:M11"/>
    <mergeCell ref="N11:P11"/>
    <mergeCell ref="Q11:S11"/>
    <mergeCell ref="X11:AE11"/>
    <mergeCell ref="AF11:AH11"/>
    <mergeCell ref="AI11:AK11"/>
    <mergeCell ref="G4:AK4"/>
    <mergeCell ref="G5:AK6"/>
    <mergeCell ref="G7:AK7"/>
    <mergeCell ref="F8:AK8"/>
    <mergeCell ref="G10:M10"/>
    <mergeCell ref="N10:P10"/>
    <mergeCell ref="Q10:S10"/>
    <mergeCell ref="Y10:AE10"/>
    <mergeCell ref="AF10:AH10"/>
    <mergeCell ref="AI10:AK10"/>
  </mergeCells>
  <dataValidations count="3">
    <dataValidation type="whole" allowBlank="1" showInputMessage="1" showErrorMessage="1" errorTitle="GESP SY 2022-2023" error="Please enter valid number between 0 - 20,000." sqref="F65:AC65" xr:uid="{00000000-0002-0000-3600-000000000000}">
      <formula1>0</formula1>
      <formula2>20000</formula2>
    </dataValidation>
    <dataValidation type="whole" allowBlank="1" showInputMessage="1" showErrorMessage="1" errorTitle="GESP SY 2021-2022" error="Please enter valid number between 0 - 999." sqref="N26:P44" xr:uid="{00000000-0002-0000-3600-000001000000}">
      <formula1>0</formula1>
      <formula2>999</formula2>
    </dataValidation>
    <dataValidation type="whole" allowBlank="1" showInputMessage="1" showErrorMessage="1" errorTitle="GESP SY 2022-2023" error="Please enter valid number between 0 - 999." sqref="AF11:AK19 N11:S44 N48:AK53 F59:Q59" xr:uid="{00000000-0002-0000-3600-000002000000}">
      <formula1>0</formula1>
      <formula2>999</formula2>
    </dataValidation>
  </dataValidations>
  <printOptions horizontalCentered="1" verticalCentered="1"/>
  <pageMargins left="0.25" right="0.25" top="0.2" bottom="0.2" header="0" footer="0.1"/>
  <pageSetup paperSize="9" scale="52" orientation="portrait" r:id="rId1"/>
  <headerFooter>
    <oddFooter>&amp;L&amp;10&amp;F &amp;A&amp;R&amp;10Page 51 of 60</oddFooter>
  </headerFooter>
  <ignoredErrors>
    <ignoredError sqref="E4:E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0161" r:id="rId4" name="Check Box 1">
              <controlPr locked="0" defaultSize="0" autoFill="0" autoLine="0" autoPict="0">
                <anchor moveWithCells="1">
                  <from>
                    <xdr:col>5</xdr:col>
                    <xdr:colOff>50800</xdr:colOff>
                    <xdr:row>3</xdr:row>
                    <xdr:rowOff>50800</xdr:rowOff>
                  </from>
                  <to>
                    <xdr:col>7</xdr:col>
                    <xdr:colOff>266700</xdr:colOff>
                    <xdr:row>3</xdr:row>
                    <xdr:rowOff>266700</xdr:rowOff>
                  </to>
                </anchor>
              </controlPr>
            </control>
          </mc:Choice>
        </mc:AlternateContent>
        <mc:AlternateContent xmlns:mc="http://schemas.openxmlformats.org/markup-compatibility/2006">
          <mc:Choice Requires="x14">
            <control shapeId="220162" r:id="rId5" name="Check Box 2">
              <controlPr locked="0" defaultSize="0" autoFill="0" autoLine="0" autoPict="0">
                <anchor moveWithCells="1">
                  <from>
                    <xdr:col>5</xdr:col>
                    <xdr:colOff>50800</xdr:colOff>
                    <xdr:row>3</xdr:row>
                    <xdr:rowOff>304800</xdr:rowOff>
                  </from>
                  <to>
                    <xdr:col>7</xdr:col>
                    <xdr:colOff>266700</xdr:colOff>
                    <xdr:row>5</xdr:row>
                    <xdr:rowOff>12700</xdr:rowOff>
                  </to>
                </anchor>
              </controlPr>
            </control>
          </mc:Choice>
        </mc:AlternateContent>
        <mc:AlternateContent xmlns:mc="http://schemas.openxmlformats.org/markup-compatibility/2006">
          <mc:Choice Requires="x14">
            <control shapeId="220163" r:id="rId6" name="Check Box 3">
              <controlPr locked="0" defaultSize="0" autoFill="0" autoLine="0" autoPict="0">
                <anchor moveWithCells="1">
                  <from>
                    <xdr:col>5</xdr:col>
                    <xdr:colOff>50800</xdr:colOff>
                    <xdr:row>6</xdr:row>
                    <xdr:rowOff>50800</xdr:rowOff>
                  </from>
                  <to>
                    <xdr:col>7</xdr:col>
                    <xdr:colOff>266700</xdr:colOff>
                    <xdr:row>6</xdr:row>
                    <xdr:rowOff>266700</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pageSetUpPr fitToPage="1"/>
  </sheetPr>
  <dimension ref="B1:AY68"/>
  <sheetViews>
    <sheetView showGridLines="0" topLeftCell="B1" zoomScaleNormal="100" zoomScaleSheetLayoutView="100" workbookViewId="0">
      <selection activeCell="Q24" sqref="Q24:T25"/>
    </sheetView>
  </sheetViews>
  <sheetFormatPr defaultColWidth="8" defaultRowHeight="15.5"/>
  <cols>
    <col min="1" max="1" width="2.08203125" style="1287" customWidth="1"/>
    <col min="2" max="3" width="3.58203125" style="1287" customWidth="1"/>
    <col min="4" max="38" width="3.58203125" style="1291" customWidth="1"/>
    <col min="39" max="41" width="3.58203125" style="1287" customWidth="1"/>
    <col min="42" max="42" width="2.08203125" style="1287" customWidth="1"/>
    <col min="43" max="174" width="3.58203125" style="1287" customWidth="1"/>
    <col min="175" max="16384" width="8" style="1287"/>
  </cols>
  <sheetData>
    <row r="1" spans="3:51" ht="12" customHeight="1">
      <c r="C1" s="1291"/>
      <c r="AL1" s="1287"/>
    </row>
    <row r="2" spans="3:51" ht="17" thickBot="1">
      <c r="C2" s="1302" t="s">
        <v>1759</v>
      </c>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c r="AL2" s="1287"/>
    </row>
    <row r="3" spans="3:51" ht="5.15" customHeight="1" thickTop="1">
      <c r="C3" s="1304"/>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6"/>
      <c r="AO3" s="1338"/>
      <c r="AP3" s="1338"/>
    </row>
    <row r="4" spans="3:51" s="1342" customFormat="1" ht="24.75" customHeight="1" thickBot="1">
      <c r="C4" s="1339"/>
      <c r="D4" s="1345" t="s">
        <v>151</v>
      </c>
      <c r="E4" s="1360" t="b">
        <v>1</v>
      </c>
      <c r="F4" s="3908" t="s">
        <v>1663</v>
      </c>
      <c r="G4" s="3749"/>
      <c r="H4" s="3749"/>
      <c r="I4" s="3749"/>
      <c r="J4" s="3749"/>
      <c r="K4" s="3749"/>
      <c r="L4" s="3749"/>
      <c r="M4" s="3749"/>
      <c r="N4" s="3749"/>
      <c r="O4" s="3749"/>
      <c r="P4" s="3749"/>
      <c r="Q4" s="3749"/>
      <c r="R4" s="3749"/>
      <c r="S4" s="3749"/>
      <c r="T4" s="3749"/>
      <c r="U4" s="3749"/>
      <c r="V4" s="3749"/>
      <c r="W4" s="3749"/>
      <c r="X4" s="3749"/>
      <c r="Y4" s="3749"/>
      <c r="Z4" s="3749"/>
      <c r="AA4" s="3749"/>
      <c r="AB4" s="3749"/>
      <c r="AC4" s="3749"/>
      <c r="AD4" s="3749"/>
      <c r="AE4" s="3749"/>
      <c r="AF4" s="3749"/>
      <c r="AG4" s="3749"/>
      <c r="AH4" s="3749"/>
      <c r="AI4" s="3749"/>
      <c r="AJ4" s="3749"/>
      <c r="AK4" s="3749"/>
      <c r="AL4" s="1428"/>
      <c r="AM4" s="1428"/>
      <c r="AN4" s="1341"/>
      <c r="AO4" s="1340"/>
      <c r="AP4" s="1340"/>
      <c r="AQ4" s="1340"/>
      <c r="AR4" s="1340"/>
      <c r="AS4" s="1340"/>
      <c r="AT4" s="1340"/>
      <c r="AU4" s="1340"/>
      <c r="AV4" s="1340"/>
      <c r="AW4" s="1340"/>
      <c r="AX4" s="1340"/>
      <c r="AY4" s="1340"/>
    </row>
    <row r="5" spans="3:51" ht="30" customHeight="1" thickBot="1">
      <c r="C5" s="1298"/>
      <c r="D5" s="1345" t="s">
        <v>152</v>
      </c>
      <c r="E5" s="3704" t="s">
        <v>1629</v>
      </c>
      <c r="F5" s="3704"/>
      <c r="G5" s="3704"/>
      <c r="H5" s="3704"/>
      <c r="I5" s="3704"/>
      <c r="J5" s="3704"/>
      <c r="K5" s="3704"/>
      <c r="L5" s="3704"/>
      <c r="M5" s="3704"/>
      <c r="N5" s="3704"/>
      <c r="O5" s="3704"/>
      <c r="P5" s="3704"/>
      <c r="Q5" s="3704"/>
      <c r="R5" s="3704"/>
      <c r="S5" s="3704"/>
      <c r="T5" s="3704"/>
      <c r="U5" s="3704"/>
      <c r="V5" s="3704"/>
      <c r="W5" s="3704"/>
      <c r="X5" s="3704"/>
      <c r="Y5" s="3704"/>
      <c r="Z5" s="3704"/>
      <c r="AA5" s="3704"/>
      <c r="AB5" s="3704"/>
      <c r="AC5" s="3704"/>
      <c r="AD5" s="3704"/>
      <c r="AE5" s="3704"/>
      <c r="AF5" s="3704"/>
      <c r="AG5" s="3704"/>
      <c r="AH5" s="1346"/>
      <c r="AI5" s="3909">
        <v>0</v>
      </c>
      <c r="AJ5" s="3910"/>
      <c r="AK5" s="3911"/>
      <c r="AL5" s="1287"/>
      <c r="AN5" s="1301"/>
    </row>
    <row r="6" spans="3:51" ht="5.15" customHeight="1">
      <c r="C6" s="1298"/>
      <c r="D6" s="1299"/>
      <c r="E6" s="1347"/>
      <c r="F6" s="1347"/>
      <c r="G6" s="1347"/>
      <c r="H6" s="1347"/>
      <c r="I6" s="1347"/>
      <c r="J6" s="1347"/>
      <c r="K6" s="1347"/>
      <c r="L6" s="1347"/>
      <c r="M6" s="1347"/>
      <c r="N6" s="1347"/>
      <c r="O6" s="1347"/>
      <c r="P6" s="1347"/>
      <c r="Q6" s="1347"/>
      <c r="R6" s="1347"/>
      <c r="S6" s="1347"/>
      <c r="T6" s="1347"/>
      <c r="U6" s="1347"/>
      <c r="V6" s="1347"/>
      <c r="W6" s="1347"/>
      <c r="X6" s="1347"/>
      <c r="Y6" s="1347"/>
      <c r="Z6" s="1347"/>
      <c r="AA6" s="1347"/>
      <c r="AB6" s="1347"/>
      <c r="AC6" s="1347"/>
      <c r="AD6" s="1347"/>
      <c r="AE6" s="1347"/>
      <c r="AF6" s="1347"/>
      <c r="AG6" s="1347"/>
      <c r="AH6" s="1347"/>
      <c r="AI6" s="1287"/>
      <c r="AJ6" s="1426"/>
      <c r="AK6" s="1426"/>
      <c r="AL6" s="1426"/>
      <c r="AM6" s="1426"/>
      <c r="AN6" s="1301"/>
    </row>
    <row r="7" spans="3:51" s="1342" customFormat="1" ht="16" customHeight="1">
      <c r="C7" s="1339"/>
      <c r="D7" s="1299" t="s">
        <v>153</v>
      </c>
      <c r="E7" s="1360" t="b">
        <v>1</v>
      </c>
      <c r="F7" s="3853" t="s">
        <v>1664</v>
      </c>
      <c r="G7" s="3853"/>
      <c r="H7" s="3853"/>
      <c r="I7" s="3853"/>
      <c r="J7" s="3853"/>
      <c r="K7" s="3853"/>
      <c r="L7" s="3853"/>
      <c r="M7" s="3853"/>
      <c r="N7" s="3853"/>
      <c r="O7" s="3853"/>
      <c r="P7" s="3853"/>
      <c r="Q7" s="3853"/>
      <c r="R7" s="3853"/>
      <c r="S7" s="3853"/>
      <c r="T7" s="3853"/>
      <c r="U7" s="3853"/>
      <c r="V7" s="3853"/>
      <c r="W7" s="3853"/>
      <c r="X7" s="3853"/>
      <c r="Y7" s="3853"/>
      <c r="Z7" s="3853"/>
      <c r="AA7" s="3853"/>
      <c r="AB7" s="3853"/>
      <c r="AC7" s="3853"/>
      <c r="AD7" s="3853"/>
      <c r="AE7" s="3853"/>
      <c r="AF7" s="3853"/>
      <c r="AG7" s="3853"/>
      <c r="AH7" s="3853"/>
      <c r="AI7" s="3853"/>
      <c r="AJ7" s="3853"/>
      <c r="AK7" s="3853"/>
      <c r="AL7" s="1423"/>
      <c r="AM7" s="1423"/>
      <c r="AN7" s="1341"/>
      <c r="AO7" s="1340"/>
      <c r="AP7" s="1340"/>
      <c r="AQ7" s="1340"/>
      <c r="AR7" s="1340"/>
      <c r="AS7" s="1340"/>
      <c r="AT7" s="1340"/>
      <c r="AU7" s="1340"/>
      <c r="AV7" s="1340"/>
      <c r="AW7" s="1340"/>
    </row>
    <row r="8" spans="3:51" s="1342" customFormat="1" ht="16" customHeight="1">
      <c r="C8" s="1339"/>
      <c r="D8" s="1299"/>
      <c r="E8" s="1365"/>
      <c r="F8" s="3853"/>
      <c r="G8" s="3853"/>
      <c r="H8" s="3853"/>
      <c r="I8" s="3853"/>
      <c r="J8" s="3853"/>
      <c r="K8" s="3853"/>
      <c r="L8" s="3853"/>
      <c r="M8" s="3853"/>
      <c r="N8" s="3853"/>
      <c r="O8" s="3853"/>
      <c r="P8" s="3853"/>
      <c r="Q8" s="3853"/>
      <c r="R8" s="3853"/>
      <c r="S8" s="3853"/>
      <c r="T8" s="3853"/>
      <c r="U8" s="3853"/>
      <c r="V8" s="3853"/>
      <c r="W8" s="3853"/>
      <c r="X8" s="3853"/>
      <c r="Y8" s="3853"/>
      <c r="Z8" s="3853"/>
      <c r="AA8" s="3853"/>
      <c r="AB8" s="3853"/>
      <c r="AC8" s="3853"/>
      <c r="AD8" s="3853"/>
      <c r="AE8" s="3853"/>
      <c r="AF8" s="3853"/>
      <c r="AG8" s="3853"/>
      <c r="AH8" s="3853"/>
      <c r="AI8" s="3853"/>
      <c r="AJ8" s="3853"/>
      <c r="AK8" s="3853"/>
      <c r="AL8" s="1423"/>
      <c r="AM8" s="1423"/>
      <c r="AN8" s="1341"/>
      <c r="AO8" s="1340"/>
      <c r="AP8" s="1340"/>
      <c r="AQ8" s="1340"/>
      <c r="AR8" s="1340"/>
      <c r="AS8" s="1340"/>
      <c r="AT8" s="1340"/>
      <c r="AU8" s="1340"/>
      <c r="AV8" s="1340"/>
      <c r="AW8" s="1340"/>
    </row>
    <row r="9" spans="3:51" ht="5.15" customHeight="1">
      <c r="C9" s="1331"/>
      <c r="D9" s="1338"/>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L9" s="1338"/>
      <c r="AM9" s="1338"/>
      <c r="AN9" s="1325"/>
    </row>
    <row r="10" spans="3:51" ht="15.65" customHeight="1">
      <c r="C10" s="1298"/>
      <c r="D10" s="1299" t="s">
        <v>154</v>
      </c>
      <c r="E10" s="3732" t="s">
        <v>1665</v>
      </c>
      <c r="F10" s="3732"/>
      <c r="G10" s="3732"/>
      <c r="H10" s="3732"/>
      <c r="I10" s="3732"/>
      <c r="J10" s="3732"/>
      <c r="K10" s="3732"/>
      <c r="L10" s="3732"/>
      <c r="M10" s="3732"/>
      <c r="N10" s="3732"/>
      <c r="O10" s="3732"/>
      <c r="P10" s="3732"/>
      <c r="Q10" s="3732"/>
      <c r="R10" s="3732"/>
      <c r="S10" s="3732"/>
      <c r="T10" s="3732"/>
      <c r="U10" s="3732"/>
      <c r="V10" s="3732"/>
      <c r="W10" s="3732"/>
      <c r="X10" s="3732"/>
      <c r="Y10" s="3732"/>
      <c r="Z10" s="3732"/>
      <c r="AA10" s="3732"/>
      <c r="AB10" s="3732"/>
      <c r="AC10" s="3732"/>
      <c r="AD10" s="3732"/>
      <c r="AE10" s="3732"/>
      <c r="AF10" s="3732"/>
      <c r="AG10" s="3732"/>
      <c r="AH10" s="3732"/>
      <c r="AI10" s="3732"/>
      <c r="AJ10" s="3732"/>
      <c r="AK10" s="3732"/>
      <c r="AL10" s="1347"/>
      <c r="AM10" s="1347"/>
      <c r="AN10" s="1325"/>
    </row>
    <row r="11" spans="3:51" ht="15.65" customHeight="1" thickBot="1">
      <c r="C11" s="1331"/>
      <c r="D11" s="1338"/>
      <c r="E11" s="1427" t="s">
        <v>1666</v>
      </c>
      <c r="F11" s="1338"/>
      <c r="G11" s="1338"/>
      <c r="H11" s="1338"/>
      <c r="I11" s="1338"/>
      <c r="J11" s="1338"/>
      <c r="K11" s="1338"/>
      <c r="L11" s="1338"/>
      <c r="M11" s="1338"/>
      <c r="N11" s="1338"/>
      <c r="O11" s="1338"/>
      <c r="P11" s="1338"/>
      <c r="Q11" s="1338"/>
      <c r="R11" s="1338"/>
      <c r="S11" s="1338"/>
      <c r="T11" s="1338"/>
      <c r="U11" s="1338"/>
      <c r="V11" s="1338"/>
      <c r="W11" s="1338"/>
      <c r="X11" s="1338"/>
      <c r="Y11" s="1338"/>
      <c r="Z11" s="1427" t="s">
        <v>1675</v>
      </c>
      <c r="AA11" s="1338"/>
      <c r="AB11" s="1338"/>
      <c r="AC11" s="1338"/>
      <c r="AD11" s="1338"/>
      <c r="AE11" s="1338"/>
      <c r="AF11" s="1338"/>
      <c r="AG11" s="1338"/>
      <c r="AH11" s="1338"/>
      <c r="AI11" s="1338"/>
      <c r="AJ11" s="1338"/>
      <c r="AK11" s="1338"/>
      <c r="AL11" s="1338"/>
      <c r="AM11" s="1338"/>
      <c r="AN11" s="1325"/>
    </row>
    <row r="12" spans="3:51" s="1291" customFormat="1" ht="65.150000000000006" customHeight="1" thickTop="1" thickBot="1">
      <c r="C12" s="1331"/>
      <c r="D12" s="1332"/>
      <c r="E12" s="3710" t="s">
        <v>1753</v>
      </c>
      <c r="F12" s="3711"/>
      <c r="G12" s="3711"/>
      <c r="H12" s="3711"/>
      <c r="I12" s="3711"/>
      <c r="J12" s="3711"/>
      <c r="K12" s="3711"/>
      <c r="L12" s="3714"/>
      <c r="M12" s="3710" t="s">
        <v>1903</v>
      </c>
      <c r="N12" s="3711"/>
      <c r="O12" s="3711"/>
      <c r="P12" s="3713"/>
      <c r="Q12" s="3711" t="s">
        <v>1904</v>
      </c>
      <c r="R12" s="3711"/>
      <c r="S12" s="3711"/>
      <c r="T12" s="3714"/>
      <c r="U12" s="1373"/>
      <c r="V12" s="1373"/>
      <c r="W12" s="1373"/>
      <c r="X12" s="1351"/>
      <c r="Y12" s="1351"/>
      <c r="Z12" s="3710" t="s">
        <v>1753</v>
      </c>
      <c r="AA12" s="3711"/>
      <c r="AB12" s="3711"/>
      <c r="AC12" s="3711"/>
      <c r="AD12" s="3711"/>
      <c r="AE12" s="3711"/>
      <c r="AF12" s="3711"/>
      <c r="AG12" s="3714"/>
      <c r="AH12" s="3711" t="s">
        <v>1903</v>
      </c>
      <c r="AI12" s="3711"/>
      <c r="AJ12" s="3711"/>
      <c r="AK12" s="3714"/>
      <c r="AN12" s="1292"/>
    </row>
    <row r="13" spans="3:51" s="1291" customFormat="1" ht="19.5" customHeight="1" thickTop="1">
      <c r="C13" s="1331"/>
      <c r="D13" s="1332"/>
      <c r="E13" s="3799" t="s">
        <v>1667</v>
      </c>
      <c r="F13" s="3800"/>
      <c r="G13" s="3800"/>
      <c r="H13" s="3800"/>
      <c r="I13" s="3800"/>
      <c r="J13" s="3800"/>
      <c r="K13" s="3800"/>
      <c r="L13" s="3801"/>
      <c r="M13" s="3921">
        <v>0</v>
      </c>
      <c r="N13" s="3922"/>
      <c r="O13" s="3922"/>
      <c r="P13" s="3923"/>
      <c r="Q13" s="3924"/>
      <c r="R13" s="3924"/>
      <c r="S13" s="3924"/>
      <c r="T13" s="3925"/>
      <c r="U13" s="1373"/>
      <c r="V13" s="1373"/>
      <c r="W13" s="1373"/>
      <c r="X13" s="1373"/>
      <c r="Y13" s="1351"/>
      <c r="Z13" s="3799" t="s">
        <v>1676</v>
      </c>
      <c r="AA13" s="3800"/>
      <c r="AB13" s="3800"/>
      <c r="AC13" s="3800"/>
      <c r="AD13" s="3800"/>
      <c r="AE13" s="3800"/>
      <c r="AF13" s="3800"/>
      <c r="AG13" s="3801"/>
      <c r="AH13" s="3922">
        <v>0</v>
      </c>
      <c r="AI13" s="3922"/>
      <c r="AJ13" s="3922"/>
      <c r="AK13" s="3926"/>
      <c r="AN13" s="1292"/>
    </row>
    <row r="14" spans="3:51" s="1291" customFormat="1" ht="19.5" customHeight="1">
      <c r="C14" s="1293"/>
      <c r="D14" s="1294"/>
      <c r="E14" s="3859"/>
      <c r="F14" s="3860"/>
      <c r="G14" s="3860"/>
      <c r="H14" s="3860"/>
      <c r="I14" s="3860"/>
      <c r="J14" s="3860"/>
      <c r="K14" s="3860"/>
      <c r="L14" s="3912"/>
      <c r="M14" s="3913"/>
      <c r="N14" s="3914"/>
      <c r="O14" s="3914"/>
      <c r="P14" s="3915"/>
      <c r="Q14" s="3916"/>
      <c r="R14" s="3916"/>
      <c r="S14" s="3916"/>
      <c r="T14" s="3917"/>
      <c r="U14" s="1373"/>
      <c r="V14" s="1373"/>
      <c r="W14" s="1373"/>
      <c r="X14" s="1348"/>
      <c r="Y14" s="1351"/>
      <c r="Z14" s="3859" t="s">
        <v>1677</v>
      </c>
      <c r="AA14" s="3860"/>
      <c r="AB14" s="3860"/>
      <c r="AC14" s="3860"/>
      <c r="AD14" s="3860"/>
      <c r="AE14" s="3860"/>
      <c r="AF14" s="3860"/>
      <c r="AG14" s="3912"/>
      <c r="AH14" s="3914">
        <v>0</v>
      </c>
      <c r="AI14" s="3914"/>
      <c r="AJ14" s="3914"/>
      <c r="AK14" s="3918"/>
      <c r="AN14" s="1292"/>
    </row>
    <row r="15" spans="3:51" s="1291" customFormat="1" ht="19.5" customHeight="1">
      <c r="C15" s="1293"/>
      <c r="D15" s="1294"/>
      <c r="E15" s="3859" t="s">
        <v>1668</v>
      </c>
      <c r="F15" s="3860"/>
      <c r="G15" s="3860"/>
      <c r="H15" s="3860"/>
      <c r="I15" s="3860"/>
      <c r="J15" s="3860"/>
      <c r="K15" s="3860"/>
      <c r="L15" s="3912"/>
      <c r="M15" s="3913">
        <v>0</v>
      </c>
      <c r="N15" s="3914"/>
      <c r="O15" s="3914"/>
      <c r="P15" s="3915"/>
      <c r="Q15" s="3916"/>
      <c r="R15" s="3916"/>
      <c r="S15" s="3916"/>
      <c r="T15" s="3917"/>
      <c r="U15" s="1295"/>
      <c r="V15" s="1295"/>
      <c r="W15" s="1295"/>
      <c r="X15" s="1348"/>
      <c r="Y15" s="1351"/>
      <c r="Z15" s="3859" t="s">
        <v>1671</v>
      </c>
      <c r="AA15" s="3860"/>
      <c r="AB15" s="3860"/>
      <c r="AC15" s="3860"/>
      <c r="AD15" s="3860"/>
      <c r="AE15" s="3860"/>
      <c r="AF15" s="3860"/>
      <c r="AG15" s="3912"/>
      <c r="AH15" s="3914">
        <v>0</v>
      </c>
      <c r="AI15" s="3914"/>
      <c r="AJ15" s="3914"/>
      <c r="AK15" s="3918"/>
      <c r="AN15" s="1292"/>
    </row>
    <row r="16" spans="3:51" s="1291" customFormat="1" ht="19.5" customHeight="1">
      <c r="C16" s="1293"/>
      <c r="D16" s="1294"/>
      <c r="E16" s="3859"/>
      <c r="F16" s="3860"/>
      <c r="G16" s="3860"/>
      <c r="H16" s="3860"/>
      <c r="I16" s="3860"/>
      <c r="J16" s="3860"/>
      <c r="K16" s="3860"/>
      <c r="L16" s="3912"/>
      <c r="M16" s="3913"/>
      <c r="N16" s="3914"/>
      <c r="O16" s="3914"/>
      <c r="P16" s="3915"/>
      <c r="Q16" s="3916"/>
      <c r="R16" s="3916"/>
      <c r="S16" s="3916"/>
      <c r="T16" s="3917"/>
      <c r="U16" s="1295"/>
      <c r="V16" s="1295"/>
      <c r="W16" s="1295"/>
      <c r="X16" s="1348"/>
      <c r="Y16" s="1351"/>
      <c r="Z16" s="3859" t="s">
        <v>1672</v>
      </c>
      <c r="AA16" s="3860"/>
      <c r="AB16" s="3860"/>
      <c r="AC16" s="3860"/>
      <c r="AD16" s="3860"/>
      <c r="AE16" s="3860"/>
      <c r="AF16" s="3860"/>
      <c r="AG16" s="3912"/>
      <c r="AH16" s="3919">
        <v>0</v>
      </c>
      <c r="AI16" s="3919"/>
      <c r="AJ16" s="3919"/>
      <c r="AK16" s="3920"/>
      <c r="AN16" s="1292"/>
    </row>
    <row r="17" spans="3:42" s="1291" customFormat="1" ht="19.5" customHeight="1">
      <c r="C17" s="1293"/>
      <c r="D17" s="1294"/>
      <c r="E17" s="3859" t="s">
        <v>1669</v>
      </c>
      <c r="F17" s="3860"/>
      <c r="G17" s="3860"/>
      <c r="H17" s="3860"/>
      <c r="I17" s="3860"/>
      <c r="J17" s="3860"/>
      <c r="K17" s="3860"/>
      <c r="L17" s="3912"/>
      <c r="M17" s="3913">
        <v>0</v>
      </c>
      <c r="N17" s="3914"/>
      <c r="O17" s="3914"/>
      <c r="P17" s="3915"/>
      <c r="Q17" s="3916"/>
      <c r="R17" s="3916"/>
      <c r="S17" s="3916"/>
      <c r="T17" s="3917"/>
      <c r="U17" s="1295"/>
      <c r="V17" s="1295"/>
      <c r="W17" s="1295"/>
      <c r="X17" s="1348"/>
      <c r="Y17" s="1351"/>
      <c r="Z17" s="3859" t="s">
        <v>1673</v>
      </c>
      <c r="AA17" s="3860"/>
      <c r="AB17" s="3860"/>
      <c r="AC17" s="3860"/>
      <c r="AD17" s="3860"/>
      <c r="AE17" s="3860"/>
      <c r="AF17" s="3860"/>
      <c r="AG17" s="3912"/>
      <c r="AH17" s="3914">
        <v>0</v>
      </c>
      <c r="AI17" s="3914"/>
      <c r="AJ17" s="3914"/>
      <c r="AK17" s="3918"/>
      <c r="AN17" s="1292"/>
    </row>
    <row r="18" spans="3:42" s="1291" customFormat="1" ht="19.5" customHeight="1">
      <c r="C18" s="1293"/>
      <c r="D18" s="1294"/>
      <c r="E18" s="3859"/>
      <c r="F18" s="3860"/>
      <c r="G18" s="3860"/>
      <c r="H18" s="3860"/>
      <c r="I18" s="3860"/>
      <c r="J18" s="3860"/>
      <c r="K18" s="3860"/>
      <c r="L18" s="3912"/>
      <c r="M18" s="3913"/>
      <c r="N18" s="3914"/>
      <c r="O18" s="3914"/>
      <c r="P18" s="3915"/>
      <c r="Q18" s="3916"/>
      <c r="R18" s="3916"/>
      <c r="S18" s="3916"/>
      <c r="T18" s="3917"/>
      <c r="U18" s="1295"/>
      <c r="V18" s="1295"/>
      <c r="W18" s="1295"/>
      <c r="X18" s="1348"/>
      <c r="Y18" s="1351"/>
      <c r="Z18" s="3859" t="s">
        <v>1674</v>
      </c>
      <c r="AA18" s="3860"/>
      <c r="AB18" s="3860"/>
      <c r="AC18" s="3860"/>
      <c r="AD18" s="3860"/>
      <c r="AE18" s="3860"/>
      <c r="AF18" s="3860"/>
      <c r="AG18" s="3912"/>
      <c r="AH18" s="3914">
        <v>0</v>
      </c>
      <c r="AI18" s="3914"/>
      <c r="AJ18" s="3914"/>
      <c r="AK18" s="3918"/>
      <c r="AN18" s="1292"/>
    </row>
    <row r="19" spans="3:42" s="1291" customFormat="1" ht="19.5" customHeight="1">
      <c r="C19" s="1293"/>
      <c r="D19" s="1294"/>
      <c r="E19" s="3859" t="s">
        <v>1670</v>
      </c>
      <c r="F19" s="3860"/>
      <c r="G19" s="3860"/>
      <c r="H19" s="3860"/>
      <c r="I19" s="3860"/>
      <c r="J19" s="3860"/>
      <c r="K19" s="3860"/>
      <c r="L19" s="3912"/>
      <c r="M19" s="3913">
        <v>0</v>
      </c>
      <c r="N19" s="3914"/>
      <c r="O19" s="3914"/>
      <c r="P19" s="3915"/>
      <c r="Q19" s="3916"/>
      <c r="R19" s="3916"/>
      <c r="S19" s="3916"/>
      <c r="T19" s="3917"/>
      <c r="U19" s="1295"/>
      <c r="V19" s="1295"/>
      <c r="W19" s="1295"/>
      <c r="X19" s="1348"/>
      <c r="Y19" s="1351"/>
      <c r="Z19" s="3859"/>
      <c r="AA19" s="3860"/>
      <c r="AB19" s="3860"/>
      <c r="AC19" s="3860"/>
      <c r="AD19" s="3860"/>
      <c r="AE19" s="3860"/>
      <c r="AF19" s="3860"/>
      <c r="AG19" s="3912"/>
      <c r="AH19" s="3914"/>
      <c r="AI19" s="3914"/>
      <c r="AJ19" s="3914"/>
      <c r="AK19" s="3918"/>
      <c r="AN19" s="1292"/>
    </row>
    <row r="20" spans="3:42" s="1291" customFormat="1" ht="19.5" customHeight="1">
      <c r="C20" s="1293"/>
      <c r="D20" s="1294"/>
      <c r="E20" s="3859"/>
      <c r="F20" s="3860"/>
      <c r="G20" s="3860"/>
      <c r="H20" s="3860"/>
      <c r="I20" s="3860"/>
      <c r="J20" s="3860"/>
      <c r="K20" s="3860"/>
      <c r="L20" s="3912"/>
      <c r="M20" s="3913"/>
      <c r="N20" s="3914"/>
      <c r="O20" s="3914"/>
      <c r="P20" s="3915"/>
      <c r="Q20" s="3916"/>
      <c r="R20" s="3916"/>
      <c r="S20" s="3916"/>
      <c r="T20" s="3917"/>
      <c r="U20" s="1295"/>
      <c r="V20" s="1295"/>
      <c r="W20" s="1295"/>
      <c r="X20" s="1348"/>
      <c r="Y20" s="1351"/>
      <c r="Z20" s="3859" t="s">
        <v>1678</v>
      </c>
      <c r="AA20" s="3860"/>
      <c r="AB20" s="3860"/>
      <c r="AC20" s="3860"/>
      <c r="AD20" s="3860"/>
      <c r="AE20" s="3860"/>
      <c r="AF20" s="3860"/>
      <c r="AG20" s="3912"/>
      <c r="AH20" s="3914">
        <v>0</v>
      </c>
      <c r="AI20" s="3914"/>
      <c r="AJ20" s="3914"/>
      <c r="AK20" s="3918"/>
      <c r="AN20" s="1292"/>
    </row>
    <row r="21" spans="3:42" s="1291" customFormat="1" ht="19.5" customHeight="1">
      <c r="C21" s="1293"/>
      <c r="D21" s="1294"/>
      <c r="E21" s="3859" t="s">
        <v>1671</v>
      </c>
      <c r="F21" s="3860"/>
      <c r="G21" s="3860"/>
      <c r="H21" s="3860"/>
      <c r="I21" s="3860"/>
      <c r="J21" s="3860"/>
      <c r="K21" s="3860"/>
      <c r="L21" s="3912"/>
      <c r="M21" s="3913">
        <v>0</v>
      </c>
      <c r="N21" s="3914"/>
      <c r="O21" s="3914"/>
      <c r="P21" s="3915"/>
      <c r="Q21" s="3916"/>
      <c r="R21" s="3916"/>
      <c r="S21" s="3916"/>
      <c r="T21" s="3917"/>
      <c r="U21" s="1295"/>
      <c r="V21" s="1295"/>
      <c r="W21" s="1295"/>
      <c r="X21" s="1348"/>
      <c r="Y21" s="1351"/>
      <c r="Z21" s="3859" t="s">
        <v>1679</v>
      </c>
      <c r="AA21" s="3860"/>
      <c r="AB21" s="3860"/>
      <c r="AC21" s="3860"/>
      <c r="AD21" s="3860"/>
      <c r="AE21" s="3860"/>
      <c r="AF21" s="3860"/>
      <c r="AG21" s="3912"/>
      <c r="AH21" s="3914">
        <v>0</v>
      </c>
      <c r="AI21" s="3914"/>
      <c r="AJ21" s="3914"/>
      <c r="AK21" s="3918"/>
      <c r="AN21" s="1292"/>
    </row>
    <row r="22" spans="3:42" s="1291" customFormat="1" ht="19.5" customHeight="1">
      <c r="C22" s="1293"/>
      <c r="D22" s="1294"/>
      <c r="E22" s="3859" t="s">
        <v>1672</v>
      </c>
      <c r="F22" s="3860"/>
      <c r="G22" s="3860"/>
      <c r="H22" s="3860"/>
      <c r="I22" s="3860"/>
      <c r="J22" s="3860"/>
      <c r="K22" s="3860"/>
      <c r="L22" s="3912"/>
      <c r="M22" s="3941">
        <v>0</v>
      </c>
      <c r="N22" s="3919"/>
      <c r="O22" s="3919"/>
      <c r="P22" s="3942"/>
      <c r="Q22" s="3916"/>
      <c r="R22" s="3916"/>
      <c r="S22" s="3916"/>
      <c r="T22" s="3917"/>
      <c r="U22" s="1295"/>
      <c r="V22" s="1295"/>
      <c r="W22" s="1295"/>
      <c r="X22" s="1348"/>
      <c r="Y22" s="1351"/>
      <c r="Z22" s="3859"/>
      <c r="AA22" s="3860"/>
      <c r="AB22" s="3860"/>
      <c r="AC22" s="3860"/>
      <c r="AD22" s="3860"/>
      <c r="AE22" s="3860"/>
      <c r="AF22" s="3860"/>
      <c r="AG22" s="3912"/>
      <c r="AH22" s="3914"/>
      <c r="AI22" s="3914"/>
      <c r="AJ22" s="3914"/>
      <c r="AK22" s="3918"/>
      <c r="AN22" s="1292"/>
    </row>
    <row r="23" spans="3:42" s="1291" customFormat="1" ht="19.5" customHeight="1" thickBot="1">
      <c r="C23" s="1293"/>
      <c r="D23" s="1294"/>
      <c r="E23" s="3859" t="s">
        <v>1673</v>
      </c>
      <c r="F23" s="3860"/>
      <c r="G23" s="3860"/>
      <c r="H23" s="3860"/>
      <c r="I23" s="3860"/>
      <c r="J23" s="3860"/>
      <c r="K23" s="3860"/>
      <c r="L23" s="3912"/>
      <c r="M23" s="3913">
        <v>0</v>
      </c>
      <c r="N23" s="3914"/>
      <c r="O23" s="3914"/>
      <c r="P23" s="3915"/>
      <c r="Q23" s="3916"/>
      <c r="R23" s="3916"/>
      <c r="S23" s="3916"/>
      <c r="T23" s="3917"/>
      <c r="U23" s="1295"/>
      <c r="V23" s="1295"/>
      <c r="W23" s="1295"/>
      <c r="X23" s="1348"/>
      <c r="Y23" s="1351"/>
      <c r="Z23" s="3802" t="s">
        <v>1680</v>
      </c>
      <c r="AA23" s="3803"/>
      <c r="AB23" s="3803"/>
      <c r="AC23" s="3803"/>
      <c r="AD23" s="3803"/>
      <c r="AE23" s="3803"/>
      <c r="AF23" s="3803"/>
      <c r="AG23" s="3804"/>
      <c r="AH23" s="3927">
        <v>0</v>
      </c>
      <c r="AI23" s="3927"/>
      <c r="AJ23" s="3927"/>
      <c r="AK23" s="3928"/>
      <c r="AN23" s="1292"/>
    </row>
    <row r="24" spans="3:42" s="1291" customFormat="1" ht="19.5" customHeight="1" thickTop="1">
      <c r="C24" s="1293"/>
      <c r="D24" s="1294"/>
      <c r="E24" s="3929" t="s">
        <v>1674</v>
      </c>
      <c r="F24" s="3930"/>
      <c r="G24" s="3930"/>
      <c r="H24" s="3930"/>
      <c r="I24" s="3930"/>
      <c r="J24" s="3930"/>
      <c r="K24" s="3930"/>
      <c r="L24" s="3931"/>
      <c r="M24" s="3932">
        <v>0</v>
      </c>
      <c r="N24" s="3933"/>
      <c r="O24" s="3933"/>
      <c r="P24" s="3934"/>
      <c r="Q24" s="3937"/>
      <c r="R24" s="3937"/>
      <c r="S24" s="3937"/>
      <c r="T24" s="3938"/>
      <c r="U24" s="1295"/>
      <c r="V24" s="1295"/>
      <c r="W24" s="1295"/>
      <c r="X24" s="1348"/>
      <c r="Y24" s="1351"/>
      <c r="Z24" s="1351"/>
      <c r="AA24" s="1351"/>
      <c r="AB24" s="1351"/>
      <c r="AC24" s="1351"/>
      <c r="AD24" s="1351"/>
      <c r="AE24" s="1351"/>
      <c r="AF24" s="1351"/>
      <c r="AG24" s="1351"/>
      <c r="AH24" s="1348"/>
      <c r="AI24" s="1348"/>
      <c r="AJ24" s="1348"/>
      <c r="AK24" s="1348"/>
      <c r="AL24" s="1348"/>
      <c r="AM24" s="1348"/>
      <c r="AN24" s="1292"/>
    </row>
    <row r="25" spans="3:42" s="1291" customFormat="1" ht="19.5" customHeight="1" thickBot="1">
      <c r="C25" s="1293"/>
      <c r="D25" s="1294"/>
      <c r="E25" s="3802"/>
      <c r="F25" s="3803"/>
      <c r="G25" s="3803"/>
      <c r="H25" s="3803"/>
      <c r="I25" s="3803"/>
      <c r="J25" s="3803"/>
      <c r="K25" s="3803"/>
      <c r="L25" s="3804"/>
      <c r="M25" s="3935"/>
      <c r="N25" s="3927"/>
      <c r="O25" s="3927"/>
      <c r="P25" s="3936"/>
      <c r="Q25" s="3939"/>
      <c r="R25" s="3939"/>
      <c r="S25" s="3939"/>
      <c r="T25" s="3940"/>
      <c r="U25" s="1295"/>
      <c r="V25" s="1295"/>
      <c r="W25" s="1295"/>
      <c r="X25" s="1348"/>
      <c r="Y25" s="1351"/>
      <c r="Z25" s="1351"/>
      <c r="AA25" s="1351"/>
      <c r="AB25" s="1351"/>
      <c r="AC25" s="1351"/>
      <c r="AD25" s="1351"/>
      <c r="AE25" s="1351"/>
      <c r="AF25" s="1351"/>
      <c r="AG25" s="1351"/>
      <c r="AH25" s="1348"/>
      <c r="AI25" s="1348"/>
      <c r="AJ25" s="1348"/>
      <c r="AK25" s="1348"/>
      <c r="AL25" s="1348"/>
      <c r="AM25" s="1348"/>
      <c r="AN25" s="1292"/>
    </row>
    <row r="26" spans="3:42" s="1291" customFormat="1" ht="10" customHeight="1" thickTop="1">
      <c r="C26" s="1293"/>
      <c r="D26" s="1294"/>
      <c r="E26" s="1351"/>
      <c r="F26" s="1351"/>
      <c r="G26" s="1351"/>
      <c r="H26" s="1351"/>
      <c r="I26" s="1351"/>
      <c r="J26" s="1351"/>
      <c r="K26" s="1351"/>
      <c r="L26" s="1351"/>
      <c r="M26" s="1351"/>
      <c r="N26" s="1351"/>
      <c r="O26" s="1348"/>
      <c r="P26" s="1348"/>
      <c r="Q26" s="1348"/>
      <c r="R26" s="1348"/>
      <c r="S26" s="1348"/>
      <c r="T26" s="1348"/>
      <c r="U26" s="1348"/>
      <c r="V26" s="1348"/>
      <c r="W26" s="1348"/>
      <c r="X26" s="1351"/>
      <c r="Y26" s="1351"/>
      <c r="Z26" s="1351"/>
      <c r="AA26" s="1351"/>
      <c r="AB26" s="1351"/>
      <c r="AC26" s="1351"/>
      <c r="AD26" s="1351"/>
      <c r="AE26" s="1351"/>
      <c r="AF26" s="1351"/>
      <c r="AG26" s="1351"/>
      <c r="AH26" s="1348"/>
      <c r="AI26" s="1348"/>
      <c r="AJ26" s="1348"/>
      <c r="AK26" s="1348"/>
      <c r="AL26" s="1348"/>
      <c r="AM26" s="1348"/>
      <c r="AN26" s="1292"/>
    </row>
    <row r="27" spans="3:42" ht="15.65" customHeight="1">
      <c r="C27" s="1298"/>
      <c r="D27" s="1299" t="s">
        <v>155</v>
      </c>
      <c r="E27" s="3950" t="s">
        <v>1905</v>
      </c>
      <c r="F27" s="3950"/>
      <c r="G27" s="3950"/>
      <c r="H27" s="3950"/>
      <c r="I27" s="3950"/>
      <c r="J27" s="3950"/>
      <c r="K27" s="3950"/>
      <c r="L27" s="3950"/>
      <c r="M27" s="3950"/>
      <c r="N27" s="3950"/>
      <c r="O27" s="3950"/>
      <c r="P27" s="3950"/>
      <c r="Q27" s="3950"/>
      <c r="R27" s="3950"/>
      <c r="S27" s="3950"/>
      <c r="T27" s="3950"/>
      <c r="U27" s="3950"/>
      <c r="V27" s="3950"/>
      <c r="W27" s="1425"/>
      <c r="X27" s="1425"/>
      <c r="Y27" s="1425"/>
      <c r="Z27" s="1425"/>
      <c r="AA27" s="1425"/>
      <c r="AB27" s="1425"/>
      <c r="AC27" s="1347"/>
      <c r="AD27" s="1347"/>
      <c r="AE27" s="1347"/>
      <c r="AF27" s="1347"/>
      <c r="AG27" s="1347"/>
      <c r="AH27" s="1347"/>
      <c r="AI27" s="1347"/>
      <c r="AJ27" s="1300"/>
      <c r="AK27" s="1300"/>
      <c r="AL27" s="1300"/>
      <c r="AM27" s="1300"/>
      <c r="AN27" s="1301"/>
      <c r="AO27" s="1300"/>
      <c r="AP27" s="1300"/>
    </row>
    <row r="28" spans="3:42" ht="5.15" customHeight="1" thickBot="1">
      <c r="C28" s="1331"/>
      <c r="D28" s="1338"/>
      <c r="E28" s="1338"/>
      <c r="F28" s="1338"/>
      <c r="G28" s="1338"/>
      <c r="H28" s="1338"/>
      <c r="I28" s="1338"/>
      <c r="J28" s="1338"/>
      <c r="K28" s="1338"/>
      <c r="L28" s="1338"/>
      <c r="M28" s="1338"/>
      <c r="N28" s="1338"/>
      <c r="O28" s="1338"/>
      <c r="P28" s="1338"/>
      <c r="Q28" s="1338"/>
      <c r="R28" s="1338"/>
      <c r="S28" s="1338"/>
      <c r="T28" s="1338"/>
      <c r="U28" s="1338"/>
      <c r="V28" s="1338"/>
      <c r="W28" s="1338"/>
      <c r="X28" s="1338"/>
      <c r="Y28" s="1338"/>
      <c r="Z28" s="1338"/>
      <c r="AA28" s="1338"/>
      <c r="AB28" s="1338"/>
      <c r="AC28" s="1338"/>
      <c r="AD28" s="1338"/>
      <c r="AE28" s="1338"/>
      <c r="AF28" s="1338"/>
      <c r="AG28" s="1338"/>
      <c r="AH28" s="1338"/>
      <c r="AI28" s="1338"/>
      <c r="AJ28" s="1338"/>
      <c r="AK28" s="1338"/>
      <c r="AL28" s="1338"/>
      <c r="AM28" s="1338"/>
      <c r="AN28" s="1310"/>
      <c r="AO28" s="1338"/>
      <c r="AP28" s="1338"/>
    </row>
    <row r="29" spans="3:42" s="1236" customFormat="1" ht="19.5" customHeight="1" thickTop="1" thickBot="1">
      <c r="C29" s="1399"/>
      <c r="E29" s="3951" t="s">
        <v>557</v>
      </c>
      <c r="F29" s="3952"/>
      <c r="G29" s="3952"/>
      <c r="H29" s="3952"/>
      <c r="I29" s="3952"/>
      <c r="J29" s="3952"/>
      <c r="K29" s="3952"/>
      <c r="L29" s="3952"/>
      <c r="M29" s="3952"/>
      <c r="N29" s="3953"/>
      <c r="O29" s="3750" t="s">
        <v>758</v>
      </c>
      <c r="P29" s="3751"/>
      <c r="Q29" s="3751"/>
      <c r="R29" s="3751"/>
      <c r="S29" s="3751"/>
      <c r="T29" s="3754"/>
      <c r="AO29" s="1399"/>
    </row>
    <row r="30" spans="3:42" s="1236" customFormat="1" ht="19.5" customHeight="1" thickBot="1">
      <c r="C30" s="1399"/>
      <c r="E30" s="3954"/>
      <c r="F30" s="3955"/>
      <c r="G30" s="3955"/>
      <c r="H30" s="3955"/>
      <c r="I30" s="3955"/>
      <c r="J30" s="3955"/>
      <c r="K30" s="3955"/>
      <c r="L30" s="3955"/>
      <c r="M30" s="3955"/>
      <c r="N30" s="3956"/>
      <c r="O30" s="3954" t="s">
        <v>15</v>
      </c>
      <c r="P30" s="3955"/>
      <c r="Q30" s="3957"/>
      <c r="R30" s="3958" t="s">
        <v>16</v>
      </c>
      <c r="S30" s="3955"/>
      <c r="T30" s="3956"/>
      <c r="AO30" s="1399"/>
    </row>
    <row r="31" spans="3:42" s="1236" customFormat="1" ht="34" customHeight="1" thickTop="1">
      <c r="C31" s="1399"/>
      <c r="E31" s="1407" t="s">
        <v>151</v>
      </c>
      <c r="F31" s="3959" t="s">
        <v>1906</v>
      </c>
      <c r="G31" s="3959"/>
      <c r="H31" s="3959"/>
      <c r="I31" s="3959"/>
      <c r="J31" s="3959"/>
      <c r="K31" s="3959"/>
      <c r="L31" s="3959"/>
      <c r="M31" s="3959"/>
      <c r="N31" s="3960"/>
      <c r="O31" s="3961">
        <v>0</v>
      </c>
      <c r="P31" s="3962"/>
      <c r="Q31" s="3963"/>
      <c r="R31" s="3964">
        <v>0</v>
      </c>
      <c r="S31" s="3962"/>
      <c r="T31" s="3965"/>
      <c r="AO31" s="1399"/>
    </row>
    <row r="32" spans="3:42" s="1236" customFormat="1" ht="35.5" customHeight="1" thickBot="1">
      <c r="C32" s="1399"/>
      <c r="E32" s="1424" t="s">
        <v>152</v>
      </c>
      <c r="F32" s="3943" t="s">
        <v>1907</v>
      </c>
      <c r="G32" s="3943"/>
      <c r="H32" s="3943"/>
      <c r="I32" s="3943"/>
      <c r="J32" s="3943"/>
      <c r="K32" s="3943"/>
      <c r="L32" s="3943"/>
      <c r="M32" s="3943"/>
      <c r="N32" s="3944"/>
      <c r="O32" s="3945">
        <v>0</v>
      </c>
      <c r="P32" s="3946"/>
      <c r="Q32" s="3947"/>
      <c r="R32" s="3948">
        <v>0</v>
      </c>
      <c r="S32" s="3946"/>
      <c r="T32" s="3949"/>
      <c r="AO32" s="1399"/>
    </row>
    <row r="33" spans="3:49" s="1291" customFormat="1" ht="10" customHeight="1" thickTop="1">
      <c r="C33" s="1293"/>
      <c r="D33" s="1294"/>
      <c r="E33" s="1351"/>
      <c r="F33" s="1351"/>
      <c r="G33" s="1351"/>
      <c r="H33" s="1351"/>
      <c r="I33" s="1351"/>
      <c r="J33" s="1351"/>
      <c r="K33" s="1351"/>
      <c r="L33" s="1351"/>
      <c r="M33" s="1351"/>
      <c r="N33" s="1351"/>
      <c r="O33" s="1348"/>
      <c r="P33" s="1348"/>
      <c r="Q33" s="1348"/>
      <c r="R33" s="1348"/>
      <c r="S33" s="1348"/>
      <c r="T33" s="1348"/>
      <c r="U33" s="1348"/>
      <c r="V33" s="1348"/>
      <c r="W33" s="1348"/>
      <c r="X33" s="1351"/>
      <c r="Y33" s="1351"/>
      <c r="Z33" s="1351"/>
      <c r="AA33" s="1351"/>
      <c r="AB33" s="1351"/>
      <c r="AC33" s="1351"/>
      <c r="AD33" s="1351"/>
      <c r="AE33" s="1351"/>
      <c r="AF33" s="1351"/>
      <c r="AG33" s="1351"/>
      <c r="AH33" s="1348"/>
      <c r="AI33" s="1348"/>
      <c r="AJ33" s="1348"/>
      <c r="AK33" s="1348"/>
      <c r="AL33" s="1348"/>
      <c r="AM33" s="1348"/>
      <c r="AN33" s="1292"/>
    </row>
    <row r="34" spans="3:49" s="1342" customFormat="1" ht="16" customHeight="1">
      <c r="C34" s="1339"/>
      <c r="D34" s="1299" t="s">
        <v>156</v>
      </c>
      <c r="E34" s="1360" t="b">
        <v>1</v>
      </c>
      <c r="F34" s="3853" t="s">
        <v>1681</v>
      </c>
      <c r="G34" s="3853"/>
      <c r="H34" s="3853"/>
      <c r="I34" s="3853"/>
      <c r="J34" s="3853"/>
      <c r="K34" s="3853"/>
      <c r="L34" s="3853"/>
      <c r="M34" s="3853"/>
      <c r="N34" s="3853"/>
      <c r="O34" s="3853"/>
      <c r="P34" s="3853"/>
      <c r="Q34" s="3853"/>
      <c r="R34" s="3853"/>
      <c r="S34" s="3853"/>
      <c r="T34" s="3853"/>
      <c r="U34" s="3853"/>
      <c r="V34" s="3853"/>
      <c r="W34" s="3853"/>
      <c r="X34" s="3853"/>
      <c r="Y34" s="3853"/>
      <c r="Z34" s="3853"/>
      <c r="AA34" s="3853"/>
      <c r="AB34" s="3853"/>
      <c r="AC34" s="3853"/>
      <c r="AD34" s="3853"/>
      <c r="AE34" s="3853"/>
      <c r="AF34" s="3853"/>
      <c r="AG34" s="3853"/>
      <c r="AH34" s="3853"/>
      <c r="AI34" s="3853"/>
      <c r="AJ34" s="3853"/>
      <c r="AK34" s="3853"/>
      <c r="AL34" s="3853"/>
      <c r="AM34" s="1423"/>
      <c r="AN34" s="1341"/>
      <c r="AO34" s="1340"/>
      <c r="AP34" s="1340"/>
      <c r="AQ34" s="1340"/>
      <c r="AR34" s="1340"/>
      <c r="AS34" s="1340"/>
      <c r="AT34" s="1340"/>
      <c r="AU34" s="1340"/>
      <c r="AV34" s="1340"/>
      <c r="AW34" s="1340"/>
    </row>
    <row r="35" spans="3:49" s="1342" customFormat="1" ht="16" customHeight="1">
      <c r="C35" s="1339"/>
      <c r="D35" s="1299"/>
      <c r="E35" s="1365"/>
      <c r="F35" s="3853"/>
      <c r="G35" s="3853"/>
      <c r="H35" s="3853"/>
      <c r="I35" s="3853"/>
      <c r="J35" s="3853"/>
      <c r="K35" s="3853"/>
      <c r="L35" s="3853"/>
      <c r="M35" s="3853"/>
      <c r="N35" s="3853"/>
      <c r="O35" s="3853"/>
      <c r="P35" s="3853"/>
      <c r="Q35" s="3853"/>
      <c r="R35" s="3853"/>
      <c r="S35" s="3853"/>
      <c r="T35" s="3853"/>
      <c r="U35" s="3853"/>
      <c r="V35" s="3853"/>
      <c r="W35" s="3853"/>
      <c r="X35" s="3853"/>
      <c r="Y35" s="3853"/>
      <c r="Z35" s="3853"/>
      <c r="AA35" s="3853"/>
      <c r="AB35" s="3853"/>
      <c r="AC35" s="3853"/>
      <c r="AD35" s="3853"/>
      <c r="AE35" s="3853"/>
      <c r="AF35" s="3853"/>
      <c r="AG35" s="3853"/>
      <c r="AH35" s="3853"/>
      <c r="AI35" s="3853"/>
      <c r="AJ35" s="3853"/>
      <c r="AK35" s="3853"/>
      <c r="AL35" s="3853"/>
      <c r="AM35" s="1423"/>
      <c r="AN35" s="1341"/>
      <c r="AO35" s="1340"/>
      <c r="AP35" s="1340"/>
      <c r="AQ35" s="1340"/>
      <c r="AR35" s="1340"/>
      <c r="AS35" s="1340"/>
      <c r="AT35" s="1340"/>
      <c r="AU35" s="1340"/>
      <c r="AV35" s="1340"/>
      <c r="AW35" s="1340"/>
    </row>
    <row r="36" spans="3:49" s="1342" customFormat="1" ht="16" customHeight="1">
      <c r="C36" s="1339"/>
      <c r="D36" s="1299" t="s">
        <v>157</v>
      </c>
      <c r="E36" s="1360" t="b">
        <v>1</v>
      </c>
      <c r="F36" s="3853" t="s">
        <v>1908</v>
      </c>
      <c r="G36" s="3853"/>
      <c r="H36" s="3853"/>
      <c r="I36" s="3853"/>
      <c r="J36" s="3853"/>
      <c r="K36" s="3853"/>
      <c r="L36" s="3853"/>
      <c r="M36" s="3853"/>
      <c r="N36" s="3853"/>
      <c r="O36" s="3853"/>
      <c r="P36" s="3853"/>
      <c r="Q36" s="3853"/>
      <c r="R36" s="3853"/>
      <c r="S36" s="3853"/>
      <c r="T36" s="3853"/>
      <c r="U36" s="3853"/>
      <c r="V36" s="3853"/>
      <c r="W36" s="3853"/>
      <c r="X36" s="3853"/>
      <c r="Y36" s="3853"/>
      <c r="Z36" s="3853"/>
      <c r="AA36" s="3853"/>
      <c r="AB36" s="3853"/>
      <c r="AC36" s="3853"/>
      <c r="AD36" s="3853"/>
      <c r="AE36" s="3853"/>
      <c r="AF36" s="3853"/>
      <c r="AG36" s="3853"/>
      <c r="AH36" s="3853"/>
      <c r="AI36" s="3853"/>
      <c r="AJ36" s="3853"/>
      <c r="AK36" s="3853"/>
      <c r="AL36" s="3853"/>
      <c r="AM36" s="1423"/>
      <c r="AN36" s="1341"/>
      <c r="AO36" s="1340"/>
      <c r="AP36" s="1340"/>
      <c r="AQ36" s="1340"/>
      <c r="AR36" s="1340"/>
      <c r="AS36" s="1340"/>
      <c r="AT36" s="1340"/>
      <c r="AU36" s="1340"/>
      <c r="AV36" s="1340"/>
      <c r="AW36" s="1340"/>
    </row>
    <row r="37" spans="3:49" s="1342" customFormat="1" ht="16" customHeight="1">
      <c r="C37" s="1339"/>
      <c r="D37" s="1299"/>
      <c r="E37" s="1365"/>
      <c r="F37" s="3853"/>
      <c r="G37" s="3853"/>
      <c r="H37" s="3853"/>
      <c r="I37" s="3853"/>
      <c r="J37" s="3853"/>
      <c r="K37" s="3853"/>
      <c r="L37" s="3853"/>
      <c r="M37" s="3853"/>
      <c r="N37" s="3853"/>
      <c r="O37" s="3853"/>
      <c r="P37" s="3853"/>
      <c r="Q37" s="3853"/>
      <c r="R37" s="3853"/>
      <c r="S37" s="3853"/>
      <c r="T37" s="3853"/>
      <c r="U37" s="3853"/>
      <c r="V37" s="3853"/>
      <c r="W37" s="3853"/>
      <c r="X37" s="3853"/>
      <c r="Y37" s="3853"/>
      <c r="Z37" s="3853"/>
      <c r="AA37" s="3853"/>
      <c r="AB37" s="3853"/>
      <c r="AC37" s="3853"/>
      <c r="AD37" s="3853"/>
      <c r="AE37" s="3853"/>
      <c r="AF37" s="3853"/>
      <c r="AG37" s="3853"/>
      <c r="AH37" s="3853"/>
      <c r="AI37" s="3853"/>
      <c r="AJ37" s="3853"/>
      <c r="AK37" s="3853"/>
      <c r="AL37" s="3853"/>
      <c r="AM37" s="1423"/>
      <c r="AN37" s="1341"/>
      <c r="AO37" s="1340"/>
      <c r="AP37" s="1340"/>
      <c r="AQ37" s="1340"/>
      <c r="AR37" s="1340"/>
      <c r="AS37" s="1340"/>
      <c r="AT37" s="1340"/>
      <c r="AU37" s="1340"/>
      <c r="AV37" s="1340"/>
      <c r="AW37" s="1340"/>
    </row>
    <row r="38" spans="3:49" ht="5.15" customHeight="1">
      <c r="C38" s="1331"/>
      <c r="D38" s="1338"/>
      <c r="E38" s="1338"/>
      <c r="F38" s="1338"/>
      <c r="G38" s="1338"/>
      <c r="H38" s="1338"/>
      <c r="I38" s="1338"/>
      <c r="J38" s="1338"/>
      <c r="K38" s="1338"/>
      <c r="L38" s="1338"/>
      <c r="M38" s="1338"/>
      <c r="N38" s="1338"/>
      <c r="O38" s="1338"/>
      <c r="P38" s="1338"/>
      <c r="Q38" s="1338"/>
      <c r="R38" s="1338"/>
      <c r="S38" s="1338"/>
      <c r="T38" s="1338"/>
      <c r="U38" s="1338"/>
      <c r="V38" s="1338"/>
      <c r="W38" s="1338"/>
      <c r="X38" s="1338"/>
      <c r="Y38" s="1338"/>
      <c r="Z38" s="1338"/>
      <c r="AA38" s="1338"/>
      <c r="AB38" s="1338"/>
      <c r="AC38" s="1338"/>
      <c r="AD38" s="1338"/>
      <c r="AE38" s="1338"/>
      <c r="AF38" s="1338"/>
      <c r="AG38" s="1338"/>
      <c r="AH38" s="1338"/>
      <c r="AI38" s="1338"/>
      <c r="AJ38" s="1338"/>
      <c r="AK38" s="1338"/>
      <c r="AL38" s="1338"/>
      <c r="AM38" s="1338"/>
      <c r="AN38" s="1325"/>
    </row>
    <row r="39" spans="3:49" ht="32.15" customHeight="1" thickBot="1">
      <c r="C39" s="1298"/>
      <c r="D39" s="1299" t="s">
        <v>158</v>
      </c>
      <c r="E39" s="3732" t="s">
        <v>1909</v>
      </c>
      <c r="F39" s="3732"/>
      <c r="G39" s="3732"/>
      <c r="H39" s="3732"/>
      <c r="I39" s="3732"/>
      <c r="J39" s="3732"/>
      <c r="K39" s="3732"/>
      <c r="L39" s="3732"/>
      <c r="M39" s="3732"/>
      <c r="N39" s="3732"/>
      <c r="O39" s="3732"/>
      <c r="P39" s="3732"/>
      <c r="Q39" s="3732"/>
      <c r="R39" s="3732"/>
      <c r="S39" s="3732"/>
      <c r="T39" s="3732"/>
      <c r="U39" s="1347"/>
      <c r="V39" s="1347"/>
      <c r="W39" s="1347"/>
      <c r="X39" s="1347"/>
      <c r="Y39" s="1299" t="s">
        <v>160</v>
      </c>
      <c r="Z39" s="3732" t="s">
        <v>1910</v>
      </c>
      <c r="AA39" s="3732"/>
      <c r="AB39" s="3732"/>
      <c r="AC39" s="3732"/>
      <c r="AD39" s="3732"/>
      <c r="AE39" s="3732"/>
      <c r="AF39" s="3732"/>
      <c r="AG39" s="3732"/>
      <c r="AH39" s="3732"/>
      <c r="AI39" s="3732"/>
      <c r="AJ39" s="3732"/>
      <c r="AK39" s="3732"/>
      <c r="AL39" s="3732"/>
      <c r="AM39" s="3732"/>
      <c r="AN39" s="1325"/>
    </row>
    <row r="40" spans="3:49" s="1291" customFormat="1" ht="19.5" customHeight="1" thickTop="1" thickBot="1">
      <c r="C40" s="1331"/>
      <c r="D40" s="1332"/>
      <c r="E40" s="3710" t="s">
        <v>1682</v>
      </c>
      <c r="F40" s="3711"/>
      <c r="G40" s="3711"/>
      <c r="H40" s="3711"/>
      <c r="I40" s="3711"/>
      <c r="J40" s="3711"/>
      <c r="K40" s="3711"/>
      <c r="L40" s="3714"/>
      <c r="M40" s="3711" t="s">
        <v>1683</v>
      </c>
      <c r="N40" s="3711"/>
      <c r="O40" s="3711"/>
      <c r="P40" s="3711"/>
      <c r="Q40" s="3714"/>
      <c r="X40" s="1373"/>
      <c r="Y40" s="1351"/>
      <c r="Z40" s="3710" t="s">
        <v>714</v>
      </c>
      <c r="AA40" s="3711"/>
      <c r="AB40" s="3711"/>
      <c r="AC40" s="3711"/>
      <c r="AD40" s="3711"/>
      <c r="AE40" s="3711"/>
      <c r="AF40" s="3711"/>
      <c r="AG40" s="3714"/>
      <c r="AH40" s="3711" t="s">
        <v>1683</v>
      </c>
      <c r="AI40" s="3711"/>
      <c r="AJ40" s="3711"/>
      <c r="AK40" s="3711"/>
      <c r="AL40" s="3714"/>
      <c r="AN40" s="1292"/>
    </row>
    <row r="41" spans="3:49" s="1291" customFormat="1" ht="19.5" customHeight="1" thickTop="1">
      <c r="C41" s="1331"/>
      <c r="D41" s="1332"/>
      <c r="E41" s="1429" t="b">
        <v>0</v>
      </c>
      <c r="F41" s="3967" t="s">
        <v>1684</v>
      </c>
      <c r="G41" s="3967"/>
      <c r="H41" s="3967"/>
      <c r="I41" s="3967"/>
      <c r="J41" s="3967"/>
      <c r="K41" s="3967"/>
      <c r="L41" s="1418"/>
      <c r="M41" s="3922"/>
      <c r="N41" s="3922"/>
      <c r="O41" s="3922"/>
      <c r="P41" s="3922"/>
      <c r="Q41" s="3926"/>
      <c r="R41" s="1416" t="str">
        <f>IF(AND(resump_strat_class_shift=TRUE,ISBLANK(resump_strat_class_shift_number)), "Please indicate no. of days.", "")</f>
        <v/>
      </c>
      <c r="X41" s="1373"/>
      <c r="Y41" s="1373"/>
      <c r="Z41" s="1429" t="b">
        <v>0</v>
      </c>
      <c r="AA41" s="3967" t="s">
        <v>667</v>
      </c>
      <c r="AB41" s="3967"/>
      <c r="AC41" s="3967"/>
      <c r="AD41" s="3967"/>
      <c r="AE41" s="3967"/>
      <c r="AF41" s="3967"/>
      <c r="AG41" s="1418"/>
      <c r="AH41" s="3922"/>
      <c r="AI41" s="3922"/>
      <c r="AJ41" s="3922"/>
      <c r="AK41" s="3922"/>
      <c r="AL41" s="3926"/>
      <c r="AM41" s="1416" t="str">
        <f>IF(AND(adm_eimpact=TRUE,ISBLANK(adm_eimpact_number)), "Please indicate no. of days.", "")</f>
        <v/>
      </c>
      <c r="AN41" s="1292"/>
    </row>
    <row r="42" spans="3:49" s="1291" customFormat="1" ht="19.5" customHeight="1">
      <c r="C42" s="1293"/>
      <c r="D42" s="1294"/>
      <c r="E42" s="1430" t="b">
        <v>0</v>
      </c>
      <c r="F42" s="3966" t="s">
        <v>1685</v>
      </c>
      <c r="G42" s="3966"/>
      <c r="H42" s="3966"/>
      <c r="I42" s="3966"/>
      <c r="J42" s="3966"/>
      <c r="K42" s="3966"/>
      <c r="L42" s="1419"/>
      <c r="M42" s="3914"/>
      <c r="N42" s="3914"/>
      <c r="O42" s="3914"/>
      <c r="P42" s="3914"/>
      <c r="Q42" s="3918"/>
      <c r="R42" s="1416" t="str">
        <f>IF(AND(resump_strat_makeup_class=TRUE,ISBLANK(resump_strat_makeup_class_number)), "Please indicate no. of days.", "")</f>
        <v/>
      </c>
      <c r="X42" s="1373"/>
      <c r="Y42" s="1348"/>
      <c r="Z42" s="1430" t="b">
        <v>0</v>
      </c>
      <c r="AA42" s="3966" t="s">
        <v>1690</v>
      </c>
      <c r="AB42" s="3966"/>
      <c r="AC42" s="3966"/>
      <c r="AD42" s="3966"/>
      <c r="AE42" s="3966"/>
      <c r="AF42" s="3966"/>
      <c r="AG42" s="1419"/>
      <c r="AH42" s="3914"/>
      <c r="AI42" s="3914"/>
      <c r="AJ42" s="3914"/>
      <c r="AK42" s="3914"/>
      <c r="AL42" s="3918"/>
      <c r="AM42" s="1416" t="str">
        <f>IF(AND(adm_homeschool=TRUE,ISBLANK(adm_homeschool_number)), "Please indicate no. of days.", "")</f>
        <v/>
      </c>
      <c r="AN42" s="1292"/>
    </row>
    <row r="43" spans="3:49" s="1291" customFormat="1" ht="19.5" customHeight="1">
      <c r="C43" s="1293"/>
      <c r="D43" s="1294"/>
      <c r="E43" s="1430" t="b">
        <v>1</v>
      </c>
      <c r="F43" s="3966" t="s">
        <v>1686</v>
      </c>
      <c r="G43" s="3966"/>
      <c r="H43" s="3966"/>
      <c r="I43" s="3966"/>
      <c r="J43" s="3966"/>
      <c r="K43" s="3966"/>
      <c r="L43" s="1419"/>
      <c r="M43" s="3914">
        <v>10</v>
      </c>
      <c r="N43" s="3914"/>
      <c r="O43" s="3914"/>
      <c r="P43" s="3914"/>
      <c r="Q43" s="3918"/>
      <c r="R43" s="1416" t="str">
        <f>IF(AND(resump_strat_modular_learning=TRUE,ISBLANK(resump_strat_modular_learning_number)), "Please indicate no. of days.", "")</f>
        <v/>
      </c>
      <c r="X43" s="1295"/>
      <c r="Y43" s="1348"/>
      <c r="Z43" s="1430" t="b">
        <v>0</v>
      </c>
      <c r="AA43" s="3966" t="s">
        <v>666</v>
      </c>
      <c r="AB43" s="3966"/>
      <c r="AC43" s="3966"/>
      <c r="AD43" s="3966"/>
      <c r="AE43" s="3966"/>
      <c r="AF43" s="3966"/>
      <c r="AG43" s="1419"/>
      <c r="AH43" s="3914"/>
      <c r="AI43" s="3914"/>
      <c r="AJ43" s="3914"/>
      <c r="AK43" s="3914"/>
      <c r="AL43" s="3918"/>
      <c r="AM43" s="1416" t="str">
        <f>IF(AND(adm_misosa=TRUE,ISBLANK(adm_misosa_number)), "Please indicate no. of days.", "")</f>
        <v/>
      </c>
      <c r="AN43" s="1292"/>
    </row>
    <row r="44" spans="3:49" s="1291" customFormat="1" ht="19.5" customHeight="1">
      <c r="C44" s="1293"/>
      <c r="D44" s="1294"/>
      <c r="E44" s="1430" t="b">
        <v>0</v>
      </c>
      <c r="F44" s="3966" t="s">
        <v>1687</v>
      </c>
      <c r="G44" s="3966"/>
      <c r="H44" s="3966"/>
      <c r="I44" s="3966"/>
      <c r="J44" s="3966"/>
      <c r="K44" s="3966"/>
      <c r="L44" s="1419"/>
      <c r="M44" s="3914"/>
      <c r="N44" s="3914"/>
      <c r="O44" s="3914"/>
      <c r="P44" s="3914"/>
      <c r="Q44" s="3918"/>
      <c r="R44" s="1416" t="str">
        <f>IF(AND(resump_strat_online_learning=TRUE,ISBLANK(resump_strat_online_learning_number)), "Please indicate no. of days.", "")</f>
        <v/>
      </c>
      <c r="X44" s="1295"/>
      <c r="Y44" s="1348"/>
      <c r="Z44" s="1430" t="b">
        <v>0</v>
      </c>
      <c r="AA44" s="3966" t="s">
        <v>1691</v>
      </c>
      <c r="AB44" s="3966"/>
      <c r="AC44" s="3966"/>
      <c r="AD44" s="3966"/>
      <c r="AE44" s="3966"/>
      <c r="AF44" s="3966"/>
      <c r="AG44" s="1419"/>
      <c r="AH44" s="3914"/>
      <c r="AI44" s="3914"/>
      <c r="AJ44" s="3914"/>
      <c r="AK44" s="3914"/>
      <c r="AL44" s="3918"/>
      <c r="AM44" s="1416" t="str">
        <f>IF(AND(adm_nighthighschool=TRUE,ISBLANK(adm_nighthighschool_number)), "Please indicate no. of days.", "")</f>
        <v/>
      </c>
      <c r="AN44" s="1292"/>
    </row>
    <row r="45" spans="3:49" s="1291" customFormat="1" ht="19.5" customHeight="1">
      <c r="C45" s="1293"/>
      <c r="D45" s="1294"/>
      <c r="E45" s="1430" t="b">
        <v>0</v>
      </c>
      <c r="F45" s="3966" t="s">
        <v>1688</v>
      </c>
      <c r="G45" s="3966"/>
      <c r="H45" s="3966"/>
      <c r="I45" s="3966"/>
      <c r="J45" s="3966"/>
      <c r="K45" s="3966"/>
      <c r="L45" s="1419"/>
      <c r="M45" s="3914"/>
      <c r="N45" s="3914"/>
      <c r="O45" s="3914"/>
      <c r="P45" s="3914"/>
      <c r="Q45" s="3918"/>
      <c r="R45" s="1416" t="str">
        <f>IF(AND(resump_strat_peer_learning=TRUE,ISBLANK(resump_strat_peer_learning_number)), "Please indicate no. of days.", "")</f>
        <v/>
      </c>
      <c r="X45" s="1295"/>
      <c r="Y45" s="1348"/>
      <c r="Z45" s="1432" t="b">
        <v>0</v>
      </c>
      <c r="AA45" s="3968" t="s">
        <v>1692</v>
      </c>
      <c r="AB45" s="3968"/>
      <c r="AC45" s="3968"/>
      <c r="AD45" s="3968"/>
      <c r="AE45" s="3968"/>
      <c r="AF45" s="3968"/>
      <c r="AG45" s="1420"/>
      <c r="AH45" s="3933"/>
      <c r="AI45" s="3933"/>
      <c r="AJ45" s="3933"/>
      <c r="AK45" s="3933"/>
      <c r="AL45" s="3970"/>
      <c r="AM45" s="1417" t="str">
        <f>IF(AND(adm_ohsp=TRUE,ISBLANK(adm_ohsp_number)), "Please indicate no. of days.", "")</f>
        <v/>
      </c>
      <c r="AN45" s="1292"/>
    </row>
    <row r="46" spans="3:49" s="1291" customFormat="1" ht="19.5" customHeight="1" thickBot="1">
      <c r="C46" s="1293"/>
      <c r="D46" s="1294"/>
      <c r="E46" s="1431" t="b">
        <v>0</v>
      </c>
      <c r="F46" s="3969" t="s">
        <v>1689</v>
      </c>
      <c r="G46" s="3969"/>
      <c r="H46" s="3969"/>
      <c r="I46" s="3969"/>
      <c r="J46" s="3969"/>
      <c r="K46" s="3969"/>
      <c r="L46" s="1422"/>
      <c r="M46" s="3927"/>
      <c r="N46" s="3927"/>
      <c r="O46" s="3927"/>
      <c r="P46" s="3927"/>
      <c r="Q46" s="3928"/>
      <c r="R46" s="1416" t="str">
        <f>IF(AND(resump_strat_prog_teaching=TRUE,ISBLANK(resump_strat_prog_teaching_number)), "Please indicate no. of days.", "")</f>
        <v/>
      </c>
      <c r="X46" s="1295"/>
      <c r="Y46" s="1348"/>
      <c r="Z46" s="1421"/>
      <c r="AA46" s="3969"/>
      <c r="AB46" s="3969"/>
      <c r="AC46" s="3969"/>
      <c r="AD46" s="3969"/>
      <c r="AE46" s="3969"/>
      <c r="AF46" s="3969"/>
      <c r="AG46" s="1422"/>
      <c r="AH46" s="3927"/>
      <c r="AI46" s="3927"/>
      <c r="AJ46" s="3927"/>
      <c r="AK46" s="3927"/>
      <c r="AL46" s="3928"/>
      <c r="AM46" s="1416"/>
      <c r="AN46" s="1292"/>
    </row>
    <row r="47" spans="3:49" ht="5.15" customHeight="1" thickTop="1">
      <c r="C47" s="1331"/>
      <c r="D47" s="1338"/>
      <c r="E47" s="1338"/>
      <c r="F47" s="1338"/>
      <c r="G47" s="1338"/>
      <c r="H47" s="1338"/>
      <c r="I47" s="1338"/>
      <c r="J47" s="1338"/>
      <c r="K47" s="1338"/>
      <c r="L47" s="1338"/>
      <c r="M47" s="1338"/>
      <c r="N47" s="1338"/>
      <c r="O47" s="1338"/>
      <c r="P47" s="1338"/>
      <c r="Q47" s="1338"/>
      <c r="R47" s="1338"/>
      <c r="S47" s="1338"/>
      <c r="T47" s="1338"/>
      <c r="U47" s="1338"/>
      <c r="V47" s="1338"/>
      <c r="W47" s="1338"/>
      <c r="X47" s="1338"/>
      <c r="Y47" s="1338"/>
      <c r="Z47" s="1338"/>
      <c r="AA47" s="1338"/>
      <c r="AB47" s="1338"/>
      <c r="AC47" s="1338"/>
      <c r="AD47" s="1338"/>
      <c r="AE47" s="1338"/>
      <c r="AF47" s="1338"/>
      <c r="AG47" s="1338"/>
      <c r="AH47" s="1338"/>
      <c r="AI47" s="1338"/>
      <c r="AJ47" s="1338"/>
      <c r="AK47" s="1338"/>
      <c r="AL47" s="1338"/>
      <c r="AM47" s="1338"/>
      <c r="AN47" s="1310"/>
      <c r="AO47" s="1338"/>
      <c r="AP47" s="1338"/>
    </row>
    <row r="48" spans="3:49" ht="5.15" customHeight="1">
      <c r="C48" s="1331"/>
      <c r="D48" s="1338"/>
      <c r="E48" s="1338"/>
      <c r="F48" s="1338"/>
      <c r="G48" s="1338"/>
      <c r="H48" s="1338"/>
      <c r="I48" s="1338"/>
      <c r="J48" s="1338"/>
      <c r="K48" s="1338"/>
      <c r="L48" s="1338"/>
      <c r="M48" s="1338"/>
      <c r="N48" s="1338"/>
      <c r="O48" s="1338"/>
      <c r="P48" s="1338"/>
      <c r="Q48" s="1338"/>
      <c r="R48" s="1338"/>
      <c r="S48" s="1338"/>
      <c r="T48" s="1338"/>
      <c r="U48" s="1338"/>
      <c r="V48" s="1338"/>
      <c r="W48" s="1338"/>
      <c r="X48" s="1338"/>
      <c r="Y48" s="1338"/>
      <c r="Z48" s="1338"/>
      <c r="AA48" s="1338"/>
      <c r="AB48" s="1338"/>
      <c r="AC48" s="1338"/>
      <c r="AD48" s="1338"/>
      <c r="AE48" s="1338"/>
      <c r="AF48" s="1338"/>
      <c r="AG48" s="1338"/>
      <c r="AH48" s="1338"/>
      <c r="AI48" s="1338"/>
      <c r="AJ48" s="1338"/>
      <c r="AK48" s="1338"/>
      <c r="AL48" s="1338"/>
      <c r="AM48" s="1338"/>
      <c r="AN48" s="1310"/>
      <c r="AO48" s="1338"/>
      <c r="AP48" s="1338"/>
    </row>
    <row r="49" spans="2:41" s="1342" customFormat="1">
      <c r="C49" s="1410"/>
      <c r="D49" s="1411" t="s">
        <v>159</v>
      </c>
      <c r="E49" s="3950" t="s">
        <v>1911</v>
      </c>
      <c r="F49" s="3950"/>
      <c r="G49" s="3950"/>
      <c r="H49" s="3950"/>
      <c r="I49" s="3950"/>
      <c r="J49" s="3950"/>
      <c r="K49" s="3950"/>
      <c r="L49" s="3950"/>
      <c r="M49" s="3950"/>
      <c r="N49" s="3950"/>
      <c r="O49" s="3950"/>
      <c r="P49" s="3950"/>
      <c r="Q49" s="3950"/>
      <c r="R49" s="3950"/>
      <c r="S49" s="3950"/>
      <c r="T49" s="3950"/>
      <c r="U49" s="3950"/>
      <c r="V49" s="3950"/>
      <c r="W49" s="3950"/>
      <c r="X49" s="3950"/>
      <c r="Y49" s="3950"/>
      <c r="Z49" s="3950"/>
      <c r="AA49" s="3950"/>
      <c r="AB49" s="3950"/>
      <c r="AC49" s="1347"/>
      <c r="AO49" s="1410"/>
    </row>
    <row r="50" spans="2:41" s="1342" customFormat="1" ht="5.15" customHeight="1" thickBot="1">
      <c r="C50" s="1410"/>
      <c r="E50" s="1412"/>
      <c r="F50" s="1413"/>
      <c r="G50" s="1414"/>
      <c r="H50" s="1414"/>
      <c r="I50" s="1414"/>
      <c r="J50" s="1414"/>
      <c r="K50" s="1414"/>
      <c r="L50" s="1414"/>
      <c r="M50" s="1414"/>
      <c r="N50" s="1414"/>
      <c r="O50" s="1414"/>
      <c r="P50" s="1414"/>
      <c r="Q50" s="1414"/>
      <c r="R50" s="1414"/>
      <c r="S50" s="1414"/>
      <c r="T50" s="1414"/>
      <c r="U50" s="1414"/>
      <c r="V50" s="1414"/>
      <c r="W50" s="1414"/>
      <c r="X50" s="1414"/>
      <c r="Y50" s="1414"/>
      <c r="Z50" s="1414"/>
      <c r="AA50" s="1414"/>
      <c r="AB50" s="1414"/>
      <c r="AC50" s="1414"/>
      <c r="AD50" s="1414"/>
      <c r="AE50" s="1414"/>
      <c r="AF50" s="1415"/>
      <c r="AG50" s="1415"/>
      <c r="AH50" s="1415"/>
      <c r="AI50" s="1415"/>
      <c r="AJ50" s="1415"/>
      <c r="AK50" s="1415"/>
      <c r="AL50" s="1415"/>
      <c r="AO50" s="1410"/>
    </row>
    <row r="51" spans="2:41" s="1236" customFormat="1" ht="61" customHeight="1" thickTop="1" thickBot="1">
      <c r="C51" s="1399"/>
      <c r="E51" s="3951" t="s">
        <v>557</v>
      </c>
      <c r="F51" s="3952"/>
      <c r="G51" s="3952"/>
      <c r="H51" s="3952"/>
      <c r="I51" s="3952"/>
      <c r="J51" s="3952"/>
      <c r="K51" s="3952"/>
      <c r="L51" s="3952"/>
      <c r="M51" s="3952"/>
      <c r="N51" s="3953"/>
      <c r="O51" s="3750" t="s">
        <v>1824</v>
      </c>
      <c r="P51" s="3751"/>
      <c r="Q51" s="3751"/>
      <c r="R51" s="3751"/>
      <c r="S51" s="3751"/>
      <c r="T51" s="3752"/>
      <c r="U51" s="3751" t="s">
        <v>1661</v>
      </c>
      <c r="V51" s="3751"/>
      <c r="W51" s="3751"/>
      <c r="X51" s="3751"/>
      <c r="Y51" s="3751"/>
      <c r="Z51" s="3751"/>
      <c r="AA51" s="3753" t="s">
        <v>1662</v>
      </c>
      <c r="AB51" s="3751"/>
      <c r="AC51" s="3751"/>
      <c r="AD51" s="3751"/>
      <c r="AE51" s="3751"/>
      <c r="AF51" s="3752"/>
      <c r="AG51" s="3751" t="s">
        <v>1813</v>
      </c>
      <c r="AH51" s="3751"/>
      <c r="AI51" s="3751"/>
      <c r="AJ51" s="3751"/>
      <c r="AK51" s="3751"/>
      <c r="AL51" s="3754"/>
      <c r="AM51" s="1399"/>
      <c r="AO51" s="1399"/>
    </row>
    <row r="52" spans="2:41" s="1236" customFormat="1" ht="19.5" customHeight="1" thickBot="1">
      <c r="C52" s="1399"/>
      <c r="E52" s="3954"/>
      <c r="F52" s="3955"/>
      <c r="G52" s="3955"/>
      <c r="H52" s="3955"/>
      <c r="I52" s="3955"/>
      <c r="J52" s="3955"/>
      <c r="K52" s="3955"/>
      <c r="L52" s="3955"/>
      <c r="M52" s="3955"/>
      <c r="N52" s="3956"/>
      <c r="O52" s="3954" t="s">
        <v>15</v>
      </c>
      <c r="P52" s="3955"/>
      <c r="Q52" s="3957"/>
      <c r="R52" s="3958" t="s">
        <v>16</v>
      </c>
      <c r="S52" s="3955"/>
      <c r="T52" s="3971"/>
      <c r="U52" s="3955" t="s">
        <v>15</v>
      </c>
      <c r="V52" s="3955"/>
      <c r="W52" s="3957"/>
      <c r="X52" s="3958" t="s">
        <v>16</v>
      </c>
      <c r="Y52" s="3955"/>
      <c r="Z52" s="3955"/>
      <c r="AA52" s="3972" t="s">
        <v>15</v>
      </c>
      <c r="AB52" s="3955"/>
      <c r="AC52" s="3957"/>
      <c r="AD52" s="3958" t="s">
        <v>16</v>
      </c>
      <c r="AE52" s="3955"/>
      <c r="AF52" s="3971"/>
      <c r="AG52" s="3955" t="s">
        <v>15</v>
      </c>
      <c r="AH52" s="3955"/>
      <c r="AI52" s="3957"/>
      <c r="AJ52" s="3958" t="s">
        <v>16</v>
      </c>
      <c r="AK52" s="3955"/>
      <c r="AL52" s="3956"/>
      <c r="AO52" s="1399"/>
    </row>
    <row r="53" spans="2:41" s="1236" customFormat="1" ht="62.5" customHeight="1" thickTop="1">
      <c r="C53" s="1399"/>
      <c r="E53" s="1406" t="s">
        <v>151</v>
      </c>
      <c r="F53" s="3973" t="s">
        <v>1912</v>
      </c>
      <c r="G53" s="3973"/>
      <c r="H53" s="3973"/>
      <c r="I53" s="3973"/>
      <c r="J53" s="3973"/>
      <c r="K53" s="3973"/>
      <c r="L53" s="3973"/>
      <c r="M53" s="3973"/>
      <c r="N53" s="3974"/>
      <c r="O53" s="3975">
        <v>549</v>
      </c>
      <c r="P53" s="3976"/>
      <c r="Q53" s="3977"/>
      <c r="R53" s="3978">
        <v>299</v>
      </c>
      <c r="S53" s="3976"/>
      <c r="T53" s="3979"/>
      <c r="U53" s="3976">
        <v>0</v>
      </c>
      <c r="V53" s="3976"/>
      <c r="W53" s="3977"/>
      <c r="X53" s="3978">
        <v>0</v>
      </c>
      <c r="Y53" s="3976"/>
      <c r="Z53" s="3976"/>
      <c r="AA53" s="3980">
        <v>0</v>
      </c>
      <c r="AB53" s="3976"/>
      <c r="AC53" s="3977"/>
      <c r="AD53" s="3978">
        <v>0</v>
      </c>
      <c r="AE53" s="3976"/>
      <c r="AF53" s="3979"/>
      <c r="AG53" s="3976">
        <v>39</v>
      </c>
      <c r="AH53" s="3976"/>
      <c r="AI53" s="3977"/>
      <c r="AJ53" s="3978">
        <v>16</v>
      </c>
      <c r="AK53" s="3976"/>
      <c r="AL53" s="3981"/>
      <c r="AO53" s="1399"/>
    </row>
    <row r="54" spans="2:41" s="1236" customFormat="1" ht="34" customHeight="1">
      <c r="C54" s="1399"/>
      <c r="E54" s="1407" t="s">
        <v>152</v>
      </c>
      <c r="F54" s="3959" t="s">
        <v>1913</v>
      </c>
      <c r="G54" s="3959"/>
      <c r="H54" s="3959"/>
      <c r="I54" s="3959"/>
      <c r="J54" s="3959"/>
      <c r="K54" s="3959"/>
      <c r="L54" s="3959"/>
      <c r="M54" s="3959"/>
      <c r="N54" s="3960"/>
      <c r="O54" s="3982">
        <v>549</v>
      </c>
      <c r="P54" s="3983"/>
      <c r="Q54" s="3984"/>
      <c r="R54" s="3985">
        <v>299</v>
      </c>
      <c r="S54" s="3983"/>
      <c r="T54" s="3986"/>
      <c r="U54" s="3983">
        <v>0</v>
      </c>
      <c r="V54" s="3983"/>
      <c r="W54" s="3984"/>
      <c r="X54" s="3985">
        <v>0</v>
      </c>
      <c r="Y54" s="3983"/>
      <c r="Z54" s="3983"/>
      <c r="AA54" s="3987">
        <v>0</v>
      </c>
      <c r="AB54" s="3983"/>
      <c r="AC54" s="3984"/>
      <c r="AD54" s="3985">
        <v>0</v>
      </c>
      <c r="AE54" s="3983"/>
      <c r="AF54" s="3986"/>
      <c r="AG54" s="3983">
        <v>39</v>
      </c>
      <c r="AH54" s="3983"/>
      <c r="AI54" s="3984"/>
      <c r="AJ54" s="3985">
        <v>16</v>
      </c>
      <c r="AK54" s="3983"/>
      <c r="AL54" s="3988"/>
      <c r="AO54" s="1399"/>
    </row>
    <row r="55" spans="2:41" s="1236" customFormat="1" ht="51.65" customHeight="1">
      <c r="C55" s="1399"/>
      <c r="E55" s="1407" t="s">
        <v>153</v>
      </c>
      <c r="F55" s="3959" t="s">
        <v>1914</v>
      </c>
      <c r="G55" s="3959"/>
      <c r="H55" s="3959"/>
      <c r="I55" s="3959"/>
      <c r="J55" s="3959"/>
      <c r="K55" s="3959"/>
      <c r="L55" s="3959"/>
      <c r="M55" s="3959"/>
      <c r="N55" s="3960"/>
      <c r="O55" s="3982">
        <v>549</v>
      </c>
      <c r="P55" s="3983"/>
      <c r="Q55" s="3984"/>
      <c r="R55" s="3985">
        <v>299</v>
      </c>
      <c r="S55" s="3983"/>
      <c r="T55" s="3986"/>
      <c r="U55" s="3983">
        <v>0</v>
      </c>
      <c r="V55" s="3983"/>
      <c r="W55" s="3984"/>
      <c r="X55" s="3985">
        <v>0</v>
      </c>
      <c r="Y55" s="3983"/>
      <c r="Z55" s="3983"/>
      <c r="AA55" s="3987">
        <v>0</v>
      </c>
      <c r="AB55" s="3983"/>
      <c r="AC55" s="3984"/>
      <c r="AD55" s="3985">
        <v>0</v>
      </c>
      <c r="AE55" s="3983"/>
      <c r="AF55" s="3986"/>
      <c r="AG55" s="3983">
        <v>39</v>
      </c>
      <c r="AH55" s="3983"/>
      <c r="AI55" s="3984"/>
      <c r="AJ55" s="3985">
        <v>16</v>
      </c>
      <c r="AK55" s="3983"/>
      <c r="AL55" s="3988"/>
      <c r="AO55" s="1399"/>
    </row>
    <row r="56" spans="2:41" s="1236" customFormat="1" ht="35.5" customHeight="1" thickBot="1">
      <c r="C56" s="1399"/>
      <c r="E56" s="1408"/>
      <c r="F56" s="1409" t="s">
        <v>1915</v>
      </c>
      <c r="G56" s="3943" t="s">
        <v>1916</v>
      </c>
      <c r="H56" s="3943"/>
      <c r="I56" s="3943"/>
      <c r="J56" s="3943"/>
      <c r="K56" s="3943"/>
      <c r="L56" s="3943"/>
      <c r="M56" s="3943"/>
      <c r="N56" s="3944"/>
      <c r="O56" s="3989">
        <v>549</v>
      </c>
      <c r="P56" s="3990"/>
      <c r="Q56" s="3991"/>
      <c r="R56" s="3992">
        <v>299</v>
      </c>
      <c r="S56" s="3990"/>
      <c r="T56" s="3993"/>
      <c r="U56" s="3990">
        <v>0</v>
      </c>
      <c r="V56" s="3990"/>
      <c r="W56" s="3991"/>
      <c r="X56" s="3992">
        <v>0</v>
      </c>
      <c r="Y56" s="3990"/>
      <c r="Z56" s="3990"/>
      <c r="AA56" s="3994">
        <v>0</v>
      </c>
      <c r="AB56" s="3990"/>
      <c r="AC56" s="3991"/>
      <c r="AD56" s="3992">
        <v>0</v>
      </c>
      <c r="AE56" s="3990"/>
      <c r="AF56" s="3993"/>
      <c r="AG56" s="3990">
        <v>39</v>
      </c>
      <c r="AH56" s="3990"/>
      <c r="AI56" s="3991"/>
      <c r="AJ56" s="3992">
        <v>16</v>
      </c>
      <c r="AK56" s="3990"/>
      <c r="AL56" s="3995"/>
      <c r="AO56" s="1399"/>
    </row>
    <row r="57" spans="2:41" s="1236" customFormat="1" ht="5.15" customHeight="1" thickTop="1">
      <c r="C57" s="1399"/>
      <c r="E57" s="1400"/>
      <c r="F57" s="1401"/>
      <c r="G57" s="1402"/>
      <c r="H57" s="1402"/>
      <c r="I57" s="1402"/>
      <c r="J57" s="1402"/>
      <c r="K57" s="1402"/>
      <c r="L57" s="1402"/>
      <c r="M57" s="1402"/>
      <c r="N57" s="1402"/>
      <c r="O57" s="1403"/>
      <c r="P57" s="1403"/>
      <c r="Q57" s="1403"/>
      <c r="R57" s="1403"/>
      <c r="S57" s="1403"/>
      <c r="T57" s="1403"/>
      <c r="U57" s="1403"/>
      <c r="V57" s="1403"/>
      <c r="W57" s="1403"/>
      <c r="X57" s="1403"/>
      <c r="Y57" s="1403"/>
      <c r="Z57" s="1403"/>
      <c r="AA57" s="1403"/>
      <c r="AB57" s="1403"/>
      <c r="AC57" s="1403"/>
      <c r="AD57" s="1403"/>
      <c r="AE57" s="1403"/>
      <c r="AF57" s="1403"/>
      <c r="AG57" s="1403"/>
      <c r="AH57" s="1403"/>
      <c r="AI57" s="1403"/>
      <c r="AJ57" s="1403"/>
      <c r="AK57" s="1403"/>
      <c r="AL57" s="1403"/>
      <c r="AN57" s="1404"/>
    </row>
    <row r="58" spans="2:41" s="1291" customFormat="1" ht="34" customHeight="1">
      <c r="C58" s="1293"/>
      <c r="D58" s="1294"/>
      <c r="E58" s="216" t="s">
        <v>183</v>
      </c>
      <c r="F58" s="1295"/>
      <c r="G58" s="1295"/>
      <c r="H58" s="1405" t="s">
        <v>151</v>
      </c>
      <c r="I58" s="3731" t="s">
        <v>1814</v>
      </c>
      <c r="J58" s="3731"/>
      <c r="K58" s="3731"/>
      <c r="L58" s="3731"/>
      <c r="M58" s="3731"/>
      <c r="N58" s="3731"/>
      <c r="O58" s="3731"/>
      <c r="P58" s="3731"/>
      <c r="Q58" s="3731"/>
      <c r="R58" s="3731"/>
      <c r="S58" s="3731"/>
      <c r="T58" s="3731"/>
      <c r="U58" s="3731"/>
      <c r="V58" s="3731"/>
      <c r="W58" s="3731"/>
      <c r="X58" s="3731"/>
      <c r="Y58" s="3731"/>
      <c r="Z58" s="3731"/>
      <c r="AA58" s="3731"/>
      <c r="AB58" s="3731"/>
      <c r="AC58" s="3731"/>
      <c r="AD58" s="3731"/>
      <c r="AE58" s="3731"/>
      <c r="AF58" s="3731"/>
      <c r="AG58" s="3731"/>
      <c r="AH58" s="3731"/>
      <c r="AI58" s="3731"/>
      <c r="AJ58" s="3731"/>
      <c r="AK58" s="3731"/>
      <c r="AL58" s="3731"/>
      <c r="AN58" s="1292"/>
    </row>
    <row r="59" spans="2:41" s="1291" customFormat="1" ht="34" customHeight="1">
      <c r="C59" s="1293"/>
      <c r="D59" s="1294"/>
      <c r="E59" s="216"/>
      <c r="F59" s="1295"/>
      <c r="G59" s="1295"/>
      <c r="H59" s="1405" t="s">
        <v>152</v>
      </c>
      <c r="I59" s="3731" t="s">
        <v>1917</v>
      </c>
      <c r="J59" s="3731"/>
      <c r="K59" s="3731"/>
      <c r="L59" s="3731"/>
      <c r="M59" s="3731"/>
      <c r="N59" s="3731"/>
      <c r="O59" s="3731"/>
      <c r="P59" s="3731"/>
      <c r="Q59" s="3731"/>
      <c r="R59" s="3731"/>
      <c r="S59" s="3731"/>
      <c r="T59" s="3731"/>
      <c r="U59" s="3731"/>
      <c r="V59" s="3731"/>
      <c r="W59" s="3731"/>
      <c r="X59" s="3731"/>
      <c r="Y59" s="3731"/>
      <c r="Z59" s="3731"/>
      <c r="AA59" s="3731"/>
      <c r="AB59" s="3731"/>
      <c r="AC59" s="3731"/>
      <c r="AD59" s="3731"/>
      <c r="AE59" s="3731"/>
      <c r="AF59" s="3731"/>
      <c r="AG59" s="3731"/>
      <c r="AH59" s="3731"/>
      <c r="AI59" s="3731"/>
      <c r="AJ59" s="3731"/>
      <c r="AK59" s="3731"/>
      <c r="AL59" s="3731"/>
      <c r="AN59" s="1292"/>
    </row>
    <row r="60" spans="2:41" ht="10" customHeight="1" thickBot="1">
      <c r="C60" s="1281"/>
      <c r="D60" s="1282"/>
      <c r="E60" s="1283"/>
      <c r="F60" s="1284"/>
      <c r="G60" s="1284"/>
      <c r="H60" s="1284"/>
      <c r="I60" s="1284"/>
      <c r="J60" s="1284"/>
      <c r="K60" s="1284"/>
      <c r="L60" s="1285"/>
      <c r="M60" s="1285"/>
      <c r="N60" s="1285"/>
      <c r="O60" s="1285"/>
      <c r="P60" s="1285"/>
      <c r="Q60" s="1285"/>
      <c r="R60" s="1285"/>
      <c r="S60" s="1285"/>
      <c r="T60" s="1285"/>
      <c r="U60" s="1285"/>
      <c r="V60" s="1285"/>
      <c r="W60" s="1285"/>
      <c r="X60" s="1285"/>
      <c r="Y60" s="1285"/>
      <c r="Z60" s="1285"/>
      <c r="AA60" s="1285"/>
      <c r="AB60" s="1285"/>
      <c r="AC60" s="1285"/>
      <c r="AD60" s="1285"/>
      <c r="AE60" s="1285"/>
      <c r="AF60" s="1285"/>
      <c r="AG60" s="1285"/>
      <c r="AH60" s="1285"/>
      <c r="AI60" s="1285"/>
      <c r="AJ60" s="1285"/>
      <c r="AK60" s="1285"/>
      <c r="AL60" s="1285"/>
      <c r="AM60" s="1285"/>
      <c r="AN60" s="1286"/>
    </row>
    <row r="61" spans="2:41" ht="10" customHeight="1" thickTop="1">
      <c r="C61" s="1344"/>
      <c r="D61" s="587"/>
      <c r="F61" s="1300"/>
      <c r="G61" s="1300"/>
      <c r="H61" s="1300"/>
      <c r="I61" s="1300"/>
      <c r="J61" s="1300"/>
      <c r="K61" s="1300"/>
      <c r="L61" s="1287"/>
      <c r="M61" s="1287"/>
      <c r="N61" s="1287"/>
      <c r="O61" s="1287"/>
      <c r="P61" s="1287"/>
      <c r="Q61" s="1287"/>
      <c r="R61" s="1287"/>
      <c r="S61" s="1287"/>
      <c r="T61" s="1287"/>
      <c r="U61" s="1287"/>
      <c r="V61" s="1287"/>
      <c r="W61" s="1287"/>
      <c r="X61" s="1287"/>
      <c r="Y61" s="1287"/>
      <c r="Z61" s="1287"/>
      <c r="AA61" s="1287"/>
      <c r="AB61" s="1287"/>
      <c r="AC61" s="1287"/>
      <c r="AD61" s="1287"/>
      <c r="AE61" s="1287"/>
      <c r="AF61" s="1287"/>
      <c r="AG61" s="1287"/>
      <c r="AH61" s="1287"/>
      <c r="AI61" s="1287"/>
      <c r="AJ61" s="1287"/>
      <c r="AK61" s="1287"/>
      <c r="AL61" s="1287"/>
    </row>
    <row r="62" spans="2:41" s="681" customFormat="1" ht="16.5">
      <c r="C62" s="187" t="s">
        <v>1245</v>
      </c>
      <c r="D62" s="1244"/>
      <c r="E62" s="1240"/>
      <c r="F62" s="1240"/>
      <c r="G62" s="1240"/>
      <c r="H62" s="1240"/>
      <c r="I62" s="1240"/>
      <c r="J62" s="1240"/>
      <c r="K62" s="1240"/>
      <c r="L62" s="1240"/>
      <c r="M62" s="1240"/>
      <c r="N62" s="1240"/>
      <c r="O62" s="1240"/>
      <c r="P62" s="1240"/>
      <c r="Q62" s="1240"/>
      <c r="R62" s="1240"/>
      <c r="S62" s="1240"/>
      <c r="T62" s="1240"/>
      <c r="U62" s="1240"/>
    </row>
    <row r="63" spans="2:41" s="602" customFormat="1" ht="30.75" customHeight="1"/>
    <row r="64" spans="2:41" s="1235" customFormat="1" ht="14">
      <c r="B64" s="169" t="s">
        <v>847</v>
      </c>
      <c r="P64" s="169" t="s">
        <v>747</v>
      </c>
      <c r="AD64" s="169" t="s">
        <v>783</v>
      </c>
    </row>
    <row r="65" spans="2:41" s="1235" customFormat="1" ht="21.75" customHeight="1">
      <c r="B65" s="169" t="s">
        <v>748</v>
      </c>
      <c r="F65" s="3607" t="str">
        <f>activesheet!E29</f>
        <v>RICO S. MISPEROS</v>
      </c>
      <c r="G65" s="3607"/>
      <c r="H65" s="3607"/>
      <c r="I65" s="3607"/>
      <c r="J65" s="3607"/>
      <c r="K65" s="3607"/>
      <c r="L65" s="3607"/>
      <c r="M65" s="3607"/>
      <c r="P65" s="3607" t="str">
        <f>activesheet!E3244</f>
        <v>ELYN KENDRA D. DELA CRUZ</v>
      </c>
      <c r="Q65" s="3607"/>
      <c r="R65" s="3607"/>
      <c r="S65" s="3607"/>
      <c r="T65" s="3607"/>
      <c r="U65" s="3607"/>
      <c r="V65" s="3607"/>
      <c r="W65" s="3607"/>
      <c r="X65" s="3607"/>
      <c r="Y65" s="3607"/>
      <c r="Z65" s="3607"/>
      <c r="AA65" s="3607"/>
      <c r="AD65" s="3906" t="str">
        <f>activesheet!E31</f>
        <v>MICHAEL T. JAMIS</v>
      </c>
      <c r="AE65" s="3906"/>
      <c r="AF65" s="3906"/>
      <c r="AG65" s="3906"/>
      <c r="AH65" s="3906"/>
      <c r="AI65" s="3906"/>
      <c r="AJ65" s="3906"/>
      <c r="AK65" s="3906"/>
      <c r="AL65" s="3906"/>
      <c r="AM65" s="3906"/>
      <c r="AN65" s="3906"/>
      <c r="AO65" s="3906"/>
    </row>
    <row r="66" spans="2:41" s="1237" customFormat="1" ht="14.15" customHeight="1">
      <c r="B66" s="655"/>
      <c r="F66" s="1776" t="s">
        <v>741</v>
      </c>
      <c r="G66" s="1776"/>
      <c r="H66" s="1776"/>
      <c r="I66" s="1776"/>
      <c r="J66" s="1776"/>
      <c r="K66" s="1776"/>
      <c r="L66" s="1776"/>
      <c r="M66" s="1776"/>
      <c r="N66" s="153"/>
      <c r="O66" s="153"/>
      <c r="P66" s="1776" t="s">
        <v>741</v>
      </c>
      <c r="Q66" s="1776"/>
      <c r="R66" s="1776"/>
      <c r="S66" s="1776"/>
      <c r="T66" s="1776"/>
      <c r="U66" s="1776"/>
      <c r="V66" s="1776"/>
      <c r="W66" s="1776"/>
      <c r="X66" s="1776"/>
      <c r="Y66" s="1776"/>
      <c r="Z66" s="1776"/>
      <c r="AA66" s="1776"/>
      <c r="AB66" s="153"/>
      <c r="AC66" s="153"/>
      <c r="AD66" s="3907"/>
      <c r="AE66" s="3907"/>
      <c r="AF66" s="3907"/>
      <c r="AG66" s="3907"/>
      <c r="AH66" s="3907"/>
      <c r="AI66" s="3907"/>
      <c r="AJ66" s="3907"/>
      <c r="AK66" s="3907"/>
      <c r="AL66" s="3907"/>
      <c r="AM66" s="3907"/>
      <c r="AN66" s="3907"/>
      <c r="AO66" s="3907"/>
    </row>
    <row r="67" spans="2:41" s="1235" customFormat="1" ht="21.75" customHeight="1">
      <c r="B67" s="169" t="s">
        <v>71</v>
      </c>
      <c r="F67" s="3607" t="str">
        <f>activesheet!E30</f>
        <v>SCHOOL PRINCIPAL II</v>
      </c>
      <c r="G67" s="3607"/>
      <c r="H67" s="3607"/>
      <c r="I67" s="3607"/>
      <c r="J67" s="3607"/>
      <c r="K67" s="3607"/>
      <c r="L67" s="3607"/>
      <c r="M67" s="3607"/>
      <c r="P67" s="169" t="s">
        <v>71</v>
      </c>
      <c r="V67" s="3607" t="str">
        <f>activesheet!E3245</f>
        <v>Project Development Officer II</v>
      </c>
      <c r="W67" s="3607"/>
      <c r="X67" s="3607"/>
      <c r="Y67" s="3607"/>
      <c r="Z67" s="3607"/>
      <c r="AA67" s="3607"/>
      <c r="AD67" s="1776" t="s">
        <v>741</v>
      </c>
      <c r="AE67" s="1776"/>
      <c r="AF67" s="1776"/>
      <c r="AG67" s="1776"/>
      <c r="AH67" s="1776"/>
      <c r="AI67" s="1776"/>
      <c r="AJ67" s="1776"/>
      <c r="AK67" s="1776"/>
      <c r="AL67" s="1776"/>
      <c r="AM67" s="1776"/>
      <c r="AN67" s="1776"/>
      <c r="AO67" s="1776"/>
    </row>
    <row r="68" spans="2:41">
      <c r="D68" s="1287"/>
      <c r="E68" s="1287"/>
      <c r="F68" s="1287"/>
      <c r="G68" s="1287"/>
      <c r="H68" s="1287"/>
      <c r="I68" s="1287"/>
      <c r="J68" s="1287"/>
      <c r="K68" s="1287"/>
      <c r="L68" s="1287"/>
      <c r="M68" s="1287"/>
      <c r="N68" s="602"/>
      <c r="O68" s="602"/>
      <c r="P68" s="1287"/>
      <c r="Q68" s="1287"/>
      <c r="R68" s="1287"/>
      <c r="S68" s="1287"/>
      <c r="T68" s="1287"/>
      <c r="U68" s="1287"/>
      <c r="V68" s="1287"/>
      <c r="W68" s="1287"/>
      <c r="X68" s="1287"/>
      <c r="Y68" s="1287"/>
      <c r="Z68" s="1287"/>
      <c r="AA68" s="1287"/>
      <c r="AB68" s="602"/>
      <c r="AC68" s="602"/>
      <c r="AD68" s="1287"/>
      <c r="AE68" s="1287"/>
      <c r="AF68" s="1287"/>
      <c r="AG68" s="1287"/>
      <c r="AH68" s="1287"/>
      <c r="AI68" s="1287"/>
      <c r="AJ68" s="1287"/>
      <c r="AK68" s="1287"/>
      <c r="AL68" s="1287"/>
    </row>
  </sheetData>
  <sheetProtection algorithmName="SHA-512" hashValue="PVZ2Ptqxbl+LXqKHOOM6SZw91gIg0Lc6ComVOT/TvGG/2dVzAjKM+2RXzwvaAECEA+DTVdvjJvLQPxOOSdLq5Q==" saltValue="RkXlS295vR+VzsPhvZfOGw==" spinCount="100000" sheet="1" objects="1" scenarios="1" selectLockedCells="1"/>
  <mergeCells count="153">
    <mergeCell ref="F67:M67"/>
    <mergeCell ref="V67:AA67"/>
    <mergeCell ref="AD67:AO67"/>
    <mergeCell ref="I58:AL58"/>
    <mergeCell ref="I59:AL59"/>
    <mergeCell ref="F65:M65"/>
    <mergeCell ref="P65:AA65"/>
    <mergeCell ref="AD65:AO66"/>
    <mergeCell ref="F66:M66"/>
    <mergeCell ref="P66:AA66"/>
    <mergeCell ref="G56:N56"/>
    <mergeCell ref="O56:Q56"/>
    <mergeCell ref="R56:T56"/>
    <mergeCell ref="U56:W56"/>
    <mergeCell ref="X56:Z56"/>
    <mergeCell ref="AA56:AC56"/>
    <mergeCell ref="AD56:AF56"/>
    <mergeCell ref="AG56:AI56"/>
    <mergeCell ref="AJ56:AL56"/>
    <mergeCell ref="F55:N55"/>
    <mergeCell ref="O55:Q55"/>
    <mergeCell ref="R55:T55"/>
    <mergeCell ref="U55:W55"/>
    <mergeCell ref="X55:Z55"/>
    <mergeCell ref="AA55:AC55"/>
    <mergeCell ref="AD55:AF55"/>
    <mergeCell ref="AG55:AI55"/>
    <mergeCell ref="AJ55:AL55"/>
    <mergeCell ref="F54:N54"/>
    <mergeCell ref="O54:Q54"/>
    <mergeCell ref="R54:T54"/>
    <mergeCell ref="U54:W54"/>
    <mergeCell ref="X54:Z54"/>
    <mergeCell ref="AA54:AC54"/>
    <mergeCell ref="AD54:AF54"/>
    <mergeCell ref="AG54:AI54"/>
    <mergeCell ref="AJ54:AL54"/>
    <mergeCell ref="F53:N53"/>
    <mergeCell ref="O53:Q53"/>
    <mergeCell ref="R53:T53"/>
    <mergeCell ref="U53:W53"/>
    <mergeCell ref="X53:Z53"/>
    <mergeCell ref="AA53:AC53"/>
    <mergeCell ref="AD53:AF53"/>
    <mergeCell ref="AG53:AI53"/>
    <mergeCell ref="AJ53:AL53"/>
    <mergeCell ref="E49:AB49"/>
    <mergeCell ref="E51:N52"/>
    <mergeCell ref="O51:T51"/>
    <mergeCell ref="U51:Z51"/>
    <mergeCell ref="AA51:AF51"/>
    <mergeCell ref="AG51:AL51"/>
    <mergeCell ref="O52:Q52"/>
    <mergeCell ref="R52:T52"/>
    <mergeCell ref="U52:W52"/>
    <mergeCell ref="X52:Z52"/>
    <mergeCell ref="AA52:AC52"/>
    <mergeCell ref="AD52:AF52"/>
    <mergeCell ref="AG52:AI52"/>
    <mergeCell ref="AJ52:AL52"/>
    <mergeCell ref="F44:K44"/>
    <mergeCell ref="M44:Q44"/>
    <mergeCell ref="AA44:AF44"/>
    <mergeCell ref="AH44:AL44"/>
    <mergeCell ref="F45:K45"/>
    <mergeCell ref="M45:Q45"/>
    <mergeCell ref="AA45:AF46"/>
    <mergeCell ref="AH45:AL46"/>
    <mergeCell ref="F46:K46"/>
    <mergeCell ref="M46:Q46"/>
    <mergeCell ref="F42:K42"/>
    <mergeCell ref="M42:Q42"/>
    <mergeCell ref="AA42:AF42"/>
    <mergeCell ref="AH42:AL42"/>
    <mergeCell ref="F43:K43"/>
    <mergeCell ref="M43:Q43"/>
    <mergeCell ref="AA43:AF43"/>
    <mergeCell ref="AH43:AL43"/>
    <mergeCell ref="E40:L40"/>
    <mergeCell ref="M40:Q40"/>
    <mergeCell ref="Z40:AG40"/>
    <mergeCell ref="AH40:AL40"/>
    <mergeCell ref="F41:K41"/>
    <mergeCell ref="M41:Q41"/>
    <mergeCell ref="AA41:AF41"/>
    <mergeCell ref="AH41:AL41"/>
    <mergeCell ref="F32:N32"/>
    <mergeCell ref="O32:Q32"/>
    <mergeCell ref="R32:T32"/>
    <mergeCell ref="F34:AL35"/>
    <mergeCell ref="F36:AL37"/>
    <mergeCell ref="E39:T39"/>
    <mergeCell ref="Z39:AM39"/>
    <mergeCell ref="E27:V27"/>
    <mergeCell ref="E29:N30"/>
    <mergeCell ref="O29:T29"/>
    <mergeCell ref="O30:Q30"/>
    <mergeCell ref="R30:T30"/>
    <mergeCell ref="F31:N31"/>
    <mergeCell ref="O31:Q31"/>
    <mergeCell ref="R31:T31"/>
    <mergeCell ref="E23:L23"/>
    <mergeCell ref="M23:P23"/>
    <mergeCell ref="Q23:T23"/>
    <mergeCell ref="Z23:AG23"/>
    <mergeCell ref="AH23:AK23"/>
    <mergeCell ref="E24:L25"/>
    <mergeCell ref="M24:P25"/>
    <mergeCell ref="Q24:T25"/>
    <mergeCell ref="Z20:AG20"/>
    <mergeCell ref="AH20:AK20"/>
    <mergeCell ref="E21:L21"/>
    <mergeCell ref="M21:P21"/>
    <mergeCell ref="Q21:T21"/>
    <mergeCell ref="Z21:AG22"/>
    <mergeCell ref="AH21:AK22"/>
    <mergeCell ref="E22:L22"/>
    <mergeCell ref="M22:P22"/>
    <mergeCell ref="Q22:T22"/>
    <mergeCell ref="E17:L18"/>
    <mergeCell ref="M17:P18"/>
    <mergeCell ref="Q17:T18"/>
    <mergeCell ref="Z17:AG17"/>
    <mergeCell ref="AH17:AK17"/>
    <mergeCell ref="Z18:AG19"/>
    <mergeCell ref="AH18:AK19"/>
    <mergeCell ref="E19:L20"/>
    <mergeCell ref="M19:P20"/>
    <mergeCell ref="Q19:T20"/>
    <mergeCell ref="E15:L16"/>
    <mergeCell ref="M15:P16"/>
    <mergeCell ref="Q15:T16"/>
    <mergeCell ref="Z15:AG15"/>
    <mergeCell ref="AH15:AK15"/>
    <mergeCell ref="Z16:AG16"/>
    <mergeCell ref="AH16:AK16"/>
    <mergeCell ref="E13:L14"/>
    <mergeCell ref="M13:P14"/>
    <mergeCell ref="Q13:T14"/>
    <mergeCell ref="Z13:AG13"/>
    <mergeCell ref="AH13:AK13"/>
    <mergeCell ref="Z14:AG14"/>
    <mergeCell ref="AH14:AK14"/>
    <mergeCell ref="F4:AK4"/>
    <mergeCell ref="E5:AG5"/>
    <mergeCell ref="F7:AK8"/>
    <mergeCell ref="E10:AK10"/>
    <mergeCell ref="E12:L12"/>
    <mergeCell ref="M12:P12"/>
    <mergeCell ref="Q12:T12"/>
    <mergeCell ref="Z12:AG12"/>
    <mergeCell ref="AH12:AK12"/>
    <mergeCell ref="AI5:AK5"/>
  </mergeCells>
  <dataValidations count="5">
    <dataValidation type="whole" allowBlank="1" showInputMessage="1" showErrorMessage="1" errorTitle="GESP SY 2022-2023" error="Please enter valid number between 0 - 365." sqref="M41:Q46 AH41:AL46" xr:uid="{00000000-0002-0000-3700-000000000000}">
      <formula1>0</formula1>
      <formula2>365</formula2>
    </dataValidation>
    <dataValidation type="whole" allowBlank="1" showInputMessage="1" showErrorMessage="1" errorTitle="GESP SY 2022-2023" error="Please enter valid number between 0 - 20,000." sqref="O53:AL56 M22:P22 AH16:AK16" xr:uid="{00000000-0002-0000-3700-000001000000}">
      <formula1>0</formula1>
      <formula2>20000</formula2>
    </dataValidation>
    <dataValidation type="whole" allowBlank="1" showInputMessage="1" showErrorMessage="1" errorTitle="GESP SY 2022-2023" error="Please enter valid number between 0 - 99." sqref="AI5:AK5" xr:uid="{00000000-0002-0000-3700-000002000000}">
      <formula1>0</formula1>
      <formula2>999</formula2>
    </dataValidation>
    <dataValidation type="date" allowBlank="1" showInputMessage="1" showErrorMessage="1" errorTitle="GESP SY 2022-2023" error="Please enter valid date between June 1, 2021 - May 31, 2022 (in MM/DD/YYYY or DD/MM/YYYY depending on your computer's setting)" sqref="Q13:T25" xr:uid="{00000000-0002-0000-3700-000003000000}">
      <formula1>44348</formula1>
      <formula2>44712</formula2>
    </dataValidation>
    <dataValidation type="whole" allowBlank="1" showInputMessage="1" showErrorMessage="1" errorTitle="GESP SY 2022-2023" error="Please enter valid number between 0 - 999." sqref="O31:T32 M23:P25 M13:P21 AH13:AK15 AH17:AK23" xr:uid="{00000000-0002-0000-3700-000004000000}">
      <formula1>0</formula1>
      <formula2>999</formula2>
    </dataValidation>
  </dataValidations>
  <printOptions horizontalCentered="1" verticalCentered="1"/>
  <pageMargins left="0.25" right="0.25" top="0.2" bottom="0.2" header="0" footer="0.1"/>
  <pageSetup paperSize="9" scale="51" orientation="portrait" r:id="rId1"/>
  <headerFooter>
    <oddFooter>&amp;L&amp;10&amp;F &amp;A&amp;R&amp;10Page 52 of 60</oddFooter>
  </headerFooter>
  <ignoredErrors>
    <ignoredError sqref="D4:D10 D27 D34:D39 Y39 D49 E53:E55 H58:H5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heck Box 1">
              <controlPr locked="0" defaultSize="0" autoFill="0" autoLine="0" autoPict="0">
                <anchor moveWithCells="1">
                  <from>
                    <xdr:col>4</xdr:col>
                    <xdr:colOff>50800</xdr:colOff>
                    <xdr:row>3</xdr:row>
                    <xdr:rowOff>50800</xdr:rowOff>
                  </from>
                  <to>
                    <xdr:col>6</xdr:col>
                    <xdr:colOff>260350</xdr:colOff>
                    <xdr:row>3</xdr:row>
                    <xdr:rowOff>260350</xdr:rowOff>
                  </to>
                </anchor>
              </controlPr>
            </control>
          </mc:Choice>
        </mc:AlternateContent>
        <mc:AlternateContent xmlns:mc="http://schemas.openxmlformats.org/markup-compatibility/2006">
          <mc:Choice Requires="x14">
            <control shapeId="221186" r:id="rId5" name="Check Box 2">
              <controlPr locked="0" defaultSize="0" autoFill="0" autoLine="0" autoPict="0">
                <anchor moveWithCells="1">
                  <from>
                    <xdr:col>4</xdr:col>
                    <xdr:colOff>50800</xdr:colOff>
                    <xdr:row>6</xdr:row>
                    <xdr:rowOff>0</xdr:rowOff>
                  </from>
                  <to>
                    <xdr:col>6</xdr:col>
                    <xdr:colOff>260350</xdr:colOff>
                    <xdr:row>7</xdr:row>
                    <xdr:rowOff>12700</xdr:rowOff>
                  </to>
                </anchor>
              </controlPr>
            </control>
          </mc:Choice>
        </mc:AlternateContent>
        <mc:AlternateContent xmlns:mc="http://schemas.openxmlformats.org/markup-compatibility/2006">
          <mc:Choice Requires="x14">
            <control shapeId="221187" r:id="rId6" name="Check Box 3">
              <controlPr locked="0" defaultSize="0" autoFill="0" autoLine="0" autoPict="0">
                <anchor moveWithCells="1">
                  <from>
                    <xdr:col>4</xdr:col>
                    <xdr:colOff>50800</xdr:colOff>
                    <xdr:row>33</xdr:row>
                    <xdr:rowOff>0</xdr:rowOff>
                  </from>
                  <to>
                    <xdr:col>6</xdr:col>
                    <xdr:colOff>260350</xdr:colOff>
                    <xdr:row>34</xdr:row>
                    <xdr:rowOff>12700</xdr:rowOff>
                  </to>
                </anchor>
              </controlPr>
            </control>
          </mc:Choice>
        </mc:AlternateContent>
        <mc:AlternateContent xmlns:mc="http://schemas.openxmlformats.org/markup-compatibility/2006">
          <mc:Choice Requires="x14">
            <control shapeId="221188" r:id="rId7" name="Check Box 4">
              <controlPr locked="0" defaultSize="0" autoFill="0" autoLine="0" autoPict="0">
                <anchor moveWithCells="1">
                  <from>
                    <xdr:col>4</xdr:col>
                    <xdr:colOff>50800</xdr:colOff>
                    <xdr:row>35</xdr:row>
                    <xdr:rowOff>0</xdr:rowOff>
                  </from>
                  <to>
                    <xdr:col>6</xdr:col>
                    <xdr:colOff>260350</xdr:colOff>
                    <xdr:row>36</xdr:row>
                    <xdr:rowOff>12700</xdr:rowOff>
                  </to>
                </anchor>
              </controlPr>
            </control>
          </mc:Choice>
        </mc:AlternateContent>
        <mc:AlternateContent xmlns:mc="http://schemas.openxmlformats.org/markup-compatibility/2006">
          <mc:Choice Requires="x14">
            <control shapeId="221189" r:id="rId8" name="Check Box 5">
              <controlPr locked="0" defaultSize="0" autoFill="0" autoLine="0" autoPict="0">
                <anchor moveWithCells="1">
                  <from>
                    <xdr:col>4</xdr:col>
                    <xdr:colOff>50800</xdr:colOff>
                    <xdr:row>40</xdr:row>
                    <xdr:rowOff>38100</xdr:rowOff>
                  </from>
                  <to>
                    <xdr:col>6</xdr:col>
                    <xdr:colOff>260350</xdr:colOff>
                    <xdr:row>40</xdr:row>
                    <xdr:rowOff>241300</xdr:rowOff>
                  </to>
                </anchor>
              </controlPr>
            </control>
          </mc:Choice>
        </mc:AlternateContent>
        <mc:AlternateContent xmlns:mc="http://schemas.openxmlformats.org/markup-compatibility/2006">
          <mc:Choice Requires="x14">
            <control shapeId="221190" r:id="rId9" name="Check Box 6">
              <controlPr locked="0" defaultSize="0" autoFill="0" autoLine="0" autoPict="0">
                <anchor moveWithCells="1">
                  <from>
                    <xdr:col>4</xdr:col>
                    <xdr:colOff>50800</xdr:colOff>
                    <xdr:row>41</xdr:row>
                    <xdr:rowOff>31750</xdr:rowOff>
                  </from>
                  <to>
                    <xdr:col>6</xdr:col>
                    <xdr:colOff>260350</xdr:colOff>
                    <xdr:row>41</xdr:row>
                    <xdr:rowOff>241300</xdr:rowOff>
                  </to>
                </anchor>
              </controlPr>
            </control>
          </mc:Choice>
        </mc:AlternateContent>
        <mc:AlternateContent xmlns:mc="http://schemas.openxmlformats.org/markup-compatibility/2006">
          <mc:Choice Requires="x14">
            <control shapeId="221191" r:id="rId10" name="Check Box 7">
              <controlPr locked="0" defaultSize="0" autoFill="0" autoLine="0" autoPict="0">
                <anchor moveWithCells="1">
                  <from>
                    <xdr:col>4</xdr:col>
                    <xdr:colOff>50800</xdr:colOff>
                    <xdr:row>42</xdr:row>
                    <xdr:rowOff>38100</xdr:rowOff>
                  </from>
                  <to>
                    <xdr:col>6</xdr:col>
                    <xdr:colOff>260350</xdr:colOff>
                    <xdr:row>43</xdr:row>
                    <xdr:rowOff>0</xdr:rowOff>
                  </to>
                </anchor>
              </controlPr>
            </control>
          </mc:Choice>
        </mc:AlternateContent>
        <mc:AlternateContent xmlns:mc="http://schemas.openxmlformats.org/markup-compatibility/2006">
          <mc:Choice Requires="x14">
            <control shapeId="221192" r:id="rId11" name="Check Box 8">
              <controlPr locked="0" defaultSize="0" autoFill="0" autoLine="0" autoPict="0">
                <anchor moveWithCells="1">
                  <from>
                    <xdr:col>4</xdr:col>
                    <xdr:colOff>50800</xdr:colOff>
                    <xdr:row>43</xdr:row>
                    <xdr:rowOff>38100</xdr:rowOff>
                  </from>
                  <to>
                    <xdr:col>6</xdr:col>
                    <xdr:colOff>260350</xdr:colOff>
                    <xdr:row>44</xdr:row>
                    <xdr:rowOff>0</xdr:rowOff>
                  </to>
                </anchor>
              </controlPr>
            </control>
          </mc:Choice>
        </mc:AlternateContent>
        <mc:AlternateContent xmlns:mc="http://schemas.openxmlformats.org/markup-compatibility/2006">
          <mc:Choice Requires="x14">
            <control shapeId="221193" r:id="rId12" name="Check Box 9">
              <controlPr locked="0" defaultSize="0" autoFill="0" autoLine="0" autoPict="0">
                <anchor moveWithCells="1">
                  <from>
                    <xdr:col>4</xdr:col>
                    <xdr:colOff>50800</xdr:colOff>
                    <xdr:row>44</xdr:row>
                    <xdr:rowOff>38100</xdr:rowOff>
                  </from>
                  <to>
                    <xdr:col>6</xdr:col>
                    <xdr:colOff>260350</xdr:colOff>
                    <xdr:row>45</xdr:row>
                    <xdr:rowOff>0</xdr:rowOff>
                  </to>
                </anchor>
              </controlPr>
            </control>
          </mc:Choice>
        </mc:AlternateContent>
        <mc:AlternateContent xmlns:mc="http://schemas.openxmlformats.org/markup-compatibility/2006">
          <mc:Choice Requires="x14">
            <control shapeId="221194" r:id="rId13" name="Check Box 10">
              <controlPr locked="0" defaultSize="0" autoFill="0" autoLine="0" autoPict="0">
                <anchor moveWithCells="1">
                  <from>
                    <xdr:col>4</xdr:col>
                    <xdr:colOff>50800</xdr:colOff>
                    <xdr:row>45</xdr:row>
                    <xdr:rowOff>31750</xdr:rowOff>
                  </from>
                  <to>
                    <xdr:col>6</xdr:col>
                    <xdr:colOff>260350</xdr:colOff>
                    <xdr:row>45</xdr:row>
                    <xdr:rowOff>241300</xdr:rowOff>
                  </to>
                </anchor>
              </controlPr>
            </control>
          </mc:Choice>
        </mc:AlternateContent>
        <mc:AlternateContent xmlns:mc="http://schemas.openxmlformats.org/markup-compatibility/2006">
          <mc:Choice Requires="x14">
            <control shapeId="221195" r:id="rId14" name="Check Box 11">
              <controlPr locked="0" defaultSize="0" autoFill="0" autoLine="0" autoPict="0">
                <anchor moveWithCells="1">
                  <from>
                    <xdr:col>25</xdr:col>
                    <xdr:colOff>50800</xdr:colOff>
                    <xdr:row>40</xdr:row>
                    <xdr:rowOff>38100</xdr:rowOff>
                  </from>
                  <to>
                    <xdr:col>27</xdr:col>
                    <xdr:colOff>260350</xdr:colOff>
                    <xdr:row>41</xdr:row>
                    <xdr:rowOff>0</xdr:rowOff>
                  </to>
                </anchor>
              </controlPr>
            </control>
          </mc:Choice>
        </mc:AlternateContent>
        <mc:AlternateContent xmlns:mc="http://schemas.openxmlformats.org/markup-compatibility/2006">
          <mc:Choice Requires="x14">
            <control shapeId="221196" r:id="rId15" name="Check Box 12">
              <controlPr locked="0" defaultSize="0" autoFill="0" autoLine="0" autoPict="0">
                <anchor moveWithCells="1">
                  <from>
                    <xdr:col>25</xdr:col>
                    <xdr:colOff>50800</xdr:colOff>
                    <xdr:row>41</xdr:row>
                    <xdr:rowOff>38100</xdr:rowOff>
                  </from>
                  <to>
                    <xdr:col>27</xdr:col>
                    <xdr:colOff>260350</xdr:colOff>
                    <xdr:row>42</xdr:row>
                    <xdr:rowOff>0</xdr:rowOff>
                  </to>
                </anchor>
              </controlPr>
            </control>
          </mc:Choice>
        </mc:AlternateContent>
        <mc:AlternateContent xmlns:mc="http://schemas.openxmlformats.org/markup-compatibility/2006">
          <mc:Choice Requires="x14">
            <control shapeId="221197" r:id="rId16" name="Check Box 13">
              <controlPr locked="0" defaultSize="0" autoFill="0" autoLine="0" autoPict="0">
                <anchor moveWithCells="1">
                  <from>
                    <xdr:col>25</xdr:col>
                    <xdr:colOff>50800</xdr:colOff>
                    <xdr:row>42</xdr:row>
                    <xdr:rowOff>38100</xdr:rowOff>
                  </from>
                  <to>
                    <xdr:col>27</xdr:col>
                    <xdr:colOff>260350</xdr:colOff>
                    <xdr:row>43</xdr:row>
                    <xdr:rowOff>0</xdr:rowOff>
                  </to>
                </anchor>
              </controlPr>
            </control>
          </mc:Choice>
        </mc:AlternateContent>
        <mc:AlternateContent xmlns:mc="http://schemas.openxmlformats.org/markup-compatibility/2006">
          <mc:Choice Requires="x14">
            <control shapeId="221198" r:id="rId17" name="Check Box 14">
              <controlPr locked="0" defaultSize="0" autoFill="0" autoLine="0" autoPict="0">
                <anchor moveWithCells="1">
                  <from>
                    <xdr:col>25</xdr:col>
                    <xdr:colOff>50800</xdr:colOff>
                    <xdr:row>43</xdr:row>
                    <xdr:rowOff>38100</xdr:rowOff>
                  </from>
                  <to>
                    <xdr:col>27</xdr:col>
                    <xdr:colOff>260350</xdr:colOff>
                    <xdr:row>44</xdr:row>
                    <xdr:rowOff>0</xdr:rowOff>
                  </to>
                </anchor>
              </controlPr>
            </control>
          </mc:Choice>
        </mc:AlternateContent>
        <mc:AlternateContent xmlns:mc="http://schemas.openxmlformats.org/markup-compatibility/2006">
          <mc:Choice Requires="x14">
            <control shapeId="221199" r:id="rId18" name="Check Box 15">
              <controlPr locked="0" defaultSize="0" autoFill="0" autoLine="0" autoPict="0">
                <anchor moveWithCells="1">
                  <from>
                    <xdr:col>25</xdr:col>
                    <xdr:colOff>50800</xdr:colOff>
                    <xdr:row>44</xdr:row>
                    <xdr:rowOff>38100</xdr:rowOff>
                  </from>
                  <to>
                    <xdr:col>27</xdr:col>
                    <xdr:colOff>260350</xdr:colOff>
                    <xdr:row>45</xdr:row>
                    <xdr:rowOff>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pageSetUpPr fitToPage="1"/>
  </sheetPr>
  <dimension ref="B1:BE40"/>
  <sheetViews>
    <sheetView showGridLines="0" zoomScaleNormal="100" zoomScaleSheetLayoutView="100" workbookViewId="0">
      <selection activeCell="AW7" sqref="AW7:AY8"/>
    </sheetView>
  </sheetViews>
  <sheetFormatPr defaultColWidth="8" defaultRowHeight="15.5"/>
  <cols>
    <col min="1" max="1" width="2.08203125" style="1434" customWidth="1"/>
    <col min="2" max="28" width="3.58203125" style="1444" customWidth="1"/>
    <col min="29" max="53" width="3.58203125" style="1434" customWidth="1"/>
    <col min="54" max="54" width="2.08203125" style="1434" customWidth="1"/>
    <col min="55" max="126" width="3.58203125" style="1434" customWidth="1"/>
    <col min="127" max="16384" width="8" style="1434"/>
  </cols>
  <sheetData>
    <row r="1" spans="2:55" ht="12" customHeight="1"/>
    <row r="2" spans="2:55" ht="17" thickBot="1">
      <c r="B2" s="1467" t="s">
        <v>1760</v>
      </c>
      <c r="C2" s="1434"/>
      <c r="D2" s="1434"/>
      <c r="AB2" s="1434"/>
    </row>
    <row r="3" spans="2:55" ht="5.15" customHeight="1" thickTop="1" thickBot="1">
      <c r="B3" s="1468"/>
      <c r="C3" s="1469"/>
      <c r="D3" s="1469"/>
      <c r="E3" s="1469"/>
      <c r="F3" s="1469"/>
      <c r="G3" s="1469"/>
      <c r="H3" s="1469"/>
      <c r="I3" s="1469"/>
      <c r="J3" s="1469"/>
      <c r="K3" s="1469"/>
      <c r="L3" s="1469"/>
      <c r="M3" s="1469"/>
      <c r="N3" s="1469"/>
      <c r="O3" s="1469"/>
      <c r="P3" s="1469"/>
      <c r="Q3" s="1469"/>
      <c r="R3" s="1469"/>
      <c r="S3" s="1469"/>
      <c r="T3" s="1469"/>
      <c r="U3" s="1469"/>
      <c r="V3" s="1469"/>
      <c r="W3" s="1469"/>
      <c r="X3" s="1469"/>
      <c r="Y3" s="1469"/>
      <c r="Z3" s="1470"/>
      <c r="AA3" s="1470"/>
      <c r="AB3" s="1470"/>
      <c r="AC3" s="1470"/>
      <c r="AD3" s="1470"/>
      <c r="AE3" s="1469"/>
      <c r="AF3" s="1469"/>
      <c r="AG3" s="1469"/>
      <c r="AH3" s="1469"/>
      <c r="AI3" s="1469"/>
      <c r="AJ3" s="1469"/>
      <c r="AK3" s="1469"/>
      <c r="AL3" s="1469"/>
      <c r="AM3" s="1469"/>
      <c r="AN3" s="1469"/>
      <c r="AO3" s="1469"/>
      <c r="AP3" s="1469"/>
      <c r="AQ3" s="1469"/>
      <c r="AR3" s="1469"/>
      <c r="AS3" s="1469"/>
      <c r="AT3" s="1469"/>
      <c r="AU3" s="1469"/>
      <c r="AV3" s="1469"/>
      <c r="AW3" s="1469"/>
      <c r="AX3" s="1469"/>
      <c r="AY3" s="1469"/>
      <c r="AZ3" s="1469"/>
      <c r="BA3" s="1471"/>
    </row>
    <row r="4" spans="2:55" ht="16" customHeight="1" thickBot="1">
      <c r="B4" s="1433"/>
      <c r="C4" s="1450" t="s">
        <v>151</v>
      </c>
      <c r="D4" s="3996" t="s">
        <v>1918</v>
      </c>
      <c r="E4" s="3996"/>
      <c r="F4" s="3996"/>
      <c r="G4" s="3996"/>
      <c r="H4" s="3996"/>
      <c r="I4" s="3996"/>
      <c r="J4" s="3996"/>
      <c r="K4" s="3996"/>
      <c r="L4" s="3996"/>
      <c r="M4" s="3996"/>
      <c r="N4" s="3996"/>
      <c r="O4" s="3996"/>
      <c r="P4" s="3996"/>
      <c r="Q4" s="3996"/>
      <c r="R4" s="3996"/>
      <c r="S4" s="3996"/>
      <c r="T4" s="3996"/>
      <c r="U4" s="3996"/>
      <c r="V4" s="3996"/>
      <c r="W4" s="3996"/>
      <c r="X4" s="3996"/>
      <c r="Y4" s="3996"/>
      <c r="Z4" s="3996"/>
      <c r="AA4" s="1465"/>
      <c r="AB4" s="1465"/>
      <c r="AC4" s="1465"/>
      <c r="AD4" s="1452"/>
      <c r="AE4" s="1450" t="s">
        <v>152</v>
      </c>
      <c r="AF4" s="3997" t="s">
        <v>1693</v>
      </c>
      <c r="AG4" s="3997"/>
      <c r="AH4" s="3997"/>
      <c r="AI4" s="3997"/>
      <c r="AJ4" s="3997"/>
      <c r="AK4" s="3997"/>
      <c r="AL4" s="3997"/>
      <c r="AM4" s="3997"/>
      <c r="AN4" s="3997"/>
      <c r="AO4" s="3997"/>
      <c r="AP4" s="3997"/>
      <c r="AQ4" s="3997"/>
      <c r="AR4" s="3997"/>
      <c r="AS4" s="3997"/>
      <c r="AT4" s="3997"/>
      <c r="AU4" s="3997"/>
      <c r="AV4" s="1451"/>
      <c r="AW4" s="3998">
        <v>1</v>
      </c>
      <c r="AX4" s="3999"/>
      <c r="AY4" s="4000"/>
      <c r="AZ4" s="1451"/>
      <c r="BA4" s="1464"/>
      <c r="BB4" s="1451"/>
      <c r="BC4" s="1451"/>
    </row>
    <row r="5" spans="2:55" ht="16" customHeight="1" thickTop="1" thickBot="1">
      <c r="B5" s="1433"/>
      <c r="C5" s="1466"/>
      <c r="D5" s="3951" t="s">
        <v>557</v>
      </c>
      <c r="E5" s="3952"/>
      <c r="F5" s="3952"/>
      <c r="G5" s="3952"/>
      <c r="H5" s="3952"/>
      <c r="I5" s="3952"/>
      <c r="J5" s="3952"/>
      <c r="K5" s="3952"/>
      <c r="L5" s="3952"/>
      <c r="M5" s="3953"/>
      <c r="N5" s="3710" t="s">
        <v>758</v>
      </c>
      <c r="O5" s="3711"/>
      <c r="P5" s="3711"/>
      <c r="Q5" s="3711"/>
      <c r="R5" s="3711"/>
      <c r="S5" s="3713"/>
      <c r="T5" s="3712" t="s">
        <v>759</v>
      </c>
      <c r="U5" s="3711"/>
      <c r="V5" s="3711"/>
      <c r="W5" s="3711"/>
      <c r="X5" s="3711"/>
      <c r="Y5" s="3714"/>
      <c r="Z5" s="1452"/>
      <c r="AA5" s="1452"/>
      <c r="AB5" s="1452"/>
      <c r="AC5" s="1452"/>
      <c r="AD5" s="1452"/>
      <c r="AE5" s="1450"/>
      <c r="AF5" s="3997"/>
      <c r="AG5" s="3997"/>
      <c r="AH5" s="3997"/>
      <c r="AI5" s="3997"/>
      <c r="AJ5" s="3997"/>
      <c r="AK5" s="3997"/>
      <c r="AL5" s="3997"/>
      <c r="AM5" s="3997"/>
      <c r="AN5" s="3997"/>
      <c r="AO5" s="3997"/>
      <c r="AP5" s="3997"/>
      <c r="AQ5" s="3997"/>
      <c r="AR5" s="3997"/>
      <c r="AS5" s="3997"/>
      <c r="AT5" s="3997"/>
      <c r="AU5" s="3997"/>
      <c r="AV5" s="1452"/>
      <c r="AW5" s="4001"/>
      <c r="AX5" s="4002"/>
      <c r="AY5" s="4003"/>
      <c r="AZ5" s="1452"/>
      <c r="BA5" s="1453"/>
      <c r="BB5" s="1452"/>
      <c r="BC5" s="1452"/>
    </row>
    <row r="6" spans="2:55" ht="5.15" customHeight="1" thickBot="1">
      <c r="B6" s="1433"/>
      <c r="C6" s="1236"/>
      <c r="D6" s="4004"/>
      <c r="E6" s="4005"/>
      <c r="F6" s="4005"/>
      <c r="G6" s="4005"/>
      <c r="H6" s="4005"/>
      <c r="I6" s="4005"/>
      <c r="J6" s="4005"/>
      <c r="K6" s="4005"/>
      <c r="L6" s="4005"/>
      <c r="M6" s="4006"/>
      <c r="N6" s="3813"/>
      <c r="O6" s="3791"/>
      <c r="P6" s="3791"/>
      <c r="Q6" s="3791"/>
      <c r="R6" s="3791"/>
      <c r="S6" s="4007"/>
      <c r="T6" s="4011"/>
      <c r="U6" s="3791"/>
      <c r="V6" s="3791"/>
      <c r="W6" s="3791"/>
      <c r="X6" s="3791"/>
      <c r="Y6" s="3814"/>
      <c r="Z6" s="1452"/>
      <c r="AA6" s="1452"/>
      <c r="AB6" s="1452"/>
      <c r="AC6" s="1452"/>
      <c r="AD6" s="1452"/>
      <c r="AE6" s="1450"/>
      <c r="AF6" s="1451"/>
      <c r="AG6" s="1451"/>
      <c r="AH6" s="1451"/>
      <c r="AI6" s="1451"/>
      <c r="AJ6" s="1451"/>
      <c r="AK6" s="1451"/>
      <c r="AL6" s="1451"/>
      <c r="AM6" s="1451"/>
      <c r="AN6" s="1451"/>
      <c r="AO6" s="1451"/>
      <c r="AP6" s="1451"/>
      <c r="AQ6" s="1451"/>
      <c r="AR6" s="1451"/>
      <c r="AS6" s="1451"/>
      <c r="AT6" s="1451"/>
      <c r="AU6" s="1451"/>
      <c r="AV6" s="1452"/>
      <c r="AW6" s="1452"/>
      <c r="AX6" s="1452"/>
      <c r="AY6" s="1452"/>
      <c r="AZ6" s="1452"/>
      <c r="BA6" s="1453"/>
      <c r="BB6" s="1452"/>
      <c r="BC6" s="1452"/>
    </row>
    <row r="7" spans="2:55" ht="16" customHeight="1" thickBot="1">
      <c r="B7" s="1433"/>
      <c r="C7" s="1236"/>
      <c r="D7" s="4004"/>
      <c r="E7" s="4005"/>
      <c r="F7" s="4005"/>
      <c r="G7" s="4005"/>
      <c r="H7" s="4005"/>
      <c r="I7" s="4005"/>
      <c r="J7" s="4005"/>
      <c r="K7" s="4005"/>
      <c r="L7" s="4005"/>
      <c r="M7" s="4006"/>
      <c r="N7" s="4008"/>
      <c r="O7" s="4009"/>
      <c r="P7" s="4009"/>
      <c r="Q7" s="4009"/>
      <c r="R7" s="4009"/>
      <c r="S7" s="4010"/>
      <c r="T7" s="4012"/>
      <c r="U7" s="4009"/>
      <c r="V7" s="4009"/>
      <c r="W7" s="4009"/>
      <c r="X7" s="4009"/>
      <c r="Y7" s="4013"/>
      <c r="Z7" s="1452"/>
      <c r="AA7" s="1452"/>
      <c r="AB7" s="1452"/>
      <c r="AC7" s="1452"/>
      <c r="AD7" s="1452"/>
      <c r="AE7" s="1450" t="s">
        <v>153</v>
      </c>
      <c r="AF7" s="3997" t="s">
        <v>1919</v>
      </c>
      <c r="AG7" s="3997"/>
      <c r="AH7" s="3997"/>
      <c r="AI7" s="3997"/>
      <c r="AJ7" s="3997"/>
      <c r="AK7" s="3997"/>
      <c r="AL7" s="3997"/>
      <c r="AM7" s="3997"/>
      <c r="AN7" s="3997"/>
      <c r="AO7" s="3997"/>
      <c r="AP7" s="3997"/>
      <c r="AQ7" s="3997"/>
      <c r="AR7" s="3997"/>
      <c r="AS7" s="3997"/>
      <c r="AT7" s="3997"/>
      <c r="AU7" s="3997"/>
      <c r="AV7" s="1451"/>
      <c r="AW7" s="3998">
        <v>0</v>
      </c>
      <c r="AX7" s="3999"/>
      <c r="AY7" s="4000"/>
      <c r="AZ7" s="1451"/>
      <c r="BA7" s="1464"/>
      <c r="BB7" s="1451"/>
      <c r="BC7" s="1451"/>
    </row>
    <row r="8" spans="2:55" s="1444" customFormat="1" ht="16" customHeight="1" thickBot="1">
      <c r="B8" s="1457"/>
      <c r="C8" s="1236"/>
      <c r="D8" s="3954"/>
      <c r="E8" s="3955"/>
      <c r="F8" s="3955"/>
      <c r="G8" s="3955"/>
      <c r="H8" s="3955"/>
      <c r="I8" s="3955"/>
      <c r="J8" s="3955"/>
      <c r="K8" s="3955"/>
      <c r="L8" s="3955"/>
      <c r="M8" s="3956"/>
      <c r="N8" s="4014" t="s">
        <v>15</v>
      </c>
      <c r="O8" s="4015"/>
      <c r="P8" s="4016"/>
      <c r="Q8" s="4017" t="s">
        <v>16</v>
      </c>
      <c r="R8" s="4015"/>
      <c r="S8" s="4018"/>
      <c r="T8" s="4019" t="s">
        <v>15</v>
      </c>
      <c r="U8" s="4015"/>
      <c r="V8" s="4016"/>
      <c r="W8" s="4017" t="s">
        <v>16</v>
      </c>
      <c r="X8" s="4015"/>
      <c r="Y8" s="4020"/>
      <c r="Z8" s="1452"/>
      <c r="AA8" s="1452"/>
      <c r="AB8" s="1452"/>
      <c r="AC8" s="1351"/>
      <c r="AD8" s="1351"/>
      <c r="AE8" s="1450"/>
      <c r="AF8" s="3997"/>
      <c r="AG8" s="3997"/>
      <c r="AH8" s="3997"/>
      <c r="AI8" s="3997"/>
      <c r="AJ8" s="3997"/>
      <c r="AK8" s="3997"/>
      <c r="AL8" s="3997"/>
      <c r="AM8" s="3997"/>
      <c r="AN8" s="3997"/>
      <c r="AO8" s="3997"/>
      <c r="AP8" s="3997"/>
      <c r="AQ8" s="3997"/>
      <c r="AR8" s="3997"/>
      <c r="AS8" s="3997"/>
      <c r="AT8" s="3997"/>
      <c r="AU8" s="3997"/>
      <c r="AV8" s="1452"/>
      <c r="AW8" s="4001"/>
      <c r="AX8" s="4002"/>
      <c r="AY8" s="4003"/>
      <c r="AZ8" s="1452"/>
      <c r="BA8" s="1453"/>
      <c r="BB8" s="1452"/>
      <c r="BC8" s="1452"/>
    </row>
    <row r="9" spans="2:55" s="1444" customFormat="1" ht="5.15" customHeight="1" thickTop="1">
      <c r="B9" s="1457"/>
      <c r="C9" s="1236"/>
      <c r="D9" s="4021" t="s">
        <v>151</v>
      </c>
      <c r="E9" s="4024" t="s">
        <v>1913</v>
      </c>
      <c r="F9" s="4024"/>
      <c r="G9" s="4024"/>
      <c r="H9" s="4024"/>
      <c r="I9" s="4024"/>
      <c r="J9" s="4024"/>
      <c r="K9" s="4024"/>
      <c r="L9" s="4024"/>
      <c r="M9" s="4025"/>
      <c r="N9" s="4030">
        <v>2</v>
      </c>
      <c r="O9" s="4031"/>
      <c r="P9" s="4032"/>
      <c r="Q9" s="4039">
        <v>40</v>
      </c>
      <c r="R9" s="4031"/>
      <c r="S9" s="4040"/>
      <c r="T9" s="4045">
        <v>3</v>
      </c>
      <c r="U9" s="4031"/>
      <c r="V9" s="4032"/>
      <c r="W9" s="4039">
        <v>1</v>
      </c>
      <c r="X9" s="4031"/>
      <c r="Y9" s="4048"/>
      <c r="Z9" s="1351"/>
      <c r="AA9" s="1351"/>
      <c r="AB9" s="1351"/>
      <c r="AC9" s="1351"/>
      <c r="AD9" s="1351"/>
      <c r="AE9" s="1450"/>
      <c r="AF9" s="1451"/>
      <c r="AG9" s="1451"/>
      <c r="AH9" s="1451"/>
      <c r="AI9" s="1451"/>
      <c r="AJ9" s="1451"/>
      <c r="AK9" s="1451"/>
      <c r="AL9" s="1451"/>
      <c r="AM9" s="1451"/>
      <c r="AN9" s="1451"/>
      <c r="AO9" s="1451"/>
      <c r="AP9" s="1451"/>
      <c r="AQ9" s="1451"/>
      <c r="AR9" s="1451"/>
      <c r="AS9" s="1451"/>
      <c r="AT9" s="1451"/>
      <c r="AU9" s="1451"/>
      <c r="AV9" s="1452"/>
      <c r="AW9" s="1452"/>
      <c r="AX9" s="1452"/>
      <c r="AY9" s="1452"/>
      <c r="AZ9" s="1452"/>
      <c r="BA9" s="1453"/>
      <c r="BB9" s="1452"/>
      <c r="BC9" s="1452"/>
    </row>
    <row r="10" spans="2:55" s="1444" customFormat="1" ht="16" customHeight="1">
      <c r="B10" s="1457"/>
      <c r="C10" s="1236"/>
      <c r="D10" s="4022"/>
      <c r="E10" s="4026"/>
      <c r="F10" s="4026"/>
      <c r="G10" s="4026"/>
      <c r="H10" s="4026"/>
      <c r="I10" s="4026"/>
      <c r="J10" s="4026"/>
      <c r="K10" s="4026"/>
      <c r="L10" s="4026"/>
      <c r="M10" s="4027"/>
      <c r="N10" s="4033"/>
      <c r="O10" s="4034"/>
      <c r="P10" s="4035"/>
      <c r="Q10" s="4041"/>
      <c r="R10" s="4034"/>
      <c r="S10" s="4042"/>
      <c r="T10" s="4046"/>
      <c r="U10" s="4034"/>
      <c r="V10" s="4035"/>
      <c r="W10" s="4041"/>
      <c r="X10" s="4034"/>
      <c r="Y10" s="4049"/>
      <c r="Z10" s="1351"/>
      <c r="AA10" s="1351"/>
      <c r="AB10" s="1351"/>
      <c r="AC10" s="1351"/>
      <c r="AD10" s="1351"/>
      <c r="AE10" s="1450" t="s">
        <v>154</v>
      </c>
      <c r="AF10" s="1360" t="b">
        <v>0</v>
      </c>
      <c r="AG10" s="4051" t="s">
        <v>1694</v>
      </c>
      <c r="AH10" s="4051"/>
      <c r="AI10" s="4051"/>
      <c r="AJ10" s="4051"/>
      <c r="AK10" s="4051"/>
      <c r="AL10" s="4051"/>
      <c r="AM10" s="4051"/>
      <c r="AN10" s="4051"/>
      <c r="AO10" s="4051"/>
      <c r="AP10" s="4051"/>
      <c r="AQ10" s="4051"/>
      <c r="AR10" s="4051"/>
      <c r="AS10" s="4051"/>
      <c r="AT10" s="4051"/>
      <c r="AU10" s="4051"/>
      <c r="AV10" s="4051"/>
      <c r="AW10" s="4051"/>
      <c r="AX10" s="4051"/>
      <c r="AY10" s="4051"/>
      <c r="AZ10" s="1454"/>
      <c r="BA10" s="1455"/>
      <c r="BB10" s="1454"/>
      <c r="BC10" s="1454"/>
    </row>
    <row r="11" spans="2:55" s="1444" customFormat="1" ht="16" customHeight="1">
      <c r="B11" s="1457"/>
      <c r="C11" s="1236"/>
      <c r="D11" s="4023"/>
      <c r="E11" s="4028"/>
      <c r="F11" s="4028"/>
      <c r="G11" s="4028"/>
      <c r="H11" s="4028"/>
      <c r="I11" s="4028"/>
      <c r="J11" s="4028"/>
      <c r="K11" s="4028"/>
      <c r="L11" s="4028"/>
      <c r="M11" s="4029"/>
      <c r="N11" s="4036"/>
      <c r="O11" s="4037"/>
      <c r="P11" s="4038"/>
      <c r="Q11" s="4043"/>
      <c r="R11" s="4037"/>
      <c r="S11" s="4044"/>
      <c r="T11" s="4047"/>
      <c r="U11" s="4037"/>
      <c r="V11" s="4038"/>
      <c r="W11" s="4043"/>
      <c r="X11" s="4037"/>
      <c r="Y11" s="4050"/>
      <c r="Z11" s="1351"/>
      <c r="AA11" s="1351"/>
      <c r="AB11" s="1351"/>
      <c r="AC11" s="1351"/>
      <c r="AD11" s="1351"/>
      <c r="AE11" s="1450"/>
      <c r="AF11" s="587"/>
      <c r="AG11" s="4051"/>
      <c r="AH11" s="4051"/>
      <c r="AI11" s="4051"/>
      <c r="AJ11" s="4051"/>
      <c r="AK11" s="4051"/>
      <c r="AL11" s="4051"/>
      <c r="AM11" s="4051"/>
      <c r="AN11" s="4051"/>
      <c r="AO11" s="4051"/>
      <c r="AP11" s="4051"/>
      <c r="AQ11" s="4051"/>
      <c r="AR11" s="4051"/>
      <c r="AS11" s="4051"/>
      <c r="AT11" s="4051"/>
      <c r="AU11" s="4051"/>
      <c r="AV11" s="4051"/>
      <c r="AW11" s="4051"/>
      <c r="AX11" s="4051"/>
      <c r="AY11" s="4051"/>
      <c r="AZ11" s="1454"/>
      <c r="BA11" s="1455"/>
      <c r="BB11" s="1454"/>
      <c r="BC11" s="1454"/>
    </row>
    <row r="12" spans="2:55" s="1444" customFormat="1" ht="16" customHeight="1">
      <c r="B12" s="1457"/>
      <c r="C12" s="1236"/>
      <c r="D12" s="1458" t="s">
        <v>152</v>
      </c>
      <c r="E12" s="4052" t="s">
        <v>1914</v>
      </c>
      <c r="F12" s="4052"/>
      <c r="G12" s="4052"/>
      <c r="H12" s="4052"/>
      <c r="I12" s="4052"/>
      <c r="J12" s="4052"/>
      <c r="K12" s="4052"/>
      <c r="L12" s="4052"/>
      <c r="M12" s="4053"/>
      <c r="N12" s="4054">
        <v>2</v>
      </c>
      <c r="O12" s="4055"/>
      <c r="P12" s="4056"/>
      <c r="Q12" s="4063">
        <v>40</v>
      </c>
      <c r="R12" s="4055"/>
      <c r="S12" s="4064"/>
      <c r="T12" s="4069">
        <v>3</v>
      </c>
      <c r="U12" s="4055"/>
      <c r="V12" s="4056"/>
      <c r="W12" s="4063">
        <v>1</v>
      </c>
      <c r="X12" s="4055"/>
      <c r="Y12" s="4072"/>
      <c r="Z12" s="1351"/>
      <c r="AA12" s="1351"/>
      <c r="AB12" s="1351"/>
      <c r="AC12" s="1351"/>
      <c r="AD12" s="1351"/>
      <c r="AE12" s="1450" t="s">
        <v>155</v>
      </c>
      <c r="AF12" s="1360" t="b">
        <v>0</v>
      </c>
      <c r="AG12" s="4051" t="s">
        <v>1695</v>
      </c>
      <c r="AH12" s="4051"/>
      <c r="AI12" s="4051"/>
      <c r="AJ12" s="4051"/>
      <c r="AK12" s="4051"/>
      <c r="AL12" s="4051"/>
      <c r="AM12" s="4051"/>
      <c r="AN12" s="4051"/>
      <c r="AO12" s="4051"/>
      <c r="AP12" s="4051"/>
      <c r="AQ12" s="4051"/>
      <c r="AR12" s="4051"/>
      <c r="AS12" s="4051"/>
      <c r="AT12" s="4051"/>
      <c r="AU12" s="4051"/>
      <c r="AV12" s="4051"/>
      <c r="AW12" s="4051"/>
      <c r="AX12" s="4051"/>
      <c r="AY12" s="4051"/>
      <c r="AZ12" s="1454"/>
      <c r="BA12" s="1455"/>
      <c r="BB12" s="1454"/>
      <c r="BC12" s="1454"/>
    </row>
    <row r="13" spans="2:55" s="1444" customFormat="1" ht="16" customHeight="1">
      <c r="B13" s="1459"/>
      <c r="C13" s="1236"/>
      <c r="D13" s="1460"/>
      <c r="E13" s="4026"/>
      <c r="F13" s="4026"/>
      <c r="G13" s="4026"/>
      <c r="H13" s="4026"/>
      <c r="I13" s="4026"/>
      <c r="J13" s="4026"/>
      <c r="K13" s="4026"/>
      <c r="L13" s="4026"/>
      <c r="M13" s="4027"/>
      <c r="N13" s="4057"/>
      <c r="O13" s="4058"/>
      <c r="P13" s="4059"/>
      <c r="Q13" s="4065"/>
      <c r="R13" s="4058"/>
      <c r="S13" s="4066"/>
      <c r="T13" s="4070"/>
      <c r="U13" s="4058"/>
      <c r="V13" s="4059"/>
      <c r="W13" s="4065"/>
      <c r="X13" s="4058"/>
      <c r="Y13" s="4073"/>
      <c r="Z13" s="1352"/>
      <c r="AA13" s="1352"/>
      <c r="AB13" s="1352"/>
      <c r="AC13" s="1352"/>
      <c r="AD13" s="1352"/>
      <c r="AE13" s="1456"/>
      <c r="AF13" s="1343"/>
      <c r="AG13" s="4051"/>
      <c r="AH13" s="4051"/>
      <c r="AI13" s="4051"/>
      <c r="AJ13" s="4051"/>
      <c r="AK13" s="4051"/>
      <c r="AL13" s="4051"/>
      <c r="AM13" s="4051"/>
      <c r="AN13" s="4051"/>
      <c r="AO13" s="4051"/>
      <c r="AP13" s="4051"/>
      <c r="AQ13" s="4051"/>
      <c r="AR13" s="4051"/>
      <c r="AS13" s="4051"/>
      <c r="AT13" s="4051"/>
      <c r="AU13" s="4051"/>
      <c r="AV13" s="4051"/>
      <c r="AW13" s="4051"/>
      <c r="AX13" s="4051"/>
      <c r="AY13" s="4051"/>
      <c r="AZ13" s="1454"/>
      <c r="BA13" s="1455"/>
      <c r="BB13" s="1454"/>
      <c r="BC13" s="1454"/>
    </row>
    <row r="14" spans="2:55" s="1444" customFormat="1" ht="16" customHeight="1">
      <c r="B14" s="1459"/>
      <c r="C14" s="1236"/>
      <c r="D14" s="1406"/>
      <c r="E14" s="4028"/>
      <c r="F14" s="4028"/>
      <c r="G14" s="4028"/>
      <c r="H14" s="4028"/>
      <c r="I14" s="4028"/>
      <c r="J14" s="4028"/>
      <c r="K14" s="4028"/>
      <c r="L14" s="4028"/>
      <c r="M14" s="4029"/>
      <c r="N14" s="4060"/>
      <c r="O14" s="4061"/>
      <c r="P14" s="4062"/>
      <c r="Q14" s="4067"/>
      <c r="R14" s="4061"/>
      <c r="S14" s="4068"/>
      <c r="T14" s="4071"/>
      <c r="U14" s="4061"/>
      <c r="V14" s="4062"/>
      <c r="W14" s="4067"/>
      <c r="X14" s="4061"/>
      <c r="Y14" s="4074"/>
      <c r="Z14" s="1348"/>
      <c r="AA14" s="1348"/>
      <c r="AB14" s="1348"/>
      <c r="AC14" s="1348"/>
      <c r="AD14" s="1348"/>
      <c r="AE14" s="1450" t="s">
        <v>156</v>
      </c>
      <c r="AF14" s="1360" t="b">
        <v>0</v>
      </c>
      <c r="AG14" s="4051" t="s">
        <v>1696</v>
      </c>
      <c r="AH14" s="4051"/>
      <c r="AI14" s="4051"/>
      <c r="AJ14" s="4051"/>
      <c r="AK14" s="4051"/>
      <c r="AL14" s="4051"/>
      <c r="AM14" s="4051"/>
      <c r="AN14" s="4051"/>
      <c r="AO14" s="4051"/>
      <c r="AP14" s="4051"/>
      <c r="AQ14" s="4051"/>
      <c r="AR14" s="4051"/>
      <c r="AS14" s="4051"/>
      <c r="AT14" s="4051"/>
      <c r="AU14" s="4051"/>
      <c r="AV14" s="4051"/>
      <c r="AW14" s="4051"/>
      <c r="AX14" s="4051"/>
      <c r="AY14" s="4051"/>
      <c r="AZ14" s="1454"/>
      <c r="BA14" s="1455"/>
      <c r="BB14" s="1454"/>
      <c r="BC14" s="1454"/>
    </row>
    <row r="15" spans="2:55" s="1444" customFormat="1" ht="16" customHeight="1">
      <c r="B15" s="1459"/>
      <c r="C15" s="1236"/>
      <c r="D15" s="1458"/>
      <c r="E15" s="1461" t="s">
        <v>746</v>
      </c>
      <c r="F15" s="4052" t="s">
        <v>1916</v>
      </c>
      <c r="G15" s="4052"/>
      <c r="H15" s="4052"/>
      <c r="I15" s="4052"/>
      <c r="J15" s="4052"/>
      <c r="K15" s="4052"/>
      <c r="L15" s="4052"/>
      <c r="M15" s="4053"/>
      <c r="N15" s="4054">
        <v>2</v>
      </c>
      <c r="O15" s="4055"/>
      <c r="P15" s="4056"/>
      <c r="Q15" s="4063">
        <v>40</v>
      </c>
      <c r="R15" s="4055"/>
      <c r="S15" s="4055"/>
      <c r="T15" s="4069">
        <v>3</v>
      </c>
      <c r="U15" s="4055"/>
      <c r="V15" s="4056"/>
      <c r="W15" s="4063">
        <v>1</v>
      </c>
      <c r="X15" s="4055"/>
      <c r="Y15" s="4072"/>
      <c r="Z15" s="1348"/>
      <c r="AA15" s="1348"/>
      <c r="AB15" s="1348"/>
      <c r="AC15" s="1348"/>
      <c r="AD15" s="1348"/>
      <c r="AG15" s="4051"/>
      <c r="AH15" s="4051"/>
      <c r="AI15" s="4051"/>
      <c r="AJ15" s="4051"/>
      <c r="AK15" s="4051"/>
      <c r="AL15" s="4051"/>
      <c r="AM15" s="4051"/>
      <c r="AN15" s="4051"/>
      <c r="AO15" s="4051"/>
      <c r="AP15" s="4051"/>
      <c r="AQ15" s="4051"/>
      <c r="AR15" s="4051"/>
      <c r="AS15" s="4051"/>
      <c r="AT15" s="4051"/>
      <c r="AU15" s="4051"/>
      <c r="AV15" s="4051"/>
      <c r="AW15" s="4051"/>
      <c r="AX15" s="4051"/>
      <c r="AY15" s="4051"/>
      <c r="AZ15" s="1454"/>
      <c r="BA15" s="1455"/>
      <c r="BB15" s="1454"/>
      <c r="BC15" s="1454"/>
    </row>
    <row r="16" spans="2:55" ht="16" customHeight="1">
      <c r="B16" s="1433"/>
      <c r="C16" s="1236"/>
      <c r="D16" s="1462"/>
      <c r="E16" s="1402"/>
      <c r="F16" s="4026"/>
      <c r="G16" s="4026"/>
      <c r="H16" s="4026"/>
      <c r="I16" s="4026"/>
      <c r="J16" s="4026"/>
      <c r="K16" s="4026"/>
      <c r="L16" s="4026"/>
      <c r="M16" s="4027"/>
      <c r="N16" s="4057"/>
      <c r="O16" s="4058"/>
      <c r="P16" s="4059"/>
      <c r="Q16" s="4065"/>
      <c r="R16" s="4058"/>
      <c r="S16" s="4058"/>
      <c r="T16" s="4070"/>
      <c r="U16" s="4058"/>
      <c r="V16" s="4059"/>
      <c r="W16" s="4065"/>
      <c r="X16" s="4058"/>
      <c r="Y16" s="4073"/>
      <c r="Z16" s="1452"/>
      <c r="AA16" s="1452"/>
      <c r="AB16" s="1452"/>
      <c r="AC16" s="1452"/>
      <c r="AD16" s="1452"/>
      <c r="AE16" s="1450" t="s">
        <v>157</v>
      </c>
      <c r="AF16" s="1360" t="b">
        <v>1</v>
      </c>
      <c r="AG16" s="4051" t="s">
        <v>1697</v>
      </c>
      <c r="AH16" s="4051"/>
      <c r="AI16" s="4051"/>
      <c r="AJ16" s="4051"/>
      <c r="AK16" s="4051"/>
      <c r="AL16" s="4051"/>
      <c r="AM16" s="4051"/>
      <c r="AN16" s="4051"/>
      <c r="AO16" s="4051"/>
      <c r="AP16" s="4051"/>
      <c r="AQ16" s="4051"/>
      <c r="AR16" s="4051"/>
      <c r="AS16" s="4051"/>
      <c r="AT16" s="4051"/>
      <c r="AU16" s="4051"/>
      <c r="AV16" s="4051"/>
      <c r="AW16" s="4051"/>
      <c r="AX16" s="4051"/>
      <c r="AY16" s="4051"/>
      <c r="AZ16" s="1454"/>
      <c r="BA16" s="1455"/>
      <c r="BB16" s="1454"/>
      <c r="BC16" s="1454"/>
    </row>
    <row r="17" spans="2:55" ht="5.15" customHeight="1" thickBot="1">
      <c r="B17" s="1433"/>
      <c r="C17" s="1236"/>
      <c r="D17" s="1463"/>
      <c r="E17" s="1439"/>
      <c r="F17" s="4075"/>
      <c r="G17" s="4075"/>
      <c r="H17" s="4075"/>
      <c r="I17" s="4075"/>
      <c r="J17" s="4075"/>
      <c r="K17" s="4075"/>
      <c r="L17" s="4075"/>
      <c r="M17" s="4076"/>
      <c r="N17" s="4077"/>
      <c r="O17" s="4078"/>
      <c r="P17" s="4079"/>
      <c r="Q17" s="4081"/>
      <c r="R17" s="4078"/>
      <c r="S17" s="4078"/>
      <c r="T17" s="4082"/>
      <c r="U17" s="4078"/>
      <c r="V17" s="4079"/>
      <c r="W17" s="4081"/>
      <c r="X17" s="4078"/>
      <c r="Y17" s="4083"/>
      <c r="Z17" s="1452"/>
      <c r="AA17" s="1452"/>
      <c r="AB17" s="1452"/>
      <c r="AC17" s="1452"/>
      <c r="AD17" s="1452"/>
      <c r="AE17" s="1450"/>
      <c r="AF17" s="587"/>
      <c r="AG17" s="4051"/>
      <c r="AH17" s="4051"/>
      <c r="AI17" s="4051"/>
      <c r="AJ17" s="4051"/>
      <c r="AK17" s="4051"/>
      <c r="AL17" s="4051"/>
      <c r="AM17" s="4051"/>
      <c r="AN17" s="4051"/>
      <c r="AO17" s="4051"/>
      <c r="AP17" s="4051"/>
      <c r="AQ17" s="4051"/>
      <c r="AR17" s="4051"/>
      <c r="AS17" s="4051"/>
      <c r="AT17" s="4051"/>
      <c r="AU17" s="4051"/>
      <c r="AV17" s="4051"/>
      <c r="AW17" s="4051"/>
      <c r="AX17" s="4051"/>
      <c r="AY17" s="4051"/>
      <c r="AZ17" s="1454"/>
      <c r="BA17" s="1455"/>
      <c r="BB17" s="1454"/>
      <c r="BC17" s="1454"/>
    </row>
    <row r="18" spans="2:55" ht="11.15" customHeight="1" thickTop="1">
      <c r="B18" s="1433"/>
      <c r="C18" s="1236"/>
      <c r="D18" s="4085" t="s">
        <v>143</v>
      </c>
      <c r="E18" s="4085"/>
      <c r="F18" s="4085"/>
      <c r="G18" s="4087" t="s">
        <v>1920</v>
      </c>
      <c r="H18" s="4087"/>
      <c r="I18" s="4087"/>
      <c r="J18" s="4087"/>
      <c r="K18" s="4087"/>
      <c r="L18" s="4087"/>
      <c r="M18" s="4087"/>
      <c r="N18" s="4087"/>
      <c r="O18" s="4087"/>
      <c r="P18" s="4087"/>
      <c r="Q18" s="4087"/>
      <c r="R18" s="4087"/>
      <c r="S18" s="4087"/>
      <c r="T18" s="4087"/>
      <c r="U18" s="4087"/>
      <c r="V18" s="4087"/>
      <c r="W18" s="4087"/>
      <c r="X18" s="4087"/>
      <c r="Y18" s="4087"/>
      <c r="Z18" s="1434"/>
      <c r="AA18" s="1434"/>
      <c r="AB18" s="1434"/>
      <c r="AG18" s="4084"/>
      <c r="AH18" s="4084"/>
      <c r="AI18" s="4084"/>
      <c r="AJ18" s="4084"/>
      <c r="AK18" s="4084"/>
      <c r="AL18" s="4084"/>
      <c r="AM18" s="4084"/>
      <c r="AN18" s="4084"/>
      <c r="AO18" s="4084"/>
      <c r="AP18" s="4084"/>
      <c r="AQ18" s="4084"/>
      <c r="AR18" s="4084"/>
      <c r="AS18" s="4084"/>
      <c r="AT18" s="4084"/>
      <c r="AU18" s="4084"/>
      <c r="AV18" s="4084"/>
      <c r="AW18" s="4084"/>
      <c r="AX18" s="4084"/>
      <c r="AY18" s="4084"/>
      <c r="BA18" s="1435"/>
    </row>
    <row r="19" spans="2:55" ht="5.15" customHeight="1">
      <c r="B19" s="1433"/>
      <c r="C19" s="1236"/>
      <c r="D19" s="4086"/>
      <c r="E19" s="4086"/>
      <c r="F19" s="4086"/>
      <c r="G19" s="4088"/>
      <c r="H19" s="4088"/>
      <c r="I19" s="4088"/>
      <c r="J19" s="4088"/>
      <c r="K19" s="4088"/>
      <c r="L19" s="4088"/>
      <c r="M19" s="4088"/>
      <c r="N19" s="4088"/>
      <c r="O19" s="4088"/>
      <c r="P19" s="4088"/>
      <c r="Q19" s="4088"/>
      <c r="R19" s="4088"/>
      <c r="S19" s="4088"/>
      <c r="T19" s="4088"/>
      <c r="U19" s="4088"/>
      <c r="V19" s="4088"/>
      <c r="W19" s="4088"/>
      <c r="X19" s="4088"/>
      <c r="Y19" s="4088"/>
      <c r="Z19" s="1434"/>
      <c r="AA19" s="1434"/>
      <c r="AB19" s="1434"/>
      <c r="AG19" s="4084"/>
      <c r="AH19" s="4084"/>
      <c r="AI19" s="4084"/>
      <c r="AJ19" s="4084"/>
      <c r="AK19" s="4084"/>
      <c r="AL19" s="4084"/>
      <c r="AM19" s="4084"/>
      <c r="AN19" s="4084"/>
      <c r="AO19" s="4084"/>
      <c r="AP19" s="4084"/>
      <c r="AQ19" s="4084"/>
      <c r="AR19" s="4084"/>
      <c r="AS19" s="4084"/>
      <c r="AT19" s="4084"/>
      <c r="AU19" s="4084"/>
      <c r="AV19" s="4084"/>
      <c r="AW19" s="4084"/>
      <c r="AX19" s="4084"/>
      <c r="AY19" s="4084"/>
      <c r="BA19" s="1435"/>
    </row>
    <row r="20" spans="2:55" ht="11.15" customHeight="1">
      <c r="B20" s="1433"/>
      <c r="C20" s="1236"/>
      <c r="D20" s="216"/>
      <c r="E20" s="216"/>
      <c r="F20" s="216"/>
      <c r="G20" s="4088"/>
      <c r="H20" s="4088"/>
      <c r="I20" s="4088"/>
      <c r="J20" s="4088"/>
      <c r="K20" s="4088"/>
      <c r="L20" s="4088"/>
      <c r="M20" s="4088"/>
      <c r="N20" s="4088"/>
      <c r="O20" s="4088"/>
      <c r="P20" s="4088"/>
      <c r="Q20" s="4088"/>
      <c r="R20" s="4088"/>
      <c r="S20" s="4088"/>
      <c r="T20" s="4088"/>
      <c r="U20" s="4088"/>
      <c r="V20" s="4088"/>
      <c r="W20" s="4088"/>
      <c r="X20" s="4088"/>
      <c r="Y20" s="4088"/>
      <c r="Z20" s="1434"/>
      <c r="AA20" s="1434"/>
      <c r="AB20" s="1434"/>
      <c r="AG20" s="4084"/>
      <c r="AH20" s="4084"/>
      <c r="AI20" s="4084"/>
      <c r="AJ20" s="4084"/>
      <c r="AK20" s="4084"/>
      <c r="AL20" s="4084"/>
      <c r="AM20" s="4084"/>
      <c r="AN20" s="4084"/>
      <c r="AO20" s="4084"/>
      <c r="AP20" s="4084"/>
      <c r="AQ20" s="4084"/>
      <c r="AR20" s="4084"/>
      <c r="AS20" s="4084"/>
      <c r="AT20" s="4084"/>
      <c r="AU20" s="4084"/>
      <c r="AV20" s="4084"/>
      <c r="AW20" s="4084"/>
      <c r="AX20" s="4084"/>
      <c r="AY20" s="4084"/>
      <c r="BA20" s="1435"/>
    </row>
    <row r="21" spans="2:55" ht="5.15" customHeight="1">
      <c r="B21" s="1433"/>
      <c r="C21" s="1236"/>
      <c r="D21" s="1401"/>
      <c r="E21" s="1402"/>
      <c r="F21" s="1402"/>
      <c r="G21" s="4088"/>
      <c r="H21" s="4088"/>
      <c r="I21" s="4088"/>
      <c r="J21" s="4088"/>
      <c r="K21" s="4088"/>
      <c r="L21" s="4088"/>
      <c r="M21" s="4088"/>
      <c r="N21" s="4088"/>
      <c r="O21" s="4088"/>
      <c r="P21" s="4088"/>
      <c r="Q21" s="4088"/>
      <c r="R21" s="4088"/>
      <c r="S21" s="4088"/>
      <c r="T21" s="4088"/>
      <c r="U21" s="4088"/>
      <c r="V21" s="4088"/>
      <c r="W21" s="4088"/>
      <c r="X21" s="4088"/>
      <c r="Y21" s="4088"/>
      <c r="Z21" s="1434"/>
      <c r="AA21" s="1434"/>
      <c r="AB21" s="1434"/>
      <c r="BA21" s="1435"/>
    </row>
    <row r="22" spans="2:55" ht="15" customHeight="1">
      <c r="B22" s="1433"/>
      <c r="C22" s="1236"/>
      <c r="D22" s="1401"/>
      <c r="E22" s="1402"/>
      <c r="F22" s="1402"/>
      <c r="G22" s="4088"/>
      <c r="H22" s="4088"/>
      <c r="I22" s="4088"/>
      <c r="J22" s="4088"/>
      <c r="K22" s="4088"/>
      <c r="L22" s="4088"/>
      <c r="M22" s="4088"/>
      <c r="N22" s="4088"/>
      <c r="O22" s="4088"/>
      <c r="P22" s="4088"/>
      <c r="Q22" s="4088"/>
      <c r="R22" s="4088"/>
      <c r="S22" s="4088"/>
      <c r="T22" s="4088"/>
      <c r="U22" s="4088"/>
      <c r="V22" s="4088"/>
      <c r="W22" s="4088"/>
      <c r="X22" s="4088"/>
      <c r="Y22" s="4088"/>
      <c r="Z22" s="1434"/>
      <c r="AA22" s="1434"/>
      <c r="AB22" s="1434"/>
      <c r="BA22" s="1435"/>
    </row>
    <row r="23" spans="2:55" ht="5.15" customHeight="1" thickBot="1">
      <c r="B23" s="1436"/>
      <c r="C23" s="1437"/>
      <c r="D23" s="1438"/>
      <c r="E23" s="1439"/>
      <c r="F23" s="1439"/>
      <c r="G23" s="1439"/>
      <c r="H23" s="1439"/>
      <c r="I23" s="1439"/>
      <c r="J23" s="1439"/>
      <c r="K23" s="1439"/>
      <c r="L23" s="1439"/>
      <c r="M23" s="1439"/>
      <c r="N23" s="1440"/>
      <c r="O23" s="1440"/>
      <c r="P23" s="1440"/>
      <c r="Q23" s="1440"/>
      <c r="R23" s="1440"/>
      <c r="S23" s="1440"/>
      <c r="T23" s="1440"/>
      <c r="U23" s="1440"/>
      <c r="V23" s="1440"/>
      <c r="W23" s="1440"/>
      <c r="X23" s="1440"/>
      <c r="Y23" s="1440"/>
      <c r="Z23" s="1441"/>
      <c r="AA23" s="1441"/>
      <c r="AB23" s="1441"/>
      <c r="AC23" s="1441"/>
      <c r="AD23" s="1441"/>
      <c r="AE23" s="1441"/>
      <c r="AF23" s="1441"/>
      <c r="AG23" s="1441"/>
      <c r="AH23" s="1441"/>
      <c r="AI23" s="1441"/>
      <c r="AJ23" s="1441"/>
      <c r="AK23" s="1441"/>
      <c r="AL23" s="1441"/>
      <c r="AM23" s="1441"/>
      <c r="AN23" s="1441"/>
      <c r="AO23" s="1441"/>
      <c r="AP23" s="1441"/>
      <c r="AQ23" s="1441"/>
      <c r="AR23" s="1441"/>
      <c r="AS23" s="1441"/>
      <c r="AT23" s="1441"/>
      <c r="AU23" s="1441"/>
      <c r="AV23" s="1441"/>
      <c r="AW23" s="1441"/>
      <c r="AX23" s="1441"/>
      <c r="AY23" s="1441"/>
      <c r="AZ23" s="1441"/>
      <c r="BA23" s="1442"/>
    </row>
    <row r="24" spans="2:55" ht="10" customHeight="1" thickTop="1">
      <c r="B24" s="1443"/>
      <c r="C24" s="587"/>
      <c r="E24" s="1445"/>
      <c r="F24" s="1445"/>
      <c r="G24" s="1445"/>
      <c r="H24" s="1445"/>
      <c r="I24" s="1445"/>
      <c r="J24" s="1445"/>
      <c r="K24" s="1434"/>
      <c r="L24" s="1434"/>
      <c r="M24" s="1434"/>
      <c r="N24" s="1434"/>
      <c r="O24" s="1434"/>
      <c r="P24" s="1434"/>
      <c r="Q24" s="1434"/>
      <c r="R24" s="1434"/>
      <c r="S24" s="1434"/>
      <c r="T24" s="1434"/>
      <c r="U24" s="1434"/>
      <c r="V24" s="1434"/>
      <c r="W24" s="1434"/>
      <c r="X24" s="1434"/>
      <c r="Y24" s="1434"/>
      <c r="Z24" s="1434"/>
      <c r="AA24" s="1434"/>
      <c r="AB24" s="1434"/>
    </row>
    <row r="25" spans="2:55" s="1447" customFormat="1" ht="52.75" customHeight="1">
      <c r="B25" s="1446" t="s">
        <v>151</v>
      </c>
      <c r="C25" s="4080" t="s">
        <v>1921</v>
      </c>
      <c r="D25" s="4080"/>
      <c r="E25" s="4080"/>
      <c r="F25" s="4080"/>
      <c r="G25" s="4080"/>
      <c r="H25" s="4080"/>
      <c r="I25" s="4080"/>
      <c r="J25" s="4080"/>
      <c r="K25" s="4080"/>
      <c r="L25" s="4080"/>
      <c r="M25" s="4080"/>
      <c r="N25" s="4080"/>
      <c r="O25" s="4080"/>
      <c r="P25" s="4080"/>
      <c r="Q25" s="4080"/>
      <c r="R25" s="4080"/>
      <c r="S25" s="4080"/>
      <c r="T25" s="4080"/>
      <c r="U25" s="4080"/>
      <c r="V25" s="4080"/>
      <c r="W25" s="4080"/>
      <c r="X25" s="4080"/>
      <c r="Y25" s="4080"/>
      <c r="Z25" s="4080"/>
      <c r="AA25" s="4080"/>
      <c r="AB25" s="4080"/>
      <c r="AC25" s="4080"/>
      <c r="AD25" s="4080"/>
      <c r="AE25" s="4080"/>
      <c r="AF25" s="4080"/>
      <c r="AG25" s="4080"/>
      <c r="AH25" s="4080"/>
      <c r="AI25" s="4080"/>
      <c r="AJ25" s="4080"/>
      <c r="AK25" s="4080"/>
      <c r="AL25" s="4080"/>
      <c r="AM25" s="4080"/>
      <c r="AN25" s="4080"/>
      <c r="AO25" s="4080"/>
      <c r="AP25" s="4080"/>
      <c r="AQ25" s="4080"/>
      <c r="AR25" s="4080"/>
      <c r="AS25" s="4080"/>
      <c r="AT25" s="4080"/>
      <c r="AU25" s="4080"/>
      <c r="AV25" s="4080"/>
      <c r="AW25" s="4080"/>
      <c r="AX25" s="4080"/>
      <c r="AY25" s="4080"/>
      <c r="AZ25" s="4080"/>
      <c r="BA25" s="4080"/>
      <c r="BB25" s="1434"/>
      <c r="BC25" s="1434"/>
    </row>
    <row r="26" spans="2:55" s="1447" customFormat="1" ht="40.4" customHeight="1">
      <c r="B26" s="1446" t="s">
        <v>152</v>
      </c>
      <c r="C26" s="4080" t="s">
        <v>1922</v>
      </c>
      <c r="D26" s="4080"/>
      <c r="E26" s="4080"/>
      <c r="F26" s="4080"/>
      <c r="G26" s="4080"/>
      <c r="H26" s="4080"/>
      <c r="I26" s="4080"/>
      <c r="J26" s="4080"/>
      <c r="K26" s="4080"/>
      <c r="L26" s="4080"/>
      <c r="M26" s="4080"/>
      <c r="N26" s="4080"/>
      <c r="O26" s="4080"/>
      <c r="P26" s="4080"/>
      <c r="Q26" s="4080"/>
      <c r="R26" s="4080"/>
      <c r="S26" s="4080"/>
      <c r="T26" s="4080"/>
      <c r="U26" s="4080"/>
      <c r="V26" s="4080"/>
      <c r="W26" s="4080"/>
      <c r="X26" s="4080"/>
      <c r="Y26" s="4080"/>
      <c r="Z26" s="4080"/>
      <c r="AA26" s="4080"/>
      <c r="AB26" s="4080"/>
      <c r="AC26" s="4080"/>
      <c r="AD26" s="4080"/>
      <c r="AE26" s="4080"/>
      <c r="AF26" s="4080"/>
      <c r="AG26" s="4080"/>
      <c r="AH26" s="4080"/>
      <c r="AI26" s="4080"/>
      <c r="AJ26" s="4080"/>
      <c r="AK26" s="4080"/>
      <c r="AL26" s="4080"/>
      <c r="AM26" s="4080"/>
      <c r="AN26" s="4080"/>
      <c r="AO26" s="4080"/>
      <c r="AP26" s="4080"/>
      <c r="AQ26" s="4080"/>
      <c r="AR26" s="4080"/>
      <c r="AS26" s="4080"/>
      <c r="AT26" s="4080"/>
      <c r="AU26" s="4080"/>
      <c r="AV26" s="4080"/>
      <c r="AW26" s="4080"/>
      <c r="AX26" s="4080"/>
      <c r="AY26" s="4080"/>
      <c r="AZ26" s="4080"/>
      <c r="BA26" s="4080"/>
    </row>
    <row r="27" spans="2:55" s="1447" customFormat="1" ht="49.5" customHeight="1">
      <c r="B27" s="1446" t="s">
        <v>153</v>
      </c>
      <c r="C27" s="4080" t="s">
        <v>1923</v>
      </c>
      <c r="D27" s="4080"/>
      <c r="E27" s="4080"/>
      <c r="F27" s="4080"/>
      <c r="G27" s="4080"/>
      <c r="H27" s="4080"/>
      <c r="I27" s="4080"/>
      <c r="J27" s="4080"/>
      <c r="K27" s="4080"/>
      <c r="L27" s="4080"/>
      <c r="M27" s="4080"/>
      <c r="N27" s="4080"/>
      <c r="O27" s="4080"/>
      <c r="P27" s="4080"/>
      <c r="Q27" s="4080"/>
      <c r="R27" s="4080"/>
      <c r="S27" s="4080"/>
      <c r="T27" s="4080"/>
      <c r="U27" s="4080"/>
      <c r="V27" s="4080"/>
      <c r="W27" s="4080"/>
      <c r="X27" s="4080"/>
      <c r="Y27" s="4080"/>
      <c r="Z27" s="4080"/>
      <c r="AA27" s="4080"/>
      <c r="AB27" s="4080"/>
      <c r="AC27" s="4080"/>
      <c r="AD27" s="4080"/>
      <c r="AE27" s="4080"/>
      <c r="AF27" s="4080"/>
      <c r="AG27" s="4080"/>
      <c r="AH27" s="4080"/>
      <c r="AI27" s="4080"/>
      <c r="AJ27" s="4080"/>
      <c r="AK27" s="4080"/>
      <c r="AL27" s="4080"/>
      <c r="AM27" s="4080"/>
      <c r="AN27" s="4080"/>
      <c r="AO27" s="4080"/>
      <c r="AP27" s="4080"/>
      <c r="AQ27" s="4080"/>
      <c r="AR27" s="4080"/>
      <c r="AS27" s="4080"/>
      <c r="AT27" s="4080"/>
      <c r="AU27" s="4080"/>
      <c r="AV27" s="4080"/>
      <c r="AW27" s="4080"/>
      <c r="AX27" s="4080"/>
      <c r="AY27" s="4080"/>
      <c r="AZ27" s="4080"/>
      <c r="BA27" s="4080"/>
    </row>
    <row r="28" spans="2:55" s="1447" customFormat="1" ht="69.650000000000006" customHeight="1">
      <c r="B28" s="1446" t="s">
        <v>154</v>
      </c>
      <c r="C28" s="4080" t="s">
        <v>1924</v>
      </c>
      <c r="D28" s="4080"/>
      <c r="E28" s="4080"/>
      <c r="F28" s="4080"/>
      <c r="G28" s="4080"/>
      <c r="H28" s="4080"/>
      <c r="I28" s="4080"/>
      <c r="J28" s="4080"/>
      <c r="K28" s="4080"/>
      <c r="L28" s="4080"/>
      <c r="M28" s="4080"/>
      <c r="N28" s="4080"/>
      <c r="O28" s="4080"/>
      <c r="P28" s="4080"/>
      <c r="Q28" s="4080"/>
      <c r="R28" s="4080"/>
      <c r="S28" s="4080"/>
      <c r="T28" s="4080"/>
      <c r="U28" s="4080"/>
      <c r="V28" s="4080"/>
      <c r="W28" s="4080"/>
      <c r="X28" s="4080"/>
      <c r="Y28" s="4080"/>
      <c r="Z28" s="4080"/>
      <c r="AA28" s="4080"/>
      <c r="AB28" s="4080"/>
      <c r="AC28" s="4080"/>
      <c r="AD28" s="4080"/>
      <c r="AE28" s="4080"/>
      <c r="AF28" s="4080"/>
      <c r="AG28" s="4080"/>
      <c r="AH28" s="4080"/>
      <c r="AI28" s="4080"/>
      <c r="AJ28" s="4080"/>
      <c r="AK28" s="4080"/>
      <c r="AL28" s="4080"/>
      <c r="AM28" s="4080"/>
      <c r="AN28" s="4080"/>
      <c r="AO28" s="4080"/>
      <c r="AP28" s="4080"/>
      <c r="AQ28" s="4080"/>
      <c r="AR28" s="4080"/>
      <c r="AS28" s="4080"/>
      <c r="AT28" s="4080"/>
      <c r="AU28" s="4080"/>
      <c r="AV28" s="4080"/>
      <c r="AW28" s="4080"/>
      <c r="AX28" s="4080"/>
      <c r="AY28" s="4080"/>
      <c r="AZ28" s="4080"/>
      <c r="BA28" s="4080"/>
    </row>
    <row r="29" spans="2:55" s="1447" customFormat="1" ht="38.5" customHeight="1">
      <c r="B29" s="1446" t="s">
        <v>155</v>
      </c>
      <c r="C29" s="4080" t="s">
        <v>1925</v>
      </c>
      <c r="D29" s="4080"/>
      <c r="E29" s="4080"/>
      <c r="F29" s="4080"/>
      <c r="G29" s="4080"/>
      <c r="H29" s="4080"/>
      <c r="I29" s="4080"/>
      <c r="J29" s="4080"/>
      <c r="K29" s="4080"/>
      <c r="L29" s="4080"/>
      <c r="M29" s="4080"/>
      <c r="N29" s="4080"/>
      <c r="O29" s="4080"/>
      <c r="P29" s="4080"/>
      <c r="Q29" s="4080"/>
      <c r="R29" s="4080"/>
      <c r="S29" s="4080"/>
      <c r="T29" s="4080"/>
      <c r="U29" s="4080"/>
      <c r="V29" s="4080"/>
      <c r="W29" s="4080"/>
      <c r="X29" s="4080"/>
      <c r="Y29" s="4080"/>
      <c r="Z29" s="4080"/>
      <c r="AA29" s="4080"/>
      <c r="AB29" s="4080"/>
      <c r="AC29" s="4080"/>
      <c r="AD29" s="4080"/>
      <c r="AE29" s="4080"/>
      <c r="AF29" s="4080"/>
      <c r="AG29" s="4080"/>
      <c r="AH29" s="4080"/>
      <c r="AI29" s="4080"/>
      <c r="AJ29" s="4080"/>
      <c r="AK29" s="4080"/>
      <c r="AL29" s="4080"/>
      <c r="AM29" s="4080"/>
      <c r="AN29" s="4080"/>
      <c r="AO29" s="4080"/>
      <c r="AP29" s="4080"/>
      <c r="AQ29" s="4080"/>
      <c r="AR29" s="4080"/>
      <c r="AS29" s="4080"/>
      <c r="AT29" s="4080"/>
      <c r="AU29" s="4080"/>
      <c r="AV29" s="4080"/>
      <c r="AW29" s="4080"/>
      <c r="AX29" s="4080"/>
      <c r="AY29" s="4080"/>
      <c r="AZ29" s="4080"/>
      <c r="BA29" s="4080"/>
    </row>
    <row r="30" spans="2:55" s="1447" customFormat="1" ht="70" customHeight="1">
      <c r="B30" s="1446" t="s">
        <v>156</v>
      </c>
      <c r="C30" s="4080" t="s">
        <v>1926</v>
      </c>
      <c r="D30" s="4080"/>
      <c r="E30" s="4080"/>
      <c r="F30" s="4080"/>
      <c r="G30" s="4080"/>
      <c r="H30" s="4080"/>
      <c r="I30" s="4080"/>
      <c r="J30" s="4080"/>
      <c r="K30" s="4080"/>
      <c r="L30" s="4080"/>
      <c r="M30" s="4080"/>
      <c r="N30" s="4080"/>
      <c r="O30" s="4080"/>
      <c r="P30" s="4080"/>
      <c r="Q30" s="4080"/>
      <c r="R30" s="4080"/>
      <c r="S30" s="4080"/>
      <c r="T30" s="4080"/>
      <c r="U30" s="4080"/>
      <c r="V30" s="4080"/>
      <c r="W30" s="4080"/>
      <c r="X30" s="4080"/>
      <c r="Y30" s="4080"/>
      <c r="Z30" s="4080"/>
      <c r="AA30" s="4080"/>
      <c r="AB30" s="4080"/>
      <c r="AC30" s="4080"/>
      <c r="AD30" s="4080"/>
      <c r="AE30" s="4080"/>
      <c r="AF30" s="4080"/>
      <c r="AG30" s="4080"/>
      <c r="AH30" s="4080"/>
      <c r="AI30" s="4080"/>
      <c r="AJ30" s="4080"/>
      <c r="AK30" s="4080"/>
      <c r="AL30" s="4080"/>
      <c r="AM30" s="4080"/>
      <c r="AN30" s="4080"/>
      <c r="AO30" s="4080"/>
      <c r="AP30" s="4080"/>
      <c r="AQ30" s="4080"/>
      <c r="AR30" s="4080"/>
      <c r="AS30" s="4080"/>
      <c r="AT30" s="4080"/>
      <c r="AU30" s="4080"/>
      <c r="AV30" s="4080"/>
      <c r="AW30" s="4080"/>
      <c r="AX30" s="4080"/>
      <c r="AY30" s="4080"/>
      <c r="AZ30" s="4080"/>
      <c r="BA30" s="4080"/>
    </row>
    <row r="31" spans="2:55" s="1447" customFormat="1" ht="38.15" customHeight="1">
      <c r="B31" s="1446" t="s">
        <v>157</v>
      </c>
      <c r="C31" s="4080" t="s">
        <v>1927</v>
      </c>
      <c r="D31" s="4080"/>
      <c r="E31" s="4080"/>
      <c r="F31" s="4080"/>
      <c r="G31" s="4080"/>
      <c r="H31" s="4080"/>
      <c r="I31" s="4080"/>
      <c r="J31" s="4080"/>
      <c r="K31" s="4080"/>
      <c r="L31" s="4080"/>
      <c r="M31" s="4080"/>
      <c r="N31" s="4080"/>
      <c r="O31" s="4080"/>
      <c r="P31" s="4080"/>
      <c r="Q31" s="4080"/>
      <c r="R31" s="4080"/>
      <c r="S31" s="4080"/>
      <c r="T31" s="4080"/>
      <c r="U31" s="4080"/>
      <c r="V31" s="4080"/>
      <c r="W31" s="4080"/>
      <c r="X31" s="4080"/>
      <c r="Y31" s="4080"/>
      <c r="Z31" s="4080"/>
      <c r="AA31" s="4080"/>
      <c r="AB31" s="4080"/>
      <c r="AC31" s="4080"/>
      <c r="AD31" s="4080"/>
      <c r="AE31" s="4080"/>
      <c r="AF31" s="4080"/>
      <c r="AG31" s="4080"/>
      <c r="AH31" s="4080"/>
      <c r="AI31" s="4080"/>
      <c r="AJ31" s="4080"/>
      <c r="AK31" s="4080"/>
      <c r="AL31" s="4080"/>
      <c r="AM31" s="4080"/>
      <c r="AN31" s="4080"/>
      <c r="AO31" s="4080"/>
      <c r="AP31" s="4080"/>
      <c r="AQ31" s="4080"/>
      <c r="AR31" s="4080"/>
      <c r="AS31" s="4080"/>
      <c r="AT31" s="4080"/>
      <c r="AU31" s="4080"/>
      <c r="AV31" s="4080"/>
      <c r="AW31" s="4080"/>
      <c r="AX31" s="4080"/>
      <c r="AY31" s="4080"/>
      <c r="AZ31" s="4080"/>
      <c r="BA31" s="4080"/>
    </row>
    <row r="32" spans="2:55" s="1447" customFormat="1" ht="51" customHeight="1">
      <c r="B32" s="1446" t="s">
        <v>158</v>
      </c>
      <c r="C32" s="4080" t="s">
        <v>1928</v>
      </c>
      <c r="D32" s="4080"/>
      <c r="E32" s="4080"/>
      <c r="F32" s="4080"/>
      <c r="G32" s="4080"/>
      <c r="H32" s="4080"/>
      <c r="I32" s="4080"/>
      <c r="J32" s="4080"/>
      <c r="K32" s="4080"/>
      <c r="L32" s="4080"/>
      <c r="M32" s="4080"/>
      <c r="N32" s="4080"/>
      <c r="O32" s="4080"/>
      <c r="P32" s="4080"/>
      <c r="Q32" s="4080"/>
      <c r="R32" s="4080"/>
      <c r="S32" s="4080"/>
      <c r="T32" s="4080"/>
      <c r="U32" s="4080"/>
      <c r="V32" s="4080"/>
      <c r="W32" s="4080"/>
      <c r="X32" s="4080"/>
      <c r="Y32" s="4080"/>
      <c r="Z32" s="4080"/>
      <c r="AA32" s="4080"/>
      <c r="AB32" s="4080"/>
      <c r="AC32" s="4080"/>
      <c r="AD32" s="4080"/>
      <c r="AE32" s="4080"/>
      <c r="AF32" s="4080"/>
      <c r="AG32" s="4080"/>
      <c r="AH32" s="4080"/>
      <c r="AI32" s="4080"/>
      <c r="AJ32" s="4080"/>
      <c r="AK32" s="4080"/>
      <c r="AL32" s="4080"/>
      <c r="AM32" s="4080"/>
      <c r="AN32" s="4080"/>
      <c r="AO32" s="4080"/>
      <c r="AP32" s="4080"/>
      <c r="AQ32" s="4080"/>
      <c r="AR32" s="4080"/>
      <c r="AS32" s="4080"/>
      <c r="AT32" s="4080"/>
      <c r="AU32" s="4080"/>
      <c r="AV32" s="4080"/>
      <c r="AW32" s="4080"/>
      <c r="AX32" s="4080"/>
      <c r="AY32" s="4080"/>
      <c r="AZ32" s="4080"/>
      <c r="BA32" s="4080"/>
    </row>
    <row r="33" spans="2:57" s="1447" customFormat="1" ht="15.65" customHeight="1">
      <c r="B33" s="1448"/>
      <c r="C33" s="1448"/>
      <c r="D33" s="1448"/>
      <c r="E33" s="1448"/>
      <c r="F33" s="1448"/>
      <c r="G33" s="1448"/>
      <c r="H33" s="1448"/>
      <c r="I33" s="1448"/>
      <c r="J33" s="1448"/>
      <c r="K33" s="1448"/>
      <c r="L33" s="1448"/>
      <c r="M33" s="1448"/>
      <c r="N33" s="1448"/>
      <c r="O33" s="1448"/>
      <c r="P33" s="1448"/>
      <c r="Q33" s="1448"/>
      <c r="R33" s="1448"/>
      <c r="S33" s="1448"/>
      <c r="T33" s="1448"/>
      <c r="U33" s="1448"/>
      <c r="V33" s="1448"/>
      <c r="W33" s="1448"/>
      <c r="X33" s="1448"/>
      <c r="Y33" s="1448"/>
      <c r="Z33" s="1448"/>
      <c r="AA33" s="1448"/>
    </row>
    <row r="34" spans="2:57" s="211" customFormat="1" ht="15.75" customHeight="1">
      <c r="B34" s="1449" t="s">
        <v>1246</v>
      </c>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c r="AA34" s="327"/>
      <c r="AB34" s="327"/>
      <c r="AC34" s="327"/>
      <c r="AD34" s="327"/>
      <c r="AE34" s="327"/>
      <c r="AG34" s="1447"/>
      <c r="AH34" s="1447"/>
      <c r="AI34" s="1447"/>
      <c r="AJ34" s="1447"/>
      <c r="AK34" s="1447"/>
      <c r="AL34" s="1447"/>
      <c r="AM34" s="1447"/>
      <c r="AN34" s="1447"/>
      <c r="AO34" s="1447"/>
      <c r="AP34" s="1447"/>
      <c r="AQ34" s="1447"/>
      <c r="AR34" s="1447"/>
      <c r="AS34" s="1447"/>
      <c r="AT34" s="1447"/>
      <c r="AU34" s="1447"/>
      <c r="AV34" s="1447"/>
      <c r="AW34" s="1447"/>
      <c r="AX34" s="1447"/>
      <c r="AY34" s="1447"/>
      <c r="AZ34" s="1447"/>
      <c r="BA34" s="1447"/>
      <c r="BB34" s="1447"/>
      <c r="BC34" s="1447"/>
      <c r="BD34" s="1447"/>
      <c r="BE34" s="1447"/>
    </row>
    <row r="35" spans="2:57" s="661" customFormat="1" ht="33.75" customHeight="1">
      <c r="C35" s="501"/>
      <c r="E35" s="501"/>
      <c r="G35" s="501"/>
      <c r="I35" s="501"/>
      <c r="K35" s="501"/>
      <c r="M35" s="501"/>
      <c r="R35" s="501"/>
      <c r="T35" s="501"/>
      <c r="V35" s="501"/>
      <c r="X35" s="501"/>
      <c r="Z35" s="501"/>
      <c r="AB35" s="501"/>
      <c r="AE35" s="501"/>
      <c r="AJ35" s="501"/>
      <c r="AL35" s="501"/>
      <c r="AN35" s="501"/>
      <c r="AP35" s="501"/>
      <c r="AR35" s="501"/>
      <c r="AT35" s="501"/>
    </row>
    <row r="36" spans="2:57" s="1235" customFormat="1" ht="14">
      <c r="B36" s="169" t="s">
        <v>847</v>
      </c>
      <c r="T36" s="169" t="s">
        <v>747</v>
      </c>
      <c r="AL36" s="169" t="s">
        <v>783</v>
      </c>
    </row>
    <row r="37" spans="2:57" s="1235" customFormat="1" ht="21.75" customHeight="1">
      <c r="B37" s="169" t="s">
        <v>756</v>
      </c>
      <c r="F37" s="3607" t="str">
        <f>activesheet!E29</f>
        <v>RICO S. MISPEROS</v>
      </c>
      <c r="G37" s="3607"/>
      <c r="H37" s="3607"/>
      <c r="I37" s="3607"/>
      <c r="J37" s="3607"/>
      <c r="K37" s="3607"/>
      <c r="L37" s="3607"/>
      <c r="M37" s="3607"/>
      <c r="N37" s="3607"/>
      <c r="O37" s="3607"/>
      <c r="P37" s="3607"/>
      <c r="Q37" s="3607"/>
      <c r="T37" s="3607" t="str">
        <f>activesheet!E3244</f>
        <v>ELYN KENDRA D. DELA CRUZ</v>
      </c>
      <c r="U37" s="3607"/>
      <c r="V37" s="3607"/>
      <c r="W37" s="3607"/>
      <c r="X37" s="3607"/>
      <c r="Y37" s="3607"/>
      <c r="Z37" s="3607"/>
      <c r="AA37" s="3607"/>
      <c r="AB37" s="3607"/>
      <c r="AC37" s="3607"/>
      <c r="AD37" s="3607"/>
      <c r="AE37" s="3607"/>
      <c r="AF37" s="3607"/>
      <c r="AG37" s="3607"/>
      <c r="AH37" s="3607"/>
      <c r="AI37" s="3607"/>
      <c r="AL37" s="1956" t="str">
        <f>activesheet!E31</f>
        <v>MICHAEL T. JAMIS</v>
      </c>
      <c r="AM37" s="1956"/>
      <c r="AN37" s="1956"/>
      <c r="AO37" s="1956"/>
      <c r="AP37" s="1956"/>
      <c r="AQ37" s="1956"/>
      <c r="AR37" s="1956"/>
      <c r="AS37" s="1956"/>
      <c r="AT37" s="1956"/>
      <c r="AU37" s="1956"/>
      <c r="AV37" s="1956"/>
      <c r="AW37" s="1956"/>
      <c r="AX37" s="1956"/>
      <c r="AY37" s="1956"/>
      <c r="AZ37" s="1956"/>
      <c r="BA37" s="1956"/>
    </row>
    <row r="38" spans="2:57" s="1237" customFormat="1" ht="15" customHeight="1">
      <c r="B38" s="655"/>
      <c r="F38" s="1764" t="s">
        <v>741</v>
      </c>
      <c r="G38" s="1764"/>
      <c r="H38" s="1764"/>
      <c r="I38" s="1764"/>
      <c r="J38" s="1764"/>
      <c r="K38" s="1764"/>
      <c r="L38" s="1764"/>
      <c r="M38" s="1764"/>
      <c r="N38" s="1764"/>
      <c r="O38" s="1764"/>
      <c r="P38" s="1764"/>
      <c r="Q38" s="1764"/>
      <c r="R38" s="655"/>
      <c r="S38" s="655"/>
      <c r="T38" s="1764" t="s">
        <v>741</v>
      </c>
      <c r="U38" s="1764"/>
      <c r="V38" s="1764"/>
      <c r="W38" s="1764"/>
      <c r="X38" s="1764"/>
      <c r="Y38" s="1764"/>
      <c r="Z38" s="1764"/>
      <c r="AA38" s="1764"/>
      <c r="AB38" s="1764"/>
      <c r="AC38" s="1764"/>
      <c r="AD38" s="1764"/>
      <c r="AE38" s="1764"/>
      <c r="AF38" s="1764"/>
      <c r="AG38" s="1764"/>
      <c r="AH38" s="1764"/>
      <c r="AI38" s="1764"/>
      <c r="AJ38" s="152"/>
      <c r="AK38" s="152"/>
      <c r="AL38" s="1957"/>
      <c r="AM38" s="1957"/>
      <c r="AN38" s="1957"/>
      <c r="AO38" s="1957"/>
      <c r="AP38" s="1957"/>
      <c r="AQ38" s="1957"/>
      <c r="AR38" s="1957"/>
      <c r="AS38" s="1957"/>
      <c r="AT38" s="1957"/>
      <c r="AU38" s="1957"/>
      <c r="AV38" s="1957"/>
      <c r="AW38" s="1957"/>
      <c r="AX38" s="1957"/>
      <c r="AY38" s="1957"/>
      <c r="AZ38" s="1957"/>
      <c r="BA38" s="1957"/>
    </row>
    <row r="39" spans="2:57" s="1235" customFormat="1" ht="21.75" customHeight="1">
      <c r="B39" s="169" t="s">
        <v>71</v>
      </c>
      <c r="F39" s="3607" t="str">
        <f>activesheet!E30</f>
        <v>SCHOOL PRINCIPAL II</v>
      </c>
      <c r="G39" s="3607"/>
      <c r="H39" s="3607"/>
      <c r="I39" s="3607"/>
      <c r="J39" s="3607"/>
      <c r="K39" s="3607"/>
      <c r="L39" s="3607"/>
      <c r="M39" s="3607"/>
      <c r="N39" s="3607"/>
      <c r="O39" s="3607"/>
      <c r="P39" s="3607"/>
      <c r="Q39" s="3607"/>
      <c r="S39" s="1236"/>
      <c r="T39" s="169" t="s">
        <v>71</v>
      </c>
      <c r="X39" s="3607" t="str">
        <f>activesheet!E3245</f>
        <v>Project Development Officer II</v>
      </c>
      <c r="Y39" s="3607"/>
      <c r="Z39" s="3607"/>
      <c r="AA39" s="3607"/>
      <c r="AB39" s="3607"/>
      <c r="AC39" s="3607"/>
      <c r="AD39" s="3607"/>
      <c r="AE39" s="3607"/>
      <c r="AF39" s="3607"/>
      <c r="AG39" s="3607"/>
      <c r="AH39" s="3607"/>
      <c r="AI39" s="3607"/>
      <c r="AL39" s="1764" t="s">
        <v>741</v>
      </c>
      <c r="AM39" s="1764"/>
      <c r="AN39" s="1764"/>
      <c r="AO39" s="1764"/>
      <c r="AP39" s="1764"/>
      <c r="AQ39" s="1764"/>
      <c r="AR39" s="1764"/>
      <c r="AS39" s="1764"/>
      <c r="AT39" s="1764"/>
      <c r="AU39" s="1764"/>
      <c r="AV39" s="1764"/>
      <c r="AW39" s="1764"/>
      <c r="AX39" s="1764"/>
      <c r="AY39" s="1764"/>
      <c r="AZ39" s="1764"/>
      <c r="BA39" s="1764"/>
    </row>
    <row r="40" spans="2:57">
      <c r="E40" s="1235"/>
    </row>
  </sheetData>
  <sheetProtection algorithmName="SHA-512" hashValue="AcVmi6b2ghPsn9o9e2dJlpucL1CDofsvoX2xn8depcPOOpji6Q818Ja+lblepprmUrB8ijdLK7VNA52gG+QXXQ==" saltValue="GgQ7UifFQUKq3qQ7vrLJqQ==" spinCount="100000" sheet="1" objects="1" scenarios="1" selectLockedCells="1"/>
  <mergeCells count="50">
    <mergeCell ref="F39:Q39"/>
    <mergeCell ref="X39:AI39"/>
    <mergeCell ref="AL39:BA39"/>
    <mergeCell ref="C31:BA31"/>
    <mergeCell ref="C32:BA32"/>
    <mergeCell ref="F37:Q37"/>
    <mergeCell ref="T37:AI37"/>
    <mergeCell ref="AL37:BA38"/>
    <mergeCell ref="F38:Q38"/>
    <mergeCell ref="T38:AI38"/>
    <mergeCell ref="C30:BA30"/>
    <mergeCell ref="Q15:S17"/>
    <mergeCell ref="T15:V17"/>
    <mergeCell ref="W15:Y17"/>
    <mergeCell ref="AG16:AY20"/>
    <mergeCell ref="D18:F19"/>
    <mergeCell ref="G18:Y22"/>
    <mergeCell ref="C25:BA25"/>
    <mergeCell ref="C26:BA26"/>
    <mergeCell ref="C27:BA27"/>
    <mergeCell ref="C28:BA28"/>
    <mergeCell ref="C29:BA29"/>
    <mergeCell ref="W9:Y11"/>
    <mergeCell ref="AG10:AY11"/>
    <mergeCell ref="E12:M14"/>
    <mergeCell ref="N12:P14"/>
    <mergeCell ref="Q12:S14"/>
    <mergeCell ref="T12:V14"/>
    <mergeCell ref="W12:Y14"/>
    <mergeCell ref="AG12:AY13"/>
    <mergeCell ref="AG14:AY15"/>
    <mergeCell ref="F15:M17"/>
    <mergeCell ref="N15:P17"/>
    <mergeCell ref="D9:D11"/>
    <mergeCell ref="E9:M11"/>
    <mergeCell ref="N9:P11"/>
    <mergeCell ref="Q9:S11"/>
    <mergeCell ref="T9:V11"/>
    <mergeCell ref="D4:Z4"/>
    <mergeCell ref="AF4:AU5"/>
    <mergeCell ref="AW4:AY5"/>
    <mergeCell ref="D5:M8"/>
    <mergeCell ref="N5:S7"/>
    <mergeCell ref="T5:Y7"/>
    <mergeCell ref="AF7:AU8"/>
    <mergeCell ref="AW7:AY8"/>
    <mergeCell ref="N8:P8"/>
    <mergeCell ref="Q8:S8"/>
    <mergeCell ref="T8:V8"/>
    <mergeCell ref="W8:Y8"/>
  </mergeCells>
  <dataValidations count="1">
    <dataValidation type="whole" allowBlank="1" showInputMessage="1" showErrorMessage="1" errorTitle="GESP SY 2022-2023" error="Please enter valid number between 0 - 999." sqref="N9:Y17 AW4:AY5 AW7:AY8" xr:uid="{00000000-0002-0000-3800-000000000000}">
      <formula1>0</formula1>
      <formula2>999</formula2>
    </dataValidation>
  </dataValidations>
  <printOptions horizontalCentered="1" verticalCentered="1"/>
  <pageMargins left="0.25" right="0.25" top="0.2" bottom="0.2" header="0" footer="0.1"/>
  <pageSetup paperSize="9" scale="66" orientation="landscape" r:id="rId1"/>
  <headerFooter>
    <oddFooter>&amp;L&amp;10&amp;F &amp;A&amp;R&amp;10Page 53 of 60</oddFooter>
  </headerFooter>
  <ignoredErrors>
    <ignoredError sqref="C4 D9:D12 AE4:AE16"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heck Box 1">
              <controlPr locked="0" defaultSize="0" autoFill="0" autoLine="0" autoPict="0">
                <anchor moveWithCells="1">
                  <from>
                    <xdr:col>31</xdr:col>
                    <xdr:colOff>50800</xdr:colOff>
                    <xdr:row>8</xdr:row>
                    <xdr:rowOff>69850</xdr:rowOff>
                  </from>
                  <to>
                    <xdr:col>33</xdr:col>
                    <xdr:colOff>260350</xdr:colOff>
                    <xdr:row>10</xdr:row>
                    <xdr:rowOff>12700</xdr:rowOff>
                  </to>
                </anchor>
              </controlPr>
            </control>
          </mc:Choice>
        </mc:AlternateContent>
        <mc:AlternateContent xmlns:mc="http://schemas.openxmlformats.org/markup-compatibility/2006">
          <mc:Choice Requires="x14">
            <control shapeId="222210" r:id="rId5" name="Check Box 2">
              <controlPr locked="0" defaultSize="0" autoFill="0" autoLine="0" autoPict="0">
                <anchor moveWithCells="1">
                  <from>
                    <xdr:col>31</xdr:col>
                    <xdr:colOff>50800</xdr:colOff>
                    <xdr:row>11</xdr:row>
                    <xdr:rowOff>0</xdr:rowOff>
                  </from>
                  <to>
                    <xdr:col>33</xdr:col>
                    <xdr:colOff>260350</xdr:colOff>
                    <xdr:row>12</xdr:row>
                    <xdr:rowOff>12700</xdr:rowOff>
                  </to>
                </anchor>
              </controlPr>
            </control>
          </mc:Choice>
        </mc:AlternateContent>
        <mc:AlternateContent xmlns:mc="http://schemas.openxmlformats.org/markup-compatibility/2006">
          <mc:Choice Requires="x14">
            <control shapeId="222211" r:id="rId6" name="Check Box 3">
              <controlPr locked="0" defaultSize="0" autoFill="0" autoLine="0" autoPict="0">
                <anchor moveWithCells="1">
                  <from>
                    <xdr:col>31</xdr:col>
                    <xdr:colOff>50800</xdr:colOff>
                    <xdr:row>13</xdr:row>
                    <xdr:rowOff>0</xdr:rowOff>
                  </from>
                  <to>
                    <xdr:col>33</xdr:col>
                    <xdr:colOff>260350</xdr:colOff>
                    <xdr:row>14</xdr:row>
                    <xdr:rowOff>12700</xdr:rowOff>
                  </to>
                </anchor>
              </controlPr>
            </control>
          </mc:Choice>
        </mc:AlternateContent>
        <mc:AlternateContent xmlns:mc="http://schemas.openxmlformats.org/markup-compatibility/2006">
          <mc:Choice Requires="x14">
            <control shapeId="222212" r:id="rId7" name="Check Box 4">
              <controlPr locked="0" defaultSize="0" autoFill="0" autoLine="0" autoPict="0">
                <anchor moveWithCells="1">
                  <from>
                    <xdr:col>31</xdr:col>
                    <xdr:colOff>50800</xdr:colOff>
                    <xdr:row>15</xdr:row>
                    <xdr:rowOff>0</xdr:rowOff>
                  </from>
                  <to>
                    <xdr:col>33</xdr:col>
                    <xdr:colOff>260350</xdr:colOff>
                    <xdr:row>16</xdr:row>
                    <xdr:rowOff>12700</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pageSetUpPr fitToPage="1"/>
  </sheetPr>
  <dimension ref="B1:BX18"/>
  <sheetViews>
    <sheetView showGridLines="0" topLeftCell="A14" zoomScaleNormal="100" zoomScaleSheetLayoutView="100" workbookViewId="0">
      <selection activeCell="B2" sqref="B2"/>
    </sheetView>
  </sheetViews>
  <sheetFormatPr defaultColWidth="8" defaultRowHeight="15.5"/>
  <cols>
    <col min="1" max="1" width="2.08203125" style="1434" customWidth="1"/>
    <col min="2" max="3" width="3.58203125" style="1434" customWidth="1"/>
    <col min="4" max="30" width="3.58203125" style="1444" customWidth="1"/>
    <col min="31" max="33" width="3.58203125" style="1434" customWidth="1"/>
    <col min="34" max="34" width="2.08203125" style="1434" customWidth="1"/>
    <col min="35" max="53" width="3.58203125" style="1434" customWidth="1"/>
    <col min="54" max="54" width="2.08203125" style="1434" customWidth="1"/>
    <col min="55" max="166" width="3.58203125" style="1434" customWidth="1"/>
    <col min="167" max="16384" width="8" style="1434"/>
  </cols>
  <sheetData>
    <row r="1" spans="2:76" ht="12" customHeight="1"/>
    <row r="2" spans="2:76" s="211" customFormat="1" ht="15.75" customHeight="1">
      <c r="B2" s="868" t="s">
        <v>1929</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6"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6" s="1447" customFormat="1" ht="38.15" customHeight="1">
      <c r="B4" s="1446" t="s">
        <v>159</v>
      </c>
      <c r="C4" s="4080" t="s">
        <v>1930</v>
      </c>
      <c r="D4" s="4080"/>
      <c r="E4" s="4080"/>
      <c r="F4" s="4080"/>
      <c r="G4" s="4080"/>
      <c r="H4" s="4080"/>
      <c r="I4" s="4080"/>
      <c r="J4" s="4080"/>
      <c r="K4" s="4080"/>
      <c r="L4" s="4080"/>
      <c r="M4" s="4080"/>
      <c r="N4" s="4080"/>
      <c r="O4" s="4080"/>
      <c r="P4" s="4080"/>
      <c r="Q4" s="4080"/>
      <c r="R4" s="4080"/>
      <c r="S4" s="4080"/>
      <c r="T4" s="4080"/>
      <c r="U4" s="4080"/>
      <c r="V4" s="4080"/>
      <c r="W4" s="4080"/>
      <c r="X4" s="4080"/>
      <c r="Y4" s="4080"/>
      <c r="Z4" s="4080"/>
      <c r="AA4" s="4080"/>
      <c r="AB4" s="4080"/>
      <c r="AC4" s="4080"/>
      <c r="AD4" s="4080"/>
      <c r="AE4" s="4080"/>
      <c r="AF4" s="4080"/>
      <c r="AG4" s="4080"/>
      <c r="AH4" s="4080"/>
      <c r="AI4" s="4080"/>
      <c r="AJ4" s="4080"/>
      <c r="AK4" s="4080"/>
      <c r="AL4" s="4080"/>
      <c r="AM4" s="4080"/>
      <c r="AN4" s="4080"/>
      <c r="AO4" s="4080"/>
      <c r="AP4" s="4080"/>
      <c r="AQ4" s="4080"/>
      <c r="AR4" s="4080"/>
      <c r="AS4" s="4080"/>
      <c r="AT4" s="4080"/>
      <c r="AU4" s="4080"/>
      <c r="AV4" s="4080"/>
      <c r="AW4" s="4080"/>
      <c r="AX4" s="4080"/>
      <c r="AY4" s="4080"/>
      <c r="AZ4" s="4080"/>
      <c r="BA4" s="4080"/>
      <c r="BB4" s="1434"/>
      <c r="BC4" s="1434"/>
    </row>
    <row r="5" spans="2:76" s="1447" customFormat="1" ht="96.65" customHeight="1">
      <c r="B5" s="1446" t="s">
        <v>160</v>
      </c>
      <c r="C5" s="4080" t="s">
        <v>1931</v>
      </c>
      <c r="D5" s="4080"/>
      <c r="E5" s="4080"/>
      <c r="F5" s="4080"/>
      <c r="G5" s="4080"/>
      <c r="H5" s="4080"/>
      <c r="I5" s="4080"/>
      <c r="J5" s="4080"/>
      <c r="K5" s="4080"/>
      <c r="L5" s="4080"/>
      <c r="M5" s="4080"/>
      <c r="N5" s="4080"/>
      <c r="O5" s="4080"/>
      <c r="P5" s="4080"/>
      <c r="Q5" s="4080"/>
      <c r="R5" s="4080"/>
      <c r="S5" s="4080"/>
      <c r="T5" s="4080"/>
      <c r="U5" s="4080"/>
      <c r="V5" s="4080"/>
      <c r="W5" s="4080"/>
      <c r="X5" s="4080"/>
      <c r="Y5" s="4080"/>
      <c r="Z5" s="4080"/>
      <c r="AA5" s="4080"/>
      <c r="AB5" s="4080"/>
      <c r="AC5" s="4080"/>
      <c r="AD5" s="4080"/>
      <c r="AE5" s="4080"/>
      <c r="AF5" s="4080"/>
      <c r="AG5" s="4080"/>
      <c r="AH5" s="4080"/>
      <c r="AI5" s="4080"/>
      <c r="AJ5" s="4080"/>
      <c r="AK5" s="4080"/>
      <c r="AL5" s="4080"/>
      <c r="AM5" s="4080"/>
      <c r="AN5" s="4080"/>
      <c r="AO5" s="4080"/>
      <c r="AP5" s="4080"/>
      <c r="AQ5" s="4080"/>
      <c r="AR5" s="4080"/>
      <c r="AS5" s="4080"/>
      <c r="AT5" s="4080"/>
      <c r="AU5" s="4080"/>
      <c r="AV5" s="4080"/>
      <c r="AW5" s="4080"/>
      <c r="AX5" s="4080"/>
      <c r="AY5" s="4080"/>
      <c r="AZ5" s="4080"/>
      <c r="BA5" s="4080"/>
      <c r="BB5" s="1434"/>
      <c r="BC5" s="1434"/>
    </row>
    <row r="6" spans="2:76" s="1447" customFormat="1" ht="50.15" customHeight="1">
      <c r="B6" s="1446" t="s">
        <v>161</v>
      </c>
      <c r="C6" s="4080" t="s">
        <v>1932</v>
      </c>
      <c r="D6" s="4080"/>
      <c r="E6" s="4080"/>
      <c r="F6" s="4080"/>
      <c r="G6" s="4080"/>
      <c r="H6" s="4080"/>
      <c r="I6" s="4080"/>
      <c r="J6" s="4080"/>
      <c r="K6" s="4080"/>
      <c r="L6" s="4080"/>
      <c r="M6" s="4080"/>
      <c r="N6" s="4080"/>
      <c r="O6" s="4080"/>
      <c r="P6" s="4080"/>
      <c r="Q6" s="4080"/>
      <c r="R6" s="4080"/>
      <c r="S6" s="4080"/>
      <c r="T6" s="4080"/>
      <c r="U6" s="4080"/>
      <c r="V6" s="4080"/>
      <c r="W6" s="4080"/>
      <c r="X6" s="4080"/>
      <c r="Y6" s="4080"/>
      <c r="Z6" s="4080"/>
      <c r="AA6" s="4080"/>
      <c r="AB6" s="4080"/>
      <c r="AC6" s="4080"/>
      <c r="AD6" s="4080"/>
      <c r="AE6" s="4080"/>
      <c r="AF6" s="4080"/>
      <c r="AG6" s="4080"/>
      <c r="AH6" s="4080"/>
      <c r="AI6" s="4080"/>
      <c r="AJ6" s="4080"/>
      <c r="AK6" s="4080"/>
      <c r="AL6" s="4080"/>
      <c r="AM6" s="4080"/>
      <c r="AN6" s="4080"/>
      <c r="AO6" s="4080"/>
      <c r="AP6" s="4080"/>
      <c r="AQ6" s="4080"/>
      <c r="AR6" s="4080"/>
      <c r="AS6" s="4080"/>
      <c r="AT6" s="4080"/>
      <c r="AU6" s="4080"/>
      <c r="AV6" s="4080"/>
      <c r="AW6" s="4080"/>
      <c r="AX6" s="4080"/>
      <c r="AY6" s="4080"/>
      <c r="AZ6" s="4080"/>
      <c r="BA6" s="4080"/>
      <c r="BB6" s="1434"/>
      <c r="BC6" s="1434"/>
    </row>
    <row r="7" spans="2:76" s="1447" customFormat="1" ht="50.15" customHeight="1">
      <c r="B7" s="1446" t="s">
        <v>162</v>
      </c>
      <c r="C7" s="4080" t="s">
        <v>1933</v>
      </c>
      <c r="D7" s="4080"/>
      <c r="E7" s="4080"/>
      <c r="F7" s="4080"/>
      <c r="G7" s="4080"/>
      <c r="H7" s="4080"/>
      <c r="I7" s="4080"/>
      <c r="J7" s="4080"/>
      <c r="K7" s="4080"/>
      <c r="L7" s="4080"/>
      <c r="M7" s="4080"/>
      <c r="N7" s="4080"/>
      <c r="O7" s="4080"/>
      <c r="P7" s="4080"/>
      <c r="Q7" s="4080"/>
      <c r="R7" s="4080"/>
      <c r="S7" s="4080"/>
      <c r="T7" s="4080"/>
      <c r="U7" s="4080"/>
      <c r="V7" s="4080"/>
      <c r="W7" s="4080"/>
      <c r="X7" s="4080"/>
      <c r="Y7" s="4080"/>
      <c r="Z7" s="4080"/>
      <c r="AA7" s="4080"/>
      <c r="AB7" s="4080"/>
      <c r="AC7" s="4080"/>
      <c r="AD7" s="4080"/>
      <c r="AE7" s="4080"/>
      <c r="AF7" s="4080"/>
      <c r="AG7" s="4080"/>
      <c r="AH7" s="4080"/>
      <c r="AI7" s="4080"/>
      <c r="AJ7" s="4080"/>
      <c r="AK7" s="4080"/>
      <c r="AL7" s="4080"/>
      <c r="AM7" s="4080"/>
      <c r="AN7" s="4080"/>
      <c r="AO7" s="4080"/>
      <c r="AP7" s="4080"/>
      <c r="AQ7" s="4080"/>
      <c r="AR7" s="4080"/>
      <c r="AS7" s="4080"/>
      <c r="AT7" s="4080"/>
      <c r="AU7" s="4080"/>
      <c r="AV7" s="4080"/>
      <c r="AW7" s="4080"/>
      <c r="AX7" s="4080"/>
      <c r="AY7" s="4080"/>
      <c r="AZ7" s="4080"/>
      <c r="BA7" s="4080"/>
      <c r="BB7" s="1434"/>
      <c r="BC7" s="1434"/>
    </row>
    <row r="8" spans="2:76" s="1447" customFormat="1" ht="50.15" customHeight="1">
      <c r="B8" s="1446" t="s">
        <v>163</v>
      </c>
      <c r="C8" s="4080" t="s">
        <v>1934</v>
      </c>
      <c r="D8" s="4080"/>
      <c r="E8" s="4080"/>
      <c r="F8" s="4080"/>
      <c r="G8" s="4080"/>
      <c r="H8" s="4080"/>
      <c r="I8" s="4080"/>
      <c r="J8" s="4080"/>
      <c r="K8" s="4080"/>
      <c r="L8" s="4080"/>
      <c r="M8" s="4080"/>
      <c r="N8" s="4080"/>
      <c r="O8" s="4080"/>
      <c r="P8" s="4080"/>
      <c r="Q8" s="4080"/>
      <c r="R8" s="4080"/>
      <c r="S8" s="4080"/>
      <c r="T8" s="4080"/>
      <c r="U8" s="4080"/>
      <c r="V8" s="4080"/>
      <c r="W8" s="4080"/>
      <c r="X8" s="4080"/>
      <c r="Y8" s="4080"/>
      <c r="Z8" s="4080"/>
      <c r="AA8" s="4080"/>
      <c r="AB8" s="4080"/>
      <c r="AC8" s="4080"/>
      <c r="AD8" s="4080"/>
      <c r="AE8" s="4080"/>
      <c r="AF8" s="4080"/>
      <c r="AG8" s="4080"/>
      <c r="AH8" s="4080"/>
      <c r="AI8" s="4080"/>
      <c r="AJ8" s="4080"/>
      <c r="AK8" s="4080"/>
      <c r="AL8" s="4080"/>
      <c r="AM8" s="4080"/>
      <c r="AN8" s="4080"/>
      <c r="AO8" s="4080"/>
      <c r="AP8" s="4080"/>
      <c r="AQ8" s="4080"/>
      <c r="AR8" s="4080"/>
      <c r="AS8" s="4080"/>
      <c r="AT8" s="4080"/>
      <c r="AU8" s="4080"/>
      <c r="AV8" s="4080"/>
      <c r="AW8" s="4080"/>
      <c r="AX8" s="4080"/>
      <c r="AY8" s="4080"/>
      <c r="AZ8" s="4080"/>
      <c r="BA8" s="4080"/>
      <c r="BB8" s="1434"/>
      <c r="BC8" s="1434"/>
    </row>
    <row r="9" spans="2:76" s="1447" customFormat="1" ht="50.15" customHeight="1">
      <c r="B9" s="1446" t="s">
        <v>164</v>
      </c>
      <c r="C9" s="4080" t="s">
        <v>1935</v>
      </c>
      <c r="D9" s="4080"/>
      <c r="E9" s="4080"/>
      <c r="F9" s="4080"/>
      <c r="G9" s="4080"/>
      <c r="H9" s="4080"/>
      <c r="I9" s="4080"/>
      <c r="J9" s="4080"/>
      <c r="K9" s="4080"/>
      <c r="L9" s="4080"/>
      <c r="M9" s="4080"/>
      <c r="N9" s="4080"/>
      <c r="O9" s="4080"/>
      <c r="P9" s="4080"/>
      <c r="Q9" s="4080"/>
      <c r="R9" s="4080"/>
      <c r="S9" s="4080"/>
      <c r="T9" s="4080"/>
      <c r="U9" s="4080"/>
      <c r="V9" s="4080"/>
      <c r="W9" s="4080"/>
      <c r="X9" s="4080"/>
      <c r="Y9" s="4080"/>
      <c r="Z9" s="4080"/>
      <c r="AA9" s="4080"/>
      <c r="AB9" s="4080"/>
      <c r="AC9" s="4080"/>
      <c r="AD9" s="4080"/>
      <c r="AE9" s="4080"/>
      <c r="AF9" s="4080"/>
      <c r="AG9" s="4080"/>
      <c r="AH9" s="4080"/>
      <c r="AI9" s="4080"/>
      <c r="AJ9" s="4080"/>
      <c r="AK9" s="4080"/>
      <c r="AL9" s="4080"/>
      <c r="AM9" s="4080"/>
      <c r="AN9" s="4080"/>
      <c r="AO9" s="4080"/>
      <c r="AP9" s="4080"/>
      <c r="AQ9" s="4080"/>
      <c r="AR9" s="4080"/>
      <c r="AS9" s="4080"/>
      <c r="AT9" s="4080"/>
      <c r="AU9" s="4080"/>
      <c r="AV9" s="4080"/>
      <c r="AW9" s="4080"/>
      <c r="AX9" s="4080"/>
      <c r="AY9" s="4080"/>
      <c r="AZ9" s="4080"/>
      <c r="BA9" s="4080"/>
      <c r="BB9" s="1434"/>
      <c r="BC9" s="1434"/>
    </row>
    <row r="10" spans="2:76" s="1447" customFormat="1" ht="50.15" customHeight="1">
      <c r="B10" s="1446" t="s">
        <v>706</v>
      </c>
      <c r="C10" s="4080" t="s">
        <v>1936</v>
      </c>
      <c r="D10" s="4080"/>
      <c r="E10" s="4080"/>
      <c r="F10" s="4080"/>
      <c r="G10" s="4080"/>
      <c r="H10" s="4080"/>
      <c r="I10" s="4080"/>
      <c r="J10" s="4080"/>
      <c r="K10" s="4080"/>
      <c r="L10" s="4080"/>
      <c r="M10" s="4080"/>
      <c r="N10" s="4080"/>
      <c r="O10" s="4080"/>
      <c r="P10" s="4080"/>
      <c r="Q10" s="4080"/>
      <c r="R10" s="4080"/>
      <c r="S10" s="4080"/>
      <c r="T10" s="4080"/>
      <c r="U10" s="4080"/>
      <c r="V10" s="4080"/>
      <c r="W10" s="4080"/>
      <c r="X10" s="4080"/>
      <c r="Y10" s="4080"/>
      <c r="Z10" s="4080"/>
      <c r="AA10" s="4080"/>
      <c r="AB10" s="4080"/>
      <c r="AC10" s="4080"/>
      <c r="AD10" s="4080"/>
      <c r="AE10" s="4080"/>
      <c r="AF10" s="4080"/>
      <c r="AG10" s="4080"/>
      <c r="AH10" s="4080"/>
      <c r="AI10" s="4080"/>
      <c r="AJ10" s="4080"/>
      <c r="AK10" s="4080"/>
      <c r="AL10" s="4080"/>
      <c r="AM10" s="4080"/>
      <c r="AN10" s="4080"/>
      <c r="AO10" s="4080"/>
      <c r="AP10" s="4080"/>
      <c r="AQ10" s="4080"/>
      <c r="AR10" s="4080"/>
      <c r="AS10" s="4080"/>
      <c r="AT10" s="4080"/>
      <c r="AU10" s="4080"/>
      <c r="AV10" s="4080"/>
      <c r="AW10" s="4080"/>
      <c r="AX10" s="4080"/>
      <c r="AY10" s="4080"/>
      <c r="AZ10" s="4080"/>
      <c r="BA10" s="4080"/>
      <c r="BB10" s="1434"/>
      <c r="BC10" s="1434"/>
    </row>
    <row r="11" spans="2:76" s="1447" customFormat="1" ht="50.15" customHeight="1">
      <c r="B11" s="1446" t="s">
        <v>704</v>
      </c>
      <c r="C11" s="4080" t="s">
        <v>1937</v>
      </c>
      <c r="D11" s="4080"/>
      <c r="E11" s="4080"/>
      <c r="F11" s="4080"/>
      <c r="G11" s="4080"/>
      <c r="H11" s="4080"/>
      <c r="I11" s="4080"/>
      <c r="J11" s="4080"/>
      <c r="K11" s="4080"/>
      <c r="L11" s="4080"/>
      <c r="M11" s="4080"/>
      <c r="N11" s="4080"/>
      <c r="O11" s="4080"/>
      <c r="P11" s="4080"/>
      <c r="Q11" s="4080"/>
      <c r="R11" s="4080"/>
      <c r="S11" s="4080"/>
      <c r="T11" s="4080"/>
      <c r="U11" s="4080"/>
      <c r="V11" s="4080"/>
      <c r="W11" s="4080"/>
      <c r="X11" s="4080"/>
      <c r="Y11" s="4080"/>
      <c r="Z11" s="4080"/>
      <c r="AA11" s="4080"/>
      <c r="AB11" s="4080"/>
      <c r="AC11" s="4080"/>
      <c r="AD11" s="4080"/>
      <c r="AE11" s="4080"/>
      <c r="AF11" s="4080"/>
      <c r="AG11" s="4080"/>
      <c r="AH11" s="4080"/>
      <c r="AI11" s="4080"/>
      <c r="AJ11" s="4080"/>
      <c r="AK11" s="4080"/>
      <c r="AL11" s="4080"/>
      <c r="AM11" s="4080"/>
      <c r="AN11" s="4080"/>
      <c r="AO11" s="4080"/>
      <c r="AP11" s="4080"/>
      <c r="AQ11" s="4080"/>
      <c r="AR11" s="4080"/>
      <c r="AS11" s="4080"/>
      <c r="AT11" s="4080"/>
      <c r="AU11" s="4080"/>
      <c r="AV11" s="4080"/>
      <c r="AW11" s="4080"/>
      <c r="AX11" s="4080"/>
      <c r="AY11" s="4080"/>
      <c r="AZ11" s="4080"/>
      <c r="BA11" s="4080"/>
      <c r="BB11" s="1434"/>
      <c r="BC11" s="1434"/>
    </row>
    <row r="12" spans="2:76" s="1447" customFormat="1" ht="35.15" customHeight="1">
      <c r="B12" s="1446" t="s">
        <v>702</v>
      </c>
      <c r="C12" s="4080" t="s">
        <v>1938</v>
      </c>
      <c r="D12" s="4080"/>
      <c r="E12" s="4080"/>
      <c r="F12" s="4080"/>
      <c r="G12" s="4080"/>
      <c r="H12" s="4080"/>
      <c r="I12" s="4080"/>
      <c r="J12" s="4080"/>
      <c r="K12" s="4080"/>
      <c r="L12" s="4080"/>
      <c r="M12" s="4080"/>
      <c r="N12" s="4080"/>
      <c r="O12" s="4080"/>
      <c r="P12" s="4080"/>
      <c r="Q12" s="4080"/>
      <c r="R12" s="4080"/>
      <c r="S12" s="4080"/>
      <c r="T12" s="4080"/>
      <c r="U12" s="4080"/>
      <c r="V12" s="4080"/>
      <c r="W12" s="4080"/>
      <c r="X12" s="4080"/>
      <c r="Y12" s="4080"/>
      <c r="Z12" s="4080"/>
      <c r="AA12" s="4080"/>
      <c r="AB12" s="4080"/>
      <c r="AC12" s="4080"/>
      <c r="AD12" s="4080"/>
      <c r="AE12" s="4080"/>
      <c r="AF12" s="4080"/>
      <c r="AG12" s="4080"/>
      <c r="AH12" s="4080"/>
      <c r="AI12" s="4080"/>
      <c r="AJ12" s="4080"/>
      <c r="AK12" s="4080"/>
      <c r="AL12" s="4080"/>
      <c r="AM12" s="4080"/>
      <c r="AN12" s="4080"/>
      <c r="AO12" s="4080"/>
      <c r="AP12" s="4080"/>
      <c r="AQ12" s="4080"/>
      <c r="AR12" s="4080"/>
      <c r="AS12" s="4080"/>
      <c r="AT12" s="4080"/>
      <c r="AU12" s="4080"/>
      <c r="AV12" s="4080"/>
      <c r="AW12" s="4080"/>
      <c r="AX12" s="4080"/>
      <c r="AY12" s="4080"/>
      <c r="AZ12" s="4080"/>
      <c r="BA12" s="4080"/>
      <c r="BB12" s="1434"/>
      <c r="BC12" s="1434"/>
    </row>
    <row r="13" spans="2:76" s="1447" customFormat="1" ht="85.5" customHeight="1">
      <c r="B13" s="1446" t="s">
        <v>700</v>
      </c>
      <c r="C13" s="4080" t="s">
        <v>1939</v>
      </c>
      <c r="D13" s="4080"/>
      <c r="E13" s="4080"/>
      <c r="F13" s="4080"/>
      <c r="G13" s="4080"/>
      <c r="H13" s="4080"/>
      <c r="I13" s="4080"/>
      <c r="J13" s="4080"/>
      <c r="K13" s="4080"/>
      <c r="L13" s="4080"/>
      <c r="M13" s="4080"/>
      <c r="N13" s="4080"/>
      <c r="O13" s="4080"/>
      <c r="P13" s="4080"/>
      <c r="Q13" s="4080"/>
      <c r="R13" s="4080"/>
      <c r="S13" s="4080"/>
      <c r="T13" s="4080"/>
      <c r="U13" s="4080"/>
      <c r="V13" s="4080"/>
      <c r="W13" s="4080"/>
      <c r="X13" s="4080"/>
      <c r="Y13" s="4080"/>
      <c r="Z13" s="4080"/>
      <c r="AA13" s="4080"/>
      <c r="AB13" s="4080"/>
      <c r="AC13" s="4080"/>
      <c r="AD13" s="4080"/>
      <c r="AE13" s="4080"/>
      <c r="AF13" s="4080"/>
      <c r="AG13" s="4080"/>
      <c r="AH13" s="4080"/>
      <c r="AI13" s="4080"/>
      <c r="AJ13" s="4080"/>
      <c r="AK13" s="4080"/>
      <c r="AL13" s="4080"/>
      <c r="AM13" s="4080"/>
      <c r="AN13" s="4080"/>
      <c r="AO13" s="4080"/>
      <c r="AP13" s="4080"/>
      <c r="AQ13" s="4080"/>
      <c r="AR13" s="4080"/>
      <c r="AS13" s="4080"/>
      <c r="AT13" s="4080"/>
      <c r="AU13" s="4080"/>
      <c r="AV13" s="4080"/>
      <c r="AW13" s="4080"/>
      <c r="AX13" s="4080"/>
      <c r="AY13" s="4080"/>
      <c r="AZ13" s="4080"/>
      <c r="BA13" s="4080"/>
      <c r="BB13" s="1434"/>
      <c r="BC13" s="1434"/>
    </row>
    <row r="14" spans="2:76" s="1447" customFormat="1" ht="66.650000000000006" customHeight="1">
      <c r="B14" s="1446" t="s">
        <v>698</v>
      </c>
      <c r="C14" s="4080" t="s">
        <v>1940</v>
      </c>
      <c r="D14" s="4080"/>
      <c r="E14" s="4080"/>
      <c r="F14" s="4080"/>
      <c r="G14" s="4080"/>
      <c r="H14" s="4080"/>
      <c r="I14" s="4080"/>
      <c r="J14" s="4080"/>
      <c r="K14" s="4080"/>
      <c r="L14" s="4080"/>
      <c r="M14" s="4080"/>
      <c r="N14" s="4080"/>
      <c r="O14" s="4080"/>
      <c r="P14" s="4080"/>
      <c r="Q14" s="4080"/>
      <c r="R14" s="4080"/>
      <c r="S14" s="4080"/>
      <c r="T14" s="4080"/>
      <c r="U14" s="4080"/>
      <c r="V14" s="4080"/>
      <c r="W14" s="4080"/>
      <c r="X14" s="4080"/>
      <c r="Y14" s="4080"/>
      <c r="Z14" s="4080"/>
      <c r="AA14" s="4080"/>
      <c r="AB14" s="4080"/>
      <c r="AC14" s="4080"/>
      <c r="AD14" s="4080"/>
      <c r="AE14" s="4080"/>
      <c r="AF14" s="4080"/>
      <c r="AG14" s="4080"/>
      <c r="AH14" s="4080"/>
      <c r="AI14" s="4080"/>
      <c r="AJ14" s="4080"/>
      <c r="AK14" s="4080"/>
      <c r="AL14" s="4080"/>
      <c r="AM14" s="4080"/>
      <c r="AN14" s="4080"/>
      <c r="AO14" s="4080"/>
      <c r="AP14" s="4080"/>
      <c r="AQ14" s="4080"/>
      <c r="AR14" s="4080"/>
      <c r="AS14" s="4080"/>
      <c r="AT14" s="4080"/>
      <c r="AU14" s="4080"/>
      <c r="AV14" s="4080"/>
      <c r="AW14" s="4080"/>
      <c r="AX14" s="4080"/>
      <c r="AY14" s="4080"/>
      <c r="AZ14" s="4080"/>
      <c r="BA14" s="4080"/>
      <c r="BB14" s="1434"/>
      <c r="BC14" s="1434"/>
    </row>
    <row r="15" spans="2:76" s="1447" customFormat="1" ht="18.649999999999999" customHeight="1">
      <c r="B15" s="1446" t="s">
        <v>696</v>
      </c>
      <c r="C15" s="4080" t="s">
        <v>1941</v>
      </c>
      <c r="D15" s="4080"/>
      <c r="E15" s="4080"/>
      <c r="F15" s="4080"/>
      <c r="G15" s="4080"/>
      <c r="H15" s="4080"/>
      <c r="I15" s="4080"/>
      <c r="J15" s="4080"/>
      <c r="K15" s="4080"/>
      <c r="L15" s="4080"/>
      <c r="M15" s="4080"/>
      <c r="N15" s="4080"/>
      <c r="O15" s="4080"/>
      <c r="P15" s="4080"/>
      <c r="Q15" s="4080"/>
      <c r="R15" s="4080"/>
      <c r="S15" s="4080"/>
      <c r="T15" s="4080"/>
      <c r="U15" s="4080"/>
      <c r="V15" s="4080"/>
      <c r="W15" s="4080"/>
      <c r="X15" s="4080"/>
      <c r="Y15" s="4080"/>
      <c r="Z15" s="4080"/>
      <c r="AA15" s="4080"/>
      <c r="AB15" s="4080"/>
      <c r="AC15" s="4080"/>
      <c r="AD15" s="4080"/>
      <c r="AE15" s="4080"/>
      <c r="AF15" s="4080"/>
      <c r="AG15" s="4080"/>
      <c r="AH15" s="4080"/>
      <c r="AI15" s="4080"/>
      <c r="AJ15" s="4080"/>
      <c r="AK15" s="4080"/>
      <c r="AL15" s="4080"/>
      <c r="AM15" s="4080"/>
      <c r="AN15" s="4080"/>
      <c r="AO15" s="4080"/>
      <c r="AP15" s="4080"/>
      <c r="AQ15" s="4080"/>
      <c r="AR15" s="4080"/>
      <c r="AS15" s="4080"/>
      <c r="AT15" s="4080"/>
      <c r="AU15" s="4080"/>
      <c r="AV15" s="4080"/>
      <c r="AW15" s="4080"/>
      <c r="AX15" s="4080"/>
      <c r="AY15" s="4080"/>
      <c r="AZ15" s="4080"/>
      <c r="BA15" s="4080"/>
      <c r="BB15" s="1434"/>
      <c r="BC15" s="1434"/>
    </row>
    <row r="16" spans="2:76" s="1447" customFormat="1" ht="50.15" customHeight="1">
      <c r="B16" s="1446" t="s">
        <v>695</v>
      </c>
      <c r="C16" s="4080" t="s">
        <v>1942</v>
      </c>
      <c r="D16" s="4080"/>
      <c r="E16" s="4080"/>
      <c r="F16" s="4080"/>
      <c r="G16" s="4080"/>
      <c r="H16" s="4080"/>
      <c r="I16" s="4080"/>
      <c r="J16" s="4080"/>
      <c r="K16" s="4080"/>
      <c r="L16" s="4080"/>
      <c r="M16" s="4080"/>
      <c r="N16" s="4080"/>
      <c r="O16" s="4080"/>
      <c r="P16" s="4080"/>
      <c r="Q16" s="4080"/>
      <c r="R16" s="4080"/>
      <c r="S16" s="4080"/>
      <c r="T16" s="4080"/>
      <c r="U16" s="4080"/>
      <c r="V16" s="4080"/>
      <c r="W16" s="4080"/>
      <c r="X16" s="4080"/>
      <c r="Y16" s="4080"/>
      <c r="Z16" s="4080"/>
      <c r="AA16" s="4080"/>
      <c r="AB16" s="4080"/>
      <c r="AC16" s="4080"/>
      <c r="AD16" s="4080"/>
      <c r="AE16" s="4080"/>
      <c r="AF16" s="4080"/>
      <c r="AG16" s="4080"/>
      <c r="AH16" s="4080"/>
      <c r="AI16" s="4080"/>
      <c r="AJ16" s="4080"/>
      <c r="AK16" s="4080"/>
      <c r="AL16" s="4080"/>
      <c r="AM16" s="4080"/>
      <c r="AN16" s="4080"/>
      <c r="AO16" s="4080"/>
      <c r="AP16" s="4080"/>
      <c r="AQ16" s="4080"/>
      <c r="AR16" s="4080"/>
      <c r="AS16" s="4080"/>
      <c r="AT16" s="4080"/>
      <c r="AU16" s="4080"/>
      <c r="AV16" s="4080"/>
      <c r="AW16" s="4080"/>
      <c r="AX16" s="4080"/>
      <c r="AY16" s="4080"/>
      <c r="AZ16" s="4080"/>
      <c r="BA16" s="4080"/>
      <c r="BB16" s="1434"/>
      <c r="BC16" s="1434"/>
    </row>
    <row r="17" spans="2:55" s="1447" customFormat="1" ht="35.5" customHeight="1">
      <c r="B17" s="1446" t="s">
        <v>693</v>
      </c>
      <c r="C17" s="4080" t="s">
        <v>1943</v>
      </c>
      <c r="D17" s="4080"/>
      <c r="E17" s="4080"/>
      <c r="F17" s="4080"/>
      <c r="G17" s="4080"/>
      <c r="H17" s="4080"/>
      <c r="I17" s="4080"/>
      <c r="J17" s="4080"/>
      <c r="K17" s="4080"/>
      <c r="L17" s="4080"/>
      <c r="M17" s="4080"/>
      <c r="N17" s="4080"/>
      <c r="O17" s="4080"/>
      <c r="P17" s="4080"/>
      <c r="Q17" s="4080"/>
      <c r="R17" s="4080"/>
      <c r="S17" s="4080"/>
      <c r="T17" s="4080"/>
      <c r="U17" s="4080"/>
      <c r="V17" s="4080"/>
      <c r="W17" s="4080"/>
      <c r="X17" s="4080"/>
      <c r="Y17" s="4080"/>
      <c r="Z17" s="4080"/>
      <c r="AA17" s="4080"/>
      <c r="AB17" s="4080"/>
      <c r="AC17" s="4080"/>
      <c r="AD17" s="4080"/>
      <c r="AE17" s="4080"/>
      <c r="AF17" s="4080"/>
      <c r="AG17" s="4080"/>
      <c r="AH17" s="4080"/>
      <c r="AI17" s="4080"/>
      <c r="AJ17" s="4080"/>
      <c r="AK17" s="4080"/>
      <c r="AL17" s="4080"/>
      <c r="AM17" s="4080"/>
      <c r="AN17" s="4080"/>
      <c r="AO17" s="4080"/>
      <c r="AP17" s="4080"/>
      <c r="AQ17" s="4080"/>
      <c r="AR17" s="4080"/>
      <c r="AS17" s="4080"/>
      <c r="AT17" s="4080"/>
      <c r="AU17" s="4080"/>
      <c r="AV17" s="4080"/>
      <c r="AW17" s="4080"/>
      <c r="AX17" s="4080"/>
      <c r="AY17" s="4080"/>
      <c r="AZ17" s="4080"/>
      <c r="BA17" s="4080"/>
      <c r="BB17" s="1434"/>
      <c r="BC17" s="1434"/>
    </row>
    <row r="18" spans="2:55">
      <c r="B18" s="1444"/>
      <c r="C18" s="1444"/>
      <c r="AC18" s="1434"/>
      <c r="AD18" s="1434"/>
    </row>
  </sheetData>
  <sheetProtection algorithmName="SHA-512" hashValue="cc3HyEkUS7AOAOvT3vPQ+uqh5orKJMoRgLebdRm2nmI2f6AcJeegOJ9OoE79r1x85ZWfv/kJbEBvrKzusxOB5g==" saltValue="DwOm+ImizVuFy+BrXmyPeQ==" spinCount="100000" sheet="1" objects="1" scenarios="1" selectLockedCells="1"/>
  <mergeCells count="14">
    <mergeCell ref="C16:BA16"/>
    <mergeCell ref="C17:BA17"/>
    <mergeCell ref="C10:BA10"/>
    <mergeCell ref="C11:BA11"/>
    <mergeCell ref="C12:BA12"/>
    <mergeCell ref="C13:BA13"/>
    <mergeCell ref="C14:BA14"/>
    <mergeCell ref="C15:BA15"/>
    <mergeCell ref="C9:BA9"/>
    <mergeCell ref="C4:BA4"/>
    <mergeCell ref="C5:BA5"/>
    <mergeCell ref="C6:BA6"/>
    <mergeCell ref="C7:BA7"/>
    <mergeCell ref="C8:BA8"/>
  </mergeCells>
  <printOptions horizontalCentered="1" verticalCentered="1"/>
  <pageMargins left="0.25" right="0.25" top="0.2" bottom="0.2" header="0" footer="0.1"/>
  <pageSetup paperSize="9" scale="49" orientation="landscape" r:id="rId1"/>
  <headerFooter>
    <oddFooter>&amp;L&amp;10&amp;F &amp;A&amp;R&amp;10Page 54 of 60</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pageSetUpPr fitToPage="1"/>
  </sheetPr>
  <dimension ref="A1:AK58"/>
  <sheetViews>
    <sheetView zoomScaleNormal="100" workbookViewId="0">
      <selection activeCell="R51" sqref="R51:S51"/>
    </sheetView>
  </sheetViews>
  <sheetFormatPr defaultColWidth="5.08203125" defaultRowHeight="13"/>
  <cols>
    <col min="1" max="1" width="1.83203125" style="1479" customWidth="1"/>
    <col min="2" max="2" width="3.08203125" style="1481" customWidth="1"/>
    <col min="3" max="3" width="13.5" style="1481" customWidth="1"/>
    <col min="4" max="4" width="11.83203125" style="1481" customWidth="1"/>
    <col min="5" max="5" width="12" style="1481" customWidth="1"/>
    <col min="6" max="6" width="4.83203125" style="1481" customWidth="1"/>
    <col min="7" max="20" width="5.58203125" style="1481" customWidth="1"/>
    <col min="21" max="21" width="2.83203125" style="1481" customWidth="1"/>
    <col min="22" max="22" width="5.08203125" style="1479" customWidth="1"/>
    <col min="23" max="16384" width="5.08203125" style="1479"/>
  </cols>
  <sheetData>
    <row r="1" spans="1:23" ht="8.5" customHeight="1"/>
    <row r="2" spans="1:23" ht="16.5">
      <c r="A2" s="1494"/>
      <c r="B2" s="1540" t="s">
        <v>11817</v>
      </c>
    </row>
    <row r="3" spans="1:23" ht="15.65" customHeight="1">
      <c r="A3" s="1541"/>
      <c r="B3" s="1542" t="s">
        <v>1531</v>
      </c>
    </row>
    <row r="4" spans="1:23" ht="13.4" customHeight="1"/>
    <row r="5" spans="1:23" ht="17" thickBot="1">
      <c r="B5" s="1540" t="s">
        <v>1698</v>
      </c>
    </row>
    <row r="6" spans="1:23" ht="8.5" customHeight="1">
      <c r="B6" s="1543"/>
      <c r="C6" s="1515"/>
      <c r="D6" s="1515"/>
      <c r="E6" s="1515"/>
      <c r="F6" s="1515"/>
      <c r="G6" s="1515"/>
      <c r="H6" s="1515"/>
      <c r="I6" s="1515"/>
      <c r="J6" s="1515"/>
      <c r="K6" s="1515"/>
      <c r="L6" s="1515"/>
      <c r="M6" s="1515"/>
      <c r="N6" s="1515"/>
      <c r="O6" s="1515"/>
      <c r="P6" s="1515"/>
      <c r="Q6" s="1515"/>
      <c r="R6" s="1515"/>
      <c r="S6" s="1515"/>
      <c r="T6" s="1515"/>
      <c r="U6" s="1516"/>
    </row>
    <row r="7" spans="1:23" s="1475" customFormat="1" ht="15.65" customHeight="1" thickBot="1">
      <c r="B7" s="1544" t="s">
        <v>151</v>
      </c>
      <c r="C7" s="4100" t="s">
        <v>1794</v>
      </c>
      <c r="D7" s="4100"/>
      <c r="E7" s="4100"/>
      <c r="F7" s="4100"/>
      <c r="G7" s="4100"/>
      <c r="H7" s="4100"/>
      <c r="I7" s="4100"/>
      <c r="J7" s="4100"/>
      <c r="K7" s="4100"/>
      <c r="L7" s="4100"/>
      <c r="M7" s="4100"/>
      <c r="N7" s="1484"/>
      <c r="O7" s="1484"/>
      <c r="P7" s="1484"/>
      <c r="Q7" s="1484"/>
      <c r="R7" s="1484"/>
      <c r="S7" s="1484"/>
      <c r="T7" s="1484"/>
      <c r="U7" s="1485"/>
      <c r="W7" s="1545"/>
    </row>
    <row r="8" spans="1:23" s="1475" customFormat="1" ht="15">
      <c r="B8" s="1486"/>
      <c r="C8" s="4107" t="s">
        <v>684</v>
      </c>
      <c r="D8" s="4108"/>
      <c r="E8" s="4108"/>
      <c r="F8" s="4108"/>
      <c r="G8" s="4111" t="s">
        <v>1792</v>
      </c>
      <c r="H8" s="4112"/>
      <c r="I8" s="4112"/>
      <c r="J8" s="4112"/>
      <c r="K8" s="4112"/>
      <c r="L8" s="4112"/>
      <c r="M8" s="4113"/>
      <c r="N8" s="4111" t="s">
        <v>1793</v>
      </c>
      <c r="O8" s="4112"/>
      <c r="P8" s="4112"/>
      <c r="Q8" s="4112"/>
      <c r="R8" s="4112"/>
      <c r="S8" s="4112"/>
      <c r="T8" s="4113"/>
      <c r="U8" s="1485"/>
    </row>
    <row r="9" spans="1:23" ht="14.5" thickBot="1">
      <c r="B9" s="1525"/>
      <c r="C9" s="4109"/>
      <c r="D9" s="4110"/>
      <c r="E9" s="4110"/>
      <c r="F9" s="4110"/>
      <c r="G9" s="1534" t="s">
        <v>1785</v>
      </c>
      <c r="H9" s="1535" t="s">
        <v>1786</v>
      </c>
      <c r="I9" s="1535" t="s">
        <v>1787</v>
      </c>
      <c r="J9" s="1535" t="s">
        <v>1788</v>
      </c>
      <c r="K9" s="1535" t="s">
        <v>1789</v>
      </c>
      <c r="L9" s="1535" t="s">
        <v>1790</v>
      </c>
      <c r="M9" s="1536" t="s">
        <v>1791</v>
      </c>
      <c r="N9" s="1546" t="s">
        <v>1785</v>
      </c>
      <c r="O9" s="1535" t="s">
        <v>1786</v>
      </c>
      <c r="P9" s="1535" t="s">
        <v>1787</v>
      </c>
      <c r="Q9" s="1535" t="s">
        <v>1788</v>
      </c>
      <c r="R9" s="1535" t="s">
        <v>1789</v>
      </c>
      <c r="S9" s="1535" t="s">
        <v>1790</v>
      </c>
      <c r="T9" s="1536" t="s">
        <v>1791</v>
      </c>
      <c r="U9" s="1538"/>
      <c r="V9" s="1539"/>
    </row>
    <row r="10" spans="1:23" ht="15.5">
      <c r="B10" s="1525"/>
      <c r="C10" s="4101" t="s">
        <v>81</v>
      </c>
      <c r="D10" s="4102"/>
      <c r="E10" s="4102"/>
      <c r="F10" s="4103"/>
      <c r="G10" s="89" t="b">
        <v>1</v>
      </c>
      <c r="H10" s="90" t="b">
        <v>1</v>
      </c>
      <c r="I10" s="91" t="b">
        <v>1</v>
      </c>
      <c r="J10" s="91" t="b">
        <v>1</v>
      </c>
      <c r="K10" s="91" t="b">
        <v>1</v>
      </c>
      <c r="L10" s="91" t="b">
        <v>1</v>
      </c>
      <c r="M10" s="92" t="b">
        <v>1</v>
      </c>
      <c r="N10" s="90" t="b">
        <v>1</v>
      </c>
      <c r="O10" s="91" t="b">
        <v>1</v>
      </c>
      <c r="P10" s="91" t="b">
        <v>1</v>
      </c>
      <c r="Q10" s="91" t="b">
        <v>1</v>
      </c>
      <c r="R10" s="91" t="b">
        <v>1</v>
      </c>
      <c r="S10" s="91" t="b">
        <v>1</v>
      </c>
      <c r="T10" s="92" t="b">
        <v>1</v>
      </c>
      <c r="U10" s="1528"/>
      <c r="V10" s="1529"/>
    </row>
    <row r="11" spans="1:23" ht="15.5">
      <c r="B11" s="1525"/>
      <c r="C11" s="4104" t="s">
        <v>683</v>
      </c>
      <c r="D11" s="4105"/>
      <c r="E11" s="4105"/>
      <c r="F11" s="4106"/>
      <c r="G11" s="93" t="b">
        <v>1</v>
      </c>
      <c r="H11" s="94" t="b">
        <v>1</v>
      </c>
      <c r="I11" s="95" t="b">
        <v>1</v>
      </c>
      <c r="J11" s="95" t="b">
        <v>1</v>
      </c>
      <c r="K11" s="95" t="b">
        <v>1</v>
      </c>
      <c r="L11" s="95" t="b">
        <v>1</v>
      </c>
      <c r="M11" s="96" t="b">
        <v>1</v>
      </c>
      <c r="N11" s="94" t="b">
        <v>1</v>
      </c>
      <c r="O11" s="95" t="b">
        <v>1</v>
      </c>
      <c r="P11" s="95" t="b">
        <v>1</v>
      </c>
      <c r="Q11" s="95" t="b">
        <v>1</v>
      </c>
      <c r="R11" s="95" t="b">
        <v>1</v>
      </c>
      <c r="S11" s="95" t="b">
        <v>1</v>
      </c>
      <c r="T11" s="96" t="b">
        <v>1</v>
      </c>
      <c r="U11" s="1528"/>
      <c r="V11" s="1529"/>
    </row>
    <row r="12" spans="1:23" ht="15.5">
      <c r="B12" s="1525"/>
      <c r="C12" s="4104" t="s">
        <v>234</v>
      </c>
      <c r="D12" s="4105"/>
      <c r="E12" s="4105"/>
      <c r="F12" s="4106"/>
      <c r="G12" s="93" t="b">
        <v>1</v>
      </c>
      <c r="H12" s="94" t="b">
        <v>1</v>
      </c>
      <c r="I12" s="95" t="b">
        <v>1</v>
      </c>
      <c r="J12" s="95" t="b">
        <v>1</v>
      </c>
      <c r="K12" s="95" t="b">
        <v>1</v>
      </c>
      <c r="L12" s="95" t="b">
        <v>1</v>
      </c>
      <c r="M12" s="96" t="b">
        <v>1</v>
      </c>
      <c r="N12" s="94" t="b">
        <v>1</v>
      </c>
      <c r="O12" s="95" t="b">
        <v>1</v>
      </c>
      <c r="P12" s="95" t="b">
        <v>1</v>
      </c>
      <c r="Q12" s="95" t="b">
        <v>1</v>
      </c>
      <c r="R12" s="95" t="b">
        <v>1</v>
      </c>
      <c r="S12" s="95" t="b">
        <v>1</v>
      </c>
      <c r="T12" s="96" t="b">
        <v>1</v>
      </c>
      <c r="U12" s="1528"/>
      <c r="V12" s="1529"/>
    </row>
    <row r="13" spans="1:23" ht="15.5">
      <c r="B13" s="1525"/>
      <c r="C13" s="4104" t="s">
        <v>235</v>
      </c>
      <c r="D13" s="4105"/>
      <c r="E13" s="4105"/>
      <c r="F13" s="4106"/>
      <c r="G13" s="93" t="b">
        <v>0</v>
      </c>
      <c r="H13" s="94" t="b">
        <v>0</v>
      </c>
      <c r="I13" s="95" t="b">
        <v>0</v>
      </c>
      <c r="J13" s="95" t="b">
        <v>0</v>
      </c>
      <c r="K13" s="95" t="b">
        <v>0</v>
      </c>
      <c r="L13" s="95" t="b">
        <v>0</v>
      </c>
      <c r="M13" s="96" t="b">
        <v>0</v>
      </c>
      <c r="N13" s="94" t="b">
        <v>0</v>
      </c>
      <c r="O13" s="95" t="b">
        <v>0</v>
      </c>
      <c r="P13" s="95" t="b">
        <v>0</v>
      </c>
      <c r="Q13" s="95" t="b">
        <v>0</v>
      </c>
      <c r="R13" s="95" t="b">
        <v>0</v>
      </c>
      <c r="S13" s="95" t="b">
        <v>0</v>
      </c>
      <c r="T13" s="96" t="b">
        <v>0</v>
      </c>
      <c r="U13" s="1528"/>
      <c r="V13" s="1529"/>
    </row>
    <row r="14" spans="1:23" ht="15.5">
      <c r="B14" s="1525"/>
      <c r="C14" s="4104" t="s">
        <v>236</v>
      </c>
      <c r="D14" s="4105"/>
      <c r="E14" s="4105"/>
      <c r="F14" s="4106"/>
      <c r="G14" s="93" t="b">
        <v>0</v>
      </c>
      <c r="H14" s="94" t="b">
        <v>0</v>
      </c>
      <c r="I14" s="95" t="b">
        <v>0</v>
      </c>
      <c r="J14" s="95" t="b">
        <v>0</v>
      </c>
      <c r="K14" s="95" t="b">
        <v>0</v>
      </c>
      <c r="L14" s="95" t="b">
        <v>0</v>
      </c>
      <c r="M14" s="96" t="b">
        <v>0</v>
      </c>
      <c r="N14" s="94" t="b">
        <v>0</v>
      </c>
      <c r="O14" s="95" t="b">
        <v>0</v>
      </c>
      <c r="P14" s="95" t="b">
        <v>0</v>
      </c>
      <c r="Q14" s="95" t="b">
        <v>0</v>
      </c>
      <c r="R14" s="95" t="b">
        <v>0</v>
      </c>
      <c r="S14" s="95" t="b">
        <v>0</v>
      </c>
      <c r="T14" s="96" t="b">
        <v>0</v>
      </c>
      <c r="U14" s="1528"/>
      <c r="V14" s="1529"/>
    </row>
    <row r="15" spans="1:23" ht="15.5">
      <c r="B15" s="1525"/>
      <c r="C15" s="4104" t="s">
        <v>237</v>
      </c>
      <c r="D15" s="4105"/>
      <c r="E15" s="4105"/>
      <c r="F15" s="4106"/>
      <c r="G15" s="93" t="b">
        <v>1</v>
      </c>
      <c r="H15" s="94" t="b">
        <v>1</v>
      </c>
      <c r="I15" s="95" t="b">
        <v>1</v>
      </c>
      <c r="J15" s="95" t="b">
        <v>1</v>
      </c>
      <c r="K15" s="95" t="b">
        <v>1</v>
      </c>
      <c r="L15" s="95" t="b">
        <v>1</v>
      </c>
      <c r="M15" s="96" t="b">
        <v>1</v>
      </c>
      <c r="N15" s="94" t="b">
        <v>1</v>
      </c>
      <c r="O15" s="95" t="b">
        <v>1</v>
      </c>
      <c r="P15" s="95" t="b">
        <v>1</v>
      </c>
      <c r="Q15" s="95" t="b">
        <v>1</v>
      </c>
      <c r="R15" s="95" t="b">
        <v>1</v>
      </c>
      <c r="S15" s="95" t="b">
        <v>1</v>
      </c>
      <c r="T15" s="96" t="b">
        <v>1</v>
      </c>
      <c r="U15" s="1528"/>
      <c r="V15" s="1529"/>
    </row>
    <row r="16" spans="1:23" ht="16" thickBot="1">
      <c r="B16" s="1525"/>
      <c r="C16" s="4116" t="s">
        <v>25</v>
      </c>
      <c r="D16" s="4117"/>
      <c r="E16" s="4117"/>
      <c r="F16" s="4118"/>
      <c r="G16" s="97" t="b">
        <v>0</v>
      </c>
      <c r="H16" s="98" t="b">
        <v>0</v>
      </c>
      <c r="I16" s="99" t="b">
        <v>0</v>
      </c>
      <c r="J16" s="99" t="b">
        <v>0</v>
      </c>
      <c r="K16" s="99" t="b">
        <v>0</v>
      </c>
      <c r="L16" s="99" t="b">
        <v>0</v>
      </c>
      <c r="M16" s="100" t="b">
        <v>0</v>
      </c>
      <c r="N16" s="98" t="b">
        <v>0</v>
      </c>
      <c r="O16" s="99" t="b">
        <v>0</v>
      </c>
      <c r="P16" s="99" t="b">
        <v>0</v>
      </c>
      <c r="Q16" s="99" t="b">
        <v>0</v>
      </c>
      <c r="R16" s="99" t="b">
        <v>0</v>
      </c>
      <c r="S16" s="99" t="b">
        <v>0</v>
      </c>
      <c r="T16" s="100" t="b">
        <v>0</v>
      </c>
      <c r="U16" s="1528"/>
      <c r="V16" s="1529"/>
    </row>
    <row r="17" spans="2:22" s="1530" customFormat="1" ht="27.65" customHeight="1" thickBot="1">
      <c r="B17" s="1531" t="s">
        <v>152</v>
      </c>
      <c r="C17" s="4100" t="s">
        <v>1796</v>
      </c>
      <c r="D17" s="4100"/>
      <c r="E17" s="4100"/>
      <c r="F17" s="4100"/>
      <c r="G17" s="4100"/>
      <c r="H17" s="4100"/>
      <c r="I17" s="4100"/>
      <c r="J17" s="4100"/>
      <c r="K17" s="4100"/>
      <c r="L17" s="4100"/>
      <c r="M17" s="4100"/>
      <c r="N17" s="1484"/>
      <c r="O17" s="1484"/>
      <c r="P17" s="1484"/>
      <c r="Q17" s="1484"/>
      <c r="R17" s="1484"/>
      <c r="S17" s="1484"/>
      <c r="T17" s="1484"/>
      <c r="U17" s="1532"/>
      <c r="V17" s="1533"/>
    </row>
    <row r="18" spans="2:22" s="1475" customFormat="1" ht="15">
      <c r="B18" s="1486"/>
      <c r="C18" s="4107" t="s">
        <v>684</v>
      </c>
      <c r="D18" s="4108"/>
      <c r="E18" s="4108"/>
      <c r="F18" s="4108"/>
      <c r="G18" s="4111" t="s">
        <v>1795</v>
      </c>
      <c r="H18" s="4112"/>
      <c r="I18" s="4112"/>
      <c r="J18" s="4112"/>
      <c r="K18" s="4112"/>
      <c r="L18" s="4112"/>
      <c r="M18" s="4113"/>
      <c r="N18" s="4192"/>
      <c r="O18" s="4192"/>
      <c r="P18" s="4192"/>
      <c r="Q18" s="4192"/>
      <c r="R18" s="4192"/>
      <c r="S18" s="4192"/>
      <c r="T18" s="4192"/>
      <c r="U18" s="1485"/>
    </row>
    <row r="19" spans="2:22" ht="14.5" thickBot="1">
      <c r="B19" s="1525"/>
      <c r="C19" s="4109"/>
      <c r="D19" s="4110"/>
      <c r="E19" s="4110"/>
      <c r="F19" s="4110"/>
      <c r="G19" s="1534" t="s">
        <v>1785</v>
      </c>
      <c r="H19" s="1535" t="s">
        <v>1786</v>
      </c>
      <c r="I19" s="1535" t="s">
        <v>1787</v>
      </c>
      <c r="J19" s="1535" t="s">
        <v>1788</v>
      </c>
      <c r="K19" s="1535" t="s">
        <v>1789</v>
      </c>
      <c r="L19" s="1535" t="s">
        <v>1790</v>
      </c>
      <c r="M19" s="1536" t="s">
        <v>1791</v>
      </c>
      <c r="N19" s="1537"/>
      <c r="O19" s="1537"/>
      <c r="P19" s="1537"/>
      <c r="Q19" s="1537"/>
      <c r="R19" s="1537"/>
      <c r="S19" s="1537"/>
      <c r="T19" s="1537"/>
      <c r="U19" s="1538"/>
      <c r="V19" s="1539"/>
    </row>
    <row r="20" spans="2:22" ht="22.5">
      <c r="B20" s="1525"/>
      <c r="C20" s="4101" t="s">
        <v>81</v>
      </c>
      <c r="D20" s="4102"/>
      <c r="E20" s="4102"/>
      <c r="F20" s="4103"/>
      <c r="G20" s="89" t="b">
        <v>0</v>
      </c>
      <c r="H20" s="91" t="b">
        <v>0</v>
      </c>
      <c r="I20" s="91" t="b">
        <v>0</v>
      </c>
      <c r="J20" s="91" t="b">
        <v>0</v>
      </c>
      <c r="K20" s="91" t="b">
        <v>0</v>
      </c>
      <c r="L20" s="91" t="b">
        <v>0</v>
      </c>
      <c r="M20" s="92" t="b">
        <v>0</v>
      </c>
      <c r="N20" s="1492"/>
      <c r="O20" s="1492"/>
      <c r="P20" s="1492"/>
      <c r="Q20" s="1492"/>
      <c r="R20" s="1492"/>
      <c r="S20" s="1492"/>
      <c r="T20" s="1492"/>
      <c r="U20" s="1528"/>
      <c r="V20" s="1529"/>
    </row>
    <row r="21" spans="2:22" ht="22.5">
      <c r="B21" s="1525"/>
      <c r="C21" s="4104" t="s">
        <v>683</v>
      </c>
      <c r="D21" s="4105"/>
      <c r="E21" s="4105"/>
      <c r="F21" s="4106"/>
      <c r="G21" s="93" t="b">
        <v>0</v>
      </c>
      <c r="H21" s="101" t="b">
        <v>0</v>
      </c>
      <c r="I21" s="101" t="b">
        <v>0</v>
      </c>
      <c r="J21" s="101" t="b">
        <v>0</v>
      </c>
      <c r="K21" s="101" t="b">
        <v>0</v>
      </c>
      <c r="L21" s="101" t="b">
        <v>0</v>
      </c>
      <c r="M21" s="102" t="b">
        <v>0</v>
      </c>
      <c r="N21" s="1492"/>
      <c r="O21" s="1492"/>
      <c r="P21" s="1492"/>
      <c r="Q21" s="1492"/>
      <c r="R21" s="1492"/>
      <c r="S21" s="1492"/>
      <c r="T21" s="1492"/>
      <c r="U21" s="1528"/>
      <c r="V21" s="1529"/>
    </row>
    <row r="22" spans="2:22" ht="22.5">
      <c r="B22" s="1525"/>
      <c r="C22" s="4104" t="s">
        <v>234</v>
      </c>
      <c r="D22" s="4105"/>
      <c r="E22" s="4105"/>
      <c r="F22" s="4106"/>
      <c r="G22" s="93" t="b">
        <v>0</v>
      </c>
      <c r="H22" s="101" t="b">
        <v>0</v>
      </c>
      <c r="I22" s="101" t="b">
        <v>0</v>
      </c>
      <c r="J22" s="101" t="b">
        <v>0</v>
      </c>
      <c r="K22" s="101" t="b">
        <v>0</v>
      </c>
      <c r="L22" s="101" t="b">
        <v>0</v>
      </c>
      <c r="M22" s="102" t="b">
        <v>0</v>
      </c>
      <c r="N22" s="1492"/>
      <c r="O22" s="1492"/>
      <c r="P22" s="1492"/>
      <c r="Q22" s="1492"/>
      <c r="R22" s="1492"/>
      <c r="S22" s="1492"/>
      <c r="T22" s="1492"/>
      <c r="U22" s="1528"/>
      <c r="V22" s="1529"/>
    </row>
    <row r="23" spans="2:22" ht="22.5">
      <c r="B23" s="1525"/>
      <c r="C23" s="4104" t="s">
        <v>235</v>
      </c>
      <c r="D23" s="4105"/>
      <c r="E23" s="4105"/>
      <c r="F23" s="4106"/>
      <c r="G23" s="93" t="b">
        <v>0</v>
      </c>
      <c r="H23" s="101" t="b">
        <v>0</v>
      </c>
      <c r="I23" s="101" t="b">
        <v>0</v>
      </c>
      <c r="J23" s="101" t="b">
        <v>0</v>
      </c>
      <c r="K23" s="101" t="b">
        <v>0</v>
      </c>
      <c r="L23" s="101" t="b">
        <v>0</v>
      </c>
      <c r="M23" s="102" t="b">
        <v>0</v>
      </c>
      <c r="N23" s="1492"/>
      <c r="O23" s="1492"/>
      <c r="P23" s="1492"/>
      <c r="Q23" s="1492"/>
      <c r="R23" s="1492"/>
      <c r="S23" s="1492"/>
      <c r="T23" s="1492"/>
      <c r="U23" s="1528"/>
      <c r="V23" s="1529"/>
    </row>
    <row r="24" spans="2:22" ht="22.5">
      <c r="B24" s="1525"/>
      <c r="C24" s="4104" t="s">
        <v>236</v>
      </c>
      <c r="D24" s="4105"/>
      <c r="E24" s="4105"/>
      <c r="F24" s="4106"/>
      <c r="G24" s="93" t="b">
        <v>0</v>
      </c>
      <c r="H24" s="101" t="b">
        <v>0</v>
      </c>
      <c r="I24" s="101" t="b">
        <v>0</v>
      </c>
      <c r="J24" s="101" t="b">
        <v>0</v>
      </c>
      <c r="K24" s="101" t="b">
        <v>0</v>
      </c>
      <c r="L24" s="101" t="b">
        <v>0</v>
      </c>
      <c r="M24" s="102" t="b">
        <v>0</v>
      </c>
      <c r="N24" s="1492"/>
      <c r="O24" s="1492"/>
      <c r="P24" s="1492"/>
      <c r="Q24" s="1492"/>
      <c r="R24" s="1492"/>
      <c r="S24" s="1492"/>
      <c r="T24" s="1492"/>
      <c r="U24" s="1528"/>
      <c r="V24" s="1529"/>
    </row>
    <row r="25" spans="2:22" ht="22.5">
      <c r="B25" s="1525"/>
      <c r="C25" s="4104" t="s">
        <v>237</v>
      </c>
      <c r="D25" s="4105"/>
      <c r="E25" s="4105"/>
      <c r="F25" s="4106"/>
      <c r="G25" s="93" t="b">
        <v>0</v>
      </c>
      <c r="H25" s="101" t="b">
        <v>0</v>
      </c>
      <c r="I25" s="101" t="b">
        <v>0</v>
      </c>
      <c r="J25" s="101" t="b">
        <v>0</v>
      </c>
      <c r="K25" s="101" t="b">
        <v>0</v>
      </c>
      <c r="L25" s="101" t="b">
        <v>0</v>
      </c>
      <c r="M25" s="102" t="b">
        <v>0</v>
      </c>
      <c r="N25" s="1492"/>
      <c r="O25" s="1492"/>
      <c r="P25" s="1492"/>
      <c r="Q25" s="1492"/>
      <c r="R25" s="1492"/>
      <c r="S25" s="1492"/>
      <c r="T25" s="1492"/>
      <c r="U25" s="1528"/>
      <c r="V25" s="1529"/>
    </row>
    <row r="26" spans="2:22" ht="23" thickBot="1">
      <c r="B26" s="1525"/>
      <c r="C26" s="4116" t="s">
        <v>25</v>
      </c>
      <c r="D26" s="4117"/>
      <c r="E26" s="4117"/>
      <c r="F26" s="4118"/>
      <c r="G26" s="103" t="b">
        <v>0</v>
      </c>
      <c r="H26" s="104" t="b">
        <v>0</v>
      </c>
      <c r="I26" s="104" t="b">
        <v>0</v>
      </c>
      <c r="J26" s="104" t="b">
        <v>0</v>
      </c>
      <c r="K26" s="104" t="b">
        <v>0</v>
      </c>
      <c r="L26" s="104" t="b">
        <v>0</v>
      </c>
      <c r="M26" s="105" t="b">
        <v>0</v>
      </c>
      <c r="N26" s="1492"/>
      <c r="O26" s="1492"/>
      <c r="P26" s="1492"/>
      <c r="Q26" s="1492"/>
      <c r="R26" s="1492"/>
      <c r="S26" s="1492"/>
      <c r="T26" s="1492"/>
      <c r="U26" s="1528"/>
      <c r="V26" s="1529"/>
    </row>
    <row r="27" spans="2:22" ht="10.4" customHeight="1">
      <c r="B27" s="1525"/>
      <c r="C27" s="1509"/>
      <c r="D27" s="1509"/>
      <c r="G27" s="1526"/>
      <c r="H27" s="1526"/>
      <c r="I27" s="1526"/>
      <c r="J27" s="1526"/>
      <c r="K27" s="1526"/>
      <c r="L27" s="1526"/>
      <c r="M27" s="1526"/>
      <c r="N27" s="1526"/>
      <c r="O27" s="1526"/>
      <c r="P27" s="1526"/>
      <c r="Q27" s="1526"/>
      <c r="R27" s="1526"/>
      <c r="S27" s="1526"/>
      <c r="T27" s="1526"/>
      <c r="U27" s="1503"/>
    </row>
    <row r="28" spans="2:22" ht="33.65" customHeight="1" thickBot="1">
      <c r="B28" s="1501" t="s">
        <v>153</v>
      </c>
      <c r="C28" s="4202" t="s">
        <v>1797</v>
      </c>
      <c r="D28" s="4202"/>
      <c r="E28" s="4202"/>
      <c r="F28" s="4202"/>
      <c r="G28" s="4202"/>
      <c r="H28" s="4202"/>
      <c r="I28" s="4202"/>
      <c r="J28" s="4202"/>
      <c r="K28" s="4202"/>
      <c r="L28" s="4202"/>
      <c r="M28" s="4202"/>
      <c r="N28" s="4202"/>
      <c r="O28" s="4202"/>
      <c r="P28" s="4202"/>
      <c r="Q28" s="4202"/>
      <c r="R28" s="4202"/>
      <c r="S28" s="4202"/>
      <c r="T28" s="4202"/>
      <c r="U28" s="1485"/>
    </row>
    <row r="29" spans="2:22" ht="18.649999999999999" customHeight="1">
      <c r="B29" s="1523"/>
      <c r="C29" s="4161" t="s">
        <v>1798</v>
      </c>
      <c r="D29" s="4162"/>
      <c r="E29" s="4174" t="s">
        <v>1799</v>
      </c>
      <c r="F29" s="4175"/>
      <c r="G29" s="4175"/>
      <c r="H29" s="4175"/>
      <c r="I29" s="4176"/>
      <c r="J29" s="4134" t="s">
        <v>1800</v>
      </c>
      <c r="K29" s="4090"/>
      <c r="L29" s="4090"/>
      <c r="M29" s="4090"/>
      <c r="N29" s="4090"/>
      <c r="O29" s="4091"/>
      <c r="P29" s="4180" t="s">
        <v>1801</v>
      </c>
      <c r="Q29" s="4181"/>
      <c r="R29" s="4182"/>
      <c r="S29" s="1499"/>
      <c r="U29" s="1503"/>
    </row>
    <row r="30" spans="2:22" ht="25.75" customHeight="1" thickBot="1">
      <c r="B30" s="1523"/>
      <c r="C30" s="4163"/>
      <c r="D30" s="4164"/>
      <c r="E30" s="1527" t="s">
        <v>1802</v>
      </c>
      <c r="F30" s="4171" t="s">
        <v>901</v>
      </c>
      <c r="G30" s="4172"/>
      <c r="H30" s="4171" t="s">
        <v>1699</v>
      </c>
      <c r="I30" s="4173"/>
      <c r="J30" s="4203" t="s">
        <v>1803</v>
      </c>
      <c r="K30" s="4204"/>
      <c r="L30" s="4205"/>
      <c r="M30" s="4129" t="s">
        <v>1804</v>
      </c>
      <c r="N30" s="4129"/>
      <c r="O30" s="4130"/>
      <c r="P30" s="4183"/>
      <c r="Q30" s="4184"/>
      <c r="R30" s="4185"/>
      <c r="S30" s="1499"/>
      <c r="U30" s="1503"/>
    </row>
    <row r="31" spans="2:22" ht="15.5">
      <c r="B31" s="1523"/>
      <c r="C31" s="4165" t="s">
        <v>1805</v>
      </c>
      <c r="D31" s="4166"/>
      <c r="E31" s="78">
        <v>1</v>
      </c>
      <c r="F31" s="4196">
        <v>0</v>
      </c>
      <c r="G31" s="4197"/>
      <c r="H31" s="4196">
        <v>1</v>
      </c>
      <c r="I31" s="4198"/>
      <c r="J31" s="4186">
        <v>5</v>
      </c>
      <c r="K31" s="4187"/>
      <c r="L31" s="4188"/>
      <c r="M31" s="4153">
        <v>5</v>
      </c>
      <c r="N31" s="4153"/>
      <c r="O31" s="4154"/>
      <c r="P31" s="4152">
        <v>5</v>
      </c>
      <c r="Q31" s="4153"/>
      <c r="R31" s="4154"/>
      <c r="S31" s="1499"/>
      <c r="U31" s="1503"/>
    </row>
    <row r="32" spans="2:22" ht="15.5">
      <c r="B32" s="1523"/>
      <c r="C32" s="4167" t="s">
        <v>1806</v>
      </c>
      <c r="D32" s="4168"/>
      <c r="E32" s="79">
        <v>0</v>
      </c>
      <c r="F32" s="4199">
        <v>0</v>
      </c>
      <c r="G32" s="4200"/>
      <c r="H32" s="4199">
        <v>0</v>
      </c>
      <c r="I32" s="4201"/>
      <c r="J32" s="4193">
        <v>0</v>
      </c>
      <c r="K32" s="4194"/>
      <c r="L32" s="4195"/>
      <c r="M32" s="4156">
        <v>0</v>
      </c>
      <c r="N32" s="4156"/>
      <c r="O32" s="4157"/>
      <c r="P32" s="4155">
        <v>0</v>
      </c>
      <c r="Q32" s="4156"/>
      <c r="R32" s="4157"/>
      <c r="S32" s="1499"/>
      <c r="U32" s="1503"/>
    </row>
    <row r="33" spans="2:28" s="1494" customFormat="1" ht="15.65" customHeight="1" thickBot="1">
      <c r="B33" s="1486"/>
      <c r="C33" s="4169" t="s">
        <v>1807</v>
      </c>
      <c r="D33" s="4170"/>
      <c r="E33" s="80">
        <v>0</v>
      </c>
      <c r="F33" s="4189">
        <v>0</v>
      </c>
      <c r="G33" s="4191"/>
      <c r="H33" s="4189">
        <v>0</v>
      </c>
      <c r="I33" s="4190"/>
      <c r="J33" s="4177">
        <v>0</v>
      </c>
      <c r="K33" s="4178"/>
      <c r="L33" s="4179"/>
      <c r="M33" s="4159">
        <v>0</v>
      </c>
      <c r="N33" s="4159"/>
      <c r="O33" s="4160"/>
      <c r="P33" s="4158">
        <v>0</v>
      </c>
      <c r="Q33" s="4159"/>
      <c r="R33" s="4160"/>
      <c r="S33" s="1499"/>
      <c r="T33" s="1499"/>
      <c r="U33" s="1500"/>
    </row>
    <row r="34" spans="2:28" s="1494" customFormat="1" ht="12.65" customHeight="1">
      <c r="B34" s="1486"/>
      <c r="C34" s="1495"/>
      <c r="D34" s="1495"/>
      <c r="E34" s="1496"/>
      <c r="F34" s="1496"/>
      <c r="G34" s="1496"/>
      <c r="H34" s="1496"/>
      <c r="I34" s="1496"/>
      <c r="J34" s="1497"/>
      <c r="K34" s="1497"/>
      <c r="L34" s="1497"/>
      <c r="M34" s="1498"/>
      <c r="N34" s="1498"/>
      <c r="O34" s="1498"/>
      <c r="P34" s="1498"/>
      <c r="Q34" s="1498"/>
      <c r="R34" s="1498"/>
      <c r="S34" s="1499"/>
      <c r="T34" s="1499"/>
      <c r="U34" s="1500"/>
    </row>
    <row r="35" spans="2:28" ht="18" customHeight="1">
      <c r="B35" s="1501" t="s">
        <v>154</v>
      </c>
      <c r="C35" s="1547" t="b">
        <v>1</v>
      </c>
      <c r="D35" s="1502" t="s">
        <v>1701</v>
      </c>
      <c r="E35" s="1499"/>
      <c r="F35" s="1499"/>
      <c r="G35" s="1499"/>
      <c r="H35" s="1499"/>
      <c r="I35" s="1499"/>
      <c r="J35" s="1499"/>
      <c r="K35" s="1499"/>
      <c r="L35" s="1499"/>
      <c r="N35" s="1499"/>
      <c r="O35" s="1499"/>
      <c r="P35" s="1499"/>
      <c r="Q35" s="1499"/>
      <c r="R35" s="1499"/>
      <c r="S35" s="1499"/>
      <c r="U35" s="1503"/>
    </row>
    <row r="36" spans="2:28" ht="2.5" customHeight="1" thickBot="1">
      <c r="B36" s="1504"/>
      <c r="C36" s="1505"/>
      <c r="D36" s="1506"/>
      <c r="E36" s="1506"/>
      <c r="F36" s="1506"/>
      <c r="G36" s="1507"/>
      <c r="H36" s="1507"/>
      <c r="I36" s="1507"/>
      <c r="J36" s="1507"/>
      <c r="K36" s="1507"/>
      <c r="L36" s="1507"/>
      <c r="M36" s="1477"/>
      <c r="N36" s="1507"/>
      <c r="O36" s="1507"/>
      <c r="P36" s="1507"/>
      <c r="Q36" s="1507"/>
      <c r="R36" s="1507"/>
      <c r="S36" s="1507"/>
      <c r="T36" s="1477"/>
      <c r="U36" s="1478"/>
    </row>
    <row r="37" spans="2:28" ht="32.5" customHeight="1" thickBot="1">
      <c r="B37" s="1508" t="s">
        <v>1702</v>
      </c>
      <c r="C37" s="1509"/>
      <c r="D37" s="1510"/>
      <c r="E37" s="1510"/>
      <c r="F37" s="1510"/>
      <c r="G37" s="1499"/>
      <c r="H37" s="1499"/>
      <c r="I37" s="1499"/>
      <c r="J37" s="1499"/>
      <c r="K37" s="1499"/>
      <c r="L37" s="1499"/>
      <c r="N37" s="1499"/>
      <c r="O37" s="1499"/>
      <c r="P37" s="1499"/>
      <c r="Q37" s="1499"/>
      <c r="R37" s="1499"/>
      <c r="S37" s="1499"/>
      <c r="U37" s="1503"/>
    </row>
    <row r="38" spans="2:28" ht="4.4000000000000004" customHeight="1">
      <c r="B38" s="1511"/>
      <c r="C38" s="1512"/>
      <c r="D38" s="1513"/>
      <c r="E38" s="1513"/>
      <c r="F38" s="1513"/>
      <c r="G38" s="1514"/>
      <c r="H38" s="1514"/>
      <c r="I38" s="1514"/>
      <c r="J38" s="1514"/>
      <c r="K38" s="1514"/>
      <c r="L38" s="1514"/>
      <c r="M38" s="1515"/>
      <c r="N38" s="1514"/>
      <c r="O38" s="1514"/>
      <c r="P38" s="1514"/>
      <c r="Q38" s="1514"/>
      <c r="R38" s="1514"/>
      <c r="S38" s="1514"/>
      <c r="T38" s="1515"/>
      <c r="U38" s="1516"/>
    </row>
    <row r="39" spans="2:28" ht="15.65" customHeight="1">
      <c r="B39" s="1517" t="s">
        <v>151</v>
      </c>
      <c r="C39" s="1548" t="b">
        <v>1</v>
      </c>
      <c r="D39" s="1518" t="s">
        <v>1703</v>
      </c>
      <c r="E39" s="1510"/>
      <c r="F39" s="1510"/>
      <c r="G39" s="1499"/>
      <c r="H39" s="1499"/>
      <c r="I39" s="1499"/>
      <c r="J39" s="1499"/>
      <c r="K39" s="1499"/>
      <c r="L39" s="1499"/>
      <c r="N39" s="1499"/>
      <c r="O39" s="1499"/>
      <c r="P39" s="1499"/>
      <c r="Q39" s="1499"/>
      <c r="R39" s="1499"/>
      <c r="S39" s="1499"/>
      <c r="U39" s="1503"/>
    </row>
    <row r="40" spans="2:28" s="1475" customFormat="1" ht="23.5" customHeight="1">
      <c r="B40" s="1517" t="s">
        <v>152</v>
      </c>
      <c r="C40" s="1548" t="b">
        <v>0</v>
      </c>
      <c r="D40" s="1519" t="s">
        <v>1704</v>
      </c>
      <c r="E40" s="1520"/>
      <c r="F40" s="1520"/>
      <c r="G40" s="1520"/>
      <c r="H40" s="1520"/>
      <c r="I40" s="1520"/>
      <c r="J40" s="1520"/>
      <c r="K40" s="1520"/>
      <c r="L40" s="1520"/>
      <c r="M40" s="1520"/>
      <c r="N40" s="1521"/>
      <c r="O40" s="1521"/>
      <c r="P40" s="1521"/>
      <c r="Q40" s="1521"/>
      <c r="R40" s="1521"/>
      <c r="S40" s="1521"/>
      <c r="T40" s="1521"/>
      <c r="U40" s="1485"/>
    </row>
    <row r="41" spans="2:28" ht="19.399999999999999" customHeight="1" thickBot="1">
      <c r="B41" s="1517" t="s">
        <v>153</v>
      </c>
      <c r="C41" s="1522" t="s">
        <v>1847</v>
      </c>
      <c r="D41" s="1522"/>
      <c r="E41" s="1499"/>
      <c r="F41" s="1499"/>
      <c r="G41" s="1499"/>
      <c r="H41" s="1499"/>
      <c r="I41" s="1499"/>
      <c r="J41" s="1499"/>
      <c r="K41" s="1499"/>
      <c r="P41" s="1499"/>
      <c r="Q41" s="1499"/>
      <c r="R41" s="1499"/>
      <c r="U41" s="1503"/>
    </row>
    <row r="42" spans="2:28" ht="14">
      <c r="B42" s="1523"/>
      <c r="C42" s="1524"/>
      <c r="E42" s="4131" t="s">
        <v>758</v>
      </c>
      <c r="F42" s="4132"/>
      <c r="G42" s="4132"/>
      <c r="H42" s="4132"/>
      <c r="I42" s="4133"/>
      <c r="J42" s="4134" t="s">
        <v>759</v>
      </c>
      <c r="K42" s="4090"/>
      <c r="L42" s="4090"/>
      <c r="M42" s="4090"/>
      <c r="N42" s="4090"/>
      <c r="O42" s="4091"/>
      <c r="P42" s="1499"/>
      <c r="Q42" s="1499"/>
      <c r="R42" s="1499"/>
      <c r="U42" s="1503"/>
      <c r="W42" s="1475"/>
      <c r="X42" s="1475"/>
      <c r="Y42" s="1475"/>
      <c r="Z42" s="1475"/>
      <c r="AA42" s="1475"/>
      <c r="AB42" s="1475"/>
    </row>
    <row r="43" spans="2:28" ht="16.399999999999999" customHeight="1" thickBot="1">
      <c r="B43" s="1523"/>
      <c r="C43" s="1524"/>
      <c r="E43" s="4127" t="s">
        <v>15</v>
      </c>
      <c r="F43" s="4128"/>
      <c r="G43" s="4129" t="s">
        <v>16</v>
      </c>
      <c r="H43" s="4129"/>
      <c r="I43" s="4130"/>
      <c r="J43" s="4127" t="s">
        <v>15</v>
      </c>
      <c r="K43" s="4129"/>
      <c r="L43" s="4128"/>
      <c r="M43" s="4129" t="s">
        <v>16</v>
      </c>
      <c r="N43" s="4129"/>
      <c r="O43" s="4130"/>
      <c r="Q43" s="1499"/>
      <c r="R43" s="1499"/>
      <c r="U43" s="1503"/>
      <c r="W43" s="1475"/>
      <c r="X43" s="1475"/>
      <c r="Y43" s="1475"/>
      <c r="Z43" s="1475"/>
      <c r="AA43" s="1475"/>
      <c r="AB43" s="1475"/>
    </row>
    <row r="44" spans="2:28" s="1475" customFormat="1" ht="21" customHeight="1" thickBot="1">
      <c r="B44" s="1486"/>
      <c r="C44" s="1492"/>
      <c r="D44" s="1493"/>
      <c r="E44" s="4096">
        <v>0</v>
      </c>
      <c r="F44" s="4097"/>
      <c r="G44" s="4098">
        <v>0</v>
      </c>
      <c r="H44" s="4098"/>
      <c r="I44" s="4099"/>
      <c r="J44" s="4096">
        <v>0</v>
      </c>
      <c r="K44" s="4098"/>
      <c r="L44" s="4097"/>
      <c r="M44" s="4098">
        <v>0</v>
      </c>
      <c r="N44" s="4098"/>
      <c r="O44" s="4099"/>
      <c r="P44" s="1481"/>
      <c r="Q44" s="1484"/>
      <c r="R44" s="1484"/>
      <c r="S44" s="1484"/>
      <c r="T44" s="1484"/>
      <c r="U44" s="1485"/>
    </row>
    <row r="45" spans="2:28" s="1475" customFormat="1" ht="21" customHeight="1" thickBot="1">
      <c r="B45" s="1487" t="s">
        <v>154</v>
      </c>
      <c r="C45" s="1488" t="s">
        <v>1808</v>
      </c>
      <c r="D45" s="1489"/>
      <c r="E45" s="1489"/>
      <c r="F45" s="1489"/>
      <c r="G45" s="1489"/>
      <c r="H45" s="1489"/>
      <c r="I45" s="1489"/>
      <c r="J45" s="1489"/>
      <c r="K45" s="1489"/>
      <c r="L45" s="1489"/>
      <c r="M45" s="1489"/>
      <c r="N45" s="1489"/>
      <c r="O45" s="1489"/>
      <c r="P45" s="1489"/>
      <c r="Q45" s="1489"/>
      <c r="R45" s="1489"/>
      <c r="S45" s="1489"/>
      <c r="T45" s="1489"/>
      <c r="U45" s="1490"/>
      <c r="V45" s="1489"/>
    </row>
    <row r="46" spans="2:28" s="1475" customFormat="1" ht="57.65" customHeight="1">
      <c r="B46" s="1486"/>
      <c r="C46" s="2858" t="s">
        <v>557</v>
      </c>
      <c r="D46" s="3175"/>
      <c r="E46" s="4149" t="s">
        <v>1812</v>
      </c>
      <c r="F46" s="4132"/>
      <c r="G46" s="4133"/>
      <c r="H46" s="4131" t="s">
        <v>1661</v>
      </c>
      <c r="I46" s="4132"/>
      <c r="J46" s="4132"/>
      <c r="K46" s="4133"/>
      <c r="L46" s="4134" t="s">
        <v>1662</v>
      </c>
      <c r="M46" s="4090"/>
      <c r="N46" s="4090"/>
      <c r="O46" s="4091"/>
      <c r="P46" s="4089" t="s">
        <v>1813</v>
      </c>
      <c r="Q46" s="4090"/>
      <c r="R46" s="4090"/>
      <c r="S46" s="4091"/>
      <c r="T46" s="1484"/>
      <c r="U46" s="1485"/>
    </row>
    <row r="47" spans="2:28" s="1475" customFormat="1" ht="16.399999999999999" customHeight="1" thickBot="1">
      <c r="B47" s="1486"/>
      <c r="C47" s="3179"/>
      <c r="D47" s="3181"/>
      <c r="E47" s="1491" t="s">
        <v>15</v>
      </c>
      <c r="F47" s="4136" t="s">
        <v>16</v>
      </c>
      <c r="G47" s="4130"/>
      <c r="H47" s="4127" t="s">
        <v>15</v>
      </c>
      <c r="I47" s="4128"/>
      <c r="J47" s="4136" t="s">
        <v>16</v>
      </c>
      <c r="K47" s="4130"/>
      <c r="L47" s="4127" t="s">
        <v>15</v>
      </c>
      <c r="M47" s="4128"/>
      <c r="N47" s="4136" t="s">
        <v>16</v>
      </c>
      <c r="O47" s="4130"/>
      <c r="P47" s="4127" t="s">
        <v>15</v>
      </c>
      <c r="Q47" s="4128"/>
      <c r="R47" s="4150" t="s">
        <v>16</v>
      </c>
      <c r="S47" s="4151"/>
      <c r="T47" s="1484"/>
      <c r="U47" s="1485"/>
    </row>
    <row r="48" spans="2:28" s="1475" customFormat="1" ht="75.650000000000006" customHeight="1">
      <c r="B48" s="1486"/>
      <c r="C48" s="4119" t="s">
        <v>1848</v>
      </c>
      <c r="D48" s="4120"/>
      <c r="E48" s="106">
        <v>0</v>
      </c>
      <c r="F48" s="4137">
        <v>0</v>
      </c>
      <c r="G48" s="4138"/>
      <c r="H48" s="4139">
        <v>0</v>
      </c>
      <c r="I48" s="4140"/>
      <c r="J48" s="4141">
        <v>0</v>
      </c>
      <c r="K48" s="4142"/>
      <c r="L48" s="4139">
        <v>0</v>
      </c>
      <c r="M48" s="4140"/>
      <c r="N48" s="4137">
        <v>0</v>
      </c>
      <c r="O48" s="4138"/>
      <c r="P48" s="4139">
        <v>0</v>
      </c>
      <c r="Q48" s="4140"/>
      <c r="R48" s="4141">
        <v>0</v>
      </c>
      <c r="S48" s="4142"/>
      <c r="T48" s="1484"/>
      <c r="U48" s="1485"/>
    </row>
    <row r="49" spans="2:37" s="1475" customFormat="1" ht="30.65" customHeight="1">
      <c r="B49" s="1486"/>
      <c r="C49" s="4121" t="s">
        <v>1809</v>
      </c>
      <c r="D49" s="4122"/>
      <c r="E49" s="107">
        <v>0</v>
      </c>
      <c r="F49" s="4143">
        <v>0</v>
      </c>
      <c r="G49" s="4144"/>
      <c r="H49" s="4145">
        <v>0</v>
      </c>
      <c r="I49" s="4146"/>
      <c r="J49" s="4147">
        <v>0</v>
      </c>
      <c r="K49" s="4148"/>
      <c r="L49" s="4145">
        <v>0</v>
      </c>
      <c r="M49" s="4146"/>
      <c r="N49" s="4143">
        <v>0</v>
      </c>
      <c r="O49" s="4144"/>
      <c r="P49" s="4145">
        <v>0</v>
      </c>
      <c r="Q49" s="4146"/>
      <c r="R49" s="4147">
        <v>0</v>
      </c>
      <c r="S49" s="4148"/>
      <c r="T49" s="1484"/>
      <c r="U49" s="1485"/>
    </row>
    <row r="50" spans="2:37" s="1475" customFormat="1" ht="26.5" customHeight="1">
      <c r="B50" s="1486"/>
      <c r="C50" s="4123" t="s">
        <v>1810</v>
      </c>
      <c r="D50" s="4124"/>
      <c r="E50" s="107">
        <v>0</v>
      </c>
      <c r="F50" s="4143">
        <v>0</v>
      </c>
      <c r="G50" s="4144"/>
      <c r="H50" s="4145">
        <v>0</v>
      </c>
      <c r="I50" s="4146"/>
      <c r="J50" s="4147">
        <v>0</v>
      </c>
      <c r="K50" s="4148"/>
      <c r="L50" s="4145">
        <v>0</v>
      </c>
      <c r="M50" s="4146"/>
      <c r="N50" s="4143">
        <v>0</v>
      </c>
      <c r="O50" s="4144"/>
      <c r="P50" s="4145">
        <v>0</v>
      </c>
      <c r="Q50" s="4146"/>
      <c r="R50" s="4147">
        <v>0</v>
      </c>
      <c r="S50" s="4148"/>
      <c r="T50" s="1484"/>
      <c r="U50" s="1485"/>
    </row>
    <row r="51" spans="2:37" s="1475" customFormat="1" ht="33.65" customHeight="1" thickBot="1">
      <c r="B51" s="1486"/>
      <c r="C51" s="4125" t="s">
        <v>1811</v>
      </c>
      <c r="D51" s="4126"/>
      <c r="E51" s="108">
        <v>0</v>
      </c>
      <c r="F51" s="4092">
        <v>0</v>
      </c>
      <c r="G51" s="4093"/>
      <c r="H51" s="4094">
        <v>0</v>
      </c>
      <c r="I51" s="4095"/>
      <c r="J51" s="4114">
        <v>0</v>
      </c>
      <c r="K51" s="4115"/>
      <c r="L51" s="4094">
        <v>0</v>
      </c>
      <c r="M51" s="4095"/>
      <c r="N51" s="4092">
        <v>0</v>
      </c>
      <c r="O51" s="4093"/>
      <c r="P51" s="4094">
        <v>0</v>
      </c>
      <c r="Q51" s="4095"/>
      <c r="R51" s="4114">
        <v>0</v>
      </c>
      <c r="S51" s="4115"/>
      <c r="T51" s="1484"/>
      <c r="U51" s="1485"/>
    </row>
    <row r="52" spans="2:37" s="1475" customFormat="1" ht="21.65" customHeight="1">
      <c r="B52" s="1472" t="s">
        <v>1816</v>
      </c>
      <c r="C52" s="204"/>
      <c r="D52" s="1295"/>
      <c r="E52" s="1295"/>
      <c r="F52" s="1473"/>
      <c r="G52" s="1473"/>
      <c r="H52" s="1473"/>
      <c r="I52" s="1473"/>
      <c r="J52" s="1473"/>
      <c r="K52" s="1473"/>
      <c r="L52" s="1473"/>
      <c r="M52" s="1473"/>
      <c r="N52" s="1473"/>
      <c r="O52" s="1473"/>
      <c r="P52" s="1473"/>
      <c r="Q52" s="1473"/>
      <c r="R52" s="1473"/>
      <c r="S52" s="1473"/>
      <c r="T52" s="1473"/>
      <c r="U52" s="1474"/>
      <c r="V52" s="1473"/>
      <c r="W52" s="1473"/>
      <c r="X52" s="1473"/>
      <c r="Y52" s="1473"/>
      <c r="Z52" s="1473"/>
      <c r="AA52" s="1473"/>
      <c r="AB52" s="1473"/>
      <c r="AC52" s="1473"/>
      <c r="AD52" s="1473"/>
      <c r="AE52" s="1473"/>
      <c r="AF52" s="1473"/>
      <c r="AG52" s="1473"/>
      <c r="AH52" s="1473"/>
      <c r="AI52" s="1473"/>
      <c r="AJ52" s="1473"/>
      <c r="AK52" s="1473"/>
    </row>
    <row r="53" spans="2:37" ht="1.4" customHeight="1" thickBot="1">
      <c r="B53" s="1476"/>
      <c r="C53" s="1477"/>
      <c r="D53" s="1477"/>
      <c r="E53" s="1477"/>
      <c r="F53" s="1477"/>
      <c r="G53" s="1477"/>
      <c r="H53" s="1477"/>
      <c r="I53" s="1477"/>
      <c r="J53" s="1477"/>
      <c r="K53" s="1477"/>
      <c r="L53" s="1477"/>
      <c r="M53" s="1477"/>
      <c r="N53" s="1477"/>
      <c r="O53" s="1477"/>
      <c r="P53" s="1477"/>
      <c r="Q53" s="1477"/>
      <c r="R53" s="1477"/>
      <c r="S53" s="1477"/>
      <c r="T53" s="1477"/>
      <c r="U53" s="1478"/>
    </row>
    <row r="54" spans="2:37" ht="22.75" customHeight="1">
      <c r="B54" s="1480" t="s">
        <v>1817</v>
      </c>
    </row>
    <row r="55" spans="2:37" ht="34.4" customHeight="1">
      <c r="B55" s="173" t="s">
        <v>847</v>
      </c>
      <c r="C55" s="346"/>
      <c r="D55" s="346"/>
      <c r="E55" s="346"/>
      <c r="F55" s="346"/>
      <c r="H55" s="173" t="s">
        <v>747</v>
      </c>
      <c r="I55" s="346"/>
      <c r="J55" s="346"/>
      <c r="K55" s="346"/>
      <c r="O55" s="173" t="s">
        <v>783</v>
      </c>
      <c r="P55" s="1482"/>
      <c r="Q55" s="1482"/>
      <c r="R55" s="1482"/>
      <c r="S55" s="1482"/>
    </row>
    <row r="56" spans="2:37" ht="13.5">
      <c r="B56" s="173" t="s">
        <v>10411</v>
      </c>
      <c r="C56" s="346"/>
      <c r="D56" s="4135" t="str">
        <f>activesheet!E29</f>
        <v>RICO S. MISPEROS</v>
      </c>
      <c r="E56" s="4135"/>
      <c r="F56" s="1483"/>
      <c r="H56" s="4135" t="str">
        <f>activesheet!E3244</f>
        <v>ELYN KENDRA D. DELA CRUZ</v>
      </c>
      <c r="I56" s="4135"/>
      <c r="J56" s="4135"/>
      <c r="K56" s="4135"/>
      <c r="L56" s="4135"/>
      <c r="M56" s="4135"/>
      <c r="O56" s="1482"/>
      <c r="P56" s="1482"/>
      <c r="Q56" s="1482"/>
      <c r="R56" s="1482"/>
      <c r="S56" s="1482"/>
    </row>
    <row r="57" spans="2:37" ht="13.5">
      <c r="B57" s="173"/>
      <c r="C57" s="1040" t="s">
        <v>10413</v>
      </c>
      <c r="D57" s="1040"/>
      <c r="E57" s="1040"/>
      <c r="F57" s="1040"/>
      <c r="H57" s="1764" t="s">
        <v>741</v>
      </c>
      <c r="I57" s="1764"/>
      <c r="J57" s="1764"/>
      <c r="K57" s="1764"/>
      <c r="L57" s="1764"/>
      <c r="M57" s="1764"/>
      <c r="O57" s="4135" t="str">
        <f>activesheet!E31</f>
        <v>MICHAEL T. JAMIS</v>
      </c>
      <c r="P57" s="4135"/>
      <c r="Q57" s="4135"/>
      <c r="R57" s="4135"/>
      <c r="S57" s="4135"/>
      <c r="T57" s="4135"/>
    </row>
    <row r="58" spans="2:37" ht="13.5">
      <c r="B58" s="173" t="s">
        <v>10412</v>
      </c>
      <c r="C58" s="346"/>
      <c r="D58" s="4135" t="str">
        <f>activesheet!E30</f>
        <v>SCHOOL PRINCIPAL II</v>
      </c>
      <c r="E58" s="4135"/>
      <c r="F58" s="1483"/>
      <c r="H58" s="173" t="s">
        <v>1752</v>
      </c>
      <c r="I58" s="1483"/>
      <c r="J58" s="4135" t="str">
        <f>activesheet!E3245</f>
        <v>Project Development Officer II</v>
      </c>
      <c r="K58" s="4135"/>
      <c r="L58" s="4135"/>
      <c r="M58" s="4135"/>
      <c r="O58" s="1783" t="s">
        <v>741</v>
      </c>
      <c r="P58" s="1783"/>
      <c r="Q58" s="1783"/>
      <c r="R58" s="1783"/>
      <c r="S58" s="1783"/>
      <c r="T58" s="1783"/>
    </row>
  </sheetData>
  <sheetProtection algorithmName="SHA-512" hashValue="IHooXfMwLmmTbJPZvZXt5V2CdjKR9IclSbBHDn66vX76eeo6Br24y7LUFvclfrg/aLLOQHSKFL70RgStAs2m4Q==" saltValue="gI/KNz0MwLfFp0U3NRlrDw==" spinCount="100000" sheet="1" selectLockedCells="1"/>
  <mergeCells count="110">
    <mergeCell ref="D58:E58"/>
    <mergeCell ref="J58:M58"/>
    <mergeCell ref="O57:T57"/>
    <mergeCell ref="N8:T8"/>
    <mergeCell ref="C18:F19"/>
    <mergeCell ref="G18:M18"/>
    <mergeCell ref="N18:T18"/>
    <mergeCell ref="C20:F20"/>
    <mergeCell ref="C21:F21"/>
    <mergeCell ref="C22:F22"/>
    <mergeCell ref="C23:F23"/>
    <mergeCell ref="C24:F24"/>
    <mergeCell ref="J32:L32"/>
    <mergeCell ref="F31:G31"/>
    <mergeCell ref="H31:I31"/>
    <mergeCell ref="F32:G32"/>
    <mergeCell ref="H32:I32"/>
    <mergeCell ref="M32:O32"/>
    <mergeCell ref="M33:O33"/>
    <mergeCell ref="C25:F25"/>
    <mergeCell ref="C26:F26"/>
    <mergeCell ref="C28:T28"/>
    <mergeCell ref="J30:L30"/>
    <mergeCell ref="M30:O30"/>
    <mergeCell ref="P31:R31"/>
    <mergeCell ref="P32:R32"/>
    <mergeCell ref="P33:R33"/>
    <mergeCell ref="C29:D30"/>
    <mergeCell ref="C31:D31"/>
    <mergeCell ref="C32:D32"/>
    <mergeCell ref="C33:D33"/>
    <mergeCell ref="F30:G30"/>
    <mergeCell ref="H30:I30"/>
    <mergeCell ref="E29:I29"/>
    <mergeCell ref="J29:O29"/>
    <mergeCell ref="J33:L33"/>
    <mergeCell ref="P29:R30"/>
    <mergeCell ref="M31:O31"/>
    <mergeCell ref="J31:L31"/>
    <mergeCell ref="H33:I33"/>
    <mergeCell ref="F33:G33"/>
    <mergeCell ref="O58:T58"/>
    <mergeCell ref="H47:I47"/>
    <mergeCell ref="J47:K47"/>
    <mergeCell ref="L47:M47"/>
    <mergeCell ref="N47:O47"/>
    <mergeCell ref="P47:Q47"/>
    <mergeCell ref="R47:S47"/>
    <mergeCell ref="H50:I50"/>
    <mergeCell ref="J50:K50"/>
    <mergeCell ref="L50:M50"/>
    <mergeCell ref="N50:O50"/>
    <mergeCell ref="P48:Q48"/>
    <mergeCell ref="R48:S48"/>
    <mergeCell ref="P49:Q49"/>
    <mergeCell ref="R49:S49"/>
    <mergeCell ref="P50:Q50"/>
    <mergeCell ref="R50:S50"/>
    <mergeCell ref="P51:Q51"/>
    <mergeCell ref="R51:S51"/>
    <mergeCell ref="N51:O51"/>
    <mergeCell ref="N48:O48"/>
    <mergeCell ref="N49:O49"/>
    <mergeCell ref="H57:M57"/>
    <mergeCell ref="H56:M56"/>
    <mergeCell ref="M44:O44"/>
    <mergeCell ref="E42:I42"/>
    <mergeCell ref="J42:O42"/>
    <mergeCell ref="D56:E56"/>
    <mergeCell ref="C46:D47"/>
    <mergeCell ref="F47:G47"/>
    <mergeCell ref="F48:G48"/>
    <mergeCell ref="H48:I48"/>
    <mergeCell ref="J48:K48"/>
    <mergeCell ref="L48:M48"/>
    <mergeCell ref="F49:G49"/>
    <mergeCell ref="H49:I49"/>
    <mergeCell ref="J49:K49"/>
    <mergeCell ref="L49:M49"/>
    <mergeCell ref="F50:G50"/>
    <mergeCell ref="E46:G46"/>
    <mergeCell ref="H46:K46"/>
    <mergeCell ref="L46:O46"/>
    <mergeCell ref="J43:L43"/>
    <mergeCell ref="M43:O43"/>
    <mergeCell ref="J44:L44"/>
    <mergeCell ref="P46:S46"/>
    <mergeCell ref="F51:G51"/>
    <mergeCell ref="H51:I51"/>
    <mergeCell ref="E44:F44"/>
    <mergeCell ref="G44:I44"/>
    <mergeCell ref="C7:M7"/>
    <mergeCell ref="C10:F10"/>
    <mergeCell ref="C11:F11"/>
    <mergeCell ref="C12:F12"/>
    <mergeCell ref="C13:F13"/>
    <mergeCell ref="C8:F9"/>
    <mergeCell ref="G8:M8"/>
    <mergeCell ref="J51:K51"/>
    <mergeCell ref="C14:F14"/>
    <mergeCell ref="C15:F15"/>
    <mergeCell ref="C16:F16"/>
    <mergeCell ref="C17:M17"/>
    <mergeCell ref="L51:M51"/>
    <mergeCell ref="C48:D48"/>
    <mergeCell ref="C49:D49"/>
    <mergeCell ref="C50:D50"/>
    <mergeCell ref="C51:D51"/>
    <mergeCell ref="E43:F43"/>
    <mergeCell ref="G43:I43"/>
  </mergeCells>
  <dataValidations count="3">
    <dataValidation type="whole" allowBlank="1" showInputMessage="1" showErrorMessage="1" errorTitle="GESP SY 2022-2023" error="Please enter valid number between 0 - 20,000." sqref="E48:S51" xr:uid="{00000000-0002-0000-3A00-000000000000}">
      <formula1>0</formula1>
      <formula2>20000</formula2>
    </dataValidation>
    <dataValidation type="whole" allowBlank="1" showInputMessage="1" showErrorMessage="1" errorTitle="GESP SY 2022-2023" error="Please enter valid number between 0 - 999." sqref="E44:O44 E31:R33" xr:uid="{00000000-0002-0000-3A00-000001000000}">
      <formula1>0</formula1>
      <formula2>999</formula2>
    </dataValidation>
    <dataValidation allowBlank="1" showInputMessage="1" showErrorMessage="1" errorTitle="GESP SY 2021-2022" error="Please enter valid number between 0 - 999." sqref="G10:T16 G20:M26" xr:uid="{00000000-0002-0000-3A00-000002000000}"/>
  </dataValidations>
  <printOptions horizontalCentered="1"/>
  <pageMargins left="0.45" right="0.45" top="0.5" bottom="0.5" header="0.3" footer="0.2"/>
  <pageSetup paperSize="9" scale="46" orientation="landscape" horizontalDpi="0" verticalDpi="0" r:id="rId1"/>
  <headerFooter>
    <oddFooter>&amp;L&amp;F&amp;A&amp;RPage 55 of 60</oddFooter>
  </headerFooter>
  <ignoredErrors>
    <ignoredError sqref="B7 B17 B28 B35 B39:B41 B45"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4257" r:id="rId4" name="Check Box 1">
              <controlPr locked="0" defaultSize="0" autoFill="0" autoLine="0" autoPict="0">
                <anchor moveWithCells="1">
                  <from>
                    <xdr:col>2</xdr:col>
                    <xdr:colOff>431800</xdr:colOff>
                    <xdr:row>34</xdr:row>
                    <xdr:rowOff>12700</xdr:rowOff>
                  </from>
                  <to>
                    <xdr:col>3</xdr:col>
                    <xdr:colOff>222250</xdr:colOff>
                    <xdr:row>34</xdr:row>
                    <xdr:rowOff>222250</xdr:rowOff>
                  </to>
                </anchor>
              </controlPr>
            </control>
          </mc:Choice>
        </mc:AlternateContent>
        <mc:AlternateContent xmlns:mc="http://schemas.openxmlformats.org/markup-compatibility/2006">
          <mc:Choice Requires="x14">
            <control shapeId="224258" r:id="rId5" name="Check Box 2">
              <controlPr locked="0" defaultSize="0" autoFill="0" autoLine="0" autoPict="0">
                <anchor moveWithCells="1">
                  <from>
                    <xdr:col>2</xdr:col>
                    <xdr:colOff>431800</xdr:colOff>
                    <xdr:row>37</xdr:row>
                    <xdr:rowOff>50800</xdr:rowOff>
                  </from>
                  <to>
                    <xdr:col>3</xdr:col>
                    <xdr:colOff>222250</xdr:colOff>
                    <xdr:row>39</xdr:row>
                    <xdr:rowOff>12700</xdr:rowOff>
                  </to>
                </anchor>
              </controlPr>
            </control>
          </mc:Choice>
        </mc:AlternateContent>
        <mc:AlternateContent xmlns:mc="http://schemas.openxmlformats.org/markup-compatibility/2006">
          <mc:Choice Requires="x14">
            <control shapeId="224259" r:id="rId6" name="Check Box 3">
              <controlPr locked="0" defaultSize="0" autoFill="0" autoLine="0" autoPict="0">
                <anchor moveWithCells="1">
                  <from>
                    <xdr:col>2</xdr:col>
                    <xdr:colOff>431800</xdr:colOff>
                    <xdr:row>39</xdr:row>
                    <xdr:rowOff>31750</xdr:rowOff>
                  </from>
                  <to>
                    <xdr:col>3</xdr:col>
                    <xdr:colOff>222250</xdr:colOff>
                    <xdr:row>39</xdr:row>
                    <xdr:rowOff>241300</xdr:rowOff>
                  </to>
                </anchor>
              </controlPr>
            </control>
          </mc:Choice>
        </mc:AlternateContent>
        <mc:AlternateContent xmlns:mc="http://schemas.openxmlformats.org/markup-compatibility/2006">
          <mc:Choice Requires="x14">
            <control shapeId="224260" r:id="rId7" name="Check Box 4">
              <controlPr defaultSize="0" autoFill="0" autoLine="0" autoPict="0">
                <anchor moveWithCells="1">
                  <from>
                    <xdr:col>6</xdr:col>
                    <xdr:colOff>114300</xdr:colOff>
                    <xdr:row>8</xdr:row>
                    <xdr:rowOff>165100</xdr:rowOff>
                  </from>
                  <to>
                    <xdr:col>6</xdr:col>
                    <xdr:colOff>431800</xdr:colOff>
                    <xdr:row>10</xdr:row>
                    <xdr:rowOff>12700</xdr:rowOff>
                  </to>
                </anchor>
              </controlPr>
            </control>
          </mc:Choice>
        </mc:AlternateContent>
        <mc:AlternateContent xmlns:mc="http://schemas.openxmlformats.org/markup-compatibility/2006">
          <mc:Choice Requires="x14">
            <control shapeId="224985" r:id="rId8" name="Check Box 729">
              <controlPr defaultSize="0" autoFill="0" autoLine="0" autoPict="0">
                <anchor moveWithCells="1">
                  <from>
                    <xdr:col>6</xdr:col>
                    <xdr:colOff>114300</xdr:colOff>
                    <xdr:row>9</xdr:row>
                    <xdr:rowOff>165100</xdr:rowOff>
                  </from>
                  <to>
                    <xdr:col>6</xdr:col>
                    <xdr:colOff>431800</xdr:colOff>
                    <xdr:row>11</xdr:row>
                    <xdr:rowOff>0</xdr:rowOff>
                  </to>
                </anchor>
              </controlPr>
            </control>
          </mc:Choice>
        </mc:AlternateContent>
        <mc:AlternateContent xmlns:mc="http://schemas.openxmlformats.org/markup-compatibility/2006">
          <mc:Choice Requires="x14">
            <control shapeId="224986" r:id="rId9" name="Check Box 730">
              <controlPr defaultSize="0" autoFill="0" autoLine="0" autoPict="0">
                <anchor moveWithCells="1">
                  <from>
                    <xdr:col>6</xdr:col>
                    <xdr:colOff>114300</xdr:colOff>
                    <xdr:row>10</xdr:row>
                    <xdr:rowOff>165100</xdr:rowOff>
                  </from>
                  <to>
                    <xdr:col>6</xdr:col>
                    <xdr:colOff>431800</xdr:colOff>
                    <xdr:row>12</xdr:row>
                    <xdr:rowOff>0</xdr:rowOff>
                  </to>
                </anchor>
              </controlPr>
            </control>
          </mc:Choice>
        </mc:AlternateContent>
        <mc:AlternateContent xmlns:mc="http://schemas.openxmlformats.org/markup-compatibility/2006">
          <mc:Choice Requires="x14">
            <control shapeId="224987" r:id="rId10" name="Check Box 731">
              <controlPr defaultSize="0" autoFill="0" autoLine="0" autoPict="0">
                <anchor moveWithCells="1">
                  <from>
                    <xdr:col>6</xdr:col>
                    <xdr:colOff>114300</xdr:colOff>
                    <xdr:row>11</xdr:row>
                    <xdr:rowOff>165100</xdr:rowOff>
                  </from>
                  <to>
                    <xdr:col>6</xdr:col>
                    <xdr:colOff>431800</xdr:colOff>
                    <xdr:row>13</xdr:row>
                    <xdr:rowOff>0</xdr:rowOff>
                  </to>
                </anchor>
              </controlPr>
            </control>
          </mc:Choice>
        </mc:AlternateContent>
        <mc:AlternateContent xmlns:mc="http://schemas.openxmlformats.org/markup-compatibility/2006">
          <mc:Choice Requires="x14">
            <control shapeId="224988" r:id="rId11" name="Check Box 732">
              <controlPr defaultSize="0" autoFill="0" autoLine="0" autoPict="0">
                <anchor moveWithCells="1">
                  <from>
                    <xdr:col>6</xdr:col>
                    <xdr:colOff>114300</xdr:colOff>
                    <xdr:row>11</xdr:row>
                    <xdr:rowOff>165100</xdr:rowOff>
                  </from>
                  <to>
                    <xdr:col>6</xdr:col>
                    <xdr:colOff>431800</xdr:colOff>
                    <xdr:row>13</xdr:row>
                    <xdr:rowOff>0</xdr:rowOff>
                  </to>
                </anchor>
              </controlPr>
            </control>
          </mc:Choice>
        </mc:AlternateContent>
        <mc:AlternateContent xmlns:mc="http://schemas.openxmlformats.org/markup-compatibility/2006">
          <mc:Choice Requires="x14">
            <control shapeId="224989" r:id="rId12" name="Check Box 733">
              <controlPr defaultSize="0" autoFill="0" autoLine="0" autoPict="0">
                <anchor moveWithCells="1">
                  <from>
                    <xdr:col>6</xdr:col>
                    <xdr:colOff>114300</xdr:colOff>
                    <xdr:row>12</xdr:row>
                    <xdr:rowOff>165100</xdr:rowOff>
                  </from>
                  <to>
                    <xdr:col>6</xdr:col>
                    <xdr:colOff>431800</xdr:colOff>
                    <xdr:row>14</xdr:row>
                    <xdr:rowOff>0</xdr:rowOff>
                  </to>
                </anchor>
              </controlPr>
            </control>
          </mc:Choice>
        </mc:AlternateContent>
        <mc:AlternateContent xmlns:mc="http://schemas.openxmlformats.org/markup-compatibility/2006">
          <mc:Choice Requires="x14">
            <control shapeId="224990" r:id="rId13" name="Check Box 734">
              <controlPr defaultSize="0" autoFill="0" autoLine="0" autoPict="0">
                <anchor moveWithCells="1">
                  <from>
                    <xdr:col>6</xdr:col>
                    <xdr:colOff>114300</xdr:colOff>
                    <xdr:row>12</xdr:row>
                    <xdr:rowOff>165100</xdr:rowOff>
                  </from>
                  <to>
                    <xdr:col>6</xdr:col>
                    <xdr:colOff>431800</xdr:colOff>
                    <xdr:row>14</xdr:row>
                    <xdr:rowOff>0</xdr:rowOff>
                  </to>
                </anchor>
              </controlPr>
            </control>
          </mc:Choice>
        </mc:AlternateContent>
        <mc:AlternateContent xmlns:mc="http://schemas.openxmlformats.org/markup-compatibility/2006">
          <mc:Choice Requires="x14">
            <control shapeId="224991" r:id="rId14" name="Check Box 735">
              <controlPr defaultSize="0" autoFill="0" autoLine="0" autoPict="0">
                <anchor moveWithCells="1">
                  <from>
                    <xdr:col>6</xdr:col>
                    <xdr:colOff>114300</xdr:colOff>
                    <xdr:row>13</xdr:row>
                    <xdr:rowOff>165100</xdr:rowOff>
                  </from>
                  <to>
                    <xdr:col>6</xdr:col>
                    <xdr:colOff>431800</xdr:colOff>
                    <xdr:row>15</xdr:row>
                    <xdr:rowOff>0</xdr:rowOff>
                  </to>
                </anchor>
              </controlPr>
            </control>
          </mc:Choice>
        </mc:AlternateContent>
        <mc:AlternateContent xmlns:mc="http://schemas.openxmlformats.org/markup-compatibility/2006">
          <mc:Choice Requires="x14">
            <control shapeId="224992" r:id="rId15" name="Check Box 736">
              <controlPr defaultSize="0" autoFill="0" autoLine="0" autoPict="0">
                <anchor moveWithCells="1">
                  <from>
                    <xdr:col>6</xdr:col>
                    <xdr:colOff>114300</xdr:colOff>
                    <xdr:row>13</xdr:row>
                    <xdr:rowOff>165100</xdr:rowOff>
                  </from>
                  <to>
                    <xdr:col>6</xdr:col>
                    <xdr:colOff>431800</xdr:colOff>
                    <xdr:row>15</xdr:row>
                    <xdr:rowOff>0</xdr:rowOff>
                  </to>
                </anchor>
              </controlPr>
            </control>
          </mc:Choice>
        </mc:AlternateContent>
        <mc:AlternateContent xmlns:mc="http://schemas.openxmlformats.org/markup-compatibility/2006">
          <mc:Choice Requires="x14">
            <control shapeId="224993" r:id="rId16" name="Check Box 737">
              <controlPr defaultSize="0" autoFill="0" autoLine="0" autoPict="0">
                <anchor moveWithCells="1">
                  <from>
                    <xdr:col>6</xdr:col>
                    <xdr:colOff>114300</xdr:colOff>
                    <xdr:row>14</xdr:row>
                    <xdr:rowOff>165100</xdr:rowOff>
                  </from>
                  <to>
                    <xdr:col>6</xdr:col>
                    <xdr:colOff>431800</xdr:colOff>
                    <xdr:row>15</xdr:row>
                    <xdr:rowOff>203200</xdr:rowOff>
                  </to>
                </anchor>
              </controlPr>
            </control>
          </mc:Choice>
        </mc:AlternateContent>
        <mc:AlternateContent xmlns:mc="http://schemas.openxmlformats.org/markup-compatibility/2006">
          <mc:Choice Requires="x14">
            <control shapeId="224994" r:id="rId17" name="Check Box 738">
              <controlPr defaultSize="0" autoFill="0" autoLine="0" autoPict="0">
                <anchor moveWithCells="1">
                  <from>
                    <xdr:col>7</xdr:col>
                    <xdr:colOff>114300</xdr:colOff>
                    <xdr:row>8</xdr:row>
                    <xdr:rowOff>165100</xdr:rowOff>
                  </from>
                  <to>
                    <xdr:col>7</xdr:col>
                    <xdr:colOff>431800</xdr:colOff>
                    <xdr:row>10</xdr:row>
                    <xdr:rowOff>12700</xdr:rowOff>
                  </to>
                </anchor>
              </controlPr>
            </control>
          </mc:Choice>
        </mc:AlternateContent>
        <mc:AlternateContent xmlns:mc="http://schemas.openxmlformats.org/markup-compatibility/2006">
          <mc:Choice Requires="x14">
            <control shapeId="224995" r:id="rId18" name="Check Box 739">
              <controlPr defaultSize="0" autoFill="0" autoLine="0" autoPict="0">
                <anchor moveWithCells="1">
                  <from>
                    <xdr:col>7</xdr:col>
                    <xdr:colOff>114300</xdr:colOff>
                    <xdr:row>9</xdr:row>
                    <xdr:rowOff>165100</xdr:rowOff>
                  </from>
                  <to>
                    <xdr:col>7</xdr:col>
                    <xdr:colOff>431800</xdr:colOff>
                    <xdr:row>11</xdr:row>
                    <xdr:rowOff>0</xdr:rowOff>
                  </to>
                </anchor>
              </controlPr>
            </control>
          </mc:Choice>
        </mc:AlternateContent>
        <mc:AlternateContent xmlns:mc="http://schemas.openxmlformats.org/markup-compatibility/2006">
          <mc:Choice Requires="x14">
            <control shapeId="224996" r:id="rId19" name="Check Box 740">
              <controlPr defaultSize="0" autoFill="0" autoLine="0" autoPict="0">
                <anchor moveWithCells="1">
                  <from>
                    <xdr:col>7</xdr:col>
                    <xdr:colOff>114300</xdr:colOff>
                    <xdr:row>10</xdr:row>
                    <xdr:rowOff>165100</xdr:rowOff>
                  </from>
                  <to>
                    <xdr:col>7</xdr:col>
                    <xdr:colOff>431800</xdr:colOff>
                    <xdr:row>12</xdr:row>
                    <xdr:rowOff>0</xdr:rowOff>
                  </to>
                </anchor>
              </controlPr>
            </control>
          </mc:Choice>
        </mc:AlternateContent>
        <mc:AlternateContent xmlns:mc="http://schemas.openxmlformats.org/markup-compatibility/2006">
          <mc:Choice Requires="x14">
            <control shapeId="224997" r:id="rId20" name="Check Box 741">
              <controlPr defaultSize="0" autoFill="0" autoLine="0" autoPict="0">
                <anchor moveWithCells="1">
                  <from>
                    <xdr:col>7</xdr:col>
                    <xdr:colOff>114300</xdr:colOff>
                    <xdr:row>11</xdr:row>
                    <xdr:rowOff>165100</xdr:rowOff>
                  </from>
                  <to>
                    <xdr:col>7</xdr:col>
                    <xdr:colOff>431800</xdr:colOff>
                    <xdr:row>13</xdr:row>
                    <xdr:rowOff>0</xdr:rowOff>
                  </to>
                </anchor>
              </controlPr>
            </control>
          </mc:Choice>
        </mc:AlternateContent>
        <mc:AlternateContent xmlns:mc="http://schemas.openxmlformats.org/markup-compatibility/2006">
          <mc:Choice Requires="x14">
            <control shapeId="224998" r:id="rId21" name="Check Box 742">
              <controlPr defaultSize="0" autoFill="0" autoLine="0" autoPict="0">
                <anchor moveWithCells="1">
                  <from>
                    <xdr:col>7</xdr:col>
                    <xdr:colOff>114300</xdr:colOff>
                    <xdr:row>11</xdr:row>
                    <xdr:rowOff>165100</xdr:rowOff>
                  </from>
                  <to>
                    <xdr:col>7</xdr:col>
                    <xdr:colOff>431800</xdr:colOff>
                    <xdr:row>13</xdr:row>
                    <xdr:rowOff>0</xdr:rowOff>
                  </to>
                </anchor>
              </controlPr>
            </control>
          </mc:Choice>
        </mc:AlternateContent>
        <mc:AlternateContent xmlns:mc="http://schemas.openxmlformats.org/markup-compatibility/2006">
          <mc:Choice Requires="x14">
            <control shapeId="224999" r:id="rId22" name="Check Box 743">
              <controlPr defaultSize="0" autoFill="0" autoLine="0" autoPict="0">
                <anchor moveWithCells="1">
                  <from>
                    <xdr:col>7</xdr:col>
                    <xdr:colOff>114300</xdr:colOff>
                    <xdr:row>12</xdr:row>
                    <xdr:rowOff>165100</xdr:rowOff>
                  </from>
                  <to>
                    <xdr:col>7</xdr:col>
                    <xdr:colOff>431800</xdr:colOff>
                    <xdr:row>14</xdr:row>
                    <xdr:rowOff>0</xdr:rowOff>
                  </to>
                </anchor>
              </controlPr>
            </control>
          </mc:Choice>
        </mc:AlternateContent>
        <mc:AlternateContent xmlns:mc="http://schemas.openxmlformats.org/markup-compatibility/2006">
          <mc:Choice Requires="x14">
            <control shapeId="225000" r:id="rId23" name="Check Box 744">
              <controlPr defaultSize="0" autoFill="0" autoLine="0" autoPict="0">
                <anchor moveWithCells="1">
                  <from>
                    <xdr:col>7</xdr:col>
                    <xdr:colOff>114300</xdr:colOff>
                    <xdr:row>12</xdr:row>
                    <xdr:rowOff>165100</xdr:rowOff>
                  </from>
                  <to>
                    <xdr:col>7</xdr:col>
                    <xdr:colOff>431800</xdr:colOff>
                    <xdr:row>14</xdr:row>
                    <xdr:rowOff>0</xdr:rowOff>
                  </to>
                </anchor>
              </controlPr>
            </control>
          </mc:Choice>
        </mc:AlternateContent>
        <mc:AlternateContent xmlns:mc="http://schemas.openxmlformats.org/markup-compatibility/2006">
          <mc:Choice Requires="x14">
            <control shapeId="225001" r:id="rId24" name="Check Box 745">
              <controlPr defaultSize="0" autoFill="0" autoLine="0" autoPict="0">
                <anchor moveWithCells="1">
                  <from>
                    <xdr:col>7</xdr:col>
                    <xdr:colOff>114300</xdr:colOff>
                    <xdr:row>13</xdr:row>
                    <xdr:rowOff>165100</xdr:rowOff>
                  </from>
                  <to>
                    <xdr:col>7</xdr:col>
                    <xdr:colOff>431800</xdr:colOff>
                    <xdr:row>15</xdr:row>
                    <xdr:rowOff>0</xdr:rowOff>
                  </to>
                </anchor>
              </controlPr>
            </control>
          </mc:Choice>
        </mc:AlternateContent>
        <mc:AlternateContent xmlns:mc="http://schemas.openxmlformats.org/markup-compatibility/2006">
          <mc:Choice Requires="x14">
            <control shapeId="225002" r:id="rId25" name="Check Box 746">
              <controlPr defaultSize="0" autoFill="0" autoLine="0" autoPict="0">
                <anchor moveWithCells="1">
                  <from>
                    <xdr:col>7</xdr:col>
                    <xdr:colOff>114300</xdr:colOff>
                    <xdr:row>13</xdr:row>
                    <xdr:rowOff>165100</xdr:rowOff>
                  </from>
                  <to>
                    <xdr:col>7</xdr:col>
                    <xdr:colOff>431800</xdr:colOff>
                    <xdr:row>15</xdr:row>
                    <xdr:rowOff>0</xdr:rowOff>
                  </to>
                </anchor>
              </controlPr>
            </control>
          </mc:Choice>
        </mc:AlternateContent>
        <mc:AlternateContent xmlns:mc="http://schemas.openxmlformats.org/markup-compatibility/2006">
          <mc:Choice Requires="x14">
            <control shapeId="225003" r:id="rId26" name="Check Box 747">
              <controlPr defaultSize="0" autoFill="0" autoLine="0" autoPict="0">
                <anchor moveWithCells="1">
                  <from>
                    <xdr:col>7</xdr:col>
                    <xdr:colOff>114300</xdr:colOff>
                    <xdr:row>14</xdr:row>
                    <xdr:rowOff>165100</xdr:rowOff>
                  </from>
                  <to>
                    <xdr:col>7</xdr:col>
                    <xdr:colOff>431800</xdr:colOff>
                    <xdr:row>15</xdr:row>
                    <xdr:rowOff>203200</xdr:rowOff>
                  </to>
                </anchor>
              </controlPr>
            </control>
          </mc:Choice>
        </mc:AlternateContent>
        <mc:AlternateContent xmlns:mc="http://schemas.openxmlformats.org/markup-compatibility/2006">
          <mc:Choice Requires="x14">
            <control shapeId="225004" r:id="rId27" name="Check Box 748">
              <controlPr defaultSize="0" autoFill="0" autoLine="0" autoPict="0">
                <anchor moveWithCells="1">
                  <from>
                    <xdr:col>8</xdr:col>
                    <xdr:colOff>114300</xdr:colOff>
                    <xdr:row>8</xdr:row>
                    <xdr:rowOff>165100</xdr:rowOff>
                  </from>
                  <to>
                    <xdr:col>8</xdr:col>
                    <xdr:colOff>431800</xdr:colOff>
                    <xdr:row>10</xdr:row>
                    <xdr:rowOff>12700</xdr:rowOff>
                  </to>
                </anchor>
              </controlPr>
            </control>
          </mc:Choice>
        </mc:AlternateContent>
        <mc:AlternateContent xmlns:mc="http://schemas.openxmlformats.org/markup-compatibility/2006">
          <mc:Choice Requires="x14">
            <control shapeId="225005" r:id="rId28" name="Check Box 749">
              <controlPr defaultSize="0" autoFill="0" autoLine="0" autoPict="0">
                <anchor moveWithCells="1">
                  <from>
                    <xdr:col>8</xdr:col>
                    <xdr:colOff>114300</xdr:colOff>
                    <xdr:row>9</xdr:row>
                    <xdr:rowOff>165100</xdr:rowOff>
                  </from>
                  <to>
                    <xdr:col>8</xdr:col>
                    <xdr:colOff>431800</xdr:colOff>
                    <xdr:row>11</xdr:row>
                    <xdr:rowOff>0</xdr:rowOff>
                  </to>
                </anchor>
              </controlPr>
            </control>
          </mc:Choice>
        </mc:AlternateContent>
        <mc:AlternateContent xmlns:mc="http://schemas.openxmlformats.org/markup-compatibility/2006">
          <mc:Choice Requires="x14">
            <control shapeId="225006" r:id="rId29" name="Check Box 750">
              <controlPr defaultSize="0" autoFill="0" autoLine="0" autoPict="0">
                <anchor moveWithCells="1">
                  <from>
                    <xdr:col>8</xdr:col>
                    <xdr:colOff>114300</xdr:colOff>
                    <xdr:row>10</xdr:row>
                    <xdr:rowOff>165100</xdr:rowOff>
                  </from>
                  <to>
                    <xdr:col>8</xdr:col>
                    <xdr:colOff>431800</xdr:colOff>
                    <xdr:row>12</xdr:row>
                    <xdr:rowOff>0</xdr:rowOff>
                  </to>
                </anchor>
              </controlPr>
            </control>
          </mc:Choice>
        </mc:AlternateContent>
        <mc:AlternateContent xmlns:mc="http://schemas.openxmlformats.org/markup-compatibility/2006">
          <mc:Choice Requires="x14">
            <control shapeId="225007" r:id="rId30" name="Check Box 751">
              <controlPr defaultSize="0" autoFill="0" autoLine="0" autoPict="0">
                <anchor moveWithCells="1">
                  <from>
                    <xdr:col>8</xdr:col>
                    <xdr:colOff>114300</xdr:colOff>
                    <xdr:row>11</xdr:row>
                    <xdr:rowOff>165100</xdr:rowOff>
                  </from>
                  <to>
                    <xdr:col>8</xdr:col>
                    <xdr:colOff>431800</xdr:colOff>
                    <xdr:row>13</xdr:row>
                    <xdr:rowOff>0</xdr:rowOff>
                  </to>
                </anchor>
              </controlPr>
            </control>
          </mc:Choice>
        </mc:AlternateContent>
        <mc:AlternateContent xmlns:mc="http://schemas.openxmlformats.org/markup-compatibility/2006">
          <mc:Choice Requires="x14">
            <control shapeId="225008" r:id="rId31" name="Check Box 752">
              <controlPr defaultSize="0" autoFill="0" autoLine="0" autoPict="0">
                <anchor moveWithCells="1">
                  <from>
                    <xdr:col>8</xdr:col>
                    <xdr:colOff>114300</xdr:colOff>
                    <xdr:row>11</xdr:row>
                    <xdr:rowOff>165100</xdr:rowOff>
                  </from>
                  <to>
                    <xdr:col>8</xdr:col>
                    <xdr:colOff>431800</xdr:colOff>
                    <xdr:row>13</xdr:row>
                    <xdr:rowOff>0</xdr:rowOff>
                  </to>
                </anchor>
              </controlPr>
            </control>
          </mc:Choice>
        </mc:AlternateContent>
        <mc:AlternateContent xmlns:mc="http://schemas.openxmlformats.org/markup-compatibility/2006">
          <mc:Choice Requires="x14">
            <control shapeId="225009" r:id="rId32" name="Check Box 753">
              <controlPr defaultSize="0" autoFill="0" autoLine="0" autoPict="0">
                <anchor moveWithCells="1">
                  <from>
                    <xdr:col>8</xdr:col>
                    <xdr:colOff>114300</xdr:colOff>
                    <xdr:row>12</xdr:row>
                    <xdr:rowOff>165100</xdr:rowOff>
                  </from>
                  <to>
                    <xdr:col>8</xdr:col>
                    <xdr:colOff>431800</xdr:colOff>
                    <xdr:row>14</xdr:row>
                    <xdr:rowOff>0</xdr:rowOff>
                  </to>
                </anchor>
              </controlPr>
            </control>
          </mc:Choice>
        </mc:AlternateContent>
        <mc:AlternateContent xmlns:mc="http://schemas.openxmlformats.org/markup-compatibility/2006">
          <mc:Choice Requires="x14">
            <control shapeId="225010" r:id="rId33" name="Check Box 754">
              <controlPr defaultSize="0" autoFill="0" autoLine="0" autoPict="0">
                <anchor moveWithCells="1">
                  <from>
                    <xdr:col>8</xdr:col>
                    <xdr:colOff>114300</xdr:colOff>
                    <xdr:row>12</xdr:row>
                    <xdr:rowOff>165100</xdr:rowOff>
                  </from>
                  <to>
                    <xdr:col>8</xdr:col>
                    <xdr:colOff>431800</xdr:colOff>
                    <xdr:row>14</xdr:row>
                    <xdr:rowOff>0</xdr:rowOff>
                  </to>
                </anchor>
              </controlPr>
            </control>
          </mc:Choice>
        </mc:AlternateContent>
        <mc:AlternateContent xmlns:mc="http://schemas.openxmlformats.org/markup-compatibility/2006">
          <mc:Choice Requires="x14">
            <control shapeId="225011" r:id="rId34" name="Check Box 755">
              <controlPr defaultSize="0" autoFill="0" autoLine="0" autoPict="0">
                <anchor moveWithCells="1">
                  <from>
                    <xdr:col>8</xdr:col>
                    <xdr:colOff>114300</xdr:colOff>
                    <xdr:row>13</xdr:row>
                    <xdr:rowOff>165100</xdr:rowOff>
                  </from>
                  <to>
                    <xdr:col>8</xdr:col>
                    <xdr:colOff>431800</xdr:colOff>
                    <xdr:row>15</xdr:row>
                    <xdr:rowOff>0</xdr:rowOff>
                  </to>
                </anchor>
              </controlPr>
            </control>
          </mc:Choice>
        </mc:AlternateContent>
        <mc:AlternateContent xmlns:mc="http://schemas.openxmlformats.org/markup-compatibility/2006">
          <mc:Choice Requires="x14">
            <control shapeId="225012" r:id="rId35" name="Check Box 756">
              <controlPr defaultSize="0" autoFill="0" autoLine="0" autoPict="0">
                <anchor moveWithCells="1">
                  <from>
                    <xdr:col>8</xdr:col>
                    <xdr:colOff>114300</xdr:colOff>
                    <xdr:row>13</xdr:row>
                    <xdr:rowOff>165100</xdr:rowOff>
                  </from>
                  <to>
                    <xdr:col>8</xdr:col>
                    <xdr:colOff>431800</xdr:colOff>
                    <xdr:row>15</xdr:row>
                    <xdr:rowOff>0</xdr:rowOff>
                  </to>
                </anchor>
              </controlPr>
            </control>
          </mc:Choice>
        </mc:AlternateContent>
        <mc:AlternateContent xmlns:mc="http://schemas.openxmlformats.org/markup-compatibility/2006">
          <mc:Choice Requires="x14">
            <control shapeId="225013" r:id="rId36" name="Check Box 757">
              <controlPr defaultSize="0" autoFill="0" autoLine="0" autoPict="0">
                <anchor moveWithCells="1">
                  <from>
                    <xdr:col>8</xdr:col>
                    <xdr:colOff>114300</xdr:colOff>
                    <xdr:row>14</xdr:row>
                    <xdr:rowOff>165100</xdr:rowOff>
                  </from>
                  <to>
                    <xdr:col>8</xdr:col>
                    <xdr:colOff>431800</xdr:colOff>
                    <xdr:row>15</xdr:row>
                    <xdr:rowOff>203200</xdr:rowOff>
                  </to>
                </anchor>
              </controlPr>
            </control>
          </mc:Choice>
        </mc:AlternateContent>
        <mc:AlternateContent xmlns:mc="http://schemas.openxmlformats.org/markup-compatibility/2006">
          <mc:Choice Requires="x14">
            <control shapeId="225014" r:id="rId37" name="Check Box 758">
              <controlPr defaultSize="0" autoFill="0" autoLine="0" autoPict="0">
                <anchor moveWithCells="1">
                  <from>
                    <xdr:col>9</xdr:col>
                    <xdr:colOff>114300</xdr:colOff>
                    <xdr:row>8</xdr:row>
                    <xdr:rowOff>165100</xdr:rowOff>
                  </from>
                  <to>
                    <xdr:col>9</xdr:col>
                    <xdr:colOff>431800</xdr:colOff>
                    <xdr:row>10</xdr:row>
                    <xdr:rowOff>12700</xdr:rowOff>
                  </to>
                </anchor>
              </controlPr>
            </control>
          </mc:Choice>
        </mc:AlternateContent>
        <mc:AlternateContent xmlns:mc="http://schemas.openxmlformats.org/markup-compatibility/2006">
          <mc:Choice Requires="x14">
            <control shapeId="225015" r:id="rId38" name="Check Box 759">
              <controlPr defaultSize="0" autoFill="0" autoLine="0" autoPict="0">
                <anchor moveWithCells="1">
                  <from>
                    <xdr:col>9</xdr:col>
                    <xdr:colOff>114300</xdr:colOff>
                    <xdr:row>9</xdr:row>
                    <xdr:rowOff>165100</xdr:rowOff>
                  </from>
                  <to>
                    <xdr:col>9</xdr:col>
                    <xdr:colOff>431800</xdr:colOff>
                    <xdr:row>11</xdr:row>
                    <xdr:rowOff>0</xdr:rowOff>
                  </to>
                </anchor>
              </controlPr>
            </control>
          </mc:Choice>
        </mc:AlternateContent>
        <mc:AlternateContent xmlns:mc="http://schemas.openxmlformats.org/markup-compatibility/2006">
          <mc:Choice Requires="x14">
            <control shapeId="225016" r:id="rId39" name="Check Box 760">
              <controlPr defaultSize="0" autoFill="0" autoLine="0" autoPict="0">
                <anchor moveWithCells="1">
                  <from>
                    <xdr:col>9</xdr:col>
                    <xdr:colOff>114300</xdr:colOff>
                    <xdr:row>10</xdr:row>
                    <xdr:rowOff>165100</xdr:rowOff>
                  </from>
                  <to>
                    <xdr:col>9</xdr:col>
                    <xdr:colOff>431800</xdr:colOff>
                    <xdr:row>12</xdr:row>
                    <xdr:rowOff>0</xdr:rowOff>
                  </to>
                </anchor>
              </controlPr>
            </control>
          </mc:Choice>
        </mc:AlternateContent>
        <mc:AlternateContent xmlns:mc="http://schemas.openxmlformats.org/markup-compatibility/2006">
          <mc:Choice Requires="x14">
            <control shapeId="225017" r:id="rId40" name="Check Box 761">
              <controlPr defaultSize="0" autoFill="0" autoLine="0" autoPict="0">
                <anchor moveWithCells="1">
                  <from>
                    <xdr:col>9</xdr:col>
                    <xdr:colOff>114300</xdr:colOff>
                    <xdr:row>11</xdr:row>
                    <xdr:rowOff>165100</xdr:rowOff>
                  </from>
                  <to>
                    <xdr:col>9</xdr:col>
                    <xdr:colOff>431800</xdr:colOff>
                    <xdr:row>13</xdr:row>
                    <xdr:rowOff>0</xdr:rowOff>
                  </to>
                </anchor>
              </controlPr>
            </control>
          </mc:Choice>
        </mc:AlternateContent>
        <mc:AlternateContent xmlns:mc="http://schemas.openxmlformats.org/markup-compatibility/2006">
          <mc:Choice Requires="x14">
            <control shapeId="225018" r:id="rId41" name="Check Box 762">
              <controlPr defaultSize="0" autoFill="0" autoLine="0" autoPict="0">
                <anchor moveWithCells="1">
                  <from>
                    <xdr:col>9</xdr:col>
                    <xdr:colOff>114300</xdr:colOff>
                    <xdr:row>11</xdr:row>
                    <xdr:rowOff>165100</xdr:rowOff>
                  </from>
                  <to>
                    <xdr:col>9</xdr:col>
                    <xdr:colOff>431800</xdr:colOff>
                    <xdr:row>13</xdr:row>
                    <xdr:rowOff>0</xdr:rowOff>
                  </to>
                </anchor>
              </controlPr>
            </control>
          </mc:Choice>
        </mc:AlternateContent>
        <mc:AlternateContent xmlns:mc="http://schemas.openxmlformats.org/markup-compatibility/2006">
          <mc:Choice Requires="x14">
            <control shapeId="225019" r:id="rId42" name="Check Box 763">
              <controlPr defaultSize="0" autoFill="0" autoLine="0" autoPict="0">
                <anchor moveWithCells="1">
                  <from>
                    <xdr:col>9</xdr:col>
                    <xdr:colOff>114300</xdr:colOff>
                    <xdr:row>12</xdr:row>
                    <xdr:rowOff>165100</xdr:rowOff>
                  </from>
                  <to>
                    <xdr:col>9</xdr:col>
                    <xdr:colOff>431800</xdr:colOff>
                    <xdr:row>14</xdr:row>
                    <xdr:rowOff>0</xdr:rowOff>
                  </to>
                </anchor>
              </controlPr>
            </control>
          </mc:Choice>
        </mc:AlternateContent>
        <mc:AlternateContent xmlns:mc="http://schemas.openxmlformats.org/markup-compatibility/2006">
          <mc:Choice Requires="x14">
            <control shapeId="225020" r:id="rId43" name="Check Box 764">
              <controlPr defaultSize="0" autoFill="0" autoLine="0" autoPict="0">
                <anchor moveWithCells="1">
                  <from>
                    <xdr:col>9</xdr:col>
                    <xdr:colOff>114300</xdr:colOff>
                    <xdr:row>12</xdr:row>
                    <xdr:rowOff>165100</xdr:rowOff>
                  </from>
                  <to>
                    <xdr:col>9</xdr:col>
                    <xdr:colOff>431800</xdr:colOff>
                    <xdr:row>14</xdr:row>
                    <xdr:rowOff>0</xdr:rowOff>
                  </to>
                </anchor>
              </controlPr>
            </control>
          </mc:Choice>
        </mc:AlternateContent>
        <mc:AlternateContent xmlns:mc="http://schemas.openxmlformats.org/markup-compatibility/2006">
          <mc:Choice Requires="x14">
            <control shapeId="225021" r:id="rId44" name="Check Box 765">
              <controlPr defaultSize="0" autoFill="0" autoLine="0" autoPict="0">
                <anchor moveWithCells="1">
                  <from>
                    <xdr:col>9</xdr:col>
                    <xdr:colOff>114300</xdr:colOff>
                    <xdr:row>13</xdr:row>
                    <xdr:rowOff>165100</xdr:rowOff>
                  </from>
                  <to>
                    <xdr:col>9</xdr:col>
                    <xdr:colOff>431800</xdr:colOff>
                    <xdr:row>15</xdr:row>
                    <xdr:rowOff>0</xdr:rowOff>
                  </to>
                </anchor>
              </controlPr>
            </control>
          </mc:Choice>
        </mc:AlternateContent>
        <mc:AlternateContent xmlns:mc="http://schemas.openxmlformats.org/markup-compatibility/2006">
          <mc:Choice Requires="x14">
            <control shapeId="225022" r:id="rId45" name="Check Box 766">
              <controlPr defaultSize="0" autoFill="0" autoLine="0" autoPict="0">
                <anchor moveWithCells="1">
                  <from>
                    <xdr:col>9</xdr:col>
                    <xdr:colOff>114300</xdr:colOff>
                    <xdr:row>13</xdr:row>
                    <xdr:rowOff>165100</xdr:rowOff>
                  </from>
                  <to>
                    <xdr:col>9</xdr:col>
                    <xdr:colOff>431800</xdr:colOff>
                    <xdr:row>15</xdr:row>
                    <xdr:rowOff>0</xdr:rowOff>
                  </to>
                </anchor>
              </controlPr>
            </control>
          </mc:Choice>
        </mc:AlternateContent>
        <mc:AlternateContent xmlns:mc="http://schemas.openxmlformats.org/markup-compatibility/2006">
          <mc:Choice Requires="x14">
            <control shapeId="225023" r:id="rId46" name="Check Box 767">
              <controlPr defaultSize="0" autoFill="0" autoLine="0" autoPict="0">
                <anchor moveWithCells="1">
                  <from>
                    <xdr:col>9</xdr:col>
                    <xdr:colOff>114300</xdr:colOff>
                    <xdr:row>14</xdr:row>
                    <xdr:rowOff>165100</xdr:rowOff>
                  </from>
                  <to>
                    <xdr:col>9</xdr:col>
                    <xdr:colOff>431800</xdr:colOff>
                    <xdr:row>15</xdr:row>
                    <xdr:rowOff>203200</xdr:rowOff>
                  </to>
                </anchor>
              </controlPr>
            </control>
          </mc:Choice>
        </mc:AlternateContent>
        <mc:AlternateContent xmlns:mc="http://schemas.openxmlformats.org/markup-compatibility/2006">
          <mc:Choice Requires="x14">
            <control shapeId="225024" r:id="rId47" name="Check Box 768">
              <controlPr defaultSize="0" autoFill="0" autoLine="0" autoPict="0">
                <anchor moveWithCells="1">
                  <from>
                    <xdr:col>10</xdr:col>
                    <xdr:colOff>114300</xdr:colOff>
                    <xdr:row>8</xdr:row>
                    <xdr:rowOff>165100</xdr:rowOff>
                  </from>
                  <to>
                    <xdr:col>10</xdr:col>
                    <xdr:colOff>431800</xdr:colOff>
                    <xdr:row>10</xdr:row>
                    <xdr:rowOff>12700</xdr:rowOff>
                  </to>
                </anchor>
              </controlPr>
            </control>
          </mc:Choice>
        </mc:AlternateContent>
        <mc:AlternateContent xmlns:mc="http://schemas.openxmlformats.org/markup-compatibility/2006">
          <mc:Choice Requires="x14">
            <control shapeId="225025" r:id="rId48" name="Check Box 769">
              <controlPr defaultSize="0" autoFill="0" autoLine="0" autoPict="0">
                <anchor moveWithCells="1">
                  <from>
                    <xdr:col>10</xdr:col>
                    <xdr:colOff>114300</xdr:colOff>
                    <xdr:row>9</xdr:row>
                    <xdr:rowOff>165100</xdr:rowOff>
                  </from>
                  <to>
                    <xdr:col>10</xdr:col>
                    <xdr:colOff>431800</xdr:colOff>
                    <xdr:row>11</xdr:row>
                    <xdr:rowOff>0</xdr:rowOff>
                  </to>
                </anchor>
              </controlPr>
            </control>
          </mc:Choice>
        </mc:AlternateContent>
        <mc:AlternateContent xmlns:mc="http://schemas.openxmlformats.org/markup-compatibility/2006">
          <mc:Choice Requires="x14">
            <control shapeId="225026" r:id="rId49" name="Check Box 770">
              <controlPr defaultSize="0" autoFill="0" autoLine="0" autoPict="0">
                <anchor moveWithCells="1">
                  <from>
                    <xdr:col>10</xdr:col>
                    <xdr:colOff>114300</xdr:colOff>
                    <xdr:row>10</xdr:row>
                    <xdr:rowOff>165100</xdr:rowOff>
                  </from>
                  <to>
                    <xdr:col>10</xdr:col>
                    <xdr:colOff>431800</xdr:colOff>
                    <xdr:row>12</xdr:row>
                    <xdr:rowOff>0</xdr:rowOff>
                  </to>
                </anchor>
              </controlPr>
            </control>
          </mc:Choice>
        </mc:AlternateContent>
        <mc:AlternateContent xmlns:mc="http://schemas.openxmlformats.org/markup-compatibility/2006">
          <mc:Choice Requires="x14">
            <control shapeId="225027" r:id="rId50" name="Check Box 771">
              <controlPr defaultSize="0" autoFill="0" autoLine="0" autoPict="0">
                <anchor moveWithCells="1">
                  <from>
                    <xdr:col>10</xdr:col>
                    <xdr:colOff>114300</xdr:colOff>
                    <xdr:row>11</xdr:row>
                    <xdr:rowOff>165100</xdr:rowOff>
                  </from>
                  <to>
                    <xdr:col>10</xdr:col>
                    <xdr:colOff>431800</xdr:colOff>
                    <xdr:row>13</xdr:row>
                    <xdr:rowOff>0</xdr:rowOff>
                  </to>
                </anchor>
              </controlPr>
            </control>
          </mc:Choice>
        </mc:AlternateContent>
        <mc:AlternateContent xmlns:mc="http://schemas.openxmlformats.org/markup-compatibility/2006">
          <mc:Choice Requires="x14">
            <control shapeId="225028" r:id="rId51" name="Check Box 772">
              <controlPr defaultSize="0" autoFill="0" autoLine="0" autoPict="0">
                <anchor moveWithCells="1">
                  <from>
                    <xdr:col>10</xdr:col>
                    <xdr:colOff>114300</xdr:colOff>
                    <xdr:row>11</xdr:row>
                    <xdr:rowOff>165100</xdr:rowOff>
                  </from>
                  <to>
                    <xdr:col>10</xdr:col>
                    <xdr:colOff>431800</xdr:colOff>
                    <xdr:row>13</xdr:row>
                    <xdr:rowOff>0</xdr:rowOff>
                  </to>
                </anchor>
              </controlPr>
            </control>
          </mc:Choice>
        </mc:AlternateContent>
        <mc:AlternateContent xmlns:mc="http://schemas.openxmlformats.org/markup-compatibility/2006">
          <mc:Choice Requires="x14">
            <control shapeId="225029" r:id="rId52" name="Check Box 773">
              <controlPr defaultSize="0" autoFill="0" autoLine="0" autoPict="0">
                <anchor moveWithCells="1">
                  <from>
                    <xdr:col>10</xdr:col>
                    <xdr:colOff>114300</xdr:colOff>
                    <xdr:row>12</xdr:row>
                    <xdr:rowOff>165100</xdr:rowOff>
                  </from>
                  <to>
                    <xdr:col>10</xdr:col>
                    <xdr:colOff>431800</xdr:colOff>
                    <xdr:row>14</xdr:row>
                    <xdr:rowOff>0</xdr:rowOff>
                  </to>
                </anchor>
              </controlPr>
            </control>
          </mc:Choice>
        </mc:AlternateContent>
        <mc:AlternateContent xmlns:mc="http://schemas.openxmlformats.org/markup-compatibility/2006">
          <mc:Choice Requires="x14">
            <control shapeId="225030" r:id="rId53" name="Check Box 774">
              <controlPr defaultSize="0" autoFill="0" autoLine="0" autoPict="0">
                <anchor moveWithCells="1">
                  <from>
                    <xdr:col>10</xdr:col>
                    <xdr:colOff>114300</xdr:colOff>
                    <xdr:row>12</xdr:row>
                    <xdr:rowOff>165100</xdr:rowOff>
                  </from>
                  <to>
                    <xdr:col>10</xdr:col>
                    <xdr:colOff>431800</xdr:colOff>
                    <xdr:row>14</xdr:row>
                    <xdr:rowOff>0</xdr:rowOff>
                  </to>
                </anchor>
              </controlPr>
            </control>
          </mc:Choice>
        </mc:AlternateContent>
        <mc:AlternateContent xmlns:mc="http://schemas.openxmlformats.org/markup-compatibility/2006">
          <mc:Choice Requires="x14">
            <control shapeId="225031" r:id="rId54" name="Check Box 775">
              <controlPr defaultSize="0" autoFill="0" autoLine="0" autoPict="0">
                <anchor moveWithCells="1">
                  <from>
                    <xdr:col>10</xdr:col>
                    <xdr:colOff>114300</xdr:colOff>
                    <xdr:row>13</xdr:row>
                    <xdr:rowOff>165100</xdr:rowOff>
                  </from>
                  <to>
                    <xdr:col>10</xdr:col>
                    <xdr:colOff>431800</xdr:colOff>
                    <xdr:row>15</xdr:row>
                    <xdr:rowOff>0</xdr:rowOff>
                  </to>
                </anchor>
              </controlPr>
            </control>
          </mc:Choice>
        </mc:AlternateContent>
        <mc:AlternateContent xmlns:mc="http://schemas.openxmlformats.org/markup-compatibility/2006">
          <mc:Choice Requires="x14">
            <control shapeId="225032" r:id="rId55" name="Check Box 776">
              <controlPr defaultSize="0" autoFill="0" autoLine="0" autoPict="0">
                <anchor moveWithCells="1">
                  <from>
                    <xdr:col>10</xdr:col>
                    <xdr:colOff>114300</xdr:colOff>
                    <xdr:row>13</xdr:row>
                    <xdr:rowOff>165100</xdr:rowOff>
                  </from>
                  <to>
                    <xdr:col>10</xdr:col>
                    <xdr:colOff>431800</xdr:colOff>
                    <xdr:row>15</xdr:row>
                    <xdr:rowOff>0</xdr:rowOff>
                  </to>
                </anchor>
              </controlPr>
            </control>
          </mc:Choice>
        </mc:AlternateContent>
        <mc:AlternateContent xmlns:mc="http://schemas.openxmlformats.org/markup-compatibility/2006">
          <mc:Choice Requires="x14">
            <control shapeId="225033" r:id="rId56" name="Check Box 777">
              <controlPr defaultSize="0" autoFill="0" autoLine="0" autoPict="0">
                <anchor moveWithCells="1">
                  <from>
                    <xdr:col>10</xdr:col>
                    <xdr:colOff>114300</xdr:colOff>
                    <xdr:row>14</xdr:row>
                    <xdr:rowOff>165100</xdr:rowOff>
                  </from>
                  <to>
                    <xdr:col>10</xdr:col>
                    <xdr:colOff>431800</xdr:colOff>
                    <xdr:row>15</xdr:row>
                    <xdr:rowOff>203200</xdr:rowOff>
                  </to>
                </anchor>
              </controlPr>
            </control>
          </mc:Choice>
        </mc:AlternateContent>
        <mc:AlternateContent xmlns:mc="http://schemas.openxmlformats.org/markup-compatibility/2006">
          <mc:Choice Requires="x14">
            <control shapeId="225034" r:id="rId57" name="Check Box 778">
              <controlPr defaultSize="0" autoFill="0" autoLine="0" autoPict="0">
                <anchor moveWithCells="1">
                  <from>
                    <xdr:col>11</xdr:col>
                    <xdr:colOff>114300</xdr:colOff>
                    <xdr:row>8</xdr:row>
                    <xdr:rowOff>165100</xdr:rowOff>
                  </from>
                  <to>
                    <xdr:col>11</xdr:col>
                    <xdr:colOff>431800</xdr:colOff>
                    <xdr:row>10</xdr:row>
                    <xdr:rowOff>12700</xdr:rowOff>
                  </to>
                </anchor>
              </controlPr>
            </control>
          </mc:Choice>
        </mc:AlternateContent>
        <mc:AlternateContent xmlns:mc="http://schemas.openxmlformats.org/markup-compatibility/2006">
          <mc:Choice Requires="x14">
            <control shapeId="225035" r:id="rId58" name="Check Box 779">
              <controlPr defaultSize="0" autoFill="0" autoLine="0" autoPict="0">
                <anchor moveWithCells="1">
                  <from>
                    <xdr:col>11</xdr:col>
                    <xdr:colOff>114300</xdr:colOff>
                    <xdr:row>9</xdr:row>
                    <xdr:rowOff>165100</xdr:rowOff>
                  </from>
                  <to>
                    <xdr:col>11</xdr:col>
                    <xdr:colOff>431800</xdr:colOff>
                    <xdr:row>11</xdr:row>
                    <xdr:rowOff>0</xdr:rowOff>
                  </to>
                </anchor>
              </controlPr>
            </control>
          </mc:Choice>
        </mc:AlternateContent>
        <mc:AlternateContent xmlns:mc="http://schemas.openxmlformats.org/markup-compatibility/2006">
          <mc:Choice Requires="x14">
            <control shapeId="225036" r:id="rId59" name="Check Box 780">
              <controlPr defaultSize="0" autoFill="0" autoLine="0" autoPict="0">
                <anchor moveWithCells="1">
                  <from>
                    <xdr:col>11</xdr:col>
                    <xdr:colOff>114300</xdr:colOff>
                    <xdr:row>10</xdr:row>
                    <xdr:rowOff>165100</xdr:rowOff>
                  </from>
                  <to>
                    <xdr:col>11</xdr:col>
                    <xdr:colOff>431800</xdr:colOff>
                    <xdr:row>12</xdr:row>
                    <xdr:rowOff>0</xdr:rowOff>
                  </to>
                </anchor>
              </controlPr>
            </control>
          </mc:Choice>
        </mc:AlternateContent>
        <mc:AlternateContent xmlns:mc="http://schemas.openxmlformats.org/markup-compatibility/2006">
          <mc:Choice Requires="x14">
            <control shapeId="225037" r:id="rId60" name="Check Box 781">
              <controlPr defaultSize="0" autoFill="0" autoLine="0" autoPict="0">
                <anchor moveWithCells="1">
                  <from>
                    <xdr:col>11</xdr:col>
                    <xdr:colOff>114300</xdr:colOff>
                    <xdr:row>11</xdr:row>
                    <xdr:rowOff>165100</xdr:rowOff>
                  </from>
                  <to>
                    <xdr:col>11</xdr:col>
                    <xdr:colOff>431800</xdr:colOff>
                    <xdr:row>13</xdr:row>
                    <xdr:rowOff>0</xdr:rowOff>
                  </to>
                </anchor>
              </controlPr>
            </control>
          </mc:Choice>
        </mc:AlternateContent>
        <mc:AlternateContent xmlns:mc="http://schemas.openxmlformats.org/markup-compatibility/2006">
          <mc:Choice Requires="x14">
            <control shapeId="225038" r:id="rId61" name="Check Box 782">
              <controlPr defaultSize="0" autoFill="0" autoLine="0" autoPict="0">
                <anchor moveWithCells="1">
                  <from>
                    <xdr:col>11</xdr:col>
                    <xdr:colOff>114300</xdr:colOff>
                    <xdr:row>11</xdr:row>
                    <xdr:rowOff>165100</xdr:rowOff>
                  </from>
                  <to>
                    <xdr:col>11</xdr:col>
                    <xdr:colOff>431800</xdr:colOff>
                    <xdr:row>13</xdr:row>
                    <xdr:rowOff>0</xdr:rowOff>
                  </to>
                </anchor>
              </controlPr>
            </control>
          </mc:Choice>
        </mc:AlternateContent>
        <mc:AlternateContent xmlns:mc="http://schemas.openxmlformats.org/markup-compatibility/2006">
          <mc:Choice Requires="x14">
            <control shapeId="225039" r:id="rId62" name="Check Box 783">
              <controlPr defaultSize="0" autoFill="0" autoLine="0" autoPict="0">
                <anchor moveWithCells="1">
                  <from>
                    <xdr:col>11</xdr:col>
                    <xdr:colOff>114300</xdr:colOff>
                    <xdr:row>12</xdr:row>
                    <xdr:rowOff>165100</xdr:rowOff>
                  </from>
                  <to>
                    <xdr:col>11</xdr:col>
                    <xdr:colOff>431800</xdr:colOff>
                    <xdr:row>14</xdr:row>
                    <xdr:rowOff>0</xdr:rowOff>
                  </to>
                </anchor>
              </controlPr>
            </control>
          </mc:Choice>
        </mc:AlternateContent>
        <mc:AlternateContent xmlns:mc="http://schemas.openxmlformats.org/markup-compatibility/2006">
          <mc:Choice Requires="x14">
            <control shapeId="225040" r:id="rId63" name="Check Box 784">
              <controlPr defaultSize="0" autoFill="0" autoLine="0" autoPict="0">
                <anchor moveWithCells="1">
                  <from>
                    <xdr:col>11</xdr:col>
                    <xdr:colOff>114300</xdr:colOff>
                    <xdr:row>12</xdr:row>
                    <xdr:rowOff>165100</xdr:rowOff>
                  </from>
                  <to>
                    <xdr:col>11</xdr:col>
                    <xdr:colOff>431800</xdr:colOff>
                    <xdr:row>14</xdr:row>
                    <xdr:rowOff>0</xdr:rowOff>
                  </to>
                </anchor>
              </controlPr>
            </control>
          </mc:Choice>
        </mc:AlternateContent>
        <mc:AlternateContent xmlns:mc="http://schemas.openxmlformats.org/markup-compatibility/2006">
          <mc:Choice Requires="x14">
            <control shapeId="225041" r:id="rId64" name="Check Box 785">
              <controlPr defaultSize="0" autoFill="0" autoLine="0" autoPict="0">
                <anchor moveWithCells="1">
                  <from>
                    <xdr:col>11</xdr:col>
                    <xdr:colOff>114300</xdr:colOff>
                    <xdr:row>13</xdr:row>
                    <xdr:rowOff>165100</xdr:rowOff>
                  </from>
                  <to>
                    <xdr:col>11</xdr:col>
                    <xdr:colOff>431800</xdr:colOff>
                    <xdr:row>15</xdr:row>
                    <xdr:rowOff>0</xdr:rowOff>
                  </to>
                </anchor>
              </controlPr>
            </control>
          </mc:Choice>
        </mc:AlternateContent>
        <mc:AlternateContent xmlns:mc="http://schemas.openxmlformats.org/markup-compatibility/2006">
          <mc:Choice Requires="x14">
            <control shapeId="225042" r:id="rId65" name="Check Box 786">
              <controlPr defaultSize="0" autoFill="0" autoLine="0" autoPict="0">
                <anchor moveWithCells="1">
                  <from>
                    <xdr:col>11</xdr:col>
                    <xdr:colOff>114300</xdr:colOff>
                    <xdr:row>13</xdr:row>
                    <xdr:rowOff>165100</xdr:rowOff>
                  </from>
                  <to>
                    <xdr:col>11</xdr:col>
                    <xdr:colOff>431800</xdr:colOff>
                    <xdr:row>15</xdr:row>
                    <xdr:rowOff>0</xdr:rowOff>
                  </to>
                </anchor>
              </controlPr>
            </control>
          </mc:Choice>
        </mc:AlternateContent>
        <mc:AlternateContent xmlns:mc="http://schemas.openxmlformats.org/markup-compatibility/2006">
          <mc:Choice Requires="x14">
            <control shapeId="225043" r:id="rId66" name="Check Box 787">
              <controlPr defaultSize="0" autoFill="0" autoLine="0" autoPict="0">
                <anchor moveWithCells="1">
                  <from>
                    <xdr:col>11</xdr:col>
                    <xdr:colOff>114300</xdr:colOff>
                    <xdr:row>14</xdr:row>
                    <xdr:rowOff>165100</xdr:rowOff>
                  </from>
                  <to>
                    <xdr:col>11</xdr:col>
                    <xdr:colOff>431800</xdr:colOff>
                    <xdr:row>15</xdr:row>
                    <xdr:rowOff>203200</xdr:rowOff>
                  </to>
                </anchor>
              </controlPr>
            </control>
          </mc:Choice>
        </mc:AlternateContent>
        <mc:AlternateContent xmlns:mc="http://schemas.openxmlformats.org/markup-compatibility/2006">
          <mc:Choice Requires="x14">
            <control shapeId="225044" r:id="rId67" name="Check Box 788">
              <controlPr defaultSize="0" autoFill="0" autoLine="0" autoPict="0">
                <anchor moveWithCells="1">
                  <from>
                    <xdr:col>12</xdr:col>
                    <xdr:colOff>114300</xdr:colOff>
                    <xdr:row>8</xdr:row>
                    <xdr:rowOff>165100</xdr:rowOff>
                  </from>
                  <to>
                    <xdr:col>12</xdr:col>
                    <xdr:colOff>431800</xdr:colOff>
                    <xdr:row>10</xdr:row>
                    <xdr:rowOff>12700</xdr:rowOff>
                  </to>
                </anchor>
              </controlPr>
            </control>
          </mc:Choice>
        </mc:AlternateContent>
        <mc:AlternateContent xmlns:mc="http://schemas.openxmlformats.org/markup-compatibility/2006">
          <mc:Choice Requires="x14">
            <control shapeId="225045" r:id="rId68" name="Check Box 789">
              <controlPr defaultSize="0" autoFill="0" autoLine="0" autoPict="0">
                <anchor moveWithCells="1">
                  <from>
                    <xdr:col>12</xdr:col>
                    <xdr:colOff>114300</xdr:colOff>
                    <xdr:row>9</xdr:row>
                    <xdr:rowOff>165100</xdr:rowOff>
                  </from>
                  <to>
                    <xdr:col>12</xdr:col>
                    <xdr:colOff>431800</xdr:colOff>
                    <xdr:row>11</xdr:row>
                    <xdr:rowOff>0</xdr:rowOff>
                  </to>
                </anchor>
              </controlPr>
            </control>
          </mc:Choice>
        </mc:AlternateContent>
        <mc:AlternateContent xmlns:mc="http://schemas.openxmlformats.org/markup-compatibility/2006">
          <mc:Choice Requires="x14">
            <control shapeId="225046" r:id="rId69" name="Check Box 790">
              <controlPr defaultSize="0" autoFill="0" autoLine="0" autoPict="0">
                <anchor moveWithCells="1">
                  <from>
                    <xdr:col>12</xdr:col>
                    <xdr:colOff>114300</xdr:colOff>
                    <xdr:row>10</xdr:row>
                    <xdr:rowOff>165100</xdr:rowOff>
                  </from>
                  <to>
                    <xdr:col>12</xdr:col>
                    <xdr:colOff>431800</xdr:colOff>
                    <xdr:row>12</xdr:row>
                    <xdr:rowOff>0</xdr:rowOff>
                  </to>
                </anchor>
              </controlPr>
            </control>
          </mc:Choice>
        </mc:AlternateContent>
        <mc:AlternateContent xmlns:mc="http://schemas.openxmlformats.org/markup-compatibility/2006">
          <mc:Choice Requires="x14">
            <control shapeId="225047" r:id="rId70" name="Check Box 791">
              <controlPr defaultSize="0" autoFill="0" autoLine="0" autoPict="0">
                <anchor moveWithCells="1">
                  <from>
                    <xdr:col>12</xdr:col>
                    <xdr:colOff>114300</xdr:colOff>
                    <xdr:row>11</xdr:row>
                    <xdr:rowOff>165100</xdr:rowOff>
                  </from>
                  <to>
                    <xdr:col>12</xdr:col>
                    <xdr:colOff>431800</xdr:colOff>
                    <xdr:row>13</xdr:row>
                    <xdr:rowOff>0</xdr:rowOff>
                  </to>
                </anchor>
              </controlPr>
            </control>
          </mc:Choice>
        </mc:AlternateContent>
        <mc:AlternateContent xmlns:mc="http://schemas.openxmlformats.org/markup-compatibility/2006">
          <mc:Choice Requires="x14">
            <control shapeId="225048" r:id="rId71" name="Check Box 792">
              <controlPr defaultSize="0" autoFill="0" autoLine="0" autoPict="0">
                <anchor moveWithCells="1">
                  <from>
                    <xdr:col>12</xdr:col>
                    <xdr:colOff>114300</xdr:colOff>
                    <xdr:row>11</xdr:row>
                    <xdr:rowOff>165100</xdr:rowOff>
                  </from>
                  <to>
                    <xdr:col>12</xdr:col>
                    <xdr:colOff>431800</xdr:colOff>
                    <xdr:row>13</xdr:row>
                    <xdr:rowOff>0</xdr:rowOff>
                  </to>
                </anchor>
              </controlPr>
            </control>
          </mc:Choice>
        </mc:AlternateContent>
        <mc:AlternateContent xmlns:mc="http://schemas.openxmlformats.org/markup-compatibility/2006">
          <mc:Choice Requires="x14">
            <control shapeId="225049" r:id="rId72" name="Check Box 793">
              <controlPr defaultSize="0" autoFill="0" autoLine="0" autoPict="0">
                <anchor moveWithCells="1">
                  <from>
                    <xdr:col>12</xdr:col>
                    <xdr:colOff>114300</xdr:colOff>
                    <xdr:row>12</xdr:row>
                    <xdr:rowOff>165100</xdr:rowOff>
                  </from>
                  <to>
                    <xdr:col>12</xdr:col>
                    <xdr:colOff>431800</xdr:colOff>
                    <xdr:row>14</xdr:row>
                    <xdr:rowOff>0</xdr:rowOff>
                  </to>
                </anchor>
              </controlPr>
            </control>
          </mc:Choice>
        </mc:AlternateContent>
        <mc:AlternateContent xmlns:mc="http://schemas.openxmlformats.org/markup-compatibility/2006">
          <mc:Choice Requires="x14">
            <control shapeId="225050" r:id="rId73" name="Check Box 794">
              <controlPr defaultSize="0" autoFill="0" autoLine="0" autoPict="0">
                <anchor moveWithCells="1">
                  <from>
                    <xdr:col>12</xdr:col>
                    <xdr:colOff>114300</xdr:colOff>
                    <xdr:row>12</xdr:row>
                    <xdr:rowOff>165100</xdr:rowOff>
                  </from>
                  <to>
                    <xdr:col>12</xdr:col>
                    <xdr:colOff>431800</xdr:colOff>
                    <xdr:row>14</xdr:row>
                    <xdr:rowOff>0</xdr:rowOff>
                  </to>
                </anchor>
              </controlPr>
            </control>
          </mc:Choice>
        </mc:AlternateContent>
        <mc:AlternateContent xmlns:mc="http://schemas.openxmlformats.org/markup-compatibility/2006">
          <mc:Choice Requires="x14">
            <control shapeId="225051" r:id="rId74" name="Check Box 795">
              <controlPr defaultSize="0" autoFill="0" autoLine="0" autoPict="0">
                <anchor moveWithCells="1">
                  <from>
                    <xdr:col>12</xdr:col>
                    <xdr:colOff>114300</xdr:colOff>
                    <xdr:row>13</xdr:row>
                    <xdr:rowOff>165100</xdr:rowOff>
                  </from>
                  <to>
                    <xdr:col>12</xdr:col>
                    <xdr:colOff>431800</xdr:colOff>
                    <xdr:row>15</xdr:row>
                    <xdr:rowOff>0</xdr:rowOff>
                  </to>
                </anchor>
              </controlPr>
            </control>
          </mc:Choice>
        </mc:AlternateContent>
        <mc:AlternateContent xmlns:mc="http://schemas.openxmlformats.org/markup-compatibility/2006">
          <mc:Choice Requires="x14">
            <control shapeId="225052" r:id="rId75" name="Check Box 796">
              <controlPr defaultSize="0" autoFill="0" autoLine="0" autoPict="0">
                <anchor moveWithCells="1">
                  <from>
                    <xdr:col>12</xdr:col>
                    <xdr:colOff>114300</xdr:colOff>
                    <xdr:row>13</xdr:row>
                    <xdr:rowOff>165100</xdr:rowOff>
                  </from>
                  <to>
                    <xdr:col>12</xdr:col>
                    <xdr:colOff>431800</xdr:colOff>
                    <xdr:row>15</xdr:row>
                    <xdr:rowOff>0</xdr:rowOff>
                  </to>
                </anchor>
              </controlPr>
            </control>
          </mc:Choice>
        </mc:AlternateContent>
        <mc:AlternateContent xmlns:mc="http://schemas.openxmlformats.org/markup-compatibility/2006">
          <mc:Choice Requires="x14">
            <control shapeId="225053" r:id="rId76" name="Check Box 797">
              <controlPr defaultSize="0" autoFill="0" autoLine="0" autoPict="0">
                <anchor moveWithCells="1">
                  <from>
                    <xdr:col>12</xdr:col>
                    <xdr:colOff>114300</xdr:colOff>
                    <xdr:row>14</xdr:row>
                    <xdr:rowOff>165100</xdr:rowOff>
                  </from>
                  <to>
                    <xdr:col>12</xdr:col>
                    <xdr:colOff>431800</xdr:colOff>
                    <xdr:row>15</xdr:row>
                    <xdr:rowOff>203200</xdr:rowOff>
                  </to>
                </anchor>
              </controlPr>
            </control>
          </mc:Choice>
        </mc:AlternateContent>
        <mc:AlternateContent xmlns:mc="http://schemas.openxmlformats.org/markup-compatibility/2006">
          <mc:Choice Requires="x14">
            <control shapeId="225054" r:id="rId77" name="Check Box 798">
              <controlPr defaultSize="0" autoFill="0" autoLine="0" autoPict="0">
                <anchor moveWithCells="1">
                  <from>
                    <xdr:col>13</xdr:col>
                    <xdr:colOff>114300</xdr:colOff>
                    <xdr:row>8</xdr:row>
                    <xdr:rowOff>165100</xdr:rowOff>
                  </from>
                  <to>
                    <xdr:col>13</xdr:col>
                    <xdr:colOff>431800</xdr:colOff>
                    <xdr:row>10</xdr:row>
                    <xdr:rowOff>12700</xdr:rowOff>
                  </to>
                </anchor>
              </controlPr>
            </control>
          </mc:Choice>
        </mc:AlternateContent>
        <mc:AlternateContent xmlns:mc="http://schemas.openxmlformats.org/markup-compatibility/2006">
          <mc:Choice Requires="x14">
            <control shapeId="225055" r:id="rId78" name="Check Box 799">
              <controlPr defaultSize="0" autoFill="0" autoLine="0" autoPict="0">
                <anchor moveWithCells="1">
                  <from>
                    <xdr:col>13</xdr:col>
                    <xdr:colOff>114300</xdr:colOff>
                    <xdr:row>9</xdr:row>
                    <xdr:rowOff>165100</xdr:rowOff>
                  </from>
                  <to>
                    <xdr:col>13</xdr:col>
                    <xdr:colOff>431800</xdr:colOff>
                    <xdr:row>11</xdr:row>
                    <xdr:rowOff>0</xdr:rowOff>
                  </to>
                </anchor>
              </controlPr>
            </control>
          </mc:Choice>
        </mc:AlternateContent>
        <mc:AlternateContent xmlns:mc="http://schemas.openxmlformats.org/markup-compatibility/2006">
          <mc:Choice Requires="x14">
            <control shapeId="225056" r:id="rId79" name="Check Box 800">
              <controlPr defaultSize="0" autoFill="0" autoLine="0" autoPict="0">
                <anchor moveWithCells="1">
                  <from>
                    <xdr:col>13</xdr:col>
                    <xdr:colOff>114300</xdr:colOff>
                    <xdr:row>10</xdr:row>
                    <xdr:rowOff>165100</xdr:rowOff>
                  </from>
                  <to>
                    <xdr:col>13</xdr:col>
                    <xdr:colOff>431800</xdr:colOff>
                    <xdr:row>12</xdr:row>
                    <xdr:rowOff>0</xdr:rowOff>
                  </to>
                </anchor>
              </controlPr>
            </control>
          </mc:Choice>
        </mc:AlternateContent>
        <mc:AlternateContent xmlns:mc="http://schemas.openxmlformats.org/markup-compatibility/2006">
          <mc:Choice Requires="x14">
            <control shapeId="225057" r:id="rId80" name="Check Box 801">
              <controlPr defaultSize="0" autoFill="0" autoLine="0" autoPict="0">
                <anchor moveWithCells="1">
                  <from>
                    <xdr:col>13</xdr:col>
                    <xdr:colOff>114300</xdr:colOff>
                    <xdr:row>11</xdr:row>
                    <xdr:rowOff>165100</xdr:rowOff>
                  </from>
                  <to>
                    <xdr:col>13</xdr:col>
                    <xdr:colOff>431800</xdr:colOff>
                    <xdr:row>13</xdr:row>
                    <xdr:rowOff>0</xdr:rowOff>
                  </to>
                </anchor>
              </controlPr>
            </control>
          </mc:Choice>
        </mc:AlternateContent>
        <mc:AlternateContent xmlns:mc="http://schemas.openxmlformats.org/markup-compatibility/2006">
          <mc:Choice Requires="x14">
            <control shapeId="225058" r:id="rId81" name="Check Box 802">
              <controlPr defaultSize="0" autoFill="0" autoLine="0" autoPict="0">
                <anchor moveWithCells="1">
                  <from>
                    <xdr:col>13</xdr:col>
                    <xdr:colOff>114300</xdr:colOff>
                    <xdr:row>11</xdr:row>
                    <xdr:rowOff>165100</xdr:rowOff>
                  </from>
                  <to>
                    <xdr:col>13</xdr:col>
                    <xdr:colOff>431800</xdr:colOff>
                    <xdr:row>13</xdr:row>
                    <xdr:rowOff>0</xdr:rowOff>
                  </to>
                </anchor>
              </controlPr>
            </control>
          </mc:Choice>
        </mc:AlternateContent>
        <mc:AlternateContent xmlns:mc="http://schemas.openxmlformats.org/markup-compatibility/2006">
          <mc:Choice Requires="x14">
            <control shapeId="225059" r:id="rId82" name="Check Box 803">
              <controlPr defaultSize="0" autoFill="0" autoLine="0" autoPict="0">
                <anchor moveWithCells="1">
                  <from>
                    <xdr:col>13</xdr:col>
                    <xdr:colOff>114300</xdr:colOff>
                    <xdr:row>12</xdr:row>
                    <xdr:rowOff>165100</xdr:rowOff>
                  </from>
                  <to>
                    <xdr:col>13</xdr:col>
                    <xdr:colOff>431800</xdr:colOff>
                    <xdr:row>14</xdr:row>
                    <xdr:rowOff>0</xdr:rowOff>
                  </to>
                </anchor>
              </controlPr>
            </control>
          </mc:Choice>
        </mc:AlternateContent>
        <mc:AlternateContent xmlns:mc="http://schemas.openxmlformats.org/markup-compatibility/2006">
          <mc:Choice Requires="x14">
            <control shapeId="225060" r:id="rId83" name="Check Box 804">
              <controlPr defaultSize="0" autoFill="0" autoLine="0" autoPict="0">
                <anchor moveWithCells="1">
                  <from>
                    <xdr:col>13</xdr:col>
                    <xdr:colOff>114300</xdr:colOff>
                    <xdr:row>12</xdr:row>
                    <xdr:rowOff>165100</xdr:rowOff>
                  </from>
                  <to>
                    <xdr:col>13</xdr:col>
                    <xdr:colOff>431800</xdr:colOff>
                    <xdr:row>14</xdr:row>
                    <xdr:rowOff>0</xdr:rowOff>
                  </to>
                </anchor>
              </controlPr>
            </control>
          </mc:Choice>
        </mc:AlternateContent>
        <mc:AlternateContent xmlns:mc="http://schemas.openxmlformats.org/markup-compatibility/2006">
          <mc:Choice Requires="x14">
            <control shapeId="225061" r:id="rId84" name="Check Box 805">
              <controlPr defaultSize="0" autoFill="0" autoLine="0" autoPict="0">
                <anchor moveWithCells="1">
                  <from>
                    <xdr:col>13</xdr:col>
                    <xdr:colOff>114300</xdr:colOff>
                    <xdr:row>13</xdr:row>
                    <xdr:rowOff>165100</xdr:rowOff>
                  </from>
                  <to>
                    <xdr:col>13</xdr:col>
                    <xdr:colOff>431800</xdr:colOff>
                    <xdr:row>15</xdr:row>
                    <xdr:rowOff>0</xdr:rowOff>
                  </to>
                </anchor>
              </controlPr>
            </control>
          </mc:Choice>
        </mc:AlternateContent>
        <mc:AlternateContent xmlns:mc="http://schemas.openxmlformats.org/markup-compatibility/2006">
          <mc:Choice Requires="x14">
            <control shapeId="225062" r:id="rId85" name="Check Box 806">
              <controlPr defaultSize="0" autoFill="0" autoLine="0" autoPict="0">
                <anchor moveWithCells="1">
                  <from>
                    <xdr:col>13</xdr:col>
                    <xdr:colOff>114300</xdr:colOff>
                    <xdr:row>13</xdr:row>
                    <xdr:rowOff>165100</xdr:rowOff>
                  </from>
                  <to>
                    <xdr:col>13</xdr:col>
                    <xdr:colOff>431800</xdr:colOff>
                    <xdr:row>15</xdr:row>
                    <xdr:rowOff>0</xdr:rowOff>
                  </to>
                </anchor>
              </controlPr>
            </control>
          </mc:Choice>
        </mc:AlternateContent>
        <mc:AlternateContent xmlns:mc="http://schemas.openxmlformats.org/markup-compatibility/2006">
          <mc:Choice Requires="x14">
            <control shapeId="225063" r:id="rId86" name="Check Box 807">
              <controlPr defaultSize="0" autoFill="0" autoLine="0" autoPict="0">
                <anchor moveWithCells="1">
                  <from>
                    <xdr:col>13</xdr:col>
                    <xdr:colOff>114300</xdr:colOff>
                    <xdr:row>14</xdr:row>
                    <xdr:rowOff>165100</xdr:rowOff>
                  </from>
                  <to>
                    <xdr:col>13</xdr:col>
                    <xdr:colOff>431800</xdr:colOff>
                    <xdr:row>15</xdr:row>
                    <xdr:rowOff>203200</xdr:rowOff>
                  </to>
                </anchor>
              </controlPr>
            </control>
          </mc:Choice>
        </mc:AlternateContent>
        <mc:AlternateContent xmlns:mc="http://schemas.openxmlformats.org/markup-compatibility/2006">
          <mc:Choice Requires="x14">
            <control shapeId="225064" r:id="rId87" name="Check Box 808">
              <controlPr defaultSize="0" autoFill="0" autoLine="0" autoPict="0">
                <anchor moveWithCells="1">
                  <from>
                    <xdr:col>14</xdr:col>
                    <xdr:colOff>114300</xdr:colOff>
                    <xdr:row>8</xdr:row>
                    <xdr:rowOff>165100</xdr:rowOff>
                  </from>
                  <to>
                    <xdr:col>14</xdr:col>
                    <xdr:colOff>431800</xdr:colOff>
                    <xdr:row>10</xdr:row>
                    <xdr:rowOff>12700</xdr:rowOff>
                  </to>
                </anchor>
              </controlPr>
            </control>
          </mc:Choice>
        </mc:AlternateContent>
        <mc:AlternateContent xmlns:mc="http://schemas.openxmlformats.org/markup-compatibility/2006">
          <mc:Choice Requires="x14">
            <control shapeId="225065" r:id="rId88" name="Check Box 809">
              <controlPr defaultSize="0" autoFill="0" autoLine="0" autoPict="0">
                <anchor moveWithCells="1">
                  <from>
                    <xdr:col>14</xdr:col>
                    <xdr:colOff>114300</xdr:colOff>
                    <xdr:row>9</xdr:row>
                    <xdr:rowOff>165100</xdr:rowOff>
                  </from>
                  <to>
                    <xdr:col>14</xdr:col>
                    <xdr:colOff>431800</xdr:colOff>
                    <xdr:row>11</xdr:row>
                    <xdr:rowOff>0</xdr:rowOff>
                  </to>
                </anchor>
              </controlPr>
            </control>
          </mc:Choice>
        </mc:AlternateContent>
        <mc:AlternateContent xmlns:mc="http://schemas.openxmlformats.org/markup-compatibility/2006">
          <mc:Choice Requires="x14">
            <control shapeId="225066" r:id="rId89" name="Check Box 810">
              <controlPr defaultSize="0" autoFill="0" autoLine="0" autoPict="0">
                <anchor moveWithCells="1">
                  <from>
                    <xdr:col>14</xdr:col>
                    <xdr:colOff>114300</xdr:colOff>
                    <xdr:row>10</xdr:row>
                    <xdr:rowOff>165100</xdr:rowOff>
                  </from>
                  <to>
                    <xdr:col>14</xdr:col>
                    <xdr:colOff>431800</xdr:colOff>
                    <xdr:row>12</xdr:row>
                    <xdr:rowOff>0</xdr:rowOff>
                  </to>
                </anchor>
              </controlPr>
            </control>
          </mc:Choice>
        </mc:AlternateContent>
        <mc:AlternateContent xmlns:mc="http://schemas.openxmlformats.org/markup-compatibility/2006">
          <mc:Choice Requires="x14">
            <control shapeId="225067" r:id="rId90" name="Check Box 811">
              <controlPr defaultSize="0" autoFill="0" autoLine="0" autoPict="0">
                <anchor moveWithCells="1">
                  <from>
                    <xdr:col>14</xdr:col>
                    <xdr:colOff>114300</xdr:colOff>
                    <xdr:row>11</xdr:row>
                    <xdr:rowOff>165100</xdr:rowOff>
                  </from>
                  <to>
                    <xdr:col>14</xdr:col>
                    <xdr:colOff>431800</xdr:colOff>
                    <xdr:row>13</xdr:row>
                    <xdr:rowOff>0</xdr:rowOff>
                  </to>
                </anchor>
              </controlPr>
            </control>
          </mc:Choice>
        </mc:AlternateContent>
        <mc:AlternateContent xmlns:mc="http://schemas.openxmlformats.org/markup-compatibility/2006">
          <mc:Choice Requires="x14">
            <control shapeId="225068" r:id="rId91" name="Check Box 812">
              <controlPr defaultSize="0" autoFill="0" autoLine="0" autoPict="0">
                <anchor moveWithCells="1">
                  <from>
                    <xdr:col>14</xdr:col>
                    <xdr:colOff>114300</xdr:colOff>
                    <xdr:row>11</xdr:row>
                    <xdr:rowOff>165100</xdr:rowOff>
                  </from>
                  <to>
                    <xdr:col>14</xdr:col>
                    <xdr:colOff>431800</xdr:colOff>
                    <xdr:row>13</xdr:row>
                    <xdr:rowOff>0</xdr:rowOff>
                  </to>
                </anchor>
              </controlPr>
            </control>
          </mc:Choice>
        </mc:AlternateContent>
        <mc:AlternateContent xmlns:mc="http://schemas.openxmlformats.org/markup-compatibility/2006">
          <mc:Choice Requires="x14">
            <control shapeId="225069" r:id="rId92" name="Check Box 813">
              <controlPr defaultSize="0" autoFill="0" autoLine="0" autoPict="0">
                <anchor moveWithCells="1">
                  <from>
                    <xdr:col>14</xdr:col>
                    <xdr:colOff>114300</xdr:colOff>
                    <xdr:row>12</xdr:row>
                    <xdr:rowOff>165100</xdr:rowOff>
                  </from>
                  <to>
                    <xdr:col>14</xdr:col>
                    <xdr:colOff>431800</xdr:colOff>
                    <xdr:row>14</xdr:row>
                    <xdr:rowOff>0</xdr:rowOff>
                  </to>
                </anchor>
              </controlPr>
            </control>
          </mc:Choice>
        </mc:AlternateContent>
        <mc:AlternateContent xmlns:mc="http://schemas.openxmlformats.org/markup-compatibility/2006">
          <mc:Choice Requires="x14">
            <control shapeId="225070" r:id="rId93" name="Check Box 814">
              <controlPr defaultSize="0" autoFill="0" autoLine="0" autoPict="0">
                <anchor moveWithCells="1">
                  <from>
                    <xdr:col>14</xdr:col>
                    <xdr:colOff>114300</xdr:colOff>
                    <xdr:row>12</xdr:row>
                    <xdr:rowOff>165100</xdr:rowOff>
                  </from>
                  <to>
                    <xdr:col>14</xdr:col>
                    <xdr:colOff>431800</xdr:colOff>
                    <xdr:row>14</xdr:row>
                    <xdr:rowOff>0</xdr:rowOff>
                  </to>
                </anchor>
              </controlPr>
            </control>
          </mc:Choice>
        </mc:AlternateContent>
        <mc:AlternateContent xmlns:mc="http://schemas.openxmlformats.org/markup-compatibility/2006">
          <mc:Choice Requires="x14">
            <control shapeId="225071" r:id="rId94" name="Check Box 815">
              <controlPr defaultSize="0" autoFill="0" autoLine="0" autoPict="0">
                <anchor moveWithCells="1">
                  <from>
                    <xdr:col>14</xdr:col>
                    <xdr:colOff>114300</xdr:colOff>
                    <xdr:row>13</xdr:row>
                    <xdr:rowOff>165100</xdr:rowOff>
                  </from>
                  <to>
                    <xdr:col>14</xdr:col>
                    <xdr:colOff>431800</xdr:colOff>
                    <xdr:row>15</xdr:row>
                    <xdr:rowOff>0</xdr:rowOff>
                  </to>
                </anchor>
              </controlPr>
            </control>
          </mc:Choice>
        </mc:AlternateContent>
        <mc:AlternateContent xmlns:mc="http://schemas.openxmlformats.org/markup-compatibility/2006">
          <mc:Choice Requires="x14">
            <control shapeId="225072" r:id="rId95" name="Check Box 816">
              <controlPr defaultSize="0" autoFill="0" autoLine="0" autoPict="0">
                <anchor moveWithCells="1">
                  <from>
                    <xdr:col>14</xdr:col>
                    <xdr:colOff>114300</xdr:colOff>
                    <xdr:row>13</xdr:row>
                    <xdr:rowOff>165100</xdr:rowOff>
                  </from>
                  <to>
                    <xdr:col>14</xdr:col>
                    <xdr:colOff>431800</xdr:colOff>
                    <xdr:row>15</xdr:row>
                    <xdr:rowOff>0</xdr:rowOff>
                  </to>
                </anchor>
              </controlPr>
            </control>
          </mc:Choice>
        </mc:AlternateContent>
        <mc:AlternateContent xmlns:mc="http://schemas.openxmlformats.org/markup-compatibility/2006">
          <mc:Choice Requires="x14">
            <control shapeId="225073" r:id="rId96" name="Check Box 817">
              <controlPr defaultSize="0" autoFill="0" autoLine="0" autoPict="0">
                <anchor moveWithCells="1">
                  <from>
                    <xdr:col>14</xdr:col>
                    <xdr:colOff>114300</xdr:colOff>
                    <xdr:row>14</xdr:row>
                    <xdr:rowOff>165100</xdr:rowOff>
                  </from>
                  <to>
                    <xdr:col>14</xdr:col>
                    <xdr:colOff>431800</xdr:colOff>
                    <xdr:row>15</xdr:row>
                    <xdr:rowOff>203200</xdr:rowOff>
                  </to>
                </anchor>
              </controlPr>
            </control>
          </mc:Choice>
        </mc:AlternateContent>
        <mc:AlternateContent xmlns:mc="http://schemas.openxmlformats.org/markup-compatibility/2006">
          <mc:Choice Requires="x14">
            <control shapeId="225074" r:id="rId97" name="Check Box 818">
              <controlPr defaultSize="0" autoFill="0" autoLine="0" autoPict="0">
                <anchor moveWithCells="1">
                  <from>
                    <xdr:col>15</xdr:col>
                    <xdr:colOff>114300</xdr:colOff>
                    <xdr:row>8</xdr:row>
                    <xdr:rowOff>165100</xdr:rowOff>
                  </from>
                  <to>
                    <xdr:col>15</xdr:col>
                    <xdr:colOff>431800</xdr:colOff>
                    <xdr:row>10</xdr:row>
                    <xdr:rowOff>12700</xdr:rowOff>
                  </to>
                </anchor>
              </controlPr>
            </control>
          </mc:Choice>
        </mc:AlternateContent>
        <mc:AlternateContent xmlns:mc="http://schemas.openxmlformats.org/markup-compatibility/2006">
          <mc:Choice Requires="x14">
            <control shapeId="225075" r:id="rId98" name="Check Box 819">
              <controlPr defaultSize="0" autoFill="0" autoLine="0" autoPict="0">
                <anchor moveWithCells="1">
                  <from>
                    <xdr:col>15</xdr:col>
                    <xdr:colOff>114300</xdr:colOff>
                    <xdr:row>9</xdr:row>
                    <xdr:rowOff>165100</xdr:rowOff>
                  </from>
                  <to>
                    <xdr:col>15</xdr:col>
                    <xdr:colOff>431800</xdr:colOff>
                    <xdr:row>11</xdr:row>
                    <xdr:rowOff>0</xdr:rowOff>
                  </to>
                </anchor>
              </controlPr>
            </control>
          </mc:Choice>
        </mc:AlternateContent>
        <mc:AlternateContent xmlns:mc="http://schemas.openxmlformats.org/markup-compatibility/2006">
          <mc:Choice Requires="x14">
            <control shapeId="225076" r:id="rId99" name="Check Box 820">
              <controlPr defaultSize="0" autoFill="0" autoLine="0" autoPict="0">
                <anchor moveWithCells="1">
                  <from>
                    <xdr:col>15</xdr:col>
                    <xdr:colOff>114300</xdr:colOff>
                    <xdr:row>10</xdr:row>
                    <xdr:rowOff>165100</xdr:rowOff>
                  </from>
                  <to>
                    <xdr:col>15</xdr:col>
                    <xdr:colOff>431800</xdr:colOff>
                    <xdr:row>12</xdr:row>
                    <xdr:rowOff>0</xdr:rowOff>
                  </to>
                </anchor>
              </controlPr>
            </control>
          </mc:Choice>
        </mc:AlternateContent>
        <mc:AlternateContent xmlns:mc="http://schemas.openxmlformats.org/markup-compatibility/2006">
          <mc:Choice Requires="x14">
            <control shapeId="225077" r:id="rId100" name="Check Box 821">
              <controlPr defaultSize="0" autoFill="0" autoLine="0" autoPict="0">
                <anchor moveWithCells="1">
                  <from>
                    <xdr:col>15</xdr:col>
                    <xdr:colOff>114300</xdr:colOff>
                    <xdr:row>11</xdr:row>
                    <xdr:rowOff>165100</xdr:rowOff>
                  </from>
                  <to>
                    <xdr:col>15</xdr:col>
                    <xdr:colOff>431800</xdr:colOff>
                    <xdr:row>13</xdr:row>
                    <xdr:rowOff>0</xdr:rowOff>
                  </to>
                </anchor>
              </controlPr>
            </control>
          </mc:Choice>
        </mc:AlternateContent>
        <mc:AlternateContent xmlns:mc="http://schemas.openxmlformats.org/markup-compatibility/2006">
          <mc:Choice Requires="x14">
            <control shapeId="225078" r:id="rId101" name="Check Box 822">
              <controlPr defaultSize="0" autoFill="0" autoLine="0" autoPict="0">
                <anchor moveWithCells="1">
                  <from>
                    <xdr:col>15</xdr:col>
                    <xdr:colOff>114300</xdr:colOff>
                    <xdr:row>11</xdr:row>
                    <xdr:rowOff>165100</xdr:rowOff>
                  </from>
                  <to>
                    <xdr:col>15</xdr:col>
                    <xdr:colOff>431800</xdr:colOff>
                    <xdr:row>13</xdr:row>
                    <xdr:rowOff>0</xdr:rowOff>
                  </to>
                </anchor>
              </controlPr>
            </control>
          </mc:Choice>
        </mc:AlternateContent>
        <mc:AlternateContent xmlns:mc="http://schemas.openxmlformats.org/markup-compatibility/2006">
          <mc:Choice Requires="x14">
            <control shapeId="225079" r:id="rId102" name="Check Box 823">
              <controlPr defaultSize="0" autoFill="0" autoLine="0" autoPict="0">
                <anchor moveWithCells="1">
                  <from>
                    <xdr:col>15</xdr:col>
                    <xdr:colOff>114300</xdr:colOff>
                    <xdr:row>12</xdr:row>
                    <xdr:rowOff>165100</xdr:rowOff>
                  </from>
                  <to>
                    <xdr:col>15</xdr:col>
                    <xdr:colOff>431800</xdr:colOff>
                    <xdr:row>14</xdr:row>
                    <xdr:rowOff>0</xdr:rowOff>
                  </to>
                </anchor>
              </controlPr>
            </control>
          </mc:Choice>
        </mc:AlternateContent>
        <mc:AlternateContent xmlns:mc="http://schemas.openxmlformats.org/markup-compatibility/2006">
          <mc:Choice Requires="x14">
            <control shapeId="225080" r:id="rId103" name="Check Box 824">
              <controlPr defaultSize="0" autoFill="0" autoLine="0" autoPict="0">
                <anchor moveWithCells="1">
                  <from>
                    <xdr:col>15</xdr:col>
                    <xdr:colOff>114300</xdr:colOff>
                    <xdr:row>12</xdr:row>
                    <xdr:rowOff>165100</xdr:rowOff>
                  </from>
                  <to>
                    <xdr:col>15</xdr:col>
                    <xdr:colOff>431800</xdr:colOff>
                    <xdr:row>14</xdr:row>
                    <xdr:rowOff>0</xdr:rowOff>
                  </to>
                </anchor>
              </controlPr>
            </control>
          </mc:Choice>
        </mc:AlternateContent>
        <mc:AlternateContent xmlns:mc="http://schemas.openxmlformats.org/markup-compatibility/2006">
          <mc:Choice Requires="x14">
            <control shapeId="225081" r:id="rId104" name="Check Box 825">
              <controlPr defaultSize="0" autoFill="0" autoLine="0" autoPict="0">
                <anchor moveWithCells="1">
                  <from>
                    <xdr:col>15</xdr:col>
                    <xdr:colOff>114300</xdr:colOff>
                    <xdr:row>13</xdr:row>
                    <xdr:rowOff>165100</xdr:rowOff>
                  </from>
                  <to>
                    <xdr:col>15</xdr:col>
                    <xdr:colOff>431800</xdr:colOff>
                    <xdr:row>15</xdr:row>
                    <xdr:rowOff>0</xdr:rowOff>
                  </to>
                </anchor>
              </controlPr>
            </control>
          </mc:Choice>
        </mc:AlternateContent>
        <mc:AlternateContent xmlns:mc="http://schemas.openxmlformats.org/markup-compatibility/2006">
          <mc:Choice Requires="x14">
            <control shapeId="225082" r:id="rId105" name="Check Box 826">
              <controlPr defaultSize="0" autoFill="0" autoLine="0" autoPict="0">
                <anchor moveWithCells="1">
                  <from>
                    <xdr:col>15</xdr:col>
                    <xdr:colOff>114300</xdr:colOff>
                    <xdr:row>13</xdr:row>
                    <xdr:rowOff>165100</xdr:rowOff>
                  </from>
                  <to>
                    <xdr:col>15</xdr:col>
                    <xdr:colOff>431800</xdr:colOff>
                    <xdr:row>15</xdr:row>
                    <xdr:rowOff>0</xdr:rowOff>
                  </to>
                </anchor>
              </controlPr>
            </control>
          </mc:Choice>
        </mc:AlternateContent>
        <mc:AlternateContent xmlns:mc="http://schemas.openxmlformats.org/markup-compatibility/2006">
          <mc:Choice Requires="x14">
            <control shapeId="225083" r:id="rId106" name="Check Box 827">
              <controlPr defaultSize="0" autoFill="0" autoLine="0" autoPict="0">
                <anchor moveWithCells="1">
                  <from>
                    <xdr:col>15</xdr:col>
                    <xdr:colOff>114300</xdr:colOff>
                    <xdr:row>14</xdr:row>
                    <xdr:rowOff>165100</xdr:rowOff>
                  </from>
                  <to>
                    <xdr:col>15</xdr:col>
                    <xdr:colOff>431800</xdr:colOff>
                    <xdr:row>15</xdr:row>
                    <xdr:rowOff>203200</xdr:rowOff>
                  </to>
                </anchor>
              </controlPr>
            </control>
          </mc:Choice>
        </mc:AlternateContent>
        <mc:AlternateContent xmlns:mc="http://schemas.openxmlformats.org/markup-compatibility/2006">
          <mc:Choice Requires="x14">
            <control shapeId="225084" r:id="rId107" name="Check Box 828">
              <controlPr defaultSize="0" autoFill="0" autoLine="0" autoPict="0">
                <anchor moveWithCells="1">
                  <from>
                    <xdr:col>16</xdr:col>
                    <xdr:colOff>114300</xdr:colOff>
                    <xdr:row>8</xdr:row>
                    <xdr:rowOff>165100</xdr:rowOff>
                  </from>
                  <to>
                    <xdr:col>16</xdr:col>
                    <xdr:colOff>431800</xdr:colOff>
                    <xdr:row>10</xdr:row>
                    <xdr:rowOff>12700</xdr:rowOff>
                  </to>
                </anchor>
              </controlPr>
            </control>
          </mc:Choice>
        </mc:AlternateContent>
        <mc:AlternateContent xmlns:mc="http://schemas.openxmlformats.org/markup-compatibility/2006">
          <mc:Choice Requires="x14">
            <control shapeId="225085" r:id="rId108" name="Check Box 829">
              <controlPr defaultSize="0" autoFill="0" autoLine="0" autoPict="0">
                <anchor moveWithCells="1">
                  <from>
                    <xdr:col>16</xdr:col>
                    <xdr:colOff>114300</xdr:colOff>
                    <xdr:row>9</xdr:row>
                    <xdr:rowOff>165100</xdr:rowOff>
                  </from>
                  <to>
                    <xdr:col>16</xdr:col>
                    <xdr:colOff>431800</xdr:colOff>
                    <xdr:row>11</xdr:row>
                    <xdr:rowOff>0</xdr:rowOff>
                  </to>
                </anchor>
              </controlPr>
            </control>
          </mc:Choice>
        </mc:AlternateContent>
        <mc:AlternateContent xmlns:mc="http://schemas.openxmlformats.org/markup-compatibility/2006">
          <mc:Choice Requires="x14">
            <control shapeId="225086" r:id="rId109" name="Check Box 830">
              <controlPr defaultSize="0" autoFill="0" autoLine="0" autoPict="0">
                <anchor moveWithCells="1">
                  <from>
                    <xdr:col>16</xdr:col>
                    <xdr:colOff>114300</xdr:colOff>
                    <xdr:row>10</xdr:row>
                    <xdr:rowOff>165100</xdr:rowOff>
                  </from>
                  <to>
                    <xdr:col>16</xdr:col>
                    <xdr:colOff>431800</xdr:colOff>
                    <xdr:row>12</xdr:row>
                    <xdr:rowOff>0</xdr:rowOff>
                  </to>
                </anchor>
              </controlPr>
            </control>
          </mc:Choice>
        </mc:AlternateContent>
        <mc:AlternateContent xmlns:mc="http://schemas.openxmlformats.org/markup-compatibility/2006">
          <mc:Choice Requires="x14">
            <control shapeId="225087" r:id="rId110" name="Check Box 831">
              <controlPr defaultSize="0" autoFill="0" autoLine="0" autoPict="0">
                <anchor moveWithCells="1">
                  <from>
                    <xdr:col>16</xdr:col>
                    <xdr:colOff>114300</xdr:colOff>
                    <xdr:row>11</xdr:row>
                    <xdr:rowOff>165100</xdr:rowOff>
                  </from>
                  <to>
                    <xdr:col>16</xdr:col>
                    <xdr:colOff>431800</xdr:colOff>
                    <xdr:row>13</xdr:row>
                    <xdr:rowOff>0</xdr:rowOff>
                  </to>
                </anchor>
              </controlPr>
            </control>
          </mc:Choice>
        </mc:AlternateContent>
        <mc:AlternateContent xmlns:mc="http://schemas.openxmlformats.org/markup-compatibility/2006">
          <mc:Choice Requires="x14">
            <control shapeId="225088" r:id="rId111" name="Check Box 832">
              <controlPr defaultSize="0" autoFill="0" autoLine="0" autoPict="0">
                <anchor moveWithCells="1">
                  <from>
                    <xdr:col>16</xdr:col>
                    <xdr:colOff>114300</xdr:colOff>
                    <xdr:row>11</xdr:row>
                    <xdr:rowOff>165100</xdr:rowOff>
                  </from>
                  <to>
                    <xdr:col>16</xdr:col>
                    <xdr:colOff>431800</xdr:colOff>
                    <xdr:row>13</xdr:row>
                    <xdr:rowOff>0</xdr:rowOff>
                  </to>
                </anchor>
              </controlPr>
            </control>
          </mc:Choice>
        </mc:AlternateContent>
        <mc:AlternateContent xmlns:mc="http://schemas.openxmlformats.org/markup-compatibility/2006">
          <mc:Choice Requires="x14">
            <control shapeId="225089" r:id="rId112" name="Check Box 833">
              <controlPr defaultSize="0" autoFill="0" autoLine="0" autoPict="0">
                <anchor moveWithCells="1">
                  <from>
                    <xdr:col>16</xdr:col>
                    <xdr:colOff>114300</xdr:colOff>
                    <xdr:row>12</xdr:row>
                    <xdr:rowOff>165100</xdr:rowOff>
                  </from>
                  <to>
                    <xdr:col>16</xdr:col>
                    <xdr:colOff>431800</xdr:colOff>
                    <xdr:row>14</xdr:row>
                    <xdr:rowOff>0</xdr:rowOff>
                  </to>
                </anchor>
              </controlPr>
            </control>
          </mc:Choice>
        </mc:AlternateContent>
        <mc:AlternateContent xmlns:mc="http://schemas.openxmlformats.org/markup-compatibility/2006">
          <mc:Choice Requires="x14">
            <control shapeId="225090" r:id="rId113" name="Check Box 834">
              <controlPr defaultSize="0" autoFill="0" autoLine="0" autoPict="0">
                <anchor moveWithCells="1">
                  <from>
                    <xdr:col>16</xdr:col>
                    <xdr:colOff>114300</xdr:colOff>
                    <xdr:row>12</xdr:row>
                    <xdr:rowOff>165100</xdr:rowOff>
                  </from>
                  <to>
                    <xdr:col>16</xdr:col>
                    <xdr:colOff>431800</xdr:colOff>
                    <xdr:row>14</xdr:row>
                    <xdr:rowOff>0</xdr:rowOff>
                  </to>
                </anchor>
              </controlPr>
            </control>
          </mc:Choice>
        </mc:AlternateContent>
        <mc:AlternateContent xmlns:mc="http://schemas.openxmlformats.org/markup-compatibility/2006">
          <mc:Choice Requires="x14">
            <control shapeId="225091" r:id="rId114" name="Check Box 835">
              <controlPr defaultSize="0" autoFill="0" autoLine="0" autoPict="0">
                <anchor moveWithCells="1">
                  <from>
                    <xdr:col>16</xdr:col>
                    <xdr:colOff>114300</xdr:colOff>
                    <xdr:row>13</xdr:row>
                    <xdr:rowOff>165100</xdr:rowOff>
                  </from>
                  <to>
                    <xdr:col>16</xdr:col>
                    <xdr:colOff>431800</xdr:colOff>
                    <xdr:row>15</xdr:row>
                    <xdr:rowOff>0</xdr:rowOff>
                  </to>
                </anchor>
              </controlPr>
            </control>
          </mc:Choice>
        </mc:AlternateContent>
        <mc:AlternateContent xmlns:mc="http://schemas.openxmlformats.org/markup-compatibility/2006">
          <mc:Choice Requires="x14">
            <control shapeId="225092" r:id="rId115" name="Check Box 836">
              <controlPr defaultSize="0" autoFill="0" autoLine="0" autoPict="0">
                <anchor moveWithCells="1">
                  <from>
                    <xdr:col>16</xdr:col>
                    <xdr:colOff>114300</xdr:colOff>
                    <xdr:row>13</xdr:row>
                    <xdr:rowOff>165100</xdr:rowOff>
                  </from>
                  <to>
                    <xdr:col>16</xdr:col>
                    <xdr:colOff>431800</xdr:colOff>
                    <xdr:row>15</xdr:row>
                    <xdr:rowOff>0</xdr:rowOff>
                  </to>
                </anchor>
              </controlPr>
            </control>
          </mc:Choice>
        </mc:AlternateContent>
        <mc:AlternateContent xmlns:mc="http://schemas.openxmlformats.org/markup-compatibility/2006">
          <mc:Choice Requires="x14">
            <control shapeId="225093" r:id="rId116" name="Check Box 837">
              <controlPr defaultSize="0" autoFill="0" autoLine="0" autoPict="0">
                <anchor moveWithCells="1">
                  <from>
                    <xdr:col>16</xdr:col>
                    <xdr:colOff>114300</xdr:colOff>
                    <xdr:row>14</xdr:row>
                    <xdr:rowOff>165100</xdr:rowOff>
                  </from>
                  <to>
                    <xdr:col>16</xdr:col>
                    <xdr:colOff>431800</xdr:colOff>
                    <xdr:row>15</xdr:row>
                    <xdr:rowOff>203200</xdr:rowOff>
                  </to>
                </anchor>
              </controlPr>
            </control>
          </mc:Choice>
        </mc:AlternateContent>
        <mc:AlternateContent xmlns:mc="http://schemas.openxmlformats.org/markup-compatibility/2006">
          <mc:Choice Requires="x14">
            <control shapeId="225094" r:id="rId117" name="Check Box 838">
              <controlPr defaultSize="0" autoFill="0" autoLine="0" autoPict="0">
                <anchor moveWithCells="1">
                  <from>
                    <xdr:col>17</xdr:col>
                    <xdr:colOff>114300</xdr:colOff>
                    <xdr:row>8</xdr:row>
                    <xdr:rowOff>165100</xdr:rowOff>
                  </from>
                  <to>
                    <xdr:col>17</xdr:col>
                    <xdr:colOff>431800</xdr:colOff>
                    <xdr:row>10</xdr:row>
                    <xdr:rowOff>12700</xdr:rowOff>
                  </to>
                </anchor>
              </controlPr>
            </control>
          </mc:Choice>
        </mc:AlternateContent>
        <mc:AlternateContent xmlns:mc="http://schemas.openxmlformats.org/markup-compatibility/2006">
          <mc:Choice Requires="x14">
            <control shapeId="225095" r:id="rId118" name="Check Box 839">
              <controlPr defaultSize="0" autoFill="0" autoLine="0" autoPict="0">
                <anchor moveWithCells="1">
                  <from>
                    <xdr:col>17</xdr:col>
                    <xdr:colOff>114300</xdr:colOff>
                    <xdr:row>9</xdr:row>
                    <xdr:rowOff>165100</xdr:rowOff>
                  </from>
                  <to>
                    <xdr:col>17</xdr:col>
                    <xdr:colOff>431800</xdr:colOff>
                    <xdr:row>11</xdr:row>
                    <xdr:rowOff>0</xdr:rowOff>
                  </to>
                </anchor>
              </controlPr>
            </control>
          </mc:Choice>
        </mc:AlternateContent>
        <mc:AlternateContent xmlns:mc="http://schemas.openxmlformats.org/markup-compatibility/2006">
          <mc:Choice Requires="x14">
            <control shapeId="225096" r:id="rId119" name="Check Box 840">
              <controlPr defaultSize="0" autoFill="0" autoLine="0" autoPict="0">
                <anchor moveWithCells="1">
                  <from>
                    <xdr:col>17</xdr:col>
                    <xdr:colOff>114300</xdr:colOff>
                    <xdr:row>10</xdr:row>
                    <xdr:rowOff>165100</xdr:rowOff>
                  </from>
                  <to>
                    <xdr:col>17</xdr:col>
                    <xdr:colOff>431800</xdr:colOff>
                    <xdr:row>12</xdr:row>
                    <xdr:rowOff>0</xdr:rowOff>
                  </to>
                </anchor>
              </controlPr>
            </control>
          </mc:Choice>
        </mc:AlternateContent>
        <mc:AlternateContent xmlns:mc="http://schemas.openxmlformats.org/markup-compatibility/2006">
          <mc:Choice Requires="x14">
            <control shapeId="225097" r:id="rId120" name="Check Box 841">
              <controlPr defaultSize="0" autoFill="0" autoLine="0" autoPict="0">
                <anchor moveWithCells="1">
                  <from>
                    <xdr:col>17</xdr:col>
                    <xdr:colOff>114300</xdr:colOff>
                    <xdr:row>11</xdr:row>
                    <xdr:rowOff>165100</xdr:rowOff>
                  </from>
                  <to>
                    <xdr:col>17</xdr:col>
                    <xdr:colOff>431800</xdr:colOff>
                    <xdr:row>13</xdr:row>
                    <xdr:rowOff>0</xdr:rowOff>
                  </to>
                </anchor>
              </controlPr>
            </control>
          </mc:Choice>
        </mc:AlternateContent>
        <mc:AlternateContent xmlns:mc="http://schemas.openxmlformats.org/markup-compatibility/2006">
          <mc:Choice Requires="x14">
            <control shapeId="225098" r:id="rId121" name="Check Box 842">
              <controlPr defaultSize="0" autoFill="0" autoLine="0" autoPict="0">
                <anchor moveWithCells="1">
                  <from>
                    <xdr:col>17</xdr:col>
                    <xdr:colOff>114300</xdr:colOff>
                    <xdr:row>11</xdr:row>
                    <xdr:rowOff>165100</xdr:rowOff>
                  </from>
                  <to>
                    <xdr:col>17</xdr:col>
                    <xdr:colOff>431800</xdr:colOff>
                    <xdr:row>13</xdr:row>
                    <xdr:rowOff>0</xdr:rowOff>
                  </to>
                </anchor>
              </controlPr>
            </control>
          </mc:Choice>
        </mc:AlternateContent>
        <mc:AlternateContent xmlns:mc="http://schemas.openxmlformats.org/markup-compatibility/2006">
          <mc:Choice Requires="x14">
            <control shapeId="225099" r:id="rId122" name="Check Box 843">
              <controlPr defaultSize="0" autoFill="0" autoLine="0" autoPict="0">
                <anchor moveWithCells="1">
                  <from>
                    <xdr:col>17</xdr:col>
                    <xdr:colOff>114300</xdr:colOff>
                    <xdr:row>12</xdr:row>
                    <xdr:rowOff>165100</xdr:rowOff>
                  </from>
                  <to>
                    <xdr:col>17</xdr:col>
                    <xdr:colOff>431800</xdr:colOff>
                    <xdr:row>14</xdr:row>
                    <xdr:rowOff>0</xdr:rowOff>
                  </to>
                </anchor>
              </controlPr>
            </control>
          </mc:Choice>
        </mc:AlternateContent>
        <mc:AlternateContent xmlns:mc="http://schemas.openxmlformats.org/markup-compatibility/2006">
          <mc:Choice Requires="x14">
            <control shapeId="225100" r:id="rId123" name="Check Box 844">
              <controlPr defaultSize="0" autoFill="0" autoLine="0" autoPict="0">
                <anchor moveWithCells="1">
                  <from>
                    <xdr:col>17</xdr:col>
                    <xdr:colOff>114300</xdr:colOff>
                    <xdr:row>12</xdr:row>
                    <xdr:rowOff>165100</xdr:rowOff>
                  </from>
                  <to>
                    <xdr:col>17</xdr:col>
                    <xdr:colOff>431800</xdr:colOff>
                    <xdr:row>14</xdr:row>
                    <xdr:rowOff>0</xdr:rowOff>
                  </to>
                </anchor>
              </controlPr>
            </control>
          </mc:Choice>
        </mc:AlternateContent>
        <mc:AlternateContent xmlns:mc="http://schemas.openxmlformats.org/markup-compatibility/2006">
          <mc:Choice Requires="x14">
            <control shapeId="225101" r:id="rId124" name="Check Box 845">
              <controlPr defaultSize="0" autoFill="0" autoLine="0" autoPict="0">
                <anchor moveWithCells="1">
                  <from>
                    <xdr:col>17</xdr:col>
                    <xdr:colOff>114300</xdr:colOff>
                    <xdr:row>13</xdr:row>
                    <xdr:rowOff>165100</xdr:rowOff>
                  </from>
                  <to>
                    <xdr:col>17</xdr:col>
                    <xdr:colOff>431800</xdr:colOff>
                    <xdr:row>15</xdr:row>
                    <xdr:rowOff>0</xdr:rowOff>
                  </to>
                </anchor>
              </controlPr>
            </control>
          </mc:Choice>
        </mc:AlternateContent>
        <mc:AlternateContent xmlns:mc="http://schemas.openxmlformats.org/markup-compatibility/2006">
          <mc:Choice Requires="x14">
            <control shapeId="225102" r:id="rId125" name="Check Box 846">
              <controlPr defaultSize="0" autoFill="0" autoLine="0" autoPict="0">
                <anchor moveWithCells="1">
                  <from>
                    <xdr:col>17</xdr:col>
                    <xdr:colOff>114300</xdr:colOff>
                    <xdr:row>13</xdr:row>
                    <xdr:rowOff>165100</xdr:rowOff>
                  </from>
                  <to>
                    <xdr:col>17</xdr:col>
                    <xdr:colOff>431800</xdr:colOff>
                    <xdr:row>15</xdr:row>
                    <xdr:rowOff>0</xdr:rowOff>
                  </to>
                </anchor>
              </controlPr>
            </control>
          </mc:Choice>
        </mc:AlternateContent>
        <mc:AlternateContent xmlns:mc="http://schemas.openxmlformats.org/markup-compatibility/2006">
          <mc:Choice Requires="x14">
            <control shapeId="225103" r:id="rId126" name="Check Box 847">
              <controlPr defaultSize="0" autoFill="0" autoLine="0" autoPict="0">
                <anchor moveWithCells="1">
                  <from>
                    <xdr:col>17</xdr:col>
                    <xdr:colOff>114300</xdr:colOff>
                    <xdr:row>14</xdr:row>
                    <xdr:rowOff>165100</xdr:rowOff>
                  </from>
                  <to>
                    <xdr:col>17</xdr:col>
                    <xdr:colOff>431800</xdr:colOff>
                    <xdr:row>15</xdr:row>
                    <xdr:rowOff>203200</xdr:rowOff>
                  </to>
                </anchor>
              </controlPr>
            </control>
          </mc:Choice>
        </mc:AlternateContent>
        <mc:AlternateContent xmlns:mc="http://schemas.openxmlformats.org/markup-compatibility/2006">
          <mc:Choice Requires="x14">
            <control shapeId="225104" r:id="rId127" name="Check Box 848">
              <controlPr defaultSize="0" autoFill="0" autoLine="0" autoPict="0">
                <anchor moveWithCells="1">
                  <from>
                    <xdr:col>18</xdr:col>
                    <xdr:colOff>114300</xdr:colOff>
                    <xdr:row>8</xdr:row>
                    <xdr:rowOff>165100</xdr:rowOff>
                  </from>
                  <to>
                    <xdr:col>18</xdr:col>
                    <xdr:colOff>431800</xdr:colOff>
                    <xdr:row>10</xdr:row>
                    <xdr:rowOff>12700</xdr:rowOff>
                  </to>
                </anchor>
              </controlPr>
            </control>
          </mc:Choice>
        </mc:AlternateContent>
        <mc:AlternateContent xmlns:mc="http://schemas.openxmlformats.org/markup-compatibility/2006">
          <mc:Choice Requires="x14">
            <control shapeId="225105" r:id="rId128" name="Check Box 849">
              <controlPr defaultSize="0" autoFill="0" autoLine="0" autoPict="0">
                <anchor moveWithCells="1">
                  <from>
                    <xdr:col>18</xdr:col>
                    <xdr:colOff>114300</xdr:colOff>
                    <xdr:row>9</xdr:row>
                    <xdr:rowOff>165100</xdr:rowOff>
                  </from>
                  <to>
                    <xdr:col>18</xdr:col>
                    <xdr:colOff>431800</xdr:colOff>
                    <xdr:row>11</xdr:row>
                    <xdr:rowOff>0</xdr:rowOff>
                  </to>
                </anchor>
              </controlPr>
            </control>
          </mc:Choice>
        </mc:AlternateContent>
        <mc:AlternateContent xmlns:mc="http://schemas.openxmlformats.org/markup-compatibility/2006">
          <mc:Choice Requires="x14">
            <control shapeId="225106" r:id="rId129" name="Check Box 850">
              <controlPr defaultSize="0" autoFill="0" autoLine="0" autoPict="0">
                <anchor moveWithCells="1">
                  <from>
                    <xdr:col>18</xdr:col>
                    <xdr:colOff>114300</xdr:colOff>
                    <xdr:row>10</xdr:row>
                    <xdr:rowOff>165100</xdr:rowOff>
                  </from>
                  <to>
                    <xdr:col>18</xdr:col>
                    <xdr:colOff>431800</xdr:colOff>
                    <xdr:row>12</xdr:row>
                    <xdr:rowOff>0</xdr:rowOff>
                  </to>
                </anchor>
              </controlPr>
            </control>
          </mc:Choice>
        </mc:AlternateContent>
        <mc:AlternateContent xmlns:mc="http://schemas.openxmlformats.org/markup-compatibility/2006">
          <mc:Choice Requires="x14">
            <control shapeId="225107" r:id="rId130" name="Check Box 851">
              <controlPr defaultSize="0" autoFill="0" autoLine="0" autoPict="0">
                <anchor moveWithCells="1">
                  <from>
                    <xdr:col>18</xdr:col>
                    <xdr:colOff>114300</xdr:colOff>
                    <xdr:row>11</xdr:row>
                    <xdr:rowOff>165100</xdr:rowOff>
                  </from>
                  <to>
                    <xdr:col>18</xdr:col>
                    <xdr:colOff>431800</xdr:colOff>
                    <xdr:row>13</xdr:row>
                    <xdr:rowOff>0</xdr:rowOff>
                  </to>
                </anchor>
              </controlPr>
            </control>
          </mc:Choice>
        </mc:AlternateContent>
        <mc:AlternateContent xmlns:mc="http://schemas.openxmlformats.org/markup-compatibility/2006">
          <mc:Choice Requires="x14">
            <control shapeId="225108" r:id="rId131" name="Check Box 852">
              <controlPr defaultSize="0" autoFill="0" autoLine="0" autoPict="0">
                <anchor moveWithCells="1">
                  <from>
                    <xdr:col>18</xdr:col>
                    <xdr:colOff>114300</xdr:colOff>
                    <xdr:row>11</xdr:row>
                    <xdr:rowOff>165100</xdr:rowOff>
                  </from>
                  <to>
                    <xdr:col>18</xdr:col>
                    <xdr:colOff>431800</xdr:colOff>
                    <xdr:row>13</xdr:row>
                    <xdr:rowOff>0</xdr:rowOff>
                  </to>
                </anchor>
              </controlPr>
            </control>
          </mc:Choice>
        </mc:AlternateContent>
        <mc:AlternateContent xmlns:mc="http://schemas.openxmlformats.org/markup-compatibility/2006">
          <mc:Choice Requires="x14">
            <control shapeId="225109" r:id="rId132" name="Check Box 853">
              <controlPr defaultSize="0" autoFill="0" autoLine="0" autoPict="0">
                <anchor moveWithCells="1">
                  <from>
                    <xdr:col>18</xdr:col>
                    <xdr:colOff>114300</xdr:colOff>
                    <xdr:row>12</xdr:row>
                    <xdr:rowOff>165100</xdr:rowOff>
                  </from>
                  <to>
                    <xdr:col>18</xdr:col>
                    <xdr:colOff>431800</xdr:colOff>
                    <xdr:row>14</xdr:row>
                    <xdr:rowOff>0</xdr:rowOff>
                  </to>
                </anchor>
              </controlPr>
            </control>
          </mc:Choice>
        </mc:AlternateContent>
        <mc:AlternateContent xmlns:mc="http://schemas.openxmlformats.org/markup-compatibility/2006">
          <mc:Choice Requires="x14">
            <control shapeId="225110" r:id="rId133" name="Check Box 854">
              <controlPr defaultSize="0" autoFill="0" autoLine="0" autoPict="0">
                <anchor moveWithCells="1">
                  <from>
                    <xdr:col>18</xdr:col>
                    <xdr:colOff>114300</xdr:colOff>
                    <xdr:row>12</xdr:row>
                    <xdr:rowOff>165100</xdr:rowOff>
                  </from>
                  <to>
                    <xdr:col>18</xdr:col>
                    <xdr:colOff>431800</xdr:colOff>
                    <xdr:row>14</xdr:row>
                    <xdr:rowOff>0</xdr:rowOff>
                  </to>
                </anchor>
              </controlPr>
            </control>
          </mc:Choice>
        </mc:AlternateContent>
        <mc:AlternateContent xmlns:mc="http://schemas.openxmlformats.org/markup-compatibility/2006">
          <mc:Choice Requires="x14">
            <control shapeId="225111" r:id="rId134" name="Check Box 855">
              <controlPr defaultSize="0" autoFill="0" autoLine="0" autoPict="0">
                <anchor moveWithCells="1">
                  <from>
                    <xdr:col>18</xdr:col>
                    <xdr:colOff>114300</xdr:colOff>
                    <xdr:row>13</xdr:row>
                    <xdr:rowOff>165100</xdr:rowOff>
                  </from>
                  <to>
                    <xdr:col>18</xdr:col>
                    <xdr:colOff>431800</xdr:colOff>
                    <xdr:row>15</xdr:row>
                    <xdr:rowOff>0</xdr:rowOff>
                  </to>
                </anchor>
              </controlPr>
            </control>
          </mc:Choice>
        </mc:AlternateContent>
        <mc:AlternateContent xmlns:mc="http://schemas.openxmlformats.org/markup-compatibility/2006">
          <mc:Choice Requires="x14">
            <control shapeId="225112" r:id="rId135" name="Check Box 856">
              <controlPr defaultSize="0" autoFill="0" autoLine="0" autoPict="0">
                <anchor moveWithCells="1">
                  <from>
                    <xdr:col>18</xdr:col>
                    <xdr:colOff>114300</xdr:colOff>
                    <xdr:row>13</xdr:row>
                    <xdr:rowOff>165100</xdr:rowOff>
                  </from>
                  <to>
                    <xdr:col>18</xdr:col>
                    <xdr:colOff>431800</xdr:colOff>
                    <xdr:row>15</xdr:row>
                    <xdr:rowOff>0</xdr:rowOff>
                  </to>
                </anchor>
              </controlPr>
            </control>
          </mc:Choice>
        </mc:AlternateContent>
        <mc:AlternateContent xmlns:mc="http://schemas.openxmlformats.org/markup-compatibility/2006">
          <mc:Choice Requires="x14">
            <control shapeId="225113" r:id="rId136" name="Check Box 857">
              <controlPr defaultSize="0" autoFill="0" autoLine="0" autoPict="0">
                <anchor moveWithCells="1">
                  <from>
                    <xdr:col>18</xdr:col>
                    <xdr:colOff>114300</xdr:colOff>
                    <xdr:row>14</xdr:row>
                    <xdr:rowOff>165100</xdr:rowOff>
                  </from>
                  <to>
                    <xdr:col>18</xdr:col>
                    <xdr:colOff>431800</xdr:colOff>
                    <xdr:row>15</xdr:row>
                    <xdr:rowOff>203200</xdr:rowOff>
                  </to>
                </anchor>
              </controlPr>
            </control>
          </mc:Choice>
        </mc:AlternateContent>
        <mc:AlternateContent xmlns:mc="http://schemas.openxmlformats.org/markup-compatibility/2006">
          <mc:Choice Requires="x14">
            <control shapeId="225114" r:id="rId137" name="Check Box 858">
              <controlPr defaultSize="0" autoFill="0" autoLine="0" autoPict="0">
                <anchor moveWithCells="1">
                  <from>
                    <xdr:col>19</xdr:col>
                    <xdr:colOff>114300</xdr:colOff>
                    <xdr:row>8</xdr:row>
                    <xdr:rowOff>165100</xdr:rowOff>
                  </from>
                  <to>
                    <xdr:col>19</xdr:col>
                    <xdr:colOff>431800</xdr:colOff>
                    <xdr:row>10</xdr:row>
                    <xdr:rowOff>12700</xdr:rowOff>
                  </to>
                </anchor>
              </controlPr>
            </control>
          </mc:Choice>
        </mc:AlternateContent>
        <mc:AlternateContent xmlns:mc="http://schemas.openxmlformats.org/markup-compatibility/2006">
          <mc:Choice Requires="x14">
            <control shapeId="225115" r:id="rId138" name="Check Box 859">
              <controlPr defaultSize="0" autoFill="0" autoLine="0" autoPict="0">
                <anchor moveWithCells="1">
                  <from>
                    <xdr:col>19</xdr:col>
                    <xdr:colOff>114300</xdr:colOff>
                    <xdr:row>9</xdr:row>
                    <xdr:rowOff>165100</xdr:rowOff>
                  </from>
                  <to>
                    <xdr:col>19</xdr:col>
                    <xdr:colOff>431800</xdr:colOff>
                    <xdr:row>11</xdr:row>
                    <xdr:rowOff>0</xdr:rowOff>
                  </to>
                </anchor>
              </controlPr>
            </control>
          </mc:Choice>
        </mc:AlternateContent>
        <mc:AlternateContent xmlns:mc="http://schemas.openxmlformats.org/markup-compatibility/2006">
          <mc:Choice Requires="x14">
            <control shapeId="225116" r:id="rId139" name="Check Box 860">
              <controlPr defaultSize="0" autoFill="0" autoLine="0" autoPict="0">
                <anchor moveWithCells="1">
                  <from>
                    <xdr:col>19</xdr:col>
                    <xdr:colOff>114300</xdr:colOff>
                    <xdr:row>10</xdr:row>
                    <xdr:rowOff>165100</xdr:rowOff>
                  </from>
                  <to>
                    <xdr:col>19</xdr:col>
                    <xdr:colOff>431800</xdr:colOff>
                    <xdr:row>12</xdr:row>
                    <xdr:rowOff>0</xdr:rowOff>
                  </to>
                </anchor>
              </controlPr>
            </control>
          </mc:Choice>
        </mc:AlternateContent>
        <mc:AlternateContent xmlns:mc="http://schemas.openxmlformats.org/markup-compatibility/2006">
          <mc:Choice Requires="x14">
            <control shapeId="225117" r:id="rId140" name="Check Box 861">
              <controlPr defaultSize="0" autoFill="0" autoLine="0" autoPict="0">
                <anchor moveWithCells="1">
                  <from>
                    <xdr:col>19</xdr:col>
                    <xdr:colOff>114300</xdr:colOff>
                    <xdr:row>11</xdr:row>
                    <xdr:rowOff>165100</xdr:rowOff>
                  </from>
                  <to>
                    <xdr:col>19</xdr:col>
                    <xdr:colOff>431800</xdr:colOff>
                    <xdr:row>13</xdr:row>
                    <xdr:rowOff>0</xdr:rowOff>
                  </to>
                </anchor>
              </controlPr>
            </control>
          </mc:Choice>
        </mc:AlternateContent>
        <mc:AlternateContent xmlns:mc="http://schemas.openxmlformats.org/markup-compatibility/2006">
          <mc:Choice Requires="x14">
            <control shapeId="225118" r:id="rId141" name="Check Box 862">
              <controlPr defaultSize="0" autoFill="0" autoLine="0" autoPict="0">
                <anchor moveWithCells="1">
                  <from>
                    <xdr:col>19</xdr:col>
                    <xdr:colOff>114300</xdr:colOff>
                    <xdr:row>11</xdr:row>
                    <xdr:rowOff>165100</xdr:rowOff>
                  </from>
                  <to>
                    <xdr:col>19</xdr:col>
                    <xdr:colOff>431800</xdr:colOff>
                    <xdr:row>13</xdr:row>
                    <xdr:rowOff>0</xdr:rowOff>
                  </to>
                </anchor>
              </controlPr>
            </control>
          </mc:Choice>
        </mc:AlternateContent>
        <mc:AlternateContent xmlns:mc="http://schemas.openxmlformats.org/markup-compatibility/2006">
          <mc:Choice Requires="x14">
            <control shapeId="225119" r:id="rId142" name="Check Box 863">
              <controlPr defaultSize="0" autoFill="0" autoLine="0" autoPict="0">
                <anchor moveWithCells="1">
                  <from>
                    <xdr:col>19</xdr:col>
                    <xdr:colOff>114300</xdr:colOff>
                    <xdr:row>12</xdr:row>
                    <xdr:rowOff>165100</xdr:rowOff>
                  </from>
                  <to>
                    <xdr:col>19</xdr:col>
                    <xdr:colOff>431800</xdr:colOff>
                    <xdr:row>14</xdr:row>
                    <xdr:rowOff>0</xdr:rowOff>
                  </to>
                </anchor>
              </controlPr>
            </control>
          </mc:Choice>
        </mc:AlternateContent>
        <mc:AlternateContent xmlns:mc="http://schemas.openxmlformats.org/markup-compatibility/2006">
          <mc:Choice Requires="x14">
            <control shapeId="225120" r:id="rId143" name="Check Box 864">
              <controlPr defaultSize="0" autoFill="0" autoLine="0" autoPict="0">
                <anchor moveWithCells="1">
                  <from>
                    <xdr:col>19</xdr:col>
                    <xdr:colOff>114300</xdr:colOff>
                    <xdr:row>12</xdr:row>
                    <xdr:rowOff>165100</xdr:rowOff>
                  </from>
                  <to>
                    <xdr:col>19</xdr:col>
                    <xdr:colOff>431800</xdr:colOff>
                    <xdr:row>14</xdr:row>
                    <xdr:rowOff>0</xdr:rowOff>
                  </to>
                </anchor>
              </controlPr>
            </control>
          </mc:Choice>
        </mc:AlternateContent>
        <mc:AlternateContent xmlns:mc="http://schemas.openxmlformats.org/markup-compatibility/2006">
          <mc:Choice Requires="x14">
            <control shapeId="225121" r:id="rId144" name="Check Box 865">
              <controlPr defaultSize="0" autoFill="0" autoLine="0" autoPict="0">
                <anchor moveWithCells="1">
                  <from>
                    <xdr:col>19</xdr:col>
                    <xdr:colOff>114300</xdr:colOff>
                    <xdr:row>13</xdr:row>
                    <xdr:rowOff>165100</xdr:rowOff>
                  </from>
                  <to>
                    <xdr:col>19</xdr:col>
                    <xdr:colOff>431800</xdr:colOff>
                    <xdr:row>15</xdr:row>
                    <xdr:rowOff>0</xdr:rowOff>
                  </to>
                </anchor>
              </controlPr>
            </control>
          </mc:Choice>
        </mc:AlternateContent>
        <mc:AlternateContent xmlns:mc="http://schemas.openxmlformats.org/markup-compatibility/2006">
          <mc:Choice Requires="x14">
            <control shapeId="225122" r:id="rId145" name="Check Box 866">
              <controlPr defaultSize="0" autoFill="0" autoLine="0" autoPict="0">
                <anchor moveWithCells="1">
                  <from>
                    <xdr:col>19</xdr:col>
                    <xdr:colOff>114300</xdr:colOff>
                    <xdr:row>13</xdr:row>
                    <xdr:rowOff>165100</xdr:rowOff>
                  </from>
                  <to>
                    <xdr:col>19</xdr:col>
                    <xdr:colOff>431800</xdr:colOff>
                    <xdr:row>15</xdr:row>
                    <xdr:rowOff>0</xdr:rowOff>
                  </to>
                </anchor>
              </controlPr>
            </control>
          </mc:Choice>
        </mc:AlternateContent>
        <mc:AlternateContent xmlns:mc="http://schemas.openxmlformats.org/markup-compatibility/2006">
          <mc:Choice Requires="x14">
            <control shapeId="225123" r:id="rId146" name="Check Box 867">
              <controlPr defaultSize="0" autoFill="0" autoLine="0" autoPict="0">
                <anchor moveWithCells="1">
                  <from>
                    <xdr:col>19</xdr:col>
                    <xdr:colOff>114300</xdr:colOff>
                    <xdr:row>14</xdr:row>
                    <xdr:rowOff>165100</xdr:rowOff>
                  </from>
                  <to>
                    <xdr:col>19</xdr:col>
                    <xdr:colOff>431800</xdr:colOff>
                    <xdr:row>15</xdr:row>
                    <xdr:rowOff>203200</xdr:rowOff>
                  </to>
                </anchor>
              </controlPr>
            </control>
          </mc:Choice>
        </mc:AlternateContent>
        <mc:AlternateContent xmlns:mc="http://schemas.openxmlformats.org/markup-compatibility/2006">
          <mc:Choice Requires="x14">
            <control shapeId="225124" r:id="rId147" name="Check Box 868">
              <controlPr defaultSize="0" autoFill="0" autoLine="0" autoPict="0">
                <anchor moveWithCells="1">
                  <from>
                    <xdr:col>6</xdr:col>
                    <xdr:colOff>114300</xdr:colOff>
                    <xdr:row>19</xdr:row>
                    <xdr:rowOff>38100</xdr:rowOff>
                  </from>
                  <to>
                    <xdr:col>6</xdr:col>
                    <xdr:colOff>355600</xdr:colOff>
                    <xdr:row>19</xdr:row>
                    <xdr:rowOff>260350</xdr:rowOff>
                  </to>
                </anchor>
              </controlPr>
            </control>
          </mc:Choice>
        </mc:AlternateContent>
        <mc:AlternateContent xmlns:mc="http://schemas.openxmlformats.org/markup-compatibility/2006">
          <mc:Choice Requires="x14">
            <control shapeId="225125" r:id="rId148" name="Check Box 869">
              <controlPr defaultSize="0" autoFill="0" autoLine="0" autoPict="0">
                <anchor moveWithCells="1">
                  <from>
                    <xdr:col>6</xdr:col>
                    <xdr:colOff>114300</xdr:colOff>
                    <xdr:row>20</xdr:row>
                    <xdr:rowOff>38100</xdr:rowOff>
                  </from>
                  <to>
                    <xdr:col>6</xdr:col>
                    <xdr:colOff>355600</xdr:colOff>
                    <xdr:row>20</xdr:row>
                    <xdr:rowOff>260350</xdr:rowOff>
                  </to>
                </anchor>
              </controlPr>
            </control>
          </mc:Choice>
        </mc:AlternateContent>
        <mc:AlternateContent xmlns:mc="http://schemas.openxmlformats.org/markup-compatibility/2006">
          <mc:Choice Requires="x14">
            <control shapeId="225126" r:id="rId149" name="Check Box 870">
              <controlPr defaultSize="0" autoFill="0" autoLine="0" autoPict="0">
                <anchor moveWithCells="1">
                  <from>
                    <xdr:col>6</xdr:col>
                    <xdr:colOff>114300</xdr:colOff>
                    <xdr:row>21</xdr:row>
                    <xdr:rowOff>38100</xdr:rowOff>
                  </from>
                  <to>
                    <xdr:col>6</xdr:col>
                    <xdr:colOff>355600</xdr:colOff>
                    <xdr:row>21</xdr:row>
                    <xdr:rowOff>260350</xdr:rowOff>
                  </to>
                </anchor>
              </controlPr>
            </control>
          </mc:Choice>
        </mc:AlternateContent>
        <mc:AlternateContent xmlns:mc="http://schemas.openxmlformats.org/markup-compatibility/2006">
          <mc:Choice Requires="x14">
            <control shapeId="225127" r:id="rId150" name="Check Box 871">
              <controlPr defaultSize="0" autoFill="0" autoLine="0" autoPict="0">
                <anchor moveWithCells="1">
                  <from>
                    <xdr:col>6</xdr:col>
                    <xdr:colOff>114300</xdr:colOff>
                    <xdr:row>22</xdr:row>
                    <xdr:rowOff>38100</xdr:rowOff>
                  </from>
                  <to>
                    <xdr:col>6</xdr:col>
                    <xdr:colOff>355600</xdr:colOff>
                    <xdr:row>22</xdr:row>
                    <xdr:rowOff>260350</xdr:rowOff>
                  </to>
                </anchor>
              </controlPr>
            </control>
          </mc:Choice>
        </mc:AlternateContent>
        <mc:AlternateContent xmlns:mc="http://schemas.openxmlformats.org/markup-compatibility/2006">
          <mc:Choice Requires="x14">
            <control shapeId="225128" r:id="rId151" name="Check Box 872">
              <controlPr defaultSize="0" autoFill="0" autoLine="0" autoPict="0">
                <anchor moveWithCells="1">
                  <from>
                    <xdr:col>6</xdr:col>
                    <xdr:colOff>114300</xdr:colOff>
                    <xdr:row>23</xdr:row>
                    <xdr:rowOff>38100</xdr:rowOff>
                  </from>
                  <to>
                    <xdr:col>6</xdr:col>
                    <xdr:colOff>355600</xdr:colOff>
                    <xdr:row>23</xdr:row>
                    <xdr:rowOff>260350</xdr:rowOff>
                  </to>
                </anchor>
              </controlPr>
            </control>
          </mc:Choice>
        </mc:AlternateContent>
        <mc:AlternateContent xmlns:mc="http://schemas.openxmlformats.org/markup-compatibility/2006">
          <mc:Choice Requires="x14">
            <control shapeId="225129" r:id="rId152" name="Check Box 873">
              <controlPr defaultSize="0" autoFill="0" autoLine="0" autoPict="0">
                <anchor moveWithCells="1">
                  <from>
                    <xdr:col>6</xdr:col>
                    <xdr:colOff>114300</xdr:colOff>
                    <xdr:row>24</xdr:row>
                    <xdr:rowOff>38100</xdr:rowOff>
                  </from>
                  <to>
                    <xdr:col>6</xdr:col>
                    <xdr:colOff>355600</xdr:colOff>
                    <xdr:row>24</xdr:row>
                    <xdr:rowOff>260350</xdr:rowOff>
                  </to>
                </anchor>
              </controlPr>
            </control>
          </mc:Choice>
        </mc:AlternateContent>
        <mc:AlternateContent xmlns:mc="http://schemas.openxmlformats.org/markup-compatibility/2006">
          <mc:Choice Requires="x14">
            <control shapeId="225130" r:id="rId153" name="Check Box 874">
              <controlPr defaultSize="0" autoFill="0" autoLine="0" autoPict="0">
                <anchor moveWithCells="1">
                  <from>
                    <xdr:col>6</xdr:col>
                    <xdr:colOff>114300</xdr:colOff>
                    <xdr:row>25</xdr:row>
                    <xdr:rowOff>38100</xdr:rowOff>
                  </from>
                  <to>
                    <xdr:col>6</xdr:col>
                    <xdr:colOff>355600</xdr:colOff>
                    <xdr:row>25</xdr:row>
                    <xdr:rowOff>260350</xdr:rowOff>
                  </to>
                </anchor>
              </controlPr>
            </control>
          </mc:Choice>
        </mc:AlternateContent>
        <mc:AlternateContent xmlns:mc="http://schemas.openxmlformats.org/markup-compatibility/2006">
          <mc:Choice Requires="x14">
            <control shapeId="225131" r:id="rId154" name="Check Box 875">
              <controlPr defaultSize="0" autoFill="0" autoLine="0" autoPict="0">
                <anchor moveWithCells="1">
                  <from>
                    <xdr:col>7</xdr:col>
                    <xdr:colOff>114300</xdr:colOff>
                    <xdr:row>19</xdr:row>
                    <xdr:rowOff>38100</xdr:rowOff>
                  </from>
                  <to>
                    <xdr:col>7</xdr:col>
                    <xdr:colOff>355600</xdr:colOff>
                    <xdr:row>19</xdr:row>
                    <xdr:rowOff>260350</xdr:rowOff>
                  </to>
                </anchor>
              </controlPr>
            </control>
          </mc:Choice>
        </mc:AlternateContent>
        <mc:AlternateContent xmlns:mc="http://schemas.openxmlformats.org/markup-compatibility/2006">
          <mc:Choice Requires="x14">
            <control shapeId="225132" r:id="rId155" name="Check Box 876">
              <controlPr defaultSize="0" autoFill="0" autoLine="0" autoPict="0">
                <anchor moveWithCells="1">
                  <from>
                    <xdr:col>7</xdr:col>
                    <xdr:colOff>114300</xdr:colOff>
                    <xdr:row>20</xdr:row>
                    <xdr:rowOff>38100</xdr:rowOff>
                  </from>
                  <to>
                    <xdr:col>7</xdr:col>
                    <xdr:colOff>355600</xdr:colOff>
                    <xdr:row>20</xdr:row>
                    <xdr:rowOff>260350</xdr:rowOff>
                  </to>
                </anchor>
              </controlPr>
            </control>
          </mc:Choice>
        </mc:AlternateContent>
        <mc:AlternateContent xmlns:mc="http://schemas.openxmlformats.org/markup-compatibility/2006">
          <mc:Choice Requires="x14">
            <control shapeId="225133" r:id="rId156" name="Check Box 877">
              <controlPr defaultSize="0" autoFill="0" autoLine="0" autoPict="0">
                <anchor moveWithCells="1">
                  <from>
                    <xdr:col>7</xdr:col>
                    <xdr:colOff>114300</xdr:colOff>
                    <xdr:row>21</xdr:row>
                    <xdr:rowOff>38100</xdr:rowOff>
                  </from>
                  <to>
                    <xdr:col>7</xdr:col>
                    <xdr:colOff>355600</xdr:colOff>
                    <xdr:row>21</xdr:row>
                    <xdr:rowOff>260350</xdr:rowOff>
                  </to>
                </anchor>
              </controlPr>
            </control>
          </mc:Choice>
        </mc:AlternateContent>
        <mc:AlternateContent xmlns:mc="http://schemas.openxmlformats.org/markup-compatibility/2006">
          <mc:Choice Requires="x14">
            <control shapeId="225134" r:id="rId157" name="Check Box 878">
              <controlPr defaultSize="0" autoFill="0" autoLine="0" autoPict="0">
                <anchor moveWithCells="1">
                  <from>
                    <xdr:col>7</xdr:col>
                    <xdr:colOff>114300</xdr:colOff>
                    <xdr:row>22</xdr:row>
                    <xdr:rowOff>38100</xdr:rowOff>
                  </from>
                  <to>
                    <xdr:col>7</xdr:col>
                    <xdr:colOff>355600</xdr:colOff>
                    <xdr:row>22</xdr:row>
                    <xdr:rowOff>260350</xdr:rowOff>
                  </to>
                </anchor>
              </controlPr>
            </control>
          </mc:Choice>
        </mc:AlternateContent>
        <mc:AlternateContent xmlns:mc="http://schemas.openxmlformats.org/markup-compatibility/2006">
          <mc:Choice Requires="x14">
            <control shapeId="225135" r:id="rId158" name="Check Box 879">
              <controlPr defaultSize="0" autoFill="0" autoLine="0" autoPict="0">
                <anchor moveWithCells="1">
                  <from>
                    <xdr:col>7</xdr:col>
                    <xdr:colOff>114300</xdr:colOff>
                    <xdr:row>23</xdr:row>
                    <xdr:rowOff>38100</xdr:rowOff>
                  </from>
                  <to>
                    <xdr:col>7</xdr:col>
                    <xdr:colOff>355600</xdr:colOff>
                    <xdr:row>23</xdr:row>
                    <xdr:rowOff>260350</xdr:rowOff>
                  </to>
                </anchor>
              </controlPr>
            </control>
          </mc:Choice>
        </mc:AlternateContent>
        <mc:AlternateContent xmlns:mc="http://schemas.openxmlformats.org/markup-compatibility/2006">
          <mc:Choice Requires="x14">
            <control shapeId="225136" r:id="rId159" name="Check Box 880">
              <controlPr defaultSize="0" autoFill="0" autoLine="0" autoPict="0">
                <anchor moveWithCells="1">
                  <from>
                    <xdr:col>7</xdr:col>
                    <xdr:colOff>114300</xdr:colOff>
                    <xdr:row>24</xdr:row>
                    <xdr:rowOff>38100</xdr:rowOff>
                  </from>
                  <to>
                    <xdr:col>7</xdr:col>
                    <xdr:colOff>355600</xdr:colOff>
                    <xdr:row>24</xdr:row>
                    <xdr:rowOff>260350</xdr:rowOff>
                  </to>
                </anchor>
              </controlPr>
            </control>
          </mc:Choice>
        </mc:AlternateContent>
        <mc:AlternateContent xmlns:mc="http://schemas.openxmlformats.org/markup-compatibility/2006">
          <mc:Choice Requires="x14">
            <control shapeId="225137" r:id="rId160" name="Check Box 881">
              <controlPr defaultSize="0" autoFill="0" autoLine="0" autoPict="0">
                <anchor moveWithCells="1">
                  <from>
                    <xdr:col>7</xdr:col>
                    <xdr:colOff>114300</xdr:colOff>
                    <xdr:row>25</xdr:row>
                    <xdr:rowOff>38100</xdr:rowOff>
                  </from>
                  <to>
                    <xdr:col>7</xdr:col>
                    <xdr:colOff>355600</xdr:colOff>
                    <xdr:row>25</xdr:row>
                    <xdr:rowOff>260350</xdr:rowOff>
                  </to>
                </anchor>
              </controlPr>
            </control>
          </mc:Choice>
        </mc:AlternateContent>
        <mc:AlternateContent xmlns:mc="http://schemas.openxmlformats.org/markup-compatibility/2006">
          <mc:Choice Requires="x14">
            <control shapeId="225138" r:id="rId161" name="Check Box 882">
              <controlPr defaultSize="0" autoFill="0" autoLine="0" autoPict="0">
                <anchor moveWithCells="1">
                  <from>
                    <xdr:col>8</xdr:col>
                    <xdr:colOff>114300</xdr:colOff>
                    <xdr:row>19</xdr:row>
                    <xdr:rowOff>38100</xdr:rowOff>
                  </from>
                  <to>
                    <xdr:col>8</xdr:col>
                    <xdr:colOff>355600</xdr:colOff>
                    <xdr:row>19</xdr:row>
                    <xdr:rowOff>260350</xdr:rowOff>
                  </to>
                </anchor>
              </controlPr>
            </control>
          </mc:Choice>
        </mc:AlternateContent>
        <mc:AlternateContent xmlns:mc="http://schemas.openxmlformats.org/markup-compatibility/2006">
          <mc:Choice Requires="x14">
            <control shapeId="225139" r:id="rId162" name="Check Box 883">
              <controlPr defaultSize="0" autoFill="0" autoLine="0" autoPict="0">
                <anchor moveWithCells="1">
                  <from>
                    <xdr:col>8</xdr:col>
                    <xdr:colOff>114300</xdr:colOff>
                    <xdr:row>20</xdr:row>
                    <xdr:rowOff>38100</xdr:rowOff>
                  </from>
                  <to>
                    <xdr:col>8</xdr:col>
                    <xdr:colOff>355600</xdr:colOff>
                    <xdr:row>20</xdr:row>
                    <xdr:rowOff>260350</xdr:rowOff>
                  </to>
                </anchor>
              </controlPr>
            </control>
          </mc:Choice>
        </mc:AlternateContent>
        <mc:AlternateContent xmlns:mc="http://schemas.openxmlformats.org/markup-compatibility/2006">
          <mc:Choice Requires="x14">
            <control shapeId="225140" r:id="rId163" name="Check Box 884">
              <controlPr defaultSize="0" autoFill="0" autoLine="0" autoPict="0">
                <anchor moveWithCells="1">
                  <from>
                    <xdr:col>8</xdr:col>
                    <xdr:colOff>114300</xdr:colOff>
                    <xdr:row>21</xdr:row>
                    <xdr:rowOff>38100</xdr:rowOff>
                  </from>
                  <to>
                    <xdr:col>8</xdr:col>
                    <xdr:colOff>355600</xdr:colOff>
                    <xdr:row>21</xdr:row>
                    <xdr:rowOff>260350</xdr:rowOff>
                  </to>
                </anchor>
              </controlPr>
            </control>
          </mc:Choice>
        </mc:AlternateContent>
        <mc:AlternateContent xmlns:mc="http://schemas.openxmlformats.org/markup-compatibility/2006">
          <mc:Choice Requires="x14">
            <control shapeId="225141" r:id="rId164" name="Check Box 885">
              <controlPr defaultSize="0" autoFill="0" autoLine="0" autoPict="0">
                <anchor moveWithCells="1">
                  <from>
                    <xdr:col>8</xdr:col>
                    <xdr:colOff>114300</xdr:colOff>
                    <xdr:row>22</xdr:row>
                    <xdr:rowOff>38100</xdr:rowOff>
                  </from>
                  <to>
                    <xdr:col>8</xdr:col>
                    <xdr:colOff>355600</xdr:colOff>
                    <xdr:row>22</xdr:row>
                    <xdr:rowOff>260350</xdr:rowOff>
                  </to>
                </anchor>
              </controlPr>
            </control>
          </mc:Choice>
        </mc:AlternateContent>
        <mc:AlternateContent xmlns:mc="http://schemas.openxmlformats.org/markup-compatibility/2006">
          <mc:Choice Requires="x14">
            <control shapeId="225142" r:id="rId165" name="Check Box 886">
              <controlPr defaultSize="0" autoFill="0" autoLine="0" autoPict="0">
                <anchor moveWithCells="1">
                  <from>
                    <xdr:col>8</xdr:col>
                    <xdr:colOff>114300</xdr:colOff>
                    <xdr:row>23</xdr:row>
                    <xdr:rowOff>38100</xdr:rowOff>
                  </from>
                  <to>
                    <xdr:col>8</xdr:col>
                    <xdr:colOff>355600</xdr:colOff>
                    <xdr:row>23</xdr:row>
                    <xdr:rowOff>260350</xdr:rowOff>
                  </to>
                </anchor>
              </controlPr>
            </control>
          </mc:Choice>
        </mc:AlternateContent>
        <mc:AlternateContent xmlns:mc="http://schemas.openxmlformats.org/markup-compatibility/2006">
          <mc:Choice Requires="x14">
            <control shapeId="225143" r:id="rId166" name="Check Box 887">
              <controlPr defaultSize="0" autoFill="0" autoLine="0" autoPict="0">
                <anchor moveWithCells="1">
                  <from>
                    <xdr:col>8</xdr:col>
                    <xdr:colOff>114300</xdr:colOff>
                    <xdr:row>24</xdr:row>
                    <xdr:rowOff>38100</xdr:rowOff>
                  </from>
                  <to>
                    <xdr:col>8</xdr:col>
                    <xdr:colOff>355600</xdr:colOff>
                    <xdr:row>24</xdr:row>
                    <xdr:rowOff>260350</xdr:rowOff>
                  </to>
                </anchor>
              </controlPr>
            </control>
          </mc:Choice>
        </mc:AlternateContent>
        <mc:AlternateContent xmlns:mc="http://schemas.openxmlformats.org/markup-compatibility/2006">
          <mc:Choice Requires="x14">
            <control shapeId="225144" r:id="rId167" name="Check Box 888">
              <controlPr defaultSize="0" autoFill="0" autoLine="0" autoPict="0">
                <anchor moveWithCells="1">
                  <from>
                    <xdr:col>8</xdr:col>
                    <xdr:colOff>114300</xdr:colOff>
                    <xdr:row>25</xdr:row>
                    <xdr:rowOff>38100</xdr:rowOff>
                  </from>
                  <to>
                    <xdr:col>8</xdr:col>
                    <xdr:colOff>355600</xdr:colOff>
                    <xdr:row>25</xdr:row>
                    <xdr:rowOff>260350</xdr:rowOff>
                  </to>
                </anchor>
              </controlPr>
            </control>
          </mc:Choice>
        </mc:AlternateContent>
        <mc:AlternateContent xmlns:mc="http://schemas.openxmlformats.org/markup-compatibility/2006">
          <mc:Choice Requires="x14">
            <control shapeId="225145" r:id="rId168" name="Check Box 889">
              <controlPr defaultSize="0" autoFill="0" autoLine="0" autoPict="0">
                <anchor moveWithCells="1">
                  <from>
                    <xdr:col>9</xdr:col>
                    <xdr:colOff>114300</xdr:colOff>
                    <xdr:row>19</xdr:row>
                    <xdr:rowOff>38100</xdr:rowOff>
                  </from>
                  <to>
                    <xdr:col>9</xdr:col>
                    <xdr:colOff>355600</xdr:colOff>
                    <xdr:row>19</xdr:row>
                    <xdr:rowOff>260350</xdr:rowOff>
                  </to>
                </anchor>
              </controlPr>
            </control>
          </mc:Choice>
        </mc:AlternateContent>
        <mc:AlternateContent xmlns:mc="http://schemas.openxmlformats.org/markup-compatibility/2006">
          <mc:Choice Requires="x14">
            <control shapeId="225146" r:id="rId169" name="Check Box 890">
              <controlPr defaultSize="0" autoFill="0" autoLine="0" autoPict="0">
                <anchor moveWithCells="1">
                  <from>
                    <xdr:col>9</xdr:col>
                    <xdr:colOff>114300</xdr:colOff>
                    <xdr:row>20</xdr:row>
                    <xdr:rowOff>38100</xdr:rowOff>
                  </from>
                  <to>
                    <xdr:col>9</xdr:col>
                    <xdr:colOff>355600</xdr:colOff>
                    <xdr:row>20</xdr:row>
                    <xdr:rowOff>260350</xdr:rowOff>
                  </to>
                </anchor>
              </controlPr>
            </control>
          </mc:Choice>
        </mc:AlternateContent>
        <mc:AlternateContent xmlns:mc="http://schemas.openxmlformats.org/markup-compatibility/2006">
          <mc:Choice Requires="x14">
            <control shapeId="225147" r:id="rId170" name="Check Box 891">
              <controlPr defaultSize="0" autoFill="0" autoLine="0" autoPict="0">
                <anchor moveWithCells="1">
                  <from>
                    <xdr:col>9</xdr:col>
                    <xdr:colOff>114300</xdr:colOff>
                    <xdr:row>21</xdr:row>
                    <xdr:rowOff>38100</xdr:rowOff>
                  </from>
                  <to>
                    <xdr:col>9</xdr:col>
                    <xdr:colOff>355600</xdr:colOff>
                    <xdr:row>21</xdr:row>
                    <xdr:rowOff>260350</xdr:rowOff>
                  </to>
                </anchor>
              </controlPr>
            </control>
          </mc:Choice>
        </mc:AlternateContent>
        <mc:AlternateContent xmlns:mc="http://schemas.openxmlformats.org/markup-compatibility/2006">
          <mc:Choice Requires="x14">
            <control shapeId="225148" r:id="rId171" name="Check Box 892">
              <controlPr defaultSize="0" autoFill="0" autoLine="0" autoPict="0">
                <anchor moveWithCells="1">
                  <from>
                    <xdr:col>9</xdr:col>
                    <xdr:colOff>114300</xdr:colOff>
                    <xdr:row>22</xdr:row>
                    <xdr:rowOff>38100</xdr:rowOff>
                  </from>
                  <to>
                    <xdr:col>9</xdr:col>
                    <xdr:colOff>355600</xdr:colOff>
                    <xdr:row>22</xdr:row>
                    <xdr:rowOff>260350</xdr:rowOff>
                  </to>
                </anchor>
              </controlPr>
            </control>
          </mc:Choice>
        </mc:AlternateContent>
        <mc:AlternateContent xmlns:mc="http://schemas.openxmlformats.org/markup-compatibility/2006">
          <mc:Choice Requires="x14">
            <control shapeId="225149" r:id="rId172" name="Check Box 893">
              <controlPr defaultSize="0" autoFill="0" autoLine="0" autoPict="0">
                <anchor moveWithCells="1">
                  <from>
                    <xdr:col>9</xdr:col>
                    <xdr:colOff>114300</xdr:colOff>
                    <xdr:row>23</xdr:row>
                    <xdr:rowOff>38100</xdr:rowOff>
                  </from>
                  <to>
                    <xdr:col>9</xdr:col>
                    <xdr:colOff>355600</xdr:colOff>
                    <xdr:row>23</xdr:row>
                    <xdr:rowOff>260350</xdr:rowOff>
                  </to>
                </anchor>
              </controlPr>
            </control>
          </mc:Choice>
        </mc:AlternateContent>
        <mc:AlternateContent xmlns:mc="http://schemas.openxmlformats.org/markup-compatibility/2006">
          <mc:Choice Requires="x14">
            <control shapeId="225150" r:id="rId173" name="Check Box 894">
              <controlPr defaultSize="0" autoFill="0" autoLine="0" autoPict="0">
                <anchor moveWithCells="1">
                  <from>
                    <xdr:col>9</xdr:col>
                    <xdr:colOff>114300</xdr:colOff>
                    <xdr:row>24</xdr:row>
                    <xdr:rowOff>38100</xdr:rowOff>
                  </from>
                  <to>
                    <xdr:col>9</xdr:col>
                    <xdr:colOff>355600</xdr:colOff>
                    <xdr:row>24</xdr:row>
                    <xdr:rowOff>260350</xdr:rowOff>
                  </to>
                </anchor>
              </controlPr>
            </control>
          </mc:Choice>
        </mc:AlternateContent>
        <mc:AlternateContent xmlns:mc="http://schemas.openxmlformats.org/markup-compatibility/2006">
          <mc:Choice Requires="x14">
            <control shapeId="225151" r:id="rId174" name="Check Box 895">
              <controlPr defaultSize="0" autoFill="0" autoLine="0" autoPict="0">
                <anchor moveWithCells="1">
                  <from>
                    <xdr:col>9</xdr:col>
                    <xdr:colOff>114300</xdr:colOff>
                    <xdr:row>25</xdr:row>
                    <xdr:rowOff>38100</xdr:rowOff>
                  </from>
                  <to>
                    <xdr:col>9</xdr:col>
                    <xdr:colOff>355600</xdr:colOff>
                    <xdr:row>25</xdr:row>
                    <xdr:rowOff>260350</xdr:rowOff>
                  </to>
                </anchor>
              </controlPr>
            </control>
          </mc:Choice>
        </mc:AlternateContent>
        <mc:AlternateContent xmlns:mc="http://schemas.openxmlformats.org/markup-compatibility/2006">
          <mc:Choice Requires="x14">
            <control shapeId="225152" r:id="rId175" name="Check Box 896">
              <controlPr defaultSize="0" autoFill="0" autoLine="0" autoPict="0">
                <anchor moveWithCells="1">
                  <from>
                    <xdr:col>10</xdr:col>
                    <xdr:colOff>114300</xdr:colOff>
                    <xdr:row>19</xdr:row>
                    <xdr:rowOff>38100</xdr:rowOff>
                  </from>
                  <to>
                    <xdr:col>10</xdr:col>
                    <xdr:colOff>355600</xdr:colOff>
                    <xdr:row>19</xdr:row>
                    <xdr:rowOff>260350</xdr:rowOff>
                  </to>
                </anchor>
              </controlPr>
            </control>
          </mc:Choice>
        </mc:AlternateContent>
        <mc:AlternateContent xmlns:mc="http://schemas.openxmlformats.org/markup-compatibility/2006">
          <mc:Choice Requires="x14">
            <control shapeId="225153" r:id="rId176" name="Check Box 897">
              <controlPr defaultSize="0" autoFill="0" autoLine="0" autoPict="0">
                <anchor moveWithCells="1">
                  <from>
                    <xdr:col>10</xdr:col>
                    <xdr:colOff>114300</xdr:colOff>
                    <xdr:row>20</xdr:row>
                    <xdr:rowOff>38100</xdr:rowOff>
                  </from>
                  <to>
                    <xdr:col>10</xdr:col>
                    <xdr:colOff>355600</xdr:colOff>
                    <xdr:row>20</xdr:row>
                    <xdr:rowOff>260350</xdr:rowOff>
                  </to>
                </anchor>
              </controlPr>
            </control>
          </mc:Choice>
        </mc:AlternateContent>
        <mc:AlternateContent xmlns:mc="http://schemas.openxmlformats.org/markup-compatibility/2006">
          <mc:Choice Requires="x14">
            <control shapeId="225154" r:id="rId177" name="Check Box 898">
              <controlPr defaultSize="0" autoFill="0" autoLine="0" autoPict="0">
                <anchor moveWithCells="1">
                  <from>
                    <xdr:col>10</xdr:col>
                    <xdr:colOff>114300</xdr:colOff>
                    <xdr:row>21</xdr:row>
                    <xdr:rowOff>38100</xdr:rowOff>
                  </from>
                  <to>
                    <xdr:col>10</xdr:col>
                    <xdr:colOff>355600</xdr:colOff>
                    <xdr:row>21</xdr:row>
                    <xdr:rowOff>260350</xdr:rowOff>
                  </to>
                </anchor>
              </controlPr>
            </control>
          </mc:Choice>
        </mc:AlternateContent>
        <mc:AlternateContent xmlns:mc="http://schemas.openxmlformats.org/markup-compatibility/2006">
          <mc:Choice Requires="x14">
            <control shapeId="225155" r:id="rId178" name="Check Box 899">
              <controlPr defaultSize="0" autoFill="0" autoLine="0" autoPict="0">
                <anchor moveWithCells="1">
                  <from>
                    <xdr:col>10</xdr:col>
                    <xdr:colOff>114300</xdr:colOff>
                    <xdr:row>22</xdr:row>
                    <xdr:rowOff>38100</xdr:rowOff>
                  </from>
                  <to>
                    <xdr:col>10</xdr:col>
                    <xdr:colOff>355600</xdr:colOff>
                    <xdr:row>22</xdr:row>
                    <xdr:rowOff>260350</xdr:rowOff>
                  </to>
                </anchor>
              </controlPr>
            </control>
          </mc:Choice>
        </mc:AlternateContent>
        <mc:AlternateContent xmlns:mc="http://schemas.openxmlformats.org/markup-compatibility/2006">
          <mc:Choice Requires="x14">
            <control shapeId="225156" r:id="rId179" name="Check Box 900">
              <controlPr defaultSize="0" autoFill="0" autoLine="0" autoPict="0">
                <anchor moveWithCells="1">
                  <from>
                    <xdr:col>10</xdr:col>
                    <xdr:colOff>114300</xdr:colOff>
                    <xdr:row>23</xdr:row>
                    <xdr:rowOff>38100</xdr:rowOff>
                  </from>
                  <to>
                    <xdr:col>10</xdr:col>
                    <xdr:colOff>355600</xdr:colOff>
                    <xdr:row>23</xdr:row>
                    <xdr:rowOff>260350</xdr:rowOff>
                  </to>
                </anchor>
              </controlPr>
            </control>
          </mc:Choice>
        </mc:AlternateContent>
        <mc:AlternateContent xmlns:mc="http://schemas.openxmlformats.org/markup-compatibility/2006">
          <mc:Choice Requires="x14">
            <control shapeId="225157" r:id="rId180" name="Check Box 901">
              <controlPr defaultSize="0" autoFill="0" autoLine="0" autoPict="0">
                <anchor moveWithCells="1">
                  <from>
                    <xdr:col>10</xdr:col>
                    <xdr:colOff>114300</xdr:colOff>
                    <xdr:row>24</xdr:row>
                    <xdr:rowOff>38100</xdr:rowOff>
                  </from>
                  <to>
                    <xdr:col>10</xdr:col>
                    <xdr:colOff>355600</xdr:colOff>
                    <xdr:row>24</xdr:row>
                    <xdr:rowOff>260350</xdr:rowOff>
                  </to>
                </anchor>
              </controlPr>
            </control>
          </mc:Choice>
        </mc:AlternateContent>
        <mc:AlternateContent xmlns:mc="http://schemas.openxmlformats.org/markup-compatibility/2006">
          <mc:Choice Requires="x14">
            <control shapeId="225158" r:id="rId181" name="Check Box 902">
              <controlPr defaultSize="0" autoFill="0" autoLine="0" autoPict="0">
                <anchor moveWithCells="1">
                  <from>
                    <xdr:col>10</xdr:col>
                    <xdr:colOff>114300</xdr:colOff>
                    <xdr:row>25</xdr:row>
                    <xdr:rowOff>38100</xdr:rowOff>
                  </from>
                  <to>
                    <xdr:col>10</xdr:col>
                    <xdr:colOff>355600</xdr:colOff>
                    <xdr:row>25</xdr:row>
                    <xdr:rowOff>260350</xdr:rowOff>
                  </to>
                </anchor>
              </controlPr>
            </control>
          </mc:Choice>
        </mc:AlternateContent>
        <mc:AlternateContent xmlns:mc="http://schemas.openxmlformats.org/markup-compatibility/2006">
          <mc:Choice Requires="x14">
            <control shapeId="225159" r:id="rId182" name="Check Box 903">
              <controlPr defaultSize="0" autoFill="0" autoLine="0" autoPict="0">
                <anchor moveWithCells="1">
                  <from>
                    <xdr:col>11</xdr:col>
                    <xdr:colOff>114300</xdr:colOff>
                    <xdr:row>19</xdr:row>
                    <xdr:rowOff>38100</xdr:rowOff>
                  </from>
                  <to>
                    <xdr:col>11</xdr:col>
                    <xdr:colOff>355600</xdr:colOff>
                    <xdr:row>19</xdr:row>
                    <xdr:rowOff>260350</xdr:rowOff>
                  </to>
                </anchor>
              </controlPr>
            </control>
          </mc:Choice>
        </mc:AlternateContent>
        <mc:AlternateContent xmlns:mc="http://schemas.openxmlformats.org/markup-compatibility/2006">
          <mc:Choice Requires="x14">
            <control shapeId="225160" r:id="rId183" name="Check Box 904">
              <controlPr defaultSize="0" autoFill="0" autoLine="0" autoPict="0">
                <anchor moveWithCells="1">
                  <from>
                    <xdr:col>11</xdr:col>
                    <xdr:colOff>114300</xdr:colOff>
                    <xdr:row>20</xdr:row>
                    <xdr:rowOff>38100</xdr:rowOff>
                  </from>
                  <to>
                    <xdr:col>11</xdr:col>
                    <xdr:colOff>355600</xdr:colOff>
                    <xdr:row>20</xdr:row>
                    <xdr:rowOff>260350</xdr:rowOff>
                  </to>
                </anchor>
              </controlPr>
            </control>
          </mc:Choice>
        </mc:AlternateContent>
        <mc:AlternateContent xmlns:mc="http://schemas.openxmlformats.org/markup-compatibility/2006">
          <mc:Choice Requires="x14">
            <control shapeId="225161" r:id="rId184" name="Check Box 905">
              <controlPr defaultSize="0" autoFill="0" autoLine="0" autoPict="0">
                <anchor moveWithCells="1">
                  <from>
                    <xdr:col>11</xdr:col>
                    <xdr:colOff>114300</xdr:colOff>
                    <xdr:row>21</xdr:row>
                    <xdr:rowOff>38100</xdr:rowOff>
                  </from>
                  <to>
                    <xdr:col>11</xdr:col>
                    <xdr:colOff>355600</xdr:colOff>
                    <xdr:row>21</xdr:row>
                    <xdr:rowOff>260350</xdr:rowOff>
                  </to>
                </anchor>
              </controlPr>
            </control>
          </mc:Choice>
        </mc:AlternateContent>
        <mc:AlternateContent xmlns:mc="http://schemas.openxmlformats.org/markup-compatibility/2006">
          <mc:Choice Requires="x14">
            <control shapeId="225162" r:id="rId185" name="Check Box 906">
              <controlPr defaultSize="0" autoFill="0" autoLine="0" autoPict="0">
                <anchor moveWithCells="1">
                  <from>
                    <xdr:col>11</xdr:col>
                    <xdr:colOff>114300</xdr:colOff>
                    <xdr:row>22</xdr:row>
                    <xdr:rowOff>38100</xdr:rowOff>
                  </from>
                  <to>
                    <xdr:col>11</xdr:col>
                    <xdr:colOff>355600</xdr:colOff>
                    <xdr:row>22</xdr:row>
                    <xdr:rowOff>260350</xdr:rowOff>
                  </to>
                </anchor>
              </controlPr>
            </control>
          </mc:Choice>
        </mc:AlternateContent>
        <mc:AlternateContent xmlns:mc="http://schemas.openxmlformats.org/markup-compatibility/2006">
          <mc:Choice Requires="x14">
            <control shapeId="225163" r:id="rId186" name="Check Box 907">
              <controlPr defaultSize="0" autoFill="0" autoLine="0" autoPict="0">
                <anchor moveWithCells="1">
                  <from>
                    <xdr:col>11</xdr:col>
                    <xdr:colOff>114300</xdr:colOff>
                    <xdr:row>23</xdr:row>
                    <xdr:rowOff>38100</xdr:rowOff>
                  </from>
                  <to>
                    <xdr:col>11</xdr:col>
                    <xdr:colOff>355600</xdr:colOff>
                    <xdr:row>23</xdr:row>
                    <xdr:rowOff>260350</xdr:rowOff>
                  </to>
                </anchor>
              </controlPr>
            </control>
          </mc:Choice>
        </mc:AlternateContent>
        <mc:AlternateContent xmlns:mc="http://schemas.openxmlformats.org/markup-compatibility/2006">
          <mc:Choice Requires="x14">
            <control shapeId="225164" r:id="rId187" name="Check Box 908">
              <controlPr defaultSize="0" autoFill="0" autoLine="0" autoPict="0">
                <anchor moveWithCells="1">
                  <from>
                    <xdr:col>11</xdr:col>
                    <xdr:colOff>114300</xdr:colOff>
                    <xdr:row>24</xdr:row>
                    <xdr:rowOff>38100</xdr:rowOff>
                  </from>
                  <to>
                    <xdr:col>11</xdr:col>
                    <xdr:colOff>355600</xdr:colOff>
                    <xdr:row>24</xdr:row>
                    <xdr:rowOff>260350</xdr:rowOff>
                  </to>
                </anchor>
              </controlPr>
            </control>
          </mc:Choice>
        </mc:AlternateContent>
        <mc:AlternateContent xmlns:mc="http://schemas.openxmlformats.org/markup-compatibility/2006">
          <mc:Choice Requires="x14">
            <control shapeId="225165" r:id="rId188" name="Check Box 909">
              <controlPr defaultSize="0" autoFill="0" autoLine="0" autoPict="0">
                <anchor moveWithCells="1">
                  <from>
                    <xdr:col>11</xdr:col>
                    <xdr:colOff>114300</xdr:colOff>
                    <xdr:row>25</xdr:row>
                    <xdr:rowOff>38100</xdr:rowOff>
                  </from>
                  <to>
                    <xdr:col>11</xdr:col>
                    <xdr:colOff>355600</xdr:colOff>
                    <xdr:row>25</xdr:row>
                    <xdr:rowOff>260350</xdr:rowOff>
                  </to>
                </anchor>
              </controlPr>
            </control>
          </mc:Choice>
        </mc:AlternateContent>
        <mc:AlternateContent xmlns:mc="http://schemas.openxmlformats.org/markup-compatibility/2006">
          <mc:Choice Requires="x14">
            <control shapeId="225166" r:id="rId189" name="Check Box 910">
              <controlPr defaultSize="0" autoFill="0" autoLine="0" autoPict="0">
                <anchor moveWithCells="1">
                  <from>
                    <xdr:col>12</xdr:col>
                    <xdr:colOff>114300</xdr:colOff>
                    <xdr:row>19</xdr:row>
                    <xdr:rowOff>38100</xdr:rowOff>
                  </from>
                  <to>
                    <xdr:col>12</xdr:col>
                    <xdr:colOff>355600</xdr:colOff>
                    <xdr:row>19</xdr:row>
                    <xdr:rowOff>260350</xdr:rowOff>
                  </to>
                </anchor>
              </controlPr>
            </control>
          </mc:Choice>
        </mc:AlternateContent>
        <mc:AlternateContent xmlns:mc="http://schemas.openxmlformats.org/markup-compatibility/2006">
          <mc:Choice Requires="x14">
            <control shapeId="225167" r:id="rId190" name="Check Box 911">
              <controlPr defaultSize="0" autoFill="0" autoLine="0" autoPict="0">
                <anchor moveWithCells="1">
                  <from>
                    <xdr:col>12</xdr:col>
                    <xdr:colOff>114300</xdr:colOff>
                    <xdr:row>20</xdr:row>
                    <xdr:rowOff>38100</xdr:rowOff>
                  </from>
                  <to>
                    <xdr:col>12</xdr:col>
                    <xdr:colOff>355600</xdr:colOff>
                    <xdr:row>20</xdr:row>
                    <xdr:rowOff>260350</xdr:rowOff>
                  </to>
                </anchor>
              </controlPr>
            </control>
          </mc:Choice>
        </mc:AlternateContent>
        <mc:AlternateContent xmlns:mc="http://schemas.openxmlformats.org/markup-compatibility/2006">
          <mc:Choice Requires="x14">
            <control shapeId="225168" r:id="rId191" name="Check Box 912">
              <controlPr defaultSize="0" autoFill="0" autoLine="0" autoPict="0">
                <anchor moveWithCells="1">
                  <from>
                    <xdr:col>12</xdr:col>
                    <xdr:colOff>114300</xdr:colOff>
                    <xdr:row>21</xdr:row>
                    <xdr:rowOff>38100</xdr:rowOff>
                  </from>
                  <to>
                    <xdr:col>12</xdr:col>
                    <xdr:colOff>355600</xdr:colOff>
                    <xdr:row>21</xdr:row>
                    <xdr:rowOff>260350</xdr:rowOff>
                  </to>
                </anchor>
              </controlPr>
            </control>
          </mc:Choice>
        </mc:AlternateContent>
        <mc:AlternateContent xmlns:mc="http://schemas.openxmlformats.org/markup-compatibility/2006">
          <mc:Choice Requires="x14">
            <control shapeId="225169" r:id="rId192" name="Check Box 913">
              <controlPr defaultSize="0" autoFill="0" autoLine="0" autoPict="0">
                <anchor moveWithCells="1">
                  <from>
                    <xdr:col>12</xdr:col>
                    <xdr:colOff>114300</xdr:colOff>
                    <xdr:row>22</xdr:row>
                    <xdr:rowOff>38100</xdr:rowOff>
                  </from>
                  <to>
                    <xdr:col>12</xdr:col>
                    <xdr:colOff>355600</xdr:colOff>
                    <xdr:row>22</xdr:row>
                    <xdr:rowOff>260350</xdr:rowOff>
                  </to>
                </anchor>
              </controlPr>
            </control>
          </mc:Choice>
        </mc:AlternateContent>
        <mc:AlternateContent xmlns:mc="http://schemas.openxmlformats.org/markup-compatibility/2006">
          <mc:Choice Requires="x14">
            <control shapeId="225170" r:id="rId193" name="Check Box 914">
              <controlPr defaultSize="0" autoFill="0" autoLine="0" autoPict="0">
                <anchor moveWithCells="1">
                  <from>
                    <xdr:col>12</xdr:col>
                    <xdr:colOff>114300</xdr:colOff>
                    <xdr:row>23</xdr:row>
                    <xdr:rowOff>38100</xdr:rowOff>
                  </from>
                  <to>
                    <xdr:col>12</xdr:col>
                    <xdr:colOff>355600</xdr:colOff>
                    <xdr:row>23</xdr:row>
                    <xdr:rowOff>260350</xdr:rowOff>
                  </to>
                </anchor>
              </controlPr>
            </control>
          </mc:Choice>
        </mc:AlternateContent>
        <mc:AlternateContent xmlns:mc="http://schemas.openxmlformats.org/markup-compatibility/2006">
          <mc:Choice Requires="x14">
            <control shapeId="225171" r:id="rId194" name="Check Box 915">
              <controlPr defaultSize="0" autoFill="0" autoLine="0" autoPict="0">
                <anchor moveWithCells="1">
                  <from>
                    <xdr:col>12</xdr:col>
                    <xdr:colOff>114300</xdr:colOff>
                    <xdr:row>24</xdr:row>
                    <xdr:rowOff>38100</xdr:rowOff>
                  </from>
                  <to>
                    <xdr:col>12</xdr:col>
                    <xdr:colOff>355600</xdr:colOff>
                    <xdr:row>24</xdr:row>
                    <xdr:rowOff>260350</xdr:rowOff>
                  </to>
                </anchor>
              </controlPr>
            </control>
          </mc:Choice>
        </mc:AlternateContent>
        <mc:AlternateContent xmlns:mc="http://schemas.openxmlformats.org/markup-compatibility/2006">
          <mc:Choice Requires="x14">
            <control shapeId="225172" r:id="rId195" name="Check Box 916">
              <controlPr defaultSize="0" autoFill="0" autoLine="0" autoPict="0">
                <anchor moveWithCells="1">
                  <from>
                    <xdr:col>12</xdr:col>
                    <xdr:colOff>114300</xdr:colOff>
                    <xdr:row>25</xdr:row>
                    <xdr:rowOff>38100</xdr:rowOff>
                  </from>
                  <to>
                    <xdr:col>12</xdr:col>
                    <xdr:colOff>355600</xdr:colOff>
                    <xdr:row>25</xdr:row>
                    <xdr:rowOff>260350</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pageSetUpPr fitToPage="1"/>
  </sheetPr>
  <dimension ref="B1:AO61"/>
  <sheetViews>
    <sheetView showGridLines="0" topLeftCell="A49" zoomScaleNormal="100" zoomScaleSheetLayoutView="100" workbookViewId="0">
      <selection activeCell="AC51" sqref="AC51:AE52"/>
    </sheetView>
  </sheetViews>
  <sheetFormatPr defaultColWidth="8" defaultRowHeight="15.5"/>
  <cols>
    <col min="1" max="1" width="2.08203125" style="1434" customWidth="1"/>
    <col min="2" max="3" width="3.58203125" style="1434" customWidth="1"/>
    <col min="4" max="38" width="3.58203125" style="1444" customWidth="1"/>
    <col min="39" max="41" width="3.58203125" style="1434" customWidth="1"/>
    <col min="42" max="42" width="2.08203125" style="1434" customWidth="1"/>
    <col min="43" max="174" width="3.58203125" style="1434" customWidth="1"/>
    <col min="175" max="16384" width="8" style="1434"/>
  </cols>
  <sheetData>
    <row r="1" spans="4:41" ht="12" customHeight="1"/>
    <row r="2" spans="4:41" ht="17" thickBot="1">
      <c r="D2" s="1467" t="s">
        <v>1818</v>
      </c>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row>
    <row r="3" spans="4:41" ht="5.15" customHeight="1">
      <c r="D3" s="1582"/>
      <c r="E3" s="1583"/>
      <c r="F3" s="1583"/>
      <c r="G3" s="1583"/>
      <c r="H3" s="1583"/>
      <c r="I3" s="1583"/>
      <c r="J3" s="1583"/>
      <c r="K3" s="1583"/>
      <c r="L3" s="1583"/>
      <c r="M3" s="1583"/>
      <c r="N3" s="1583"/>
      <c r="O3" s="1583"/>
      <c r="P3" s="1583"/>
      <c r="Q3" s="1583"/>
      <c r="R3" s="1583"/>
      <c r="S3" s="1583"/>
      <c r="T3" s="1583"/>
      <c r="U3" s="1583"/>
      <c r="V3" s="1583"/>
      <c r="W3" s="1583"/>
      <c r="X3" s="1583"/>
      <c r="Y3" s="1583"/>
      <c r="Z3" s="1583"/>
      <c r="AA3" s="1583"/>
      <c r="AB3" s="1583"/>
      <c r="AC3" s="1583"/>
      <c r="AD3" s="1583"/>
      <c r="AE3" s="1583"/>
      <c r="AF3" s="1583"/>
      <c r="AG3" s="1583"/>
      <c r="AH3" s="1583"/>
      <c r="AI3" s="1583"/>
      <c r="AJ3" s="1583"/>
      <c r="AK3" s="1583"/>
      <c r="AL3" s="1583"/>
      <c r="AM3" s="1584"/>
      <c r="AN3" s="1466"/>
      <c r="AO3" s="1466"/>
    </row>
    <row r="4" spans="4:41" ht="15.65" customHeight="1">
      <c r="D4" s="1577"/>
      <c r="E4" s="1450" t="s">
        <v>151</v>
      </c>
      <c r="F4" s="1578" t="s">
        <v>1705</v>
      </c>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45"/>
      <c r="AL4" s="1445"/>
      <c r="AM4" s="1579"/>
      <c r="AN4" s="1445"/>
      <c r="AO4" s="1445"/>
    </row>
    <row r="5" spans="4:41" ht="5.15" customHeight="1" thickBot="1">
      <c r="D5" s="1580"/>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581"/>
      <c r="AN5" s="1466"/>
      <c r="AO5" s="1466"/>
    </row>
    <row r="6" spans="4:41" s="1444" customFormat="1" ht="30.65" customHeight="1" thickTop="1" thickBot="1">
      <c r="D6" s="1580"/>
      <c r="E6" s="1585"/>
      <c r="F6" s="3710" t="s">
        <v>758</v>
      </c>
      <c r="G6" s="3711"/>
      <c r="H6" s="3711"/>
      <c r="I6" s="3711"/>
      <c r="J6" s="3711"/>
      <c r="K6" s="3713"/>
      <c r="L6" s="3711" t="s">
        <v>759</v>
      </c>
      <c r="M6" s="3711"/>
      <c r="N6" s="3711"/>
      <c r="O6" s="3711"/>
      <c r="P6" s="3711"/>
      <c r="Q6" s="3714"/>
      <c r="R6" s="1585"/>
      <c r="S6" s="1585"/>
      <c r="T6" s="1585"/>
      <c r="U6" s="1585"/>
      <c r="V6" s="1585"/>
      <c r="W6" s="1585"/>
      <c r="X6" s="1585"/>
      <c r="Y6" s="1585"/>
      <c r="Z6" s="1585"/>
      <c r="AA6" s="1585"/>
      <c r="AB6" s="1585"/>
      <c r="AC6" s="1585"/>
      <c r="AD6" s="1585"/>
      <c r="AE6" s="1585"/>
      <c r="AF6" s="1585"/>
      <c r="AG6" s="1585"/>
      <c r="AH6" s="1585"/>
      <c r="AI6" s="1585"/>
      <c r="AJ6" s="1585"/>
      <c r="AK6" s="1585"/>
      <c r="AL6" s="1585"/>
      <c r="AM6" s="1586"/>
      <c r="AN6" s="1585"/>
      <c r="AO6" s="1585"/>
    </row>
    <row r="7" spans="4:41" s="1444" customFormat="1" ht="19.5" customHeight="1" thickBot="1">
      <c r="D7" s="1574"/>
      <c r="E7" s="1575"/>
      <c r="F7" s="3715" t="s">
        <v>15</v>
      </c>
      <c r="G7" s="3716"/>
      <c r="H7" s="3717"/>
      <c r="I7" s="3720" t="s">
        <v>16</v>
      </c>
      <c r="J7" s="3716"/>
      <c r="K7" s="3719"/>
      <c r="L7" s="3716" t="s">
        <v>15</v>
      </c>
      <c r="M7" s="3716"/>
      <c r="N7" s="3717"/>
      <c r="O7" s="3720" t="s">
        <v>16</v>
      </c>
      <c r="P7" s="3716"/>
      <c r="Q7" s="3721"/>
      <c r="AM7" s="1576"/>
    </row>
    <row r="8" spans="4:41" s="1444" customFormat="1" ht="25" customHeight="1" thickTop="1" thickBot="1">
      <c r="D8" s="1574"/>
      <c r="E8" s="1575"/>
      <c r="F8" s="3741">
        <v>0</v>
      </c>
      <c r="G8" s="3742"/>
      <c r="H8" s="3746"/>
      <c r="I8" s="3783">
        <v>0</v>
      </c>
      <c r="J8" s="3768"/>
      <c r="K8" s="3784"/>
      <c r="L8" s="3742">
        <v>0</v>
      </c>
      <c r="M8" s="3742"/>
      <c r="N8" s="3746"/>
      <c r="O8" s="3783">
        <v>0</v>
      </c>
      <c r="P8" s="3768"/>
      <c r="Q8" s="3785"/>
      <c r="AM8" s="1576"/>
    </row>
    <row r="9" spans="4:41" s="1444" customFormat="1" ht="10" customHeight="1" thickTop="1">
      <c r="D9" s="1574"/>
      <c r="E9" s="1575"/>
      <c r="F9" s="1575"/>
      <c r="G9" s="647"/>
      <c r="AM9" s="1576"/>
    </row>
    <row r="10" spans="4:41" ht="15.65" customHeight="1">
      <c r="D10" s="1577"/>
      <c r="E10" s="1450" t="s">
        <v>152</v>
      </c>
      <c r="F10" s="1578" t="s">
        <v>1819</v>
      </c>
      <c r="G10" s="1452"/>
      <c r="H10" s="1452"/>
      <c r="I10" s="1452"/>
      <c r="J10" s="1452"/>
      <c r="K10" s="1452"/>
      <c r="L10" s="1452"/>
      <c r="M10" s="1452"/>
      <c r="N10" s="1452"/>
      <c r="O10" s="1452"/>
      <c r="P10" s="1452"/>
      <c r="Q10" s="1452"/>
      <c r="R10" s="1452"/>
      <c r="S10" s="1452"/>
      <c r="T10" s="1452"/>
      <c r="U10" s="1452"/>
      <c r="V10" s="1452"/>
      <c r="W10" s="1452"/>
      <c r="X10" s="1452"/>
      <c r="Y10" s="1452"/>
      <c r="Z10" s="1452"/>
      <c r="AA10" s="1452"/>
      <c r="AB10" s="1452"/>
      <c r="AC10" s="1452"/>
      <c r="AD10" s="1452"/>
      <c r="AE10" s="1452"/>
      <c r="AF10" s="1452"/>
      <c r="AG10" s="1452"/>
      <c r="AH10" s="1452"/>
      <c r="AI10" s="1452"/>
      <c r="AJ10" s="1452"/>
      <c r="AK10" s="1445"/>
      <c r="AL10" s="1445"/>
      <c r="AM10" s="1579"/>
      <c r="AN10" s="1445"/>
      <c r="AO10" s="1445"/>
    </row>
    <row r="11" spans="4:41" ht="5.15" customHeight="1" thickBot="1">
      <c r="D11" s="1580"/>
      <c r="E11" s="1466"/>
      <c r="F11" s="1466"/>
      <c r="G11" s="1466"/>
      <c r="H11" s="1466"/>
      <c r="I11" s="1466"/>
      <c r="J11" s="1466"/>
      <c r="K11" s="1466"/>
      <c r="L11" s="1466"/>
      <c r="M11" s="1466"/>
      <c r="N11" s="1466"/>
      <c r="O11" s="1466"/>
      <c r="P11" s="1466"/>
      <c r="Q11" s="1466"/>
      <c r="R11" s="1466"/>
      <c r="S11" s="1466"/>
      <c r="T11" s="1466"/>
      <c r="U11" s="1466"/>
      <c r="V11" s="1466"/>
      <c r="W11" s="1466"/>
      <c r="X11" s="1466"/>
      <c r="Y11" s="1466"/>
      <c r="Z11" s="1466"/>
      <c r="AA11" s="1466"/>
      <c r="AB11" s="1466"/>
      <c r="AC11" s="1466"/>
      <c r="AD11" s="1466"/>
      <c r="AE11" s="1466"/>
      <c r="AF11" s="1466"/>
      <c r="AG11" s="1466"/>
      <c r="AH11" s="1466"/>
      <c r="AI11" s="1466"/>
      <c r="AJ11" s="1466"/>
      <c r="AK11" s="1466"/>
      <c r="AL11" s="1466"/>
      <c r="AM11" s="1581"/>
      <c r="AN11" s="1466"/>
      <c r="AO11" s="1466"/>
    </row>
    <row r="12" spans="4:41" s="1444" customFormat="1" ht="33.65" customHeight="1" thickTop="1" thickBot="1">
      <c r="D12" s="1574"/>
      <c r="E12" s="1575"/>
      <c r="F12" s="3710" t="s">
        <v>341</v>
      </c>
      <c r="G12" s="3711"/>
      <c r="H12" s="3711"/>
      <c r="I12" s="3711"/>
      <c r="J12" s="3711"/>
      <c r="K12" s="4206" t="s">
        <v>854</v>
      </c>
      <c r="L12" s="4207"/>
      <c r="M12" s="4207"/>
      <c r="N12" s="4207"/>
      <c r="O12" s="4208"/>
      <c r="P12" s="4209" t="s">
        <v>206</v>
      </c>
      <c r="Q12" s="4207"/>
      <c r="R12" s="4207"/>
      <c r="S12" s="4207"/>
      <c r="T12" s="4210"/>
      <c r="U12" s="4206" t="s">
        <v>1543</v>
      </c>
      <c r="V12" s="4207"/>
      <c r="W12" s="4207"/>
      <c r="X12" s="4207"/>
      <c r="Y12" s="4208"/>
      <c r="Z12" s="3711" t="s">
        <v>1544</v>
      </c>
      <c r="AA12" s="3711"/>
      <c r="AB12" s="3711"/>
      <c r="AC12" s="3711"/>
      <c r="AD12" s="3714"/>
      <c r="AM12" s="1576"/>
    </row>
    <row r="13" spans="4:41" s="1444" customFormat="1" ht="30" customHeight="1" thickTop="1" thickBot="1">
      <c r="D13" s="1574"/>
      <c r="E13" s="1575"/>
      <c r="F13" s="4225">
        <v>976</v>
      </c>
      <c r="G13" s="4226"/>
      <c r="H13" s="4226"/>
      <c r="I13" s="4226"/>
      <c r="J13" s="4226"/>
      <c r="K13" s="4227">
        <v>346</v>
      </c>
      <c r="L13" s="4228"/>
      <c r="M13" s="4228"/>
      <c r="N13" s="4228"/>
      <c r="O13" s="4229"/>
      <c r="P13" s="4230">
        <v>0</v>
      </c>
      <c r="Q13" s="4228"/>
      <c r="R13" s="4228"/>
      <c r="S13" s="4228"/>
      <c r="T13" s="4231"/>
      <c r="U13" s="4227">
        <v>0</v>
      </c>
      <c r="V13" s="4228"/>
      <c r="W13" s="4228"/>
      <c r="X13" s="4228"/>
      <c r="Y13" s="4229"/>
      <c r="Z13" s="4226">
        <v>0</v>
      </c>
      <c r="AA13" s="4226"/>
      <c r="AB13" s="4226"/>
      <c r="AC13" s="4226"/>
      <c r="AD13" s="4232"/>
      <c r="AM13" s="1576"/>
    </row>
    <row r="14" spans="4:41" s="1444" customFormat="1" ht="10" customHeight="1" thickTop="1">
      <c r="D14" s="1574"/>
      <c r="E14" s="1575"/>
      <c r="F14" s="1575"/>
      <c r="G14" s="647"/>
      <c r="AM14" s="1576"/>
    </row>
    <row r="15" spans="4:41" ht="15.65" customHeight="1">
      <c r="D15" s="1577"/>
      <c r="E15" s="1450" t="s">
        <v>153</v>
      </c>
      <c r="F15" s="1705" t="s">
        <v>11738</v>
      </c>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C15" s="1452"/>
      <c r="AD15" s="1452"/>
      <c r="AE15" s="1452"/>
      <c r="AF15" s="1452"/>
      <c r="AG15" s="1452"/>
      <c r="AH15" s="1452"/>
      <c r="AI15" s="1452"/>
      <c r="AJ15" s="1452"/>
      <c r="AK15" s="1445"/>
      <c r="AL15" s="1445"/>
      <c r="AM15" s="1579"/>
      <c r="AN15" s="1445"/>
      <c r="AO15" s="1445"/>
    </row>
    <row r="16" spans="4:41" ht="5.15" customHeight="1" thickBot="1">
      <c r="D16" s="1580"/>
      <c r="E16" s="1466"/>
      <c r="F16" s="1466"/>
      <c r="G16" s="1466"/>
      <c r="H16" s="1466"/>
      <c r="I16" s="1466"/>
      <c r="J16" s="1466"/>
      <c r="K16" s="1466"/>
      <c r="L16" s="1466"/>
      <c r="M16" s="1466"/>
      <c r="N16" s="1466"/>
      <c r="O16" s="1466"/>
      <c r="P16" s="1466"/>
      <c r="Q16" s="1466"/>
      <c r="R16" s="1466"/>
      <c r="S16" s="1466"/>
      <c r="T16" s="1466"/>
      <c r="U16" s="1466"/>
      <c r="V16" s="1466"/>
      <c r="W16" s="1466"/>
      <c r="X16" s="1466"/>
      <c r="Y16" s="1466"/>
      <c r="Z16" s="1466"/>
      <c r="AA16" s="1466"/>
      <c r="AB16" s="1466"/>
      <c r="AC16" s="1466"/>
      <c r="AD16" s="1466"/>
      <c r="AE16" s="1466"/>
      <c r="AF16" s="1466"/>
      <c r="AG16" s="1466"/>
      <c r="AH16" s="1466"/>
      <c r="AI16" s="1466"/>
      <c r="AJ16" s="1466"/>
      <c r="AK16" s="1466"/>
      <c r="AL16" s="1466"/>
      <c r="AM16" s="1581"/>
      <c r="AN16" s="1466"/>
      <c r="AO16" s="1466"/>
    </row>
    <row r="17" spans="4:39" s="1236" customFormat="1" ht="33" customHeight="1" thickTop="1" thickBot="1">
      <c r="D17" s="1556"/>
      <c r="F17" s="4211" t="s">
        <v>1823</v>
      </c>
      <c r="G17" s="4212"/>
      <c r="H17" s="4212"/>
      <c r="I17" s="4212"/>
      <c r="J17" s="4212"/>
      <c r="K17" s="4212"/>
      <c r="L17" s="4212"/>
      <c r="M17" s="4212"/>
      <c r="N17" s="4212"/>
      <c r="O17" s="4212"/>
      <c r="P17" s="4212"/>
      <c r="Q17" s="4212"/>
      <c r="R17" s="4212"/>
      <c r="S17" s="4212"/>
      <c r="T17" s="4212"/>
      <c r="U17" s="4212"/>
      <c r="V17" s="4212"/>
      <c r="W17" s="4212"/>
      <c r="X17" s="4212"/>
      <c r="Y17" s="4213"/>
      <c r="Z17" s="4217" t="s">
        <v>758</v>
      </c>
      <c r="AA17" s="4218"/>
      <c r="AB17" s="4218"/>
      <c r="AC17" s="4218"/>
      <c r="AD17" s="4218"/>
      <c r="AE17" s="4218"/>
      <c r="AF17" s="4219" t="s">
        <v>759</v>
      </c>
      <c r="AG17" s="4218"/>
      <c r="AH17" s="4218"/>
      <c r="AI17" s="4218"/>
      <c r="AJ17" s="4218"/>
      <c r="AK17" s="4220"/>
      <c r="AM17" s="1555"/>
    </row>
    <row r="18" spans="4:39" s="1236" customFormat="1" ht="19.5" customHeight="1" thickBot="1">
      <c r="D18" s="1556"/>
      <c r="F18" s="4214"/>
      <c r="G18" s="4215"/>
      <c r="H18" s="4215"/>
      <c r="I18" s="4215"/>
      <c r="J18" s="4215"/>
      <c r="K18" s="4215"/>
      <c r="L18" s="4215"/>
      <c r="M18" s="4215"/>
      <c r="N18" s="4215"/>
      <c r="O18" s="4215"/>
      <c r="P18" s="4215"/>
      <c r="Q18" s="4215"/>
      <c r="R18" s="4215"/>
      <c r="S18" s="4215"/>
      <c r="T18" s="4215"/>
      <c r="U18" s="4215"/>
      <c r="V18" s="4215"/>
      <c r="W18" s="4215"/>
      <c r="X18" s="4215"/>
      <c r="Y18" s="4216"/>
      <c r="Z18" s="4005" t="s">
        <v>15</v>
      </c>
      <c r="AA18" s="4005"/>
      <c r="AB18" s="4221"/>
      <c r="AC18" s="4222" t="s">
        <v>16</v>
      </c>
      <c r="AD18" s="4005"/>
      <c r="AE18" s="4223"/>
      <c r="AF18" s="4224" t="s">
        <v>15</v>
      </c>
      <c r="AG18" s="4005"/>
      <c r="AH18" s="4221"/>
      <c r="AI18" s="4222" t="s">
        <v>16</v>
      </c>
      <c r="AJ18" s="4005"/>
      <c r="AK18" s="4006"/>
      <c r="AM18" s="1555"/>
    </row>
    <row r="19" spans="4:39" s="1236" customFormat="1" ht="19.5" customHeight="1" thickTop="1" thickBot="1">
      <c r="D19" s="1556"/>
      <c r="F19" s="1568" t="s">
        <v>1825</v>
      </c>
      <c r="G19" s="1569"/>
      <c r="H19" s="1569"/>
      <c r="I19" s="1569"/>
      <c r="J19" s="1569"/>
      <c r="K19" s="1569"/>
      <c r="L19" s="1569"/>
      <c r="M19" s="1569"/>
      <c r="N19" s="1569"/>
      <c r="O19" s="1569"/>
      <c r="P19" s="1569"/>
      <c r="Q19" s="1569"/>
      <c r="R19" s="1569"/>
      <c r="S19" s="1569"/>
      <c r="T19" s="1569"/>
      <c r="U19" s="1569"/>
      <c r="V19" s="1569"/>
      <c r="W19" s="1569"/>
      <c r="X19" s="1569"/>
      <c r="Y19" s="1570"/>
      <c r="Z19" s="62"/>
      <c r="AA19" s="63"/>
      <c r="AB19" s="63"/>
      <c r="AC19" s="63"/>
      <c r="AD19" s="63"/>
      <c r="AE19" s="63"/>
      <c r="AF19" s="63"/>
      <c r="AG19" s="63"/>
      <c r="AH19" s="63"/>
      <c r="AI19" s="63"/>
      <c r="AJ19" s="63"/>
      <c r="AK19" s="64"/>
      <c r="AM19" s="1555"/>
    </row>
    <row r="20" spans="4:39" s="1236" customFormat="1" ht="22.5" customHeight="1">
      <c r="D20" s="1556"/>
      <c r="F20" s="1562"/>
      <c r="G20" s="4233" t="s">
        <v>689</v>
      </c>
      <c r="H20" s="4233"/>
      <c r="I20" s="4233"/>
      <c r="J20" s="4233"/>
      <c r="K20" s="4233"/>
      <c r="L20" s="4233"/>
      <c r="M20" s="4233"/>
      <c r="N20" s="4233"/>
      <c r="O20" s="4233"/>
      <c r="P20" s="4233"/>
      <c r="Q20" s="4233"/>
      <c r="R20" s="4233"/>
      <c r="S20" s="4233"/>
      <c r="T20" s="4233"/>
      <c r="U20" s="4233"/>
      <c r="V20" s="4233"/>
      <c r="W20" s="4233"/>
      <c r="X20" s="4233"/>
      <c r="Y20" s="1563"/>
      <c r="Z20" s="4061">
        <v>0</v>
      </c>
      <c r="AA20" s="4061"/>
      <c r="AB20" s="4062"/>
      <c r="AC20" s="4067">
        <v>0</v>
      </c>
      <c r="AD20" s="4061"/>
      <c r="AE20" s="4068"/>
      <c r="AF20" s="4071">
        <v>0</v>
      </c>
      <c r="AG20" s="4061"/>
      <c r="AH20" s="4062"/>
      <c r="AI20" s="4067">
        <v>0</v>
      </c>
      <c r="AJ20" s="4061"/>
      <c r="AK20" s="4074"/>
      <c r="AM20" s="1555"/>
    </row>
    <row r="21" spans="4:39" s="1236" customFormat="1" ht="22.5" customHeight="1">
      <c r="D21" s="1556"/>
      <c r="F21" s="1564"/>
      <c r="G21" s="4234" t="s">
        <v>655</v>
      </c>
      <c r="H21" s="4234"/>
      <c r="I21" s="4234"/>
      <c r="J21" s="4234"/>
      <c r="K21" s="4234"/>
      <c r="L21" s="4234"/>
      <c r="M21" s="4234"/>
      <c r="N21" s="4234"/>
      <c r="O21" s="4234"/>
      <c r="P21" s="4234"/>
      <c r="Q21" s="4234"/>
      <c r="R21" s="4234"/>
      <c r="S21" s="4234"/>
      <c r="T21" s="4234"/>
      <c r="U21" s="4234"/>
      <c r="V21" s="4234"/>
      <c r="W21" s="4234"/>
      <c r="X21" s="4234"/>
      <c r="Y21" s="1565"/>
      <c r="Z21" s="4235">
        <v>0</v>
      </c>
      <c r="AA21" s="4235"/>
      <c r="AB21" s="4236"/>
      <c r="AC21" s="4237">
        <v>0</v>
      </c>
      <c r="AD21" s="4235"/>
      <c r="AE21" s="4238"/>
      <c r="AF21" s="4239">
        <v>0</v>
      </c>
      <c r="AG21" s="4235"/>
      <c r="AH21" s="4236"/>
      <c r="AI21" s="4237">
        <v>0</v>
      </c>
      <c r="AJ21" s="4235"/>
      <c r="AK21" s="4240"/>
      <c r="AM21" s="1555"/>
    </row>
    <row r="22" spans="4:39" s="1236" customFormat="1" ht="22.5" customHeight="1">
      <c r="D22" s="1556"/>
      <c r="F22" s="1566"/>
      <c r="G22" s="4234" t="s">
        <v>656</v>
      </c>
      <c r="H22" s="4234"/>
      <c r="I22" s="4234"/>
      <c r="J22" s="4234"/>
      <c r="K22" s="4234"/>
      <c r="L22" s="4234"/>
      <c r="M22" s="4234"/>
      <c r="N22" s="4234"/>
      <c r="O22" s="4234"/>
      <c r="P22" s="4234"/>
      <c r="Q22" s="4234"/>
      <c r="R22" s="4234"/>
      <c r="S22" s="4234"/>
      <c r="T22" s="4234"/>
      <c r="U22" s="4234"/>
      <c r="V22" s="4234"/>
      <c r="W22" s="4234"/>
      <c r="X22" s="4234"/>
      <c r="Y22" s="1567"/>
      <c r="Z22" s="4061">
        <v>0</v>
      </c>
      <c r="AA22" s="4061"/>
      <c r="AB22" s="4062"/>
      <c r="AC22" s="4067">
        <v>0</v>
      </c>
      <c r="AD22" s="4061"/>
      <c r="AE22" s="4068"/>
      <c r="AF22" s="4071">
        <v>0</v>
      </c>
      <c r="AG22" s="4061"/>
      <c r="AH22" s="4062"/>
      <c r="AI22" s="4067">
        <v>0</v>
      </c>
      <c r="AJ22" s="4061"/>
      <c r="AK22" s="4074"/>
      <c r="AM22" s="1555"/>
    </row>
    <row r="23" spans="4:39" s="1236" customFormat="1" ht="22.5" customHeight="1">
      <c r="D23" s="1556"/>
      <c r="F23" s="1564"/>
      <c r="G23" s="4241" t="s">
        <v>1706</v>
      </c>
      <c r="H23" s="4241"/>
      <c r="I23" s="4241"/>
      <c r="J23" s="4241"/>
      <c r="K23" s="4241"/>
      <c r="L23" s="4241"/>
      <c r="M23" s="4241"/>
      <c r="N23" s="4241"/>
      <c r="O23" s="4241"/>
      <c r="P23" s="4241"/>
      <c r="Q23" s="4241"/>
      <c r="R23" s="4241"/>
      <c r="S23" s="4241"/>
      <c r="T23" s="4241"/>
      <c r="U23" s="4241"/>
      <c r="V23" s="4241"/>
      <c r="W23" s="4241"/>
      <c r="X23" s="4241"/>
      <c r="Y23" s="1565"/>
      <c r="Z23" s="4235">
        <v>0</v>
      </c>
      <c r="AA23" s="4235"/>
      <c r="AB23" s="4236"/>
      <c r="AC23" s="4237">
        <v>0</v>
      </c>
      <c r="AD23" s="4235"/>
      <c r="AE23" s="4238"/>
      <c r="AF23" s="4239">
        <v>0</v>
      </c>
      <c r="AG23" s="4235"/>
      <c r="AH23" s="4236"/>
      <c r="AI23" s="4237">
        <v>0</v>
      </c>
      <c r="AJ23" s="4235"/>
      <c r="AK23" s="4240"/>
      <c r="AM23" s="1555"/>
    </row>
    <row r="24" spans="4:39" s="1236" customFormat="1" ht="22.5" customHeight="1">
      <c r="D24" s="1556"/>
      <c r="F24" s="1564"/>
      <c r="G24" s="4241" t="s">
        <v>1707</v>
      </c>
      <c r="H24" s="4241"/>
      <c r="I24" s="4241"/>
      <c r="J24" s="4241"/>
      <c r="K24" s="4241"/>
      <c r="L24" s="4241"/>
      <c r="M24" s="4241"/>
      <c r="N24" s="4241"/>
      <c r="O24" s="4241"/>
      <c r="P24" s="4241"/>
      <c r="Q24" s="4241"/>
      <c r="R24" s="4241"/>
      <c r="S24" s="4241"/>
      <c r="T24" s="4241"/>
      <c r="U24" s="4241"/>
      <c r="V24" s="4241"/>
      <c r="W24" s="4241"/>
      <c r="X24" s="4241"/>
      <c r="Y24" s="1565"/>
      <c r="Z24" s="4061">
        <v>0</v>
      </c>
      <c r="AA24" s="4061"/>
      <c r="AB24" s="4062"/>
      <c r="AC24" s="4067">
        <v>0</v>
      </c>
      <c r="AD24" s="4061"/>
      <c r="AE24" s="4068"/>
      <c r="AF24" s="4071">
        <v>0</v>
      </c>
      <c r="AG24" s="4061"/>
      <c r="AH24" s="4062"/>
      <c r="AI24" s="4067">
        <v>0</v>
      </c>
      <c r="AJ24" s="4061"/>
      <c r="AK24" s="4074"/>
      <c r="AM24" s="1555"/>
    </row>
    <row r="25" spans="4:39" s="1236" customFormat="1" ht="22.5" customHeight="1">
      <c r="D25" s="1556"/>
      <c r="F25" s="1564"/>
      <c r="G25" s="4241" t="s">
        <v>1708</v>
      </c>
      <c r="H25" s="4241"/>
      <c r="I25" s="4241"/>
      <c r="J25" s="4241"/>
      <c r="K25" s="4241"/>
      <c r="L25" s="4241"/>
      <c r="M25" s="4241"/>
      <c r="N25" s="4241"/>
      <c r="O25" s="4241"/>
      <c r="P25" s="4241"/>
      <c r="Q25" s="4241"/>
      <c r="R25" s="4241"/>
      <c r="S25" s="4241"/>
      <c r="T25" s="4241"/>
      <c r="U25" s="4241"/>
      <c r="V25" s="4241"/>
      <c r="W25" s="4241"/>
      <c r="X25" s="4241"/>
      <c r="Y25" s="1565"/>
      <c r="Z25" s="4235">
        <v>0</v>
      </c>
      <c r="AA25" s="4235"/>
      <c r="AB25" s="4236"/>
      <c r="AC25" s="4237">
        <v>0</v>
      </c>
      <c r="AD25" s="4235"/>
      <c r="AE25" s="4238"/>
      <c r="AF25" s="4239">
        <v>0</v>
      </c>
      <c r="AG25" s="4235"/>
      <c r="AH25" s="4236"/>
      <c r="AI25" s="4237">
        <v>0</v>
      </c>
      <c r="AJ25" s="4235"/>
      <c r="AK25" s="4240"/>
      <c r="AM25" s="1555"/>
    </row>
    <row r="26" spans="4:39" s="1236" customFormat="1" ht="22.5" customHeight="1">
      <c r="D26" s="1556"/>
      <c r="F26" s="1564"/>
      <c r="G26" s="4241" t="s">
        <v>1709</v>
      </c>
      <c r="H26" s="4241"/>
      <c r="I26" s="4241"/>
      <c r="J26" s="4241"/>
      <c r="K26" s="4241"/>
      <c r="L26" s="4241"/>
      <c r="M26" s="4241"/>
      <c r="N26" s="4241"/>
      <c r="O26" s="4241"/>
      <c r="P26" s="4241"/>
      <c r="Q26" s="4241"/>
      <c r="R26" s="4241"/>
      <c r="S26" s="4241"/>
      <c r="T26" s="4241"/>
      <c r="U26" s="4241"/>
      <c r="V26" s="4241"/>
      <c r="W26" s="4241"/>
      <c r="X26" s="4241"/>
      <c r="Y26" s="1565"/>
      <c r="Z26" s="4061">
        <v>0</v>
      </c>
      <c r="AA26" s="4061"/>
      <c r="AB26" s="4062"/>
      <c r="AC26" s="4067">
        <v>0</v>
      </c>
      <c r="AD26" s="4061"/>
      <c r="AE26" s="4068"/>
      <c r="AF26" s="4071">
        <v>0</v>
      </c>
      <c r="AG26" s="4061"/>
      <c r="AH26" s="4062"/>
      <c r="AI26" s="4067">
        <v>0</v>
      </c>
      <c r="AJ26" s="4061"/>
      <c r="AK26" s="4074"/>
      <c r="AM26" s="1555"/>
    </row>
    <row r="27" spans="4:39" s="1236" customFormat="1" ht="36.65" customHeight="1">
      <c r="D27" s="1556"/>
      <c r="F27" s="1564"/>
      <c r="G27" s="4234" t="s">
        <v>1710</v>
      </c>
      <c r="H27" s="4234"/>
      <c r="I27" s="4234"/>
      <c r="J27" s="4234"/>
      <c r="K27" s="4234"/>
      <c r="L27" s="4234"/>
      <c r="M27" s="4234"/>
      <c r="N27" s="4234"/>
      <c r="O27" s="4234"/>
      <c r="P27" s="4234"/>
      <c r="Q27" s="4234"/>
      <c r="R27" s="4234"/>
      <c r="S27" s="4234"/>
      <c r="T27" s="4234"/>
      <c r="U27" s="4234"/>
      <c r="V27" s="4234"/>
      <c r="W27" s="4234"/>
      <c r="X27" s="4234"/>
      <c r="Y27" s="1565"/>
      <c r="Z27" s="4235">
        <v>0</v>
      </c>
      <c r="AA27" s="4235"/>
      <c r="AB27" s="4236"/>
      <c r="AC27" s="4237">
        <v>0</v>
      </c>
      <c r="AD27" s="4235"/>
      <c r="AE27" s="4238"/>
      <c r="AF27" s="4239">
        <v>0</v>
      </c>
      <c r="AG27" s="4235"/>
      <c r="AH27" s="4236"/>
      <c r="AI27" s="4237">
        <v>0</v>
      </c>
      <c r="AJ27" s="4235"/>
      <c r="AK27" s="4240"/>
      <c r="AM27" s="1555"/>
    </row>
    <row r="28" spans="4:39" s="1236" customFormat="1" ht="22.5" customHeight="1">
      <c r="D28" s="1556"/>
      <c r="F28" s="1560"/>
      <c r="G28" s="1561" t="s">
        <v>1944</v>
      </c>
      <c r="H28" s="1561"/>
      <c r="I28" s="1561"/>
      <c r="J28" s="1561"/>
      <c r="K28" s="4235"/>
      <c r="L28" s="4235"/>
      <c r="M28" s="4235"/>
      <c r="N28" s="4235"/>
      <c r="O28" s="4235"/>
      <c r="P28" s="4235"/>
      <c r="Q28" s="4235"/>
      <c r="R28" s="4235"/>
      <c r="S28" s="4235"/>
      <c r="T28" s="4235"/>
      <c r="U28" s="4235"/>
      <c r="V28" s="4235"/>
      <c r="W28" s="4235"/>
      <c r="X28" s="4235"/>
      <c r="Y28" s="1559"/>
      <c r="Z28" s="4055"/>
      <c r="AA28" s="4055"/>
      <c r="AB28" s="4056"/>
      <c r="AC28" s="4063"/>
      <c r="AD28" s="4055"/>
      <c r="AE28" s="4064"/>
      <c r="AF28" s="4069"/>
      <c r="AG28" s="4055"/>
      <c r="AH28" s="4056"/>
      <c r="AI28" s="4063"/>
      <c r="AJ28" s="4055"/>
      <c r="AK28" s="4072"/>
      <c r="AM28" s="1555"/>
    </row>
    <row r="29" spans="4:39" s="1236" customFormat="1" ht="15" customHeight="1" thickBot="1">
      <c r="D29" s="1556"/>
      <c r="F29" s="1571"/>
      <c r="G29" s="1572"/>
      <c r="H29" s="1572"/>
      <c r="I29" s="1572"/>
      <c r="J29" s="1572"/>
      <c r="K29" s="4248" t="str">
        <f>IF(AND(ISBLANK(number_stakeholder_drrm_others_specify), SUM(Z28:AK29)&gt;0), "Please specify", IF(AND(number_stakeholder_drrm_others_specify&gt;0, SUM(Z28:AK29)=0), "Please provide details.", ""))</f>
        <v/>
      </c>
      <c r="L29" s="4248"/>
      <c r="M29" s="4248"/>
      <c r="N29" s="4248"/>
      <c r="O29" s="4248"/>
      <c r="P29" s="4248"/>
      <c r="Q29" s="4248"/>
      <c r="R29" s="4248"/>
      <c r="S29" s="4248"/>
      <c r="T29" s="4248"/>
      <c r="U29" s="4248"/>
      <c r="V29" s="4248"/>
      <c r="W29" s="4248"/>
      <c r="X29" s="4248"/>
      <c r="Y29" s="1573"/>
      <c r="Z29" s="4242"/>
      <c r="AA29" s="4242"/>
      <c r="AB29" s="4243"/>
      <c r="AC29" s="4244"/>
      <c r="AD29" s="4242"/>
      <c r="AE29" s="4245"/>
      <c r="AF29" s="4246"/>
      <c r="AG29" s="4242"/>
      <c r="AH29" s="4243"/>
      <c r="AI29" s="4244"/>
      <c r="AJ29" s="4242"/>
      <c r="AK29" s="4247"/>
      <c r="AM29" s="1555"/>
    </row>
    <row r="30" spans="4:39" s="1236" customFormat="1" ht="19.5" customHeight="1" thickTop="1" thickBot="1">
      <c r="D30" s="1556"/>
      <c r="F30" s="1568" t="s">
        <v>1827</v>
      </c>
      <c r="G30" s="1569"/>
      <c r="H30" s="1569"/>
      <c r="I30" s="1569"/>
      <c r="J30" s="1569"/>
      <c r="K30" s="1569"/>
      <c r="L30" s="1569"/>
      <c r="M30" s="1569"/>
      <c r="N30" s="1569"/>
      <c r="O30" s="1569"/>
      <c r="P30" s="1569"/>
      <c r="Q30" s="1569"/>
      <c r="R30" s="1569"/>
      <c r="S30" s="1569"/>
      <c r="T30" s="1569"/>
      <c r="U30" s="1569"/>
      <c r="V30" s="1569"/>
      <c r="W30" s="1569"/>
      <c r="X30" s="1569"/>
      <c r="Y30" s="1570"/>
      <c r="Z30" s="62"/>
      <c r="AA30" s="63"/>
      <c r="AB30" s="63"/>
      <c r="AC30" s="63"/>
      <c r="AD30" s="63"/>
      <c r="AE30" s="63"/>
      <c r="AF30" s="63"/>
      <c r="AG30" s="63"/>
      <c r="AH30" s="63"/>
      <c r="AI30" s="63"/>
      <c r="AJ30" s="63"/>
      <c r="AK30" s="64"/>
      <c r="AM30" s="1555"/>
    </row>
    <row r="31" spans="4:39" s="1236" customFormat="1" ht="22.5" customHeight="1">
      <c r="D31" s="1556"/>
      <c r="F31" s="1562"/>
      <c r="G31" s="4249" t="s">
        <v>1711</v>
      </c>
      <c r="H31" s="4249"/>
      <c r="I31" s="4249"/>
      <c r="J31" s="4249"/>
      <c r="K31" s="4249"/>
      <c r="L31" s="4249"/>
      <c r="M31" s="4249"/>
      <c r="N31" s="4249"/>
      <c r="O31" s="4249"/>
      <c r="P31" s="4249"/>
      <c r="Q31" s="4249"/>
      <c r="R31" s="4249"/>
      <c r="S31" s="4249"/>
      <c r="T31" s="4249"/>
      <c r="U31" s="4249"/>
      <c r="V31" s="4249"/>
      <c r="W31" s="4249"/>
      <c r="X31" s="4249"/>
      <c r="Y31" s="1563"/>
      <c r="Z31" s="4061">
        <v>0</v>
      </c>
      <c r="AA31" s="4061"/>
      <c r="AB31" s="4062"/>
      <c r="AC31" s="4067">
        <v>0</v>
      </c>
      <c r="AD31" s="4061"/>
      <c r="AE31" s="4068"/>
      <c r="AF31" s="4071">
        <v>0</v>
      </c>
      <c r="AG31" s="4061"/>
      <c r="AH31" s="4062"/>
      <c r="AI31" s="4067">
        <v>0</v>
      </c>
      <c r="AJ31" s="4061"/>
      <c r="AK31" s="4074"/>
      <c r="AM31" s="1555"/>
    </row>
    <row r="32" spans="4:39" s="1236" customFormat="1" ht="22.5" customHeight="1">
      <c r="D32" s="1556"/>
      <c r="F32" s="1564"/>
      <c r="G32" s="4241" t="s">
        <v>1712</v>
      </c>
      <c r="H32" s="4241"/>
      <c r="I32" s="4241"/>
      <c r="J32" s="4241"/>
      <c r="K32" s="4241"/>
      <c r="L32" s="4241"/>
      <c r="M32" s="4241"/>
      <c r="N32" s="4241"/>
      <c r="O32" s="4241"/>
      <c r="P32" s="4241"/>
      <c r="Q32" s="4241"/>
      <c r="R32" s="4241"/>
      <c r="S32" s="4241"/>
      <c r="T32" s="4241"/>
      <c r="U32" s="4241"/>
      <c r="V32" s="4241"/>
      <c r="W32" s="4241"/>
      <c r="X32" s="4241"/>
      <c r="Y32" s="1565"/>
      <c r="Z32" s="4235">
        <v>0</v>
      </c>
      <c r="AA32" s="4235"/>
      <c r="AB32" s="4236"/>
      <c r="AC32" s="4237">
        <v>0</v>
      </c>
      <c r="AD32" s="4235"/>
      <c r="AE32" s="4238"/>
      <c r="AF32" s="4239">
        <v>0</v>
      </c>
      <c r="AG32" s="4235"/>
      <c r="AH32" s="4236"/>
      <c r="AI32" s="4237">
        <v>0</v>
      </c>
      <c r="AJ32" s="4235"/>
      <c r="AK32" s="4240"/>
      <c r="AM32" s="1555"/>
    </row>
    <row r="33" spans="4:39" s="1236" customFormat="1" ht="22.5" customHeight="1">
      <c r="D33" s="1556"/>
      <c r="F33" s="1566"/>
      <c r="G33" s="4241" t="s">
        <v>1713</v>
      </c>
      <c r="H33" s="4241"/>
      <c r="I33" s="4241"/>
      <c r="J33" s="4241"/>
      <c r="K33" s="4241"/>
      <c r="L33" s="4241"/>
      <c r="M33" s="4241"/>
      <c r="N33" s="4241"/>
      <c r="O33" s="4241"/>
      <c r="P33" s="4241"/>
      <c r="Q33" s="4241"/>
      <c r="R33" s="4241"/>
      <c r="S33" s="4241"/>
      <c r="T33" s="4241"/>
      <c r="U33" s="4241"/>
      <c r="V33" s="4241"/>
      <c r="W33" s="4241"/>
      <c r="X33" s="4241"/>
      <c r="Y33" s="1567"/>
      <c r="Z33" s="4061">
        <v>0</v>
      </c>
      <c r="AA33" s="4061"/>
      <c r="AB33" s="4062"/>
      <c r="AC33" s="4067">
        <v>0</v>
      </c>
      <c r="AD33" s="4061"/>
      <c r="AE33" s="4068"/>
      <c r="AF33" s="4071">
        <v>0</v>
      </c>
      <c r="AG33" s="4061"/>
      <c r="AH33" s="4062"/>
      <c r="AI33" s="4067">
        <v>0</v>
      </c>
      <c r="AJ33" s="4061"/>
      <c r="AK33" s="4074"/>
      <c r="AM33" s="1555"/>
    </row>
    <row r="34" spans="4:39" s="1236" customFormat="1" ht="22.5" customHeight="1">
      <c r="D34" s="1556"/>
      <c r="F34" s="1564"/>
      <c r="G34" s="4241" t="s">
        <v>1714</v>
      </c>
      <c r="H34" s="4241"/>
      <c r="I34" s="4241"/>
      <c r="J34" s="4241"/>
      <c r="K34" s="4241"/>
      <c r="L34" s="4241"/>
      <c r="M34" s="4241"/>
      <c r="N34" s="4241"/>
      <c r="O34" s="4241"/>
      <c r="P34" s="4241"/>
      <c r="Q34" s="4241"/>
      <c r="R34" s="4241"/>
      <c r="S34" s="4241"/>
      <c r="T34" s="4241"/>
      <c r="U34" s="4241"/>
      <c r="V34" s="4241"/>
      <c r="W34" s="4241"/>
      <c r="X34" s="4241"/>
      <c r="Y34" s="1565"/>
      <c r="Z34" s="4235">
        <v>0</v>
      </c>
      <c r="AA34" s="4235"/>
      <c r="AB34" s="4236"/>
      <c r="AC34" s="4237">
        <v>0</v>
      </c>
      <c r="AD34" s="4235"/>
      <c r="AE34" s="4238"/>
      <c r="AF34" s="4239">
        <v>0</v>
      </c>
      <c r="AG34" s="4235"/>
      <c r="AH34" s="4236"/>
      <c r="AI34" s="4237">
        <v>0</v>
      </c>
      <c r="AJ34" s="4235"/>
      <c r="AK34" s="4240"/>
      <c r="AM34" s="1555"/>
    </row>
    <row r="35" spans="4:39" s="1236" customFormat="1" ht="22.5" customHeight="1">
      <c r="D35" s="1556"/>
      <c r="F35" s="1564"/>
      <c r="G35" s="4241" t="s">
        <v>1715</v>
      </c>
      <c r="H35" s="4241"/>
      <c r="I35" s="4241"/>
      <c r="J35" s="4241"/>
      <c r="K35" s="4241"/>
      <c r="L35" s="4241"/>
      <c r="M35" s="4241"/>
      <c r="N35" s="4241"/>
      <c r="O35" s="4241"/>
      <c r="P35" s="4241"/>
      <c r="Q35" s="4241"/>
      <c r="R35" s="4241"/>
      <c r="S35" s="4241"/>
      <c r="T35" s="4241"/>
      <c r="U35" s="4241"/>
      <c r="V35" s="4241"/>
      <c r="W35" s="4241"/>
      <c r="X35" s="4241"/>
      <c r="Y35" s="1565"/>
      <c r="Z35" s="4061">
        <v>0</v>
      </c>
      <c r="AA35" s="4061"/>
      <c r="AB35" s="4062"/>
      <c r="AC35" s="4067">
        <v>0</v>
      </c>
      <c r="AD35" s="4061"/>
      <c r="AE35" s="4068"/>
      <c r="AF35" s="4071">
        <v>0</v>
      </c>
      <c r="AG35" s="4061"/>
      <c r="AH35" s="4062"/>
      <c r="AI35" s="4067">
        <v>0</v>
      </c>
      <c r="AJ35" s="4061"/>
      <c r="AK35" s="4074"/>
      <c r="AM35" s="1555"/>
    </row>
    <row r="36" spans="4:39" s="1236" customFormat="1" ht="22.5" customHeight="1">
      <c r="D36" s="1556"/>
      <c r="F36" s="1564"/>
      <c r="G36" s="4241" t="s">
        <v>688</v>
      </c>
      <c r="H36" s="4241"/>
      <c r="I36" s="4241"/>
      <c r="J36" s="4241"/>
      <c r="K36" s="4241"/>
      <c r="L36" s="4241"/>
      <c r="M36" s="4241"/>
      <c r="N36" s="4241"/>
      <c r="O36" s="4241"/>
      <c r="P36" s="4241"/>
      <c r="Q36" s="4241"/>
      <c r="R36" s="4241"/>
      <c r="S36" s="4241"/>
      <c r="T36" s="4241"/>
      <c r="U36" s="4241"/>
      <c r="V36" s="4241"/>
      <c r="W36" s="4241"/>
      <c r="X36" s="4241"/>
      <c r="Y36" s="1565"/>
      <c r="Z36" s="4235">
        <v>0</v>
      </c>
      <c r="AA36" s="4235"/>
      <c r="AB36" s="4236"/>
      <c r="AC36" s="4237">
        <v>0</v>
      </c>
      <c r="AD36" s="4235"/>
      <c r="AE36" s="4238"/>
      <c r="AF36" s="4239">
        <v>0</v>
      </c>
      <c r="AG36" s="4235"/>
      <c r="AH36" s="4236"/>
      <c r="AI36" s="4237">
        <v>0</v>
      </c>
      <c r="AJ36" s="4235"/>
      <c r="AK36" s="4240"/>
      <c r="AM36" s="1555"/>
    </row>
    <row r="37" spans="4:39" s="1236" customFormat="1" ht="22.5" customHeight="1">
      <c r="D37" s="1556"/>
      <c r="F37" s="1564"/>
      <c r="G37" s="4241" t="s">
        <v>1716</v>
      </c>
      <c r="H37" s="4241"/>
      <c r="I37" s="4241"/>
      <c r="J37" s="4241"/>
      <c r="K37" s="4241"/>
      <c r="L37" s="4241"/>
      <c r="M37" s="4241"/>
      <c r="N37" s="4241"/>
      <c r="O37" s="4241"/>
      <c r="P37" s="4241"/>
      <c r="Q37" s="4241"/>
      <c r="R37" s="4241"/>
      <c r="S37" s="4241"/>
      <c r="T37" s="4241"/>
      <c r="U37" s="4241"/>
      <c r="V37" s="4241"/>
      <c r="W37" s="4241"/>
      <c r="X37" s="4241"/>
      <c r="Y37" s="1565"/>
      <c r="Z37" s="4061">
        <v>0</v>
      </c>
      <c r="AA37" s="4061"/>
      <c r="AB37" s="4062"/>
      <c r="AC37" s="4067">
        <v>0</v>
      </c>
      <c r="AD37" s="4061"/>
      <c r="AE37" s="4068"/>
      <c r="AF37" s="4071">
        <v>0</v>
      </c>
      <c r="AG37" s="4061"/>
      <c r="AH37" s="4062"/>
      <c r="AI37" s="4067">
        <v>0</v>
      </c>
      <c r="AJ37" s="4061"/>
      <c r="AK37" s="4074"/>
      <c r="AM37" s="1555"/>
    </row>
    <row r="38" spans="4:39" s="1236" customFormat="1" ht="22.5" customHeight="1">
      <c r="D38" s="1556"/>
      <c r="F38" s="1564"/>
      <c r="G38" s="4241" t="s">
        <v>1717</v>
      </c>
      <c r="H38" s="4241"/>
      <c r="I38" s="4241"/>
      <c r="J38" s="4241"/>
      <c r="K38" s="4241"/>
      <c r="L38" s="4241"/>
      <c r="M38" s="4241"/>
      <c r="N38" s="4241"/>
      <c r="O38" s="4241"/>
      <c r="P38" s="4241"/>
      <c r="Q38" s="4241"/>
      <c r="R38" s="4241"/>
      <c r="S38" s="4241"/>
      <c r="T38" s="4241"/>
      <c r="U38" s="4241"/>
      <c r="V38" s="4241"/>
      <c r="W38" s="4241"/>
      <c r="X38" s="4241"/>
      <c r="Y38" s="1565"/>
      <c r="Z38" s="4235">
        <v>0</v>
      </c>
      <c r="AA38" s="4235"/>
      <c r="AB38" s="4236"/>
      <c r="AC38" s="4237">
        <v>0</v>
      </c>
      <c r="AD38" s="4235"/>
      <c r="AE38" s="4238"/>
      <c r="AF38" s="4239">
        <v>0</v>
      </c>
      <c r="AG38" s="4235"/>
      <c r="AH38" s="4236"/>
      <c r="AI38" s="4237">
        <v>0</v>
      </c>
      <c r="AJ38" s="4235"/>
      <c r="AK38" s="4240"/>
      <c r="AM38" s="1555"/>
    </row>
    <row r="39" spans="4:39" s="1236" customFormat="1" ht="22.5" customHeight="1">
      <c r="D39" s="1556"/>
      <c r="F39" s="1564"/>
      <c r="G39" s="4241" t="s">
        <v>687</v>
      </c>
      <c r="H39" s="4241"/>
      <c r="I39" s="4241"/>
      <c r="J39" s="4241"/>
      <c r="K39" s="4241"/>
      <c r="L39" s="4241"/>
      <c r="M39" s="4241"/>
      <c r="N39" s="4241"/>
      <c r="O39" s="4241"/>
      <c r="P39" s="4241"/>
      <c r="Q39" s="4241"/>
      <c r="R39" s="4241"/>
      <c r="S39" s="4241"/>
      <c r="T39" s="4241"/>
      <c r="U39" s="4241"/>
      <c r="V39" s="4241"/>
      <c r="W39" s="4241"/>
      <c r="X39" s="4241"/>
      <c r="Y39" s="1565"/>
      <c r="Z39" s="4061">
        <v>0</v>
      </c>
      <c r="AA39" s="4061"/>
      <c r="AB39" s="4062"/>
      <c r="AC39" s="4067">
        <v>0</v>
      </c>
      <c r="AD39" s="4061"/>
      <c r="AE39" s="4068"/>
      <c r="AF39" s="4071">
        <v>0</v>
      </c>
      <c r="AG39" s="4061"/>
      <c r="AH39" s="4062"/>
      <c r="AI39" s="4067">
        <v>0</v>
      </c>
      <c r="AJ39" s="4061"/>
      <c r="AK39" s="4074"/>
      <c r="AM39" s="1555"/>
    </row>
    <row r="40" spans="4:39" s="1236" customFormat="1" ht="22.5" customHeight="1">
      <c r="D40" s="1556"/>
      <c r="F40" s="1564"/>
      <c r="G40" s="4241" t="s">
        <v>686</v>
      </c>
      <c r="H40" s="4241"/>
      <c r="I40" s="4241"/>
      <c r="J40" s="4241"/>
      <c r="K40" s="4241"/>
      <c r="L40" s="4241"/>
      <c r="M40" s="4241"/>
      <c r="N40" s="4241"/>
      <c r="O40" s="4241"/>
      <c r="P40" s="4241"/>
      <c r="Q40" s="4241"/>
      <c r="R40" s="4241"/>
      <c r="S40" s="4241"/>
      <c r="T40" s="4241"/>
      <c r="U40" s="4241"/>
      <c r="V40" s="4241"/>
      <c r="W40" s="4241"/>
      <c r="X40" s="4241"/>
      <c r="Y40" s="1565"/>
      <c r="Z40" s="4235">
        <v>0</v>
      </c>
      <c r="AA40" s="4235"/>
      <c r="AB40" s="4236"/>
      <c r="AC40" s="4237">
        <v>0</v>
      </c>
      <c r="AD40" s="4235"/>
      <c r="AE40" s="4238"/>
      <c r="AF40" s="4239">
        <v>0</v>
      </c>
      <c r="AG40" s="4235"/>
      <c r="AH40" s="4236"/>
      <c r="AI40" s="4237">
        <v>0</v>
      </c>
      <c r="AJ40" s="4235"/>
      <c r="AK40" s="4240"/>
      <c r="AM40" s="1555"/>
    </row>
    <row r="41" spans="4:39" s="1236" customFormat="1" ht="22.5" customHeight="1">
      <c r="D41" s="1556"/>
      <c r="F41" s="1564"/>
      <c r="G41" s="4241" t="s">
        <v>685</v>
      </c>
      <c r="H41" s="4241"/>
      <c r="I41" s="4241"/>
      <c r="J41" s="4241"/>
      <c r="K41" s="4241"/>
      <c r="L41" s="4241"/>
      <c r="M41" s="4241"/>
      <c r="N41" s="4241"/>
      <c r="O41" s="4241"/>
      <c r="P41" s="4241"/>
      <c r="Q41" s="4241"/>
      <c r="R41" s="4241"/>
      <c r="S41" s="4241"/>
      <c r="T41" s="4241"/>
      <c r="U41" s="4241"/>
      <c r="V41" s="4241"/>
      <c r="W41" s="4241"/>
      <c r="X41" s="4241"/>
      <c r="Y41" s="1565"/>
      <c r="Z41" s="4061">
        <v>0</v>
      </c>
      <c r="AA41" s="4061"/>
      <c r="AB41" s="4062"/>
      <c r="AC41" s="4067">
        <v>0</v>
      </c>
      <c r="AD41" s="4061"/>
      <c r="AE41" s="4068"/>
      <c r="AF41" s="4071">
        <v>0</v>
      </c>
      <c r="AG41" s="4061"/>
      <c r="AH41" s="4062"/>
      <c r="AI41" s="4067">
        <v>0</v>
      </c>
      <c r="AJ41" s="4061"/>
      <c r="AK41" s="4074"/>
      <c r="AM41" s="1555"/>
    </row>
    <row r="42" spans="4:39" s="1236" customFormat="1" ht="22.5" customHeight="1">
      <c r="D42" s="1556"/>
      <c r="F42" s="1564"/>
      <c r="G42" s="4241" t="s">
        <v>1718</v>
      </c>
      <c r="H42" s="4241"/>
      <c r="I42" s="4241"/>
      <c r="J42" s="4241"/>
      <c r="K42" s="4241"/>
      <c r="L42" s="4241"/>
      <c r="M42" s="4241"/>
      <c r="N42" s="4241"/>
      <c r="O42" s="4241"/>
      <c r="P42" s="4241"/>
      <c r="Q42" s="4241"/>
      <c r="R42" s="4241"/>
      <c r="S42" s="4241"/>
      <c r="T42" s="4241"/>
      <c r="U42" s="4241"/>
      <c r="V42" s="4241"/>
      <c r="W42" s="4241"/>
      <c r="X42" s="4241"/>
      <c r="Y42" s="1565"/>
      <c r="Z42" s="4235">
        <v>0</v>
      </c>
      <c r="AA42" s="4235"/>
      <c r="AB42" s="4236"/>
      <c r="AC42" s="4237">
        <v>0</v>
      </c>
      <c r="AD42" s="4235"/>
      <c r="AE42" s="4238"/>
      <c r="AF42" s="4239">
        <v>0</v>
      </c>
      <c r="AG42" s="4235"/>
      <c r="AH42" s="4236"/>
      <c r="AI42" s="4237">
        <v>0</v>
      </c>
      <c r="AJ42" s="4235"/>
      <c r="AK42" s="4240"/>
      <c r="AM42" s="1555"/>
    </row>
    <row r="43" spans="4:39" s="1236" customFormat="1" ht="22.5" customHeight="1">
      <c r="D43" s="1556"/>
      <c r="F43" s="1564"/>
      <c r="G43" s="4241" t="s">
        <v>1719</v>
      </c>
      <c r="H43" s="4241"/>
      <c r="I43" s="4241"/>
      <c r="J43" s="4241"/>
      <c r="K43" s="4241"/>
      <c r="L43" s="4241"/>
      <c r="M43" s="4241"/>
      <c r="N43" s="4241"/>
      <c r="O43" s="4241"/>
      <c r="P43" s="4241"/>
      <c r="Q43" s="4241"/>
      <c r="R43" s="4241"/>
      <c r="S43" s="4241"/>
      <c r="T43" s="4241"/>
      <c r="U43" s="4241"/>
      <c r="V43" s="4241"/>
      <c r="W43" s="4241"/>
      <c r="X43" s="4241"/>
      <c r="Y43" s="1565"/>
      <c r="Z43" s="4061">
        <v>0</v>
      </c>
      <c r="AA43" s="4061"/>
      <c r="AB43" s="4062"/>
      <c r="AC43" s="4067">
        <v>0</v>
      </c>
      <c r="AD43" s="4061"/>
      <c r="AE43" s="4068"/>
      <c r="AF43" s="4071">
        <v>0</v>
      </c>
      <c r="AG43" s="4061"/>
      <c r="AH43" s="4062"/>
      <c r="AI43" s="4067">
        <v>0</v>
      </c>
      <c r="AJ43" s="4061"/>
      <c r="AK43" s="4074"/>
      <c r="AM43" s="1555"/>
    </row>
    <row r="44" spans="4:39" s="1236" customFormat="1" ht="22.5" customHeight="1">
      <c r="D44" s="1556"/>
      <c r="F44" s="1560"/>
      <c r="G44" s="1561" t="s">
        <v>1944</v>
      </c>
      <c r="H44" s="1561"/>
      <c r="I44" s="1561"/>
      <c r="J44" s="1561"/>
      <c r="K44" s="4235"/>
      <c r="L44" s="4235"/>
      <c r="M44" s="4235"/>
      <c r="N44" s="4235"/>
      <c r="O44" s="4235"/>
      <c r="P44" s="4235"/>
      <c r="Q44" s="4235"/>
      <c r="R44" s="4235"/>
      <c r="S44" s="4235"/>
      <c r="T44" s="4235"/>
      <c r="U44" s="4235"/>
      <c r="V44" s="4235"/>
      <c r="W44" s="4235"/>
      <c r="X44" s="4235"/>
      <c r="Y44" s="1559"/>
      <c r="Z44" s="4055"/>
      <c r="AA44" s="4055"/>
      <c r="AB44" s="4056"/>
      <c r="AC44" s="4063"/>
      <c r="AD44" s="4055"/>
      <c r="AE44" s="4064"/>
      <c r="AF44" s="4069"/>
      <c r="AG44" s="4055"/>
      <c r="AH44" s="4056"/>
      <c r="AI44" s="4063"/>
      <c r="AJ44" s="4055"/>
      <c r="AK44" s="4072"/>
      <c r="AM44" s="1555"/>
    </row>
    <row r="45" spans="4:39" s="1236" customFormat="1" ht="15" customHeight="1" thickBot="1">
      <c r="D45" s="1556"/>
      <c r="F45" s="1571"/>
      <c r="G45" s="1572"/>
      <c r="H45" s="1572"/>
      <c r="I45" s="1572"/>
      <c r="J45" s="1572"/>
      <c r="K45" s="4250" t="str">
        <f>IF(AND(ISBLANK(number_stakeholder_ccam_others_specify), SUM(Z44:AK45)&gt;0), "Please specify", IF(AND(number_stakeholder_ccam_others_specify&gt;0, SUM(Z44:AK45)=0), "Please provide details.", ""))</f>
        <v/>
      </c>
      <c r="L45" s="4250"/>
      <c r="M45" s="4250"/>
      <c r="N45" s="4250"/>
      <c r="O45" s="4250"/>
      <c r="P45" s="4250"/>
      <c r="Q45" s="4250"/>
      <c r="R45" s="4250"/>
      <c r="S45" s="4250"/>
      <c r="T45" s="4250"/>
      <c r="U45" s="4250"/>
      <c r="V45" s="4250"/>
      <c r="W45" s="4250"/>
      <c r="X45" s="4250"/>
      <c r="Y45" s="1573"/>
      <c r="Z45" s="4242"/>
      <c r="AA45" s="4242"/>
      <c r="AB45" s="4243"/>
      <c r="AC45" s="4244"/>
      <c r="AD45" s="4242"/>
      <c r="AE45" s="4245"/>
      <c r="AF45" s="4246"/>
      <c r="AG45" s="4242"/>
      <c r="AH45" s="4243"/>
      <c r="AI45" s="4244"/>
      <c r="AJ45" s="4242"/>
      <c r="AK45" s="4247"/>
      <c r="AM45" s="1555"/>
    </row>
    <row r="46" spans="4:39" s="1236" customFormat="1" ht="19.5" customHeight="1" thickTop="1" thickBot="1">
      <c r="D46" s="1556"/>
      <c r="F46" s="1568" t="s">
        <v>1833</v>
      </c>
      <c r="G46" s="1569"/>
      <c r="H46" s="1569"/>
      <c r="I46" s="1569"/>
      <c r="J46" s="1569"/>
      <c r="K46" s="1569"/>
      <c r="L46" s="1569"/>
      <c r="M46" s="1569"/>
      <c r="N46" s="1569"/>
      <c r="O46" s="1569"/>
      <c r="P46" s="1569"/>
      <c r="Q46" s="1569"/>
      <c r="R46" s="1569"/>
      <c r="S46" s="1569"/>
      <c r="T46" s="1569"/>
      <c r="U46" s="1569"/>
      <c r="V46" s="1569"/>
      <c r="W46" s="1569"/>
      <c r="X46" s="1569"/>
      <c r="Y46" s="1570"/>
      <c r="Z46" s="62"/>
      <c r="AA46" s="63"/>
      <c r="AB46" s="63"/>
      <c r="AC46" s="63"/>
      <c r="AD46" s="63"/>
      <c r="AE46" s="63"/>
      <c r="AF46" s="63"/>
      <c r="AG46" s="63"/>
      <c r="AH46" s="63"/>
      <c r="AI46" s="63"/>
      <c r="AJ46" s="63"/>
      <c r="AK46" s="64"/>
      <c r="AM46" s="1555"/>
    </row>
    <row r="47" spans="4:39" s="1236" customFormat="1" ht="22.5" customHeight="1">
      <c r="D47" s="1556"/>
      <c r="F47" s="1562"/>
      <c r="G47" s="4249" t="s">
        <v>691</v>
      </c>
      <c r="H47" s="4249"/>
      <c r="I47" s="4249"/>
      <c r="J47" s="4249"/>
      <c r="K47" s="4249"/>
      <c r="L47" s="4249"/>
      <c r="M47" s="4249"/>
      <c r="N47" s="4249"/>
      <c r="O47" s="4249"/>
      <c r="P47" s="4249"/>
      <c r="Q47" s="4249"/>
      <c r="R47" s="4249"/>
      <c r="S47" s="4249"/>
      <c r="T47" s="4249"/>
      <c r="U47" s="4249"/>
      <c r="V47" s="4249"/>
      <c r="W47" s="4249"/>
      <c r="X47" s="4249"/>
      <c r="Y47" s="1563"/>
      <c r="Z47" s="4061">
        <v>0</v>
      </c>
      <c r="AA47" s="4061"/>
      <c r="AB47" s="4062"/>
      <c r="AC47" s="4067">
        <v>0</v>
      </c>
      <c r="AD47" s="4061"/>
      <c r="AE47" s="4068"/>
      <c r="AF47" s="4071">
        <v>0</v>
      </c>
      <c r="AG47" s="4061"/>
      <c r="AH47" s="4062"/>
      <c r="AI47" s="4067">
        <v>0</v>
      </c>
      <c r="AJ47" s="4061"/>
      <c r="AK47" s="4074"/>
      <c r="AM47" s="1555"/>
    </row>
    <row r="48" spans="4:39" s="1236" customFormat="1" ht="22.5" customHeight="1">
      <c r="D48" s="1556"/>
      <c r="F48" s="1564"/>
      <c r="G48" s="4241" t="s">
        <v>1720</v>
      </c>
      <c r="H48" s="4241"/>
      <c r="I48" s="4241"/>
      <c r="J48" s="4241"/>
      <c r="K48" s="4241"/>
      <c r="L48" s="4241"/>
      <c r="M48" s="4241"/>
      <c r="N48" s="4241"/>
      <c r="O48" s="4241"/>
      <c r="P48" s="4241"/>
      <c r="Q48" s="4241"/>
      <c r="R48" s="4241"/>
      <c r="S48" s="4241"/>
      <c r="T48" s="4241"/>
      <c r="U48" s="4241"/>
      <c r="V48" s="4241"/>
      <c r="W48" s="4241"/>
      <c r="X48" s="4241"/>
      <c r="Y48" s="1565"/>
      <c r="Z48" s="4235">
        <v>0</v>
      </c>
      <c r="AA48" s="4235"/>
      <c r="AB48" s="4236"/>
      <c r="AC48" s="4237">
        <v>0</v>
      </c>
      <c r="AD48" s="4235"/>
      <c r="AE48" s="4238"/>
      <c r="AF48" s="4239">
        <v>0</v>
      </c>
      <c r="AG48" s="4235"/>
      <c r="AH48" s="4236"/>
      <c r="AI48" s="4237">
        <v>0</v>
      </c>
      <c r="AJ48" s="4235"/>
      <c r="AK48" s="4240"/>
      <c r="AM48" s="1555"/>
    </row>
    <row r="49" spans="2:41" s="1236" customFormat="1" ht="22.5" customHeight="1">
      <c r="D49" s="1556"/>
      <c r="F49" s="1566"/>
      <c r="G49" s="4241" t="s">
        <v>690</v>
      </c>
      <c r="H49" s="4241"/>
      <c r="I49" s="4241"/>
      <c r="J49" s="4241"/>
      <c r="K49" s="4241"/>
      <c r="L49" s="4241"/>
      <c r="M49" s="4241"/>
      <c r="N49" s="4241"/>
      <c r="O49" s="4241"/>
      <c r="P49" s="4241"/>
      <c r="Q49" s="4241"/>
      <c r="R49" s="4241"/>
      <c r="S49" s="4241"/>
      <c r="T49" s="4241"/>
      <c r="U49" s="4241"/>
      <c r="V49" s="4241"/>
      <c r="W49" s="4241"/>
      <c r="X49" s="4241"/>
      <c r="Y49" s="1567"/>
      <c r="Z49" s="4061">
        <v>0</v>
      </c>
      <c r="AA49" s="4061"/>
      <c r="AB49" s="4062"/>
      <c r="AC49" s="4067">
        <v>0</v>
      </c>
      <c r="AD49" s="4061"/>
      <c r="AE49" s="4068"/>
      <c r="AF49" s="4071">
        <v>0</v>
      </c>
      <c r="AG49" s="4061"/>
      <c r="AH49" s="4062"/>
      <c r="AI49" s="4067">
        <v>0</v>
      </c>
      <c r="AJ49" s="4061"/>
      <c r="AK49" s="4074"/>
      <c r="AM49" s="1555"/>
    </row>
    <row r="50" spans="2:41" s="1236" customFormat="1" ht="36.65" customHeight="1">
      <c r="D50" s="1556"/>
      <c r="F50" s="1564"/>
      <c r="G50" s="4234" t="s">
        <v>1821</v>
      </c>
      <c r="H50" s="4234"/>
      <c r="I50" s="4234"/>
      <c r="J50" s="4234"/>
      <c r="K50" s="4234"/>
      <c r="L50" s="4234"/>
      <c r="M50" s="4234"/>
      <c r="N50" s="4234"/>
      <c r="O50" s="4234"/>
      <c r="P50" s="4234"/>
      <c r="Q50" s="4234"/>
      <c r="R50" s="4234"/>
      <c r="S50" s="4234"/>
      <c r="T50" s="4234"/>
      <c r="U50" s="4234"/>
      <c r="V50" s="4234"/>
      <c r="W50" s="4234"/>
      <c r="X50" s="4234"/>
      <c r="Y50" s="1565"/>
      <c r="Z50" s="4235">
        <v>0</v>
      </c>
      <c r="AA50" s="4235"/>
      <c r="AB50" s="4236"/>
      <c r="AC50" s="4237">
        <v>0</v>
      </c>
      <c r="AD50" s="4235"/>
      <c r="AE50" s="4238"/>
      <c r="AF50" s="4239">
        <v>0</v>
      </c>
      <c r="AG50" s="4235"/>
      <c r="AH50" s="4236"/>
      <c r="AI50" s="4237">
        <v>0</v>
      </c>
      <c r="AJ50" s="4235"/>
      <c r="AK50" s="4240"/>
      <c r="AM50" s="1555"/>
    </row>
    <row r="51" spans="2:41" s="1236" customFormat="1" ht="22.5" customHeight="1">
      <c r="D51" s="1556"/>
      <c r="F51" s="1560"/>
      <c r="G51" s="1561" t="s">
        <v>1820</v>
      </c>
      <c r="H51" s="1561"/>
      <c r="I51" s="1561"/>
      <c r="J51" s="1561"/>
      <c r="K51" s="4235"/>
      <c r="L51" s="4235"/>
      <c r="M51" s="4235"/>
      <c r="N51" s="4235"/>
      <c r="O51" s="4235"/>
      <c r="P51" s="4235"/>
      <c r="Q51" s="4235"/>
      <c r="R51" s="4235"/>
      <c r="S51" s="4235"/>
      <c r="T51" s="4235"/>
      <c r="U51" s="4235"/>
      <c r="V51" s="4235"/>
      <c r="W51" s="4235"/>
      <c r="X51" s="4235"/>
      <c r="Y51" s="1559"/>
      <c r="Z51" s="4055"/>
      <c r="AA51" s="4055"/>
      <c r="AB51" s="4056"/>
      <c r="AC51" s="4063"/>
      <c r="AD51" s="4055"/>
      <c r="AE51" s="4064"/>
      <c r="AF51" s="4069"/>
      <c r="AG51" s="4055"/>
      <c r="AH51" s="4056"/>
      <c r="AI51" s="4063"/>
      <c r="AJ51" s="4055"/>
      <c r="AK51" s="4072"/>
      <c r="AM51" s="1555"/>
    </row>
    <row r="52" spans="2:41" s="1236" customFormat="1" ht="15" customHeight="1" thickBot="1">
      <c r="D52" s="1556"/>
      <c r="F52" s="1557"/>
      <c r="G52" s="1440"/>
      <c r="H52" s="1440"/>
      <c r="I52" s="1440"/>
      <c r="J52" s="1440"/>
      <c r="K52" s="4252" t="str">
        <f>IF(AND(ISBLANK(number_stakeholder_pbp_others_specify), SUM(Z51:AK52)&gt;0), "Please specify", IF(AND(number_stakeholder_pbp_others_specify&gt;0, SUM(Z51:AK52)=0), "Please provide details.", ""))</f>
        <v/>
      </c>
      <c r="L52" s="4252"/>
      <c r="M52" s="4252"/>
      <c r="N52" s="4252"/>
      <c r="O52" s="4252"/>
      <c r="P52" s="4252"/>
      <c r="Q52" s="4252"/>
      <c r="R52" s="4252"/>
      <c r="S52" s="4252"/>
      <c r="T52" s="4252"/>
      <c r="U52" s="4252"/>
      <c r="V52" s="4252"/>
      <c r="W52" s="4252"/>
      <c r="X52" s="4252"/>
      <c r="Y52" s="1558"/>
      <c r="Z52" s="4078"/>
      <c r="AA52" s="4078"/>
      <c r="AB52" s="4079"/>
      <c r="AC52" s="4081"/>
      <c r="AD52" s="4078"/>
      <c r="AE52" s="4251"/>
      <c r="AF52" s="4082"/>
      <c r="AG52" s="4078"/>
      <c r="AH52" s="4079"/>
      <c r="AI52" s="4081"/>
      <c r="AJ52" s="4078"/>
      <c r="AK52" s="4083"/>
      <c r="AM52" s="1555"/>
    </row>
    <row r="53" spans="2:41" ht="10" customHeight="1" thickTop="1" thickBot="1">
      <c r="D53" s="1549"/>
      <c r="E53" s="1550"/>
      <c r="F53" s="1551"/>
      <c r="G53" s="1552"/>
      <c r="H53" s="1552"/>
      <c r="I53" s="1552"/>
      <c r="J53" s="1552"/>
      <c r="K53" s="1552"/>
      <c r="L53" s="1552"/>
      <c r="M53" s="1553"/>
      <c r="N53" s="1553"/>
      <c r="O53" s="1553"/>
      <c r="P53" s="1553"/>
      <c r="Q53" s="1553"/>
      <c r="R53" s="1553"/>
      <c r="S53" s="1553"/>
      <c r="T53" s="1553"/>
      <c r="U53" s="1553"/>
      <c r="V53" s="1553"/>
      <c r="W53" s="1553"/>
      <c r="X53" s="1553"/>
      <c r="Y53" s="1553"/>
      <c r="Z53" s="1553"/>
      <c r="AA53" s="1553"/>
      <c r="AB53" s="1553"/>
      <c r="AC53" s="1553"/>
      <c r="AD53" s="1553"/>
      <c r="AE53" s="1553"/>
      <c r="AF53" s="1553"/>
      <c r="AG53" s="1553"/>
      <c r="AH53" s="1553"/>
      <c r="AI53" s="1553"/>
      <c r="AJ53" s="1553"/>
      <c r="AK53" s="1553"/>
      <c r="AL53" s="1553"/>
      <c r="AM53" s="1554"/>
    </row>
    <row r="54" spans="2:41" ht="10" customHeight="1">
      <c r="B54" s="1443"/>
      <c r="C54" s="587"/>
      <c r="E54" s="1445"/>
      <c r="F54" s="1445"/>
      <c r="G54" s="1445"/>
      <c r="H54" s="1445"/>
      <c r="I54" s="1445"/>
      <c r="J54" s="1445"/>
      <c r="K54" s="1434"/>
      <c r="L54" s="1434"/>
      <c r="M54" s="1434"/>
      <c r="N54" s="1434"/>
      <c r="O54" s="1434"/>
      <c r="P54" s="1434"/>
      <c r="Q54" s="1434"/>
      <c r="R54" s="1434"/>
      <c r="S54" s="1434"/>
      <c r="T54" s="1434"/>
      <c r="U54" s="1434"/>
      <c r="V54" s="1434"/>
      <c r="W54" s="1434"/>
      <c r="X54" s="1434"/>
      <c r="Y54" s="1434"/>
      <c r="Z54" s="1434"/>
      <c r="AA54" s="1434"/>
      <c r="AB54" s="1434"/>
      <c r="AC54" s="1434"/>
      <c r="AD54" s="1434"/>
      <c r="AE54" s="1434"/>
      <c r="AF54" s="1434"/>
      <c r="AG54" s="1434"/>
      <c r="AH54" s="1434"/>
      <c r="AI54" s="1434"/>
      <c r="AJ54" s="1434"/>
      <c r="AK54" s="1434"/>
      <c r="AL54" s="1434"/>
    </row>
    <row r="55" spans="2:41" s="180" customFormat="1" ht="17.25" customHeight="1">
      <c r="D55" s="3855" t="s">
        <v>1815</v>
      </c>
      <c r="E55" s="3855"/>
      <c r="F55" s="3855"/>
      <c r="G55" s="3855"/>
      <c r="H55" s="3855"/>
      <c r="I55" s="3855"/>
      <c r="J55" s="3855"/>
      <c r="K55" s="3855"/>
      <c r="L55" s="3855"/>
      <c r="M55" s="3855"/>
      <c r="N55" s="3855"/>
      <c r="O55" s="3855"/>
      <c r="P55" s="3855"/>
      <c r="Q55" s="3855"/>
      <c r="R55" s="3855"/>
      <c r="S55" s="3855"/>
      <c r="T55" s="3855"/>
      <c r="U55" s="3855"/>
      <c r="V55" s="3855"/>
      <c r="W55" s="3855"/>
      <c r="X55" s="3855"/>
      <c r="Y55" s="3855"/>
      <c r="Z55" s="3855"/>
      <c r="AA55" s="3855"/>
      <c r="AB55" s="3855"/>
      <c r="AC55" s="3855"/>
      <c r="AD55" s="3855"/>
      <c r="AE55" s="3855"/>
      <c r="AF55" s="3855"/>
    </row>
    <row r="56" spans="2:41" s="602" customFormat="1" ht="30.75" customHeight="1"/>
    <row r="57" spans="2:41" s="1235" customFormat="1" ht="14">
      <c r="B57" s="169" t="s">
        <v>847</v>
      </c>
      <c r="P57" s="169" t="s">
        <v>747</v>
      </c>
      <c r="AD57" s="169" t="s">
        <v>783</v>
      </c>
    </row>
    <row r="58" spans="2:41" s="1235" customFormat="1" ht="21.75" customHeight="1">
      <c r="B58" s="169" t="s">
        <v>748</v>
      </c>
      <c r="F58" s="3607" t="str">
        <f>activesheet!E29</f>
        <v>RICO S. MISPEROS</v>
      </c>
      <c r="G58" s="3607"/>
      <c r="H58" s="3607"/>
      <c r="I58" s="3607"/>
      <c r="J58" s="3607"/>
      <c r="K58" s="3607"/>
      <c r="L58" s="3607"/>
      <c r="M58" s="3607"/>
      <c r="P58" s="3607" t="str">
        <f>activesheet!E3244</f>
        <v>ELYN KENDRA D. DELA CRUZ</v>
      </c>
      <c r="Q58" s="3607"/>
      <c r="R58" s="3607"/>
      <c r="S58" s="3607"/>
      <c r="T58" s="3607"/>
      <c r="U58" s="3607"/>
      <c r="V58" s="3607"/>
      <c r="W58" s="3607"/>
      <c r="X58" s="3607"/>
      <c r="Y58" s="3607"/>
      <c r="Z58" s="3607"/>
      <c r="AA58" s="3607"/>
      <c r="AD58" s="3906" t="str">
        <f>activesheet!E31</f>
        <v>MICHAEL T. JAMIS</v>
      </c>
      <c r="AE58" s="3906"/>
      <c r="AF58" s="3906"/>
      <c r="AG58" s="3906"/>
      <c r="AH58" s="3906"/>
      <c r="AI58" s="3906"/>
      <c r="AJ58" s="3906"/>
      <c r="AK58" s="3906"/>
      <c r="AL58" s="3906"/>
      <c r="AM58" s="3906"/>
      <c r="AN58" s="3906"/>
      <c r="AO58" s="3906"/>
    </row>
    <row r="59" spans="2:41" s="1237" customFormat="1" ht="14.15" customHeight="1">
      <c r="B59" s="655"/>
      <c r="F59" s="1776" t="s">
        <v>741</v>
      </c>
      <c r="G59" s="1776"/>
      <c r="H59" s="1776"/>
      <c r="I59" s="1776"/>
      <c r="J59" s="1776"/>
      <c r="K59" s="1776"/>
      <c r="L59" s="1776"/>
      <c r="M59" s="1776"/>
      <c r="N59" s="153"/>
      <c r="O59" s="153"/>
      <c r="P59" s="1776" t="s">
        <v>741</v>
      </c>
      <c r="Q59" s="1776"/>
      <c r="R59" s="1776"/>
      <c r="S59" s="1776"/>
      <c r="T59" s="1776"/>
      <c r="U59" s="1776"/>
      <c r="V59" s="1776"/>
      <c r="W59" s="1776"/>
      <c r="X59" s="1776"/>
      <c r="Y59" s="1776"/>
      <c r="Z59" s="1776"/>
      <c r="AA59" s="1776"/>
      <c r="AB59" s="153"/>
      <c r="AC59" s="153"/>
      <c r="AD59" s="3907"/>
      <c r="AE59" s="3907"/>
      <c r="AF59" s="3907"/>
      <c r="AG59" s="3907"/>
      <c r="AH59" s="3907"/>
      <c r="AI59" s="3907"/>
      <c r="AJ59" s="3907"/>
      <c r="AK59" s="3907"/>
      <c r="AL59" s="3907"/>
      <c r="AM59" s="3907"/>
      <c r="AN59" s="3907"/>
      <c r="AO59" s="3907"/>
    </row>
    <row r="60" spans="2:41" s="1235" customFormat="1" ht="21.75" customHeight="1">
      <c r="B60" s="169" t="s">
        <v>71</v>
      </c>
      <c r="F60" s="3607" t="str">
        <f>activesheet!E30</f>
        <v>SCHOOL PRINCIPAL II</v>
      </c>
      <c r="G60" s="3607"/>
      <c r="H60" s="3607"/>
      <c r="I60" s="3607"/>
      <c r="J60" s="3607"/>
      <c r="K60" s="3607"/>
      <c r="L60" s="3607"/>
      <c r="M60" s="3607"/>
      <c r="P60" s="169" t="s">
        <v>71</v>
      </c>
      <c r="V60" s="3607" t="str">
        <f>activesheet!E3245</f>
        <v>Project Development Officer II</v>
      </c>
      <c r="W60" s="3607"/>
      <c r="X60" s="3607"/>
      <c r="Y60" s="3607"/>
      <c r="Z60" s="3607"/>
      <c r="AA60" s="3607"/>
      <c r="AD60" s="1776" t="s">
        <v>741</v>
      </c>
      <c r="AE60" s="1776"/>
      <c r="AF60" s="1776"/>
      <c r="AG60" s="1776"/>
      <c r="AH60" s="1776"/>
      <c r="AI60" s="1776"/>
      <c r="AJ60" s="1776"/>
      <c r="AK60" s="1776"/>
      <c r="AL60" s="1776"/>
      <c r="AM60" s="1776"/>
      <c r="AN60" s="1776"/>
      <c r="AO60" s="1776"/>
    </row>
    <row r="61" spans="2:41">
      <c r="D61" s="1434"/>
      <c r="E61" s="1434"/>
      <c r="F61" s="1434"/>
      <c r="G61" s="1434"/>
      <c r="H61" s="1434"/>
      <c r="I61" s="1434"/>
      <c r="J61" s="1434"/>
      <c r="K61" s="1434"/>
      <c r="L61" s="1434"/>
      <c r="M61" s="1434"/>
      <c r="N61" s="602"/>
      <c r="O61" s="602"/>
      <c r="P61" s="1434"/>
      <c r="Q61" s="1434"/>
      <c r="R61" s="1434"/>
      <c r="S61" s="1434"/>
      <c r="T61" s="1434"/>
      <c r="U61" s="1434"/>
      <c r="V61" s="1434"/>
      <c r="W61" s="1434"/>
      <c r="X61" s="1434"/>
      <c r="Y61" s="1434"/>
      <c r="Z61" s="1434"/>
      <c r="AA61" s="1434"/>
      <c r="AB61" s="602"/>
      <c r="AC61" s="602"/>
      <c r="AD61" s="1434"/>
      <c r="AE61" s="1434"/>
      <c r="AF61" s="1434"/>
      <c r="AG61" s="1434"/>
      <c r="AH61" s="1434"/>
      <c r="AI61" s="1434"/>
      <c r="AJ61" s="1434"/>
      <c r="AK61" s="1434"/>
      <c r="AL61" s="1434"/>
    </row>
  </sheetData>
  <sheetProtection algorithmName="SHA-512" hashValue="5fM9OfwLaOlLKkY7gHzzgDVt+3i2TKGUAKTXBG02sGgN0tGIO3IrcgMqttxbebDSFWszkLX53TseD4JiDF3DFg==" saltValue="63qlKWdSU5i9AE0YUgEf8Q==" spinCount="100000" sheet="1" objects="1" scenarios="1" selectLockedCells="1"/>
  <mergeCells count="179">
    <mergeCell ref="F60:M60"/>
    <mergeCell ref="V60:AA60"/>
    <mergeCell ref="AD60:AO60"/>
    <mergeCell ref="D55:AF55"/>
    <mergeCell ref="F58:M58"/>
    <mergeCell ref="P58:AA58"/>
    <mergeCell ref="AD58:AO59"/>
    <mergeCell ref="F59:M59"/>
    <mergeCell ref="P59:AA59"/>
    <mergeCell ref="G50:X50"/>
    <mergeCell ref="Z50:AB50"/>
    <mergeCell ref="AC50:AE50"/>
    <mergeCell ref="AF50:AH50"/>
    <mergeCell ref="AI50:AK50"/>
    <mergeCell ref="K51:X51"/>
    <mergeCell ref="Z51:AB52"/>
    <mergeCell ref="AC51:AE52"/>
    <mergeCell ref="AF51:AH52"/>
    <mergeCell ref="AI51:AK52"/>
    <mergeCell ref="K52:X52"/>
    <mergeCell ref="G48:X48"/>
    <mergeCell ref="Z48:AB48"/>
    <mergeCell ref="AC48:AE48"/>
    <mergeCell ref="AF48:AH48"/>
    <mergeCell ref="AI48:AK48"/>
    <mergeCell ref="G49:X49"/>
    <mergeCell ref="Z49:AB49"/>
    <mergeCell ref="AC49:AE49"/>
    <mergeCell ref="AF49:AH49"/>
    <mergeCell ref="AI49:AK49"/>
    <mergeCell ref="G47:X47"/>
    <mergeCell ref="Z47:AB47"/>
    <mergeCell ref="AC47:AE47"/>
    <mergeCell ref="AF47:AH47"/>
    <mergeCell ref="AI47:AK47"/>
    <mergeCell ref="G43:X43"/>
    <mergeCell ref="Z43:AB43"/>
    <mergeCell ref="AC43:AE43"/>
    <mergeCell ref="AF43:AH43"/>
    <mergeCell ref="AI43:AK43"/>
    <mergeCell ref="K44:X44"/>
    <mergeCell ref="Z44:AB45"/>
    <mergeCell ref="AC44:AE45"/>
    <mergeCell ref="AF44:AH45"/>
    <mergeCell ref="AI44:AK45"/>
    <mergeCell ref="K45:X45"/>
    <mergeCell ref="G41:X41"/>
    <mergeCell ref="Z41:AB41"/>
    <mergeCell ref="AC41:AE41"/>
    <mergeCell ref="AF41:AH41"/>
    <mergeCell ref="AI41:AK41"/>
    <mergeCell ref="G42:X42"/>
    <mergeCell ref="Z42:AB42"/>
    <mergeCell ref="AC42:AE42"/>
    <mergeCell ref="AF42:AH42"/>
    <mergeCell ref="AI42:AK42"/>
    <mergeCell ref="G39:X39"/>
    <mergeCell ref="Z39:AB39"/>
    <mergeCell ref="AC39:AE39"/>
    <mergeCell ref="AF39:AH39"/>
    <mergeCell ref="AI39:AK39"/>
    <mergeCell ref="G40:X40"/>
    <mergeCell ref="Z40:AB40"/>
    <mergeCell ref="AC40:AE40"/>
    <mergeCell ref="AF40:AH40"/>
    <mergeCell ref="AI40:AK40"/>
    <mergeCell ref="G37:X37"/>
    <mergeCell ref="Z37:AB37"/>
    <mergeCell ref="AC37:AE37"/>
    <mergeCell ref="AF37:AH37"/>
    <mergeCell ref="AI37:AK37"/>
    <mergeCell ref="G38:X38"/>
    <mergeCell ref="Z38:AB38"/>
    <mergeCell ref="AC38:AE38"/>
    <mergeCell ref="AF38:AH38"/>
    <mergeCell ref="AI38:AK38"/>
    <mergeCell ref="G35:X35"/>
    <mergeCell ref="Z35:AB35"/>
    <mergeCell ref="AC35:AE35"/>
    <mergeCell ref="AF35:AH35"/>
    <mergeCell ref="AI35:AK35"/>
    <mergeCell ref="G36:X36"/>
    <mergeCell ref="Z36:AB36"/>
    <mergeCell ref="AC36:AE36"/>
    <mergeCell ref="AF36:AH36"/>
    <mergeCell ref="AI36:AK36"/>
    <mergeCell ref="G33:X33"/>
    <mergeCell ref="Z33:AB33"/>
    <mergeCell ref="AC33:AE33"/>
    <mergeCell ref="AF33:AH33"/>
    <mergeCell ref="AI33:AK33"/>
    <mergeCell ref="G34:X34"/>
    <mergeCell ref="Z34:AB34"/>
    <mergeCell ref="AC34:AE34"/>
    <mergeCell ref="AF34:AH34"/>
    <mergeCell ref="AI34:AK34"/>
    <mergeCell ref="G31:X31"/>
    <mergeCell ref="Z31:AB31"/>
    <mergeCell ref="AC31:AE31"/>
    <mergeCell ref="AF31:AH31"/>
    <mergeCell ref="AI31:AK31"/>
    <mergeCell ref="G32:X32"/>
    <mergeCell ref="Z32:AB32"/>
    <mergeCell ref="AC32:AE32"/>
    <mergeCell ref="AF32:AH32"/>
    <mergeCell ref="AI32:AK32"/>
    <mergeCell ref="K28:X28"/>
    <mergeCell ref="Z28:AB29"/>
    <mergeCell ref="AC28:AE29"/>
    <mergeCell ref="AF28:AH29"/>
    <mergeCell ref="AI28:AK29"/>
    <mergeCell ref="G26:X26"/>
    <mergeCell ref="Z26:AB26"/>
    <mergeCell ref="AC26:AE26"/>
    <mergeCell ref="AF26:AH26"/>
    <mergeCell ref="AI26:AK26"/>
    <mergeCell ref="G27:X27"/>
    <mergeCell ref="Z27:AB27"/>
    <mergeCell ref="AC27:AE27"/>
    <mergeCell ref="AF27:AH27"/>
    <mergeCell ref="AI27:AK27"/>
    <mergeCell ref="K29:X29"/>
    <mergeCell ref="G24:X24"/>
    <mergeCell ref="Z24:AB24"/>
    <mergeCell ref="AC24:AE24"/>
    <mergeCell ref="AF24:AH24"/>
    <mergeCell ref="AI24:AK24"/>
    <mergeCell ref="G25:X25"/>
    <mergeCell ref="Z25:AB25"/>
    <mergeCell ref="AC25:AE25"/>
    <mergeCell ref="AF25:AH25"/>
    <mergeCell ref="AI25:AK25"/>
    <mergeCell ref="G22:X22"/>
    <mergeCell ref="Z22:AB22"/>
    <mergeCell ref="AC22:AE22"/>
    <mergeCell ref="AF22:AH22"/>
    <mergeCell ref="AI22:AK22"/>
    <mergeCell ref="G23:X23"/>
    <mergeCell ref="Z23:AB23"/>
    <mergeCell ref="AC23:AE23"/>
    <mergeCell ref="AF23:AH23"/>
    <mergeCell ref="AI23:AK23"/>
    <mergeCell ref="G20:X20"/>
    <mergeCell ref="Z20:AB20"/>
    <mergeCell ref="AC20:AE20"/>
    <mergeCell ref="AF20:AH20"/>
    <mergeCell ref="AI20:AK20"/>
    <mergeCell ref="G21:X21"/>
    <mergeCell ref="Z21:AB21"/>
    <mergeCell ref="AC21:AE21"/>
    <mergeCell ref="AF21:AH21"/>
    <mergeCell ref="AI21:AK21"/>
    <mergeCell ref="F17:Y18"/>
    <mergeCell ref="Z17:AE17"/>
    <mergeCell ref="AF17:AK17"/>
    <mergeCell ref="Z18:AB18"/>
    <mergeCell ref="AC18:AE18"/>
    <mergeCell ref="AF18:AH18"/>
    <mergeCell ref="AI18:AK18"/>
    <mergeCell ref="U12:Y12"/>
    <mergeCell ref="Z12:AD12"/>
    <mergeCell ref="F13:J13"/>
    <mergeCell ref="K13:O13"/>
    <mergeCell ref="P13:T13"/>
    <mergeCell ref="U13:Y13"/>
    <mergeCell ref="Z13:AD13"/>
    <mergeCell ref="F8:H8"/>
    <mergeCell ref="I8:K8"/>
    <mergeCell ref="L8:N8"/>
    <mergeCell ref="O8:Q8"/>
    <mergeCell ref="F12:J12"/>
    <mergeCell ref="K12:O12"/>
    <mergeCell ref="P12:T12"/>
    <mergeCell ref="F6:K6"/>
    <mergeCell ref="L6:Q6"/>
    <mergeCell ref="F7:H7"/>
    <mergeCell ref="I7:K7"/>
    <mergeCell ref="L7:N7"/>
    <mergeCell ref="O7:Q7"/>
  </mergeCells>
  <dataValidations count="2">
    <dataValidation type="whole" allowBlank="1" showInputMessage="1" showErrorMessage="1" errorTitle="GESP SY 2022-2023" error="Please enter valid number between 0 - 20,000." sqref="F13:J13" xr:uid="{00000000-0002-0000-3B00-000000000000}">
      <formula1>0</formula1>
      <formula2>20000</formula2>
    </dataValidation>
    <dataValidation type="whole" allowBlank="1" showInputMessage="1" showErrorMessage="1" errorTitle="GESP SY 2022-2023" error="Please enter valid number between 0 - 999." sqref="F8:Q8 K13:AD13 Z20:AK29 Z31:AK45 Z47:AK52" xr:uid="{00000000-0002-0000-3B00-000001000000}">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56 of 60</oddFooter>
  </headerFooter>
  <ignoredErrors>
    <ignoredError sqref="E4 E10 E15" numberStoredAsText="1"/>
  </ignoredError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pageSetUpPr fitToPage="1"/>
  </sheetPr>
  <dimension ref="A1:AO63"/>
  <sheetViews>
    <sheetView showGridLines="0" topLeftCell="A49" zoomScaleNormal="100" zoomScaleSheetLayoutView="100" workbookViewId="0">
      <selection activeCell="J54" sqref="J54:O54"/>
    </sheetView>
  </sheetViews>
  <sheetFormatPr defaultColWidth="8" defaultRowHeight="15.5"/>
  <cols>
    <col min="1" max="1" width="2.08203125" style="1434" customWidth="1"/>
    <col min="2" max="40" width="3.58203125" style="1444" customWidth="1"/>
    <col min="41" max="41" width="3.58203125" style="1434" customWidth="1"/>
    <col min="42" max="42" width="2.08203125" style="1434" customWidth="1"/>
    <col min="43" max="174" width="3.58203125" style="1434" customWidth="1"/>
    <col min="175" max="16384" width="8" style="1434"/>
  </cols>
  <sheetData>
    <row r="1" spans="2:41" ht="12" customHeight="1"/>
    <row r="2" spans="2:41" ht="17" thickBot="1">
      <c r="B2" s="1467" t="s">
        <v>1756</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row>
    <row r="3" spans="2:41" ht="5.15"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611"/>
    </row>
    <row r="4" spans="2:41" ht="15.65" customHeight="1">
      <c r="B4" s="1433"/>
      <c r="C4" s="1450" t="s">
        <v>151</v>
      </c>
      <c r="D4" s="1578" t="s">
        <v>1822</v>
      </c>
      <c r="E4" s="1452"/>
      <c r="F4" s="1452"/>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52"/>
      <c r="AL4" s="1452"/>
      <c r="AM4" s="1445"/>
      <c r="AN4" s="1445"/>
      <c r="AO4" s="1612"/>
    </row>
    <row r="5" spans="2:41" ht="5.15" customHeight="1" thickBot="1">
      <c r="B5" s="1457"/>
      <c r="C5" s="1466"/>
      <c r="D5" s="1466"/>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466"/>
      <c r="AN5" s="1466"/>
      <c r="AO5" s="1613"/>
    </row>
    <row r="6" spans="2:41" s="1236" customFormat="1" ht="61" customHeight="1" thickTop="1" thickBot="1">
      <c r="B6" s="1399"/>
      <c r="D6" s="3951" t="s">
        <v>1823</v>
      </c>
      <c r="E6" s="3952"/>
      <c r="F6" s="3952"/>
      <c r="G6" s="3952"/>
      <c r="H6" s="3952"/>
      <c r="I6" s="3952"/>
      <c r="J6" s="3952"/>
      <c r="K6" s="3952"/>
      <c r="L6" s="3952"/>
      <c r="M6" s="3952"/>
      <c r="N6" s="3952"/>
      <c r="O6" s="3953"/>
      <c r="P6" s="3750" t="s">
        <v>1824</v>
      </c>
      <c r="Q6" s="3751"/>
      <c r="R6" s="3751"/>
      <c r="S6" s="3751"/>
      <c r="T6" s="3751"/>
      <c r="U6" s="3752"/>
      <c r="V6" s="3751" t="s">
        <v>1661</v>
      </c>
      <c r="W6" s="3751"/>
      <c r="X6" s="3751"/>
      <c r="Y6" s="3751"/>
      <c r="Z6" s="3751"/>
      <c r="AA6" s="3751"/>
      <c r="AB6" s="3753" t="s">
        <v>1662</v>
      </c>
      <c r="AC6" s="3751"/>
      <c r="AD6" s="3751"/>
      <c r="AE6" s="3751"/>
      <c r="AF6" s="3751"/>
      <c r="AG6" s="3752"/>
      <c r="AH6" s="3751" t="s">
        <v>1813</v>
      </c>
      <c r="AI6" s="3751"/>
      <c r="AJ6" s="3751"/>
      <c r="AK6" s="3751"/>
      <c r="AL6" s="3751"/>
      <c r="AM6" s="3754"/>
      <c r="AO6" s="1404"/>
    </row>
    <row r="7" spans="2:41" s="1236" customFormat="1" ht="19.5" customHeight="1" thickBot="1">
      <c r="B7" s="1399"/>
      <c r="D7" s="3954"/>
      <c r="E7" s="3955"/>
      <c r="F7" s="3955"/>
      <c r="G7" s="3955"/>
      <c r="H7" s="3955"/>
      <c r="I7" s="3955"/>
      <c r="J7" s="3955"/>
      <c r="K7" s="3955"/>
      <c r="L7" s="3955"/>
      <c r="M7" s="3955"/>
      <c r="N7" s="3955"/>
      <c r="O7" s="3956"/>
      <c r="P7" s="3954" t="s">
        <v>15</v>
      </c>
      <c r="Q7" s="3955"/>
      <c r="R7" s="3957"/>
      <c r="S7" s="3958" t="s">
        <v>16</v>
      </c>
      <c r="T7" s="3955"/>
      <c r="U7" s="3971"/>
      <c r="V7" s="3955" t="s">
        <v>15</v>
      </c>
      <c r="W7" s="3955"/>
      <c r="X7" s="3957"/>
      <c r="Y7" s="3958" t="s">
        <v>16</v>
      </c>
      <c r="Z7" s="3955"/>
      <c r="AA7" s="3955"/>
      <c r="AB7" s="3972" t="s">
        <v>15</v>
      </c>
      <c r="AC7" s="3955"/>
      <c r="AD7" s="3957"/>
      <c r="AE7" s="3958" t="s">
        <v>16</v>
      </c>
      <c r="AF7" s="3955"/>
      <c r="AG7" s="3971"/>
      <c r="AH7" s="3955" t="s">
        <v>15</v>
      </c>
      <c r="AI7" s="3955"/>
      <c r="AJ7" s="3957"/>
      <c r="AK7" s="3958" t="s">
        <v>16</v>
      </c>
      <c r="AL7" s="3955"/>
      <c r="AM7" s="3956"/>
      <c r="AO7" s="1404"/>
    </row>
    <row r="8" spans="2:41" s="1236" customFormat="1" ht="19.5" customHeight="1" thickTop="1" thickBot="1">
      <c r="B8" s="1399"/>
      <c r="D8" s="1568" t="s">
        <v>1825</v>
      </c>
      <c r="E8" s="1569"/>
      <c r="F8" s="1569"/>
      <c r="G8" s="1569"/>
      <c r="H8" s="1569"/>
      <c r="I8" s="1569"/>
      <c r="J8" s="1569"/>
      <c r="K8" s="1569"/>
      <c r="L8" s="1569"/>
      <c r="M8" s="1569"/>
      <c r="N8" s="1569"/>
      <c r="O8" s="1569"/>
      <c r="P8" s="4253"/>
      <c r="Q8" s="4254"/>
      <c r="R8" s="4254"/>
      <c r="S8" s="4254"/>
      <c r="T8" s="4254"/>
      <c r="U8" s="4254"/>
      <c r="V8" s="4254"/>
      <c r="W8" s="4254"/>
      <c r="X8" s="4254"/>
      <c r="Y8" s="4254"/>
      <c r="Z8" s="4254"/>
      <c r="AA8" s="4254"/>
      <c r="AB8" s="4254"/>
      <c r="AC8" s="4254"/>
      <c r="AD8" s="4254"/>
      <c r="AE8" s="4254"/>
      <c r="AF8" s="4254"/>
      <c r="AG8" s="4254"/>
      <c r="AH8" s="4254"/>
      <c r="AI8" s="4254"/>
      <c r="AJ8" s="4254"/>
      <c r="AK8" s="4254"/>
      <c r="AL8" s="4254"/>
      <c r="AM8" s="4255"/>
      <c r="AO8" s="1404"/>
    </row>
    <row r="9" spans="2:41" s="1236" customFormat="1" ht="22.5" customHeight="1">
      <c r="B9" s="1399"/>
      <c r="D9" s="4256" t="s">
        <v>689</v>
      </c>
      <c r="E9" s="4257"/>
      <c r="F9" s="4257"/>
      <c r="G9" s="4257"/>
      <c r="H9" s="4257"/>
      <c r="I9" s="4257"/>
      <c r="J9" s="4257"/>
      <c r="K9" s="4257"/>
      <c r="L9" s="4257"/>
      <c r="M9" s="4257"/>
      <c r="N9" s="4257"/>
      <c r="O9" s="1610"/>
      <c r="P9" s="4258">
        <v>0</v>
      </c>
      <c r="Q9" s="4259"/>
      <c r="R9" s="4260"/>
      <c r="S9" s="4261">
        <v>0</v>
      </c>
      <c r="T9" s="4259"/>
      <c r="U9" s="4262"/>
      <c r="V9" s="4259">
        <v>0</v>
      </c>
      <c r="W9" s="4259"/>
      <c r="X9" s="4260"/>
      <c r="Y9" s="4261">
        <v>0</v>
      </c>
      <c r="Z9" s="4259"/>
      <c r="AA9" s="4259"/>
      <c r="AB9" s="4263">
        <v>0</v>
      </c>
      <c r="AC9" s="4259"/>
      <c r="AD9" s="4260"/>
      <c r="AE9" s="4261">
        <v>0</v>
      </c>
      <c r="AF9" s="4259"/>
      <c r="AG9" s="4262"/>
      <c r="AH9" s="4259">
        <v>0</v>
      </c>
      <c r="AI9" s="4259"/>
      <c r="AJ9" s="4260"/>
      <c r="AK9" s="4261">
        <v>0</v>
      </c>
      <c r="AL9" s="4259"/>
      <c r="AM9" s="4264"/>
      <c r="AO9" s="1404"/>
    </row>
    <row r="10" spans="2:41" s="1236" customFormat="1" ht="22.5" customHeight="1">
      <c r="B10" s="1399"/>
      <c r="D10" s="4265" t="s">
        <v>655</v>
      </c>
      <c r="E10" s="4266"/>
      <c r="F10" s="4266"/>
      <c r="G10" s="4266"/>
      <c r="H10" s="4266"/>
      <c r="I10" s="4266"/>
      <c r="J10" s="4266"/>
      <c r="K10" s="4266"/>
      <c r="L10" s="4266"/>
      <c r="M10" s="4266"/>
      <c r="N10" s="4266"/>
      <c r="O10" s="1607"/>
      <c r="P10" s="4267">
        <v>0</v>
      </c>
      <c r="Q10" s="4268"/>
      <c r="R10" s="4269"/>
      <c r="S10" s="4270">
        <v>0</v>
      </c>
      <c r="T10" s="4268"/>
      <c r="U10" s="4271"/>
      <c r="V10" s="4268">
        <v>0</v>
      </c>
      <c r="W10" s="4268"/>
      <c r="X10" s="4269"/>
      <c r="Y10" s="4270">
        <v>0</v>
      </c>
      <c r="Z10" s="4268"/>
      <c r="AA10" s="4268"/>
      <c r="AB10" s="4272">
        <v>0</v>
      </c>
      <c r="AC10" s="4268"/>
      <c r="AD10" s="4269"/>
      <c r="AE10" s="4270">
        <v>0</v>
      </c>
      <c r="AF10" s="4268"/>
      <c r="AG10" s="4271"/>
      <c r="AH10" s="4268">
        <v>0</v>
      </c>
      <c r="AI10" s="4268"/>
      <c r="AJ10" s="4269"/>
      <c r="AK10" s="4270">
        <v>0</v>
      </c>
      <c r="AL10" s="4268"/>
      <c r="AM10" s="4273"/>
      <c r="AO10" s="1404"/>
    </row>
    <row r="11" spans="2:41" s="1236" customFormat="1" ht="22.5" customHeight="1">
      <c r="B11" s="1399"/>
      <c r="D11" s="4265" t="s">
        <v>656</v>
      </c>
      <c r="E11" s="4266"/>
      <c r="F11" s="4266"/>
      <c r="G11" s="4266"/>
      <c r="H11" s="4266"/>
      <c r="I11" s="4266"/>
      <c r="J11" s="4266"/>
      <c r="K11" s="4266"/>
      <c r="L11" s="4266"/>
      <c r="M11" s="4266"/>
      <c r="N11" s="4266"/>
      <c r="O11" s="1608"/>
      <c r="P11" s="4258">
        <v>0</v>
      </c>
      <c r="Q11" s="4259"/>
      <c r="R11" s="4260"/>
      <c r="S11" s="4261">
        <v>0</v>
      </c>
      <c r="T11" s="4259"/>
      <c r="U11" s="4262"/>
      <c r="V11" s="4259">
        <v>0</v>
      </c>
      <c r="W11" s="4259"/>
      <c r="X11" s="4260"/>
      <c r="Y11" s="4261">
        <v>0</v>
      </c>
      <c r="Z11" s="4259"/>
      <c r="AA11" s="4259"/>
      <c r="AB11" s="4263">
        <v>0</v>
      </c>
      <c r="AC11" s="4259"/>
      <c r="AD11" s="4260"/>
      <c r="AE11" s="4261">
        <v>0</v>
      </c>
      <c r="AF11" s="4259"/>
      <c r="AG11" s="4262"/>
      <c r="AH11" s="4259">
        <v>0</v>
      </c>
      <c r="AI11" s="4259"/>
      <c r="AJ11" s="4260"/>
      <c r="AK11" s="4261">
        <v>0</v>
      </c>
      <c r="AL11" s="4259"/>
      <c r="AM11" s="4264"/>
      <c r="AO11" s="1404"/>
    </row>
    <row r="12" spans="2:41" s="1236" customFormat="1" ht="22.5" customHeight="1">
      <c r="B12" s="1399"/>
      <c r="D12" s="4265" t="s">
        <v>1721</v>
      </c>
      <c r="E12" s="4266"/>
      <c r="F12" s="4266"/>
      <c r="G12" s="4266"/>
      <c r="H12" s="4266"/>
      <c r="I12" s="4266"/>
      <c r="J12" s="4266"/>
      <c r="K12" s="4266"/>
      <c r="L12" s="4266"/>
      <c r="M12" s="4266"/>
      <c r="N12" s="4266"/>
      <c r="O12" s="1607"/>
      <c r="P12" s="4267">
        <v>0</v>
      </c>
      <c r="Q12" s="4268"/>
      <c r="R12" s="4269"/>
      <c r="S12" s="4270">
        <v>0</v>
      </c>
      <c r="T12" s="4268"/>
      <c r="U12" s="4271"/>
      <c r="V12" s="4268">
        <v>0</v>
      </c>
      <c r="W12" s="4268"/>
      <c r="X12" s="4269"/>
      <c r="Y12" s="4270">
        <v>0</v>
      </c>
      <c r="Z12" s="4268"/>
      <c r="AA12" s="4268"/>
      <c r="AB12" s="4272">
        <v>0</v>
      </c>
      <c r="AC12" s="4268"/>
      <c r="AD12" s="4269"/>
      <c r="AE12" s="4270">
        <v>0</v>
      </c>
      <c r="AF12" s="4268"/>
      <c r="AG12" s="4271"/>
      <c r="AH12" s="4268">
        <v>0</v>
      </c>
      <c r="AI12" s="4268"/>
      <c r="AJ12" s="4269"/>
      <c r="AK12" s="4270">
        <v>0</v>
      </c>
      <c r="AL12" s="4268"/>
      <c r="AM12" s="4273"/>
      <c r="AO12" s="1404"/>
    </row>
    <row r="13" spans="2:41" s="1236" customFormat="1" ht="36.65" customHeight="1">
      <c r="B13" s="1399"/>
      <c r="D13" s="4265" t="s">
        <v>1826</v>
      </c>
      <c r="E13" s="4266"/>
      <c r="F13" s="4266"/>
      <c r="G13" s="4266"/>
      <c r="H13" s="4266"/>
      <c r="I13" s="4266"/>
      <c r="J13" s="4266"/>
      <c r="K13" s="4266"/>
      <c r="L13" s="4266"/>
      <c r="M13" s="4266"/>
      <c r="N13" s="4266"/>
      <c r="O13" s="1607"/>
      <c r="P13" s="4258">
        <v>0</v>
      </c>
      <c r="Q13" s="4259"/>
      <c r="R13" s="4260"/>
      <c r="S13" s="4261">
        <v>0</v>
      </c>
      <c r="T13" s="4259"/>
      <c r="U13" s="4262"/>
      <c r="V13" s="4259">
        <v>0</v>
      </c>
      <c r="W13" s="4259"/>
      <c r="X13" s="4260"/>
      <c r="Y13" s="4261">
        <v>0</v>
      </c>
      <c r="Z13" s="4259"/>
      <c r="AA13" s="4259"/>
      <c r="AB13" s="4263">
        <v>0</v>
      </c>
      <c r="AC13" s="4259"/>
      <c r="AD13" s="4260"/>
      <c r="AE13" s="4261">
        <v>0</v>
      </c>
      <c r="AF13" s="4259"/>
      <c r="AG13" s="4262"/>
      <c r="AH13" s="4259">
        <v>0</v>
      </c>
      <c r="AI13" s="4259"/>
      <c r="AJ13" s="4260"/>
      <c r="AK13" s="4261">
        <v>0</v>
      </c>
      <c r="AL13" s="4259"/>
      <c r="AM13" s="4264"/>
      <c r="AO13" s="1404"/>
    </row>
    <row r="14" spans="2:41" s="1236" customFormat="1" ht="22.5" customHeight="1">
      <c r="B14" s="1399"/>
      <c r="D14" s="4265" t="s">
        <v>1707</v>
      </c>
      <c r="E14" s="4266"/>
      <c r="F14" s="4266"/>
      <c r="G14" s="4266"/>
      <c r="H14" s="4266"/>
      <c r="I14" s="4266"/>
      <c r="J14" s="4266"/>
      <c r="K14" s="4266"/>
      <c r="L14" s="4266"/>
      <c r="M14" s="4266"/>
      <c r="N14" s="4266"/>
      <c r="O14" s="1607"/>
      <c r="P14" s="4267">
        <v>0</v>
      </c>
      <c r="Q14" s="4268"/>
      <c r="R14" s="4269"/>
      <c r="S14" s="4270">
        <v>0</v>
      </c>
      <c r="T14" s="4268"/>
      <c r="U14" s="4271"/>
      <c r="V14" s="4268">
        <v>0</v>
      </c>
      <c r="W14" s="4268"/>
      <c r="X14" s="4269"/>
      <c r="Y14" s="4270">
        <v>0</v>
      </c>
      <c r="Z14" s="4268"/>
      <c r="AA14" s="4268"/>
      <c r="AB14" s="4272">
        <v>0</v>
      </c>
      <c r="AC14" s="4268"/>
      <c r="AD14" s="4269"/>
      <c r="AE14" s="4270">
        <v>0</v>
      </c>
      <c r="AF14" s="4268"/>
      <c r="AG14" s="4271"/>
      <c r="AH14" s="4268">
        <v>0</v>
      </c>
      <c r="AI14" s="4268"/>
      <c r="AJ14" s="4269"/>
      <c r="AK14" s="4270">
        <v>0</v>
      </c>
      <c r="AL14" s="4268"/>
      <c r="AM14" s="4273"/>
      <c r="AO14" s="1404"/>
    </row>
    <row r="15" spans="2:41" s="1236" customFormat="1" ht="22.5" customHeight="1">
      <c r="B15" s="1399"/>
      <c r="D15" s="4265" t="s">
        <v>1708</v>
      </c>
      <c r="E15" s="4266"/>
      <c r="F15" s="4266"/>
      <c r="G15" s="4266"/>
      <c r="H15" s="4266"/>
      <c r="I15" s="4266"/>
      <c r="J15" s="4266"/>
      <c r="K15" s="4266"/>
      <c r="L15" s="4266"/>
      <c r="M15" s="4266"/>
      <c r="N15" s="4266"/>
      <c r="O15" s="1607"/>
      <c r="P15" s="4258">
        <v>0</v>
      </c>
      <c r="Q15" s="4259"/>
      <c r="R15" s="4260"/>
      <c r="S15" s="4261">
        <v>0</v>
      </c>
      <c r="T15" s="4259"/>
      <c r="U15" s="4262"/>
      <c r="V15" s="4259">
        <v>0</v>
      </c>
      <c r="W15" s="4259"/>
      <c r="X15" s="4260"/>
      <c r="Y15" s="4261">
        <v>0</v>
      </c>
      <c r="Z15" s="4259"/>
      <c r="AA15" s="4259"/>
      <c r="AB15" s="4263">
        <v>0</v>
      </c>
      <c r="AC15" s="4259"/>
      <c r="AD15" s="4260"/>
      <c r="AE15" s="4261">
        <v>0</v>
      </c>
      <c r="AF15" s="4259"/>
      <c r="AG15" s="4262"/>
      <c r="AH15" s="4259">
        <v>0</v>
      </c>
      <c r="AI15" s="4259"/>
      <c r="AJ15" s="4260"/>
      <c r="AK15" s="4261">
        <v>0</v>
      </c>
      <c r="AL15" s="4259"/>
      <c r="AM15" s="4264"/>
      <c r="AO15" s="1404"/>
    </row>
    <row r="16" spans="2:41" s="1236" customFormat="1" ht="22.5" customHeight="1">
      <c r="B16" s="1399"/>
      <c r="D16" s="4265" t="s">
        <v>1709</v>
      </c>
      <c r="E16" s="4266"/>
      <c r="F16" s="4266"/>
      <c r="G16" s="4266"/>
      <c r="H16" s="4266"/>
      <c r="I16" s="4266"/>
      <c r="J16" s="4266"/>
      <c r="K16" s="4266"/>
      <c r="L16" s="4266"/>
      <c r="M16" s="4266"/>
      <c r="N16" s="4266"/>
      <c r="O16" s="1607"/>
      <c r="P16" s="4267">
        <v>0</v>
      </c>
      <c r="Q16" s="4268"/>
      <c r="R16" s="4269"/>
      <c r="S16" s="4270">
        <v>0</v>
      </c>
      <c r="T16" s="4268"/>
      <c r="U16" s="4271"/>
      <c r="V16" s="4268">
        <v>0</v>
      </c>
      <c r="W16" s="4268"/>
      <c r="X16" s="4269"/>
      <c r="Y16" s="4270">
        <v>0</v>
      </c>
      <c r="Z16" s="4268"/>
      <c r="AA16" s="4268"/>
      <c r="AB16" s="4272">
        <v>0</v>
      </c>
      <c r="AC16" s="4268"/>
      <c r="AD16" s="4269"/>
      <c r="AE16" s="4270">
        <v>0</v>
      </c>
      <c r="AF16" s="4268"/>
      <c r="AG16" s="4271"/>
      <c r="AH16" s="4268">
        <v>0</v>
      </c>
      <c r="AI16" s="4268"/>
      <c r="AJ16" s="4269"/>
      <c r="AK16" s="4270">
        <v>0</v>
      </c>
      <c r="AL16" s="4268"/>
      <c r="AM16" s="4273"/>
      <c r="AO16" s="1404"/>
    </row>
    <row r="17" spans="2:41" s="1236" customFormat="1" ht="68.150000000000006" customHeight="1">
      <c r="B17" s="1399"/>
      <c r="D17" s="4265" t="s">
        <v>1710</v>
      </c>
      <c r="E17" s="4266"/>
      <c r="F17" s="4266"/>
      <c r="G17" s="4266"/>
      <c r="H17" s="4266"/>
      <c r="I17" s="4266"/>
      <c r="J17" s="4266"/>
      <c r="K17" s="4266"/>
      <c r="L17" s="4266"/>
      <c r="M17" s="4266"/>
      <c r="N17" s="4266"/>
      <c r="O17" s="1607"/>
      <c r="P17" s="4258">
        <v>0</v>
      </c>
      <c r="Q17" s="4259"/>
      <c r="R17" s="4260"/>
      <c r="S17" s="4261">
        <v>0</v>
      </c>
      <c r="T17" s="4259"/>
      <c r="U17" s="4262"/>
      <c r="V17" s="4259">
        <v>0</v>
      </c>
      <c r="W17" s="4259"/>
      <c r="X17" s="4260"/>
      <c r="Y17" s="4261">
        <v>0</v>
      </c>
      <c r="Z17" s="4259"/>
      <c r="AA17" s="4259"/>
      <c r="AB17" s="4263">
        <v>0</v>
      </c>
      <c r="AC17" s="4259"/>
      <c r="AD17" s="4260"/>
      <c r="AE17" s="4261">
        <v>0</v>
      </c>
      <c r="AF17" s="4259"/>
      <c r="AG17" s="4262"/>
      <c r="AH17" s="4259">
        <v>0</v>
      </c>
      <c r="AI17" s="4259"/>
      <c r="AJ17" s="4260"/>
      <c r="AK17" s="4261">
        <v>0</v>
      </c>
      <c r="AL17" s="4259"/>
      <c r="AM17" s="4264"/>
      <c r="AO17" s="1404"/>
    </row>
    <row r="18" spans="2:41" s="1236" customFormat="1" ht="22.5" customHeight="1">
      <c r="B18" s="1399"/>
      <c r="D18" s="4274" t="s">
        <v>1820</v>
      </c>
      <c r="E18" s="4275"/>
      <c r="F18" s="4275"/>
      <c r="G18" s="4275"/>
      <c r="H18" s="4275"/>
      <c r="I18" s="4275"/>
      <c r="J18" s="4275"/>
      <c r="K18" s="4275"/>
      <c r="L18" s="4275"/>
      <c r="M18" s="4275"/>
      <c r="N18" s="4275"/>
      <c r="O18" s="1561"/>
      <c r="P18" s="4276"/>
      <c r="Q18" s="4277"/>
      <c r="R18" s="4278"/>
      <c r="S18" s="4285"/>
      <c r="T18" s="4277"/>
      <c r="U18" s="4286"/>
      <c r="V18" s="4277"/>
      <c r="W18" s="4277"/>
      <c r="X18" s="4278"/>
      <c r="Y18" s="4285"/>
      <c r="Z18" s="4277"/>
      <c r="AA18" s="4277"/>
      <c r="AB18" s="4291"/>
      <c r="AC18" s="4277"/>
      <c r="AD18" s="4278"/>
      <c r="AE18" s="4285"/>
      <c r="AF18" s="4277"/>
      <c r="AG18" s="4286"/>
      <c r="AH18" s="4277"/>
      <c r="AI18" s="4277"/>
      <c r="AJ18" s="4278"/>
      <c r="AK18" s="4285"/>
      <c r="AL18" s="4277"/>
      <c r="AM18" s="4294"/>
      <c r="AO18" s="1404"/>
    </row>
    <row r="19" spans="2:41" s="1236" customFormat="1" ht="22.5" customHeight="1">
      <c r="B19" s="1399"/>
      <c r="D19" s="1605"/>
      <c r="E19" s="4061"/>
      <c r="F19" s="4061"/>
      <c r="G19" s="4061"/>
      <c r="H19" s="4061"/>
      <c r="I19" s="4061"/>
      <c r="J19" s="4061"/>
      <c r="K19" s="4061"/>
      <c r="L19" s="4061"/>
      <c r="M19" s="4061"/>
      <c r="N19" s="4061"/>
      <c r="O19" s="1591"/>
      <c r="P19" s="4279"/>
      <c r="Q19" s="4280"/>
      <c r="R19" s="4281"/>
      <c r="S19" s="4287"/>
      <c r="T19" s="4280"/>
      <c r="U19" s="4288"/>
      <c r="V19" s="4280"/>
      <c r="W19" s="4280"/>
      <c r="X19" s="4281"/>
      <c r="Y19" s="4287"/>
      <c r="Z19" s="4280"/>
      <c r="AA19" s="4280"/>
      <c r="AB19" s="4292"/>
      <c r="AC19" s="4280"/>
      <c r="AD19" s="4281"/>
      <c r="AE19" s="4287"/>
      <c r="AF19" s="4280"/>
      <c r="AG19" s="4288"/>
      <c r="AH19" s="4280"/>
      <c r="AI19" s="4280"/>
      <c r="AJ19" s="4281"/>
      <c r="AK19" s="4287"/>
      <c r="AL19" s="4280"/>
      <c r="AM19" s="4295"/>
      <c r="AO19" s="1404"/>
    </row>
    <row r="20" spans="2:41" s="1236" customFormat="1" ht="15" customHeight="1" thickBot="1">
      <c r="B20" s="1399"/>
      <c r="D20" s="1571"/>
      <c r="E20" s="1609" t="str">
        <f>IF(AND(ISBLANK(number_stakeholder_drrm_learner_others_specify), SUM(P18:AM20)&gt;0), "Please specify.", IF(AND(number_stakeholder_drrm_learner_others_specify&gt;0, SUM(P18:AM20)=0), "Please provide details.", ""))</f>
        <v/>
      </c>
      <c r="F20" s="1572"/>
      <c r="G20" s="1572"/>
      <c r="H20" s="1572"/>
      <c r="I20" s="1572"/>
      <c r="J20" s="1572"/>
      <c r="K20" s="1572"/>
      <c r="L20" s="1572"/>
      <c r="M20" s="1572"/>
      <c r="N20" s="1572"/>
      <c r="O20" s="1572"/>
      <c r="P20" s="4282"/>
      <c r="Q20" s="4283"/>
      <c r="R20" s="4284"/>
      <c r="S20" s="4289"/>
      <c r="T20" s="4283"/>
      <c r="U20" s="4290"/>
      <c r="V20" s="4283"/>
      <c r="W20" s="4283"/>
      <c r="X20" s="4284"/>
      <c r="Y20" s="4289"/>
      <c r="Z20" s="4283"/>
      <c r="AA20" s="4283"/>
      <c r="AB20" s="4293"/>
      <c r="AC20" s="4283"/>
      <c r="AD20" s="4284"/>
      <c r="AE20" s="4289"/>
      <c r="AF20" s="4283"/>
      <c r="AG20" s="4290"/>
      <c r="AH20" s="4283"/>
      <c r="AI20" s="4283"/>
      <c r="AJ20" s="4284"/>
      <c r="AK20" s="4289"/>
      <c r="AL20" s="4283"/>
      <c r="AM20" s="4296"/>
      <c r="AO20" s="1404"/>
    </row>
    <row r="21" spans="2:41" s="1236" customFormat="1" ht="19.5" customHeight="1" thickTop="1" thickBot="1">
      <c r="B21" s="1399"/>
      <c r="D21" s="1568" t="s">
        <v>1827</v>
      </c>
      <c r="E21" s="1569"/>
      <c r="F21" s="1569"/>
      <c r="G21" s="1569"/>
      <c r="H21" s="1569"/>
      <c r="I21" s="1569"/>
      <c r="J21" s="1569"/>
      <c r="K21" s="1569"/>
      <c r="L21" s="1569"/>
      <c r="M21" s="1569"/>
      <c r="N21" s="1569"/>
      <c r="O21" s="1569"/>
      <c r="P21" s="4253"/>
      <c r="Q21" s="4254"/>
      <c r="R21" s="4254"/>
      <c r="S21" s="4254"/>
      <c r="T21" s="4254"/>
      <c r="U21" s="4254"/>
      <c r="V21" s="4254"/>
      <c r="W21" s="4254"/>
      <c r="X21" s="4254"/>
      <c r="Y21" s="4254"/>
      <c r="Z21" s="4254"/>
      <c r="AA21" s="4254"/>
      <c r="AB21" s="4254"/>
      <c r="AC21" s="4254"/>
      <c r="AD21" s="4254"/>
      <c r="AE21" s="4254"/>
      <c r="AF21" s="4254"/>
      <c r="AG21" s="4254"/>
      <c r="AH21" s="4254"/>
      <c r="AI21" s="4254"/>
      <c r="AJ21" s="4254"/>
      <c r="AK21" s="4254"/>
      <c r="AL21" s="4254"/>
      <c r="AM21" s="4255"/>
      <c r="AO21" s="1404"/>
    </row>
    <row r="22" spans="2:41" s="1236" customFormat="1" ht="36.65" customHeight="1">
      <c r="B22" s="1399"/>
      <c r="D22" s="4256" t="s">
        <v>1828</v>
      </c>
      <c r="E22" s="4257"/>
      <c r="F22" s="4257"/>
      <c r="G22" s="4257"/>
      <c r="H22" s="4257"/>
      <c r="I22" s="4257"/>
      <c r="J22" s="4257"/>
      <c r="K22" s="4257"/>
      <c r="L22" s="4257"/>
      <c r="M22" s="4257"/>
      <c r="N22" s="4257"/>
      <c r="O22" s="1610"/>
      <c r="P22" s="4258">
        <v>0</v>
      </c>
      <c r="Q22" s="4259"/>
      <c r="R22" s="4260"/>
      <c r="S22" s="4261">
        <v>0</v>
      </c>
      <c r="T22" s="4259"/>
      <c r="U22" s="4262"/>
      <c r="V22" s="4259">
        <v>0</v>
      </c>
      <c r="W22" s="4259"/>
      <c r="X22" s="4260"/>
      <c r="Y22" s="4261">
        <v>0</v>
      </c>
      <c r="Z22" s="4259"/>
      <c r="AA22" s="4259"/>
      <c r="AB22" s="4263">
        <v>0</v>
      </c>
      <c r="AC22" s="4259"/>
      <c r="AD22" s="4260"/>
      <c r="AE22" s="4261">
        <v>0</v>
      </c>
      <c r="AF22" s="4259"/>
      <c r="AG22" s="4262"/>
      <c r="AH22" s="4259">
        <v>0</v>
      </c>
      <c r="AI22" s="4259"/>
      <c r="AJ22" s="4260"/>
      <c r="AK22" s="4261">
        <v>0</v>
      </c>
      <c r="AL22" s="4259"/>
      <c r="AM22" s="4264"/>
      <c r="AO22" s="1404"/>
    </row>
    <row r="23" spans="2:41" s="1236" customFormat="1" ht="36.65" customHeight="1">
      <c r="B23" s="1399"/>
      <c r="D23" s="4265" t="s">
        <v>1829</v>
      </c>
      <c r="E23" s="4266"/>
      <c r="F23" s="4266"/>
      <c r="G23" s="4266"/>
      <c r="H23" s="4266"/>
      <c r="I23" s="4266"/>
      <c r="J23" s="4266"/>
      <c r="K23" s="4266"/>
      <c r="L23" s="4266"/>
      <c r="M23" s="4266"/>
      <c r="N23" s="4266"/>
      <c r="O23" s="1607"/>
      <c r="P23" s="4267">
        <v>0</v>
      </c>
      <c r="Q23" s="4268"/>
      <c r="R23" s="4269"/>
      <c r="S23" s="4270">
        <v>0</v>
      </c>
      <c r="T23" s="4268"/>
      <c r="U23" s="4271"/>
      <c r="V23" s="4268">
        <v>0</v>
      </c>
      <c r="W23" s="4268"/>
      <c r="X23" s="4269"/>
      <c r="Y23" s="4270">
        <v>0</v>
      </c>
      <c r="Z23" s="4268"/>
      <c r="AA23" s="4268"/>
      <c r="AB23" s="4272">
        <v>0</v>
      </c>
      <c r="AC23" s="4268"/>
      <c r="AD23" s="4269"/>
      <c r="AE23" s="4270">
        <v>0</v>
      </c>
      <c r="AF23" s="4268"/>
      <c r="AG23" s="4271"/>
      <c r="AH23" s="4268">
        <v>0</v>
      </c>
      <c r="AI23" s="4268"/>
      <c r="AJ23" s="4269"/>
      <c r="AK23" s="4270">
        <v>0</v>
      </c>
      <c r="AL23" s="4268"/>
      <c r="AM23" s="4273"/>
      <c r="AO23" s="1404"/>
    </row>
    <row r="24" spans="2:41" s="1236" customFormat="1" ht="36.65" customHeight="1">
      <c r="B24" s="1399"/>
      <c r="D24" s="4265" t="s">
        <v>1830</v>
      </c>
      <c r="E24" s="4266"/>
      <c r="F24" s="4266"/>
      <c r="G24" s="4266"/>
      <c r="H24" s="4266"/>
      <c r="I24" s="4266"/>
      <c r="J24" s="4266"/>
      <c r="K24" s="4266"/>
      <c r="L24" s="4266"/>
      <c r="M24" s="4266"/>
      <c r="N24" s="4266"/>
      <c r="O24" s="1607"/>
      <c r="P24" s="4258">
        <v>0</v>
      </c>
      <c r="Q24" s="4259"/>
      <c r="R24" s="4260"/>
      <c r="S24" s="4261">
        <v>0</v>
      </c>
      <c r="T24" s="4259"/>
      <c r="U24" s="4262"/>
      <c r="V24" s="4259">
        <v>0</v>
      </c>
      <c r="W24" s="4259"/>
      <c r="X24" s="4260"/>
      <c r="Y24" s="4261">
        <v>0</v>
      </c>
      <c r="Z24" s="4259"/>
      <c r="AA24" s="4259"/>
      <c r="AB24" s="4263">
        <v>0</v>
      </c>
      <c r="AC24" s="4259"/>
      <c r="AD24" s="4260"/>
      <c r="AE24" s="4261">
        <v>0</v>
      </c>
      <c r="AF24" s="4259"/>
      <c r="AG24" s="4262"/>
      <c r="AH24" s="4259">
        <v>0</v>
      </c>
      <c r="AI24" s="4259"/>
      <c r="AJ24" s="4260"/>
      <c r="AK24" s="4261">
        <v>0</v>
      </c>
      <c r="AL24" s="4259"/>
      <c r="AM24" s="4264"/>
      <c r="AO24" s="1404"/>
    </row>
    <row r="25" spans="2:41" s="1236" customFormat="1" ht="22.5" customHeight="1">
      <c r="B25" s="1399"/>
      <c r="D25" s="4265" t="s">
        <v>1715</v>
      </c>
      <c r="E25" s="4266"/>
      <c r="F25" s="4266"/>
      <c r="G25" s="4266"/>
      <c r="H25" s="4266"/>
      <c r="I25" s="4266"/>
      <c r="J25" s="4266"/>
      <c r="K25" s="4266"/>
      <c r="L25" s="4266"/>
      <c r="M25" s="4266"/>
      <c r="N25" s="4266"/>
      <c r="O25" s="1607"/>
      <c r="P25" s="4267">
        <v>0</v>
      </c>
      <c r="Q25" s="4268"/>
      <c r="R25" s="4269"/>
      <c r="S25" s="4270">
        <v>0</v>
      </c>
      <c r="T25" s="4268"/>
      <c r="U25" s="4271"/>
      <c r="V25" s="4268">
        <v>0</v>
      </c>
      <c r="W25" s="4268"/>
      <c r="X25" s="4269"/>
      <c r="Y25" s="4270">
        <v>0</v>
      </c>
      <c r="Z25" s="4268"/>
      <c r="AA25" s="4268"/>
      <c r="AB25" s="4272">
        <v>0</v>
      </c>
      <c r="AC25" s="4268"/>
      <c r="AD25" s="4269"/>
      <c r="AE25" s="4270">
        <v>0</v>
      </c>
      <c r="AF25" s="4268"/>
      <c r="AG25" s="4271"/>
      <c r="AH25" s="4268">
        <v>0</v>
      </c>
      <c r="AI25" s="4268"/>
      <c r="AJ25" s="4269"/>
      <c r="AK25" s="4270">
        <v>0</v>
      </c>
      <c r="AL25" s="4268"/>
      <c r="AM25" s="4273"/>
      <c r="AO25" s="1404"/>
    </row>
    <row r="26" spans="2:41" s="1236" customFormat="1" ht="22.5" customHeight="1">
      <c r="B26" s="1399"/>
      <c r="D26" s="4265" t="s">
        <v>688</v>
      </c>
      <c r="E26" s="4266"/>
      <c r="F26" s="4266"/>
      <c r="G26" s="4266"/>
      <c r="H26" s="4266"/>
      <c r="I26" s="4266"/>
      <c r="J26" s="4266"/>
      <c r="K26" s="4266"/>
      <c r="L26" s="4266"/>
      <c r="M26" s="4266"/>
      <c r="N26" s="4266"/>
      <c r="O26" s="1607"/>
      <c r="P26" s="4258">
        <v>0</v>
      </c>
      <c r="Q26" s="4259"/>
      <c r="R26" s="4260"/>
      <c r="S26" s="4261">
        <v>0</v>
      </c>
      <c r="T26" s="4259"/>
      <c r="U26" s="4262"/>
      <c r="V26" s="4259">
        <v>0</v>
      </c>
      <c r="W26" s="4259"/>
      <c r="X26" s="4260"/>
      <c r="Y26" s="4261">
        <v>0</v>
      </c>
      <c r="Z26" s="4259"/>
      <c r="AA26" s="4259"/>
      <c r="AB26" s="4263">
        <v>0</v>
      </c>
      <c r="AC26" s="4259"/>
      <c r="AD26" s="4260"/>
      <c r="AE26" s="4261">
        <v>0</v>
      </c>
      <c r="AF26" s="4259"/>
      <c r="AG26" s="4262"/>
      <c r="AH26" s="4259">
        <v>0</v>
      </c>
      <c r="AI26" s="4259"/>
      <c r="AJ26" s="4260"/>
      <c r="AK26" s="4261">
        <v>0</v>
      </c>
      <c r="AL26" s="4259"/>
      <c r="AM26" s="4264"/>
      <c r="AO26" s="1404"/>
    </row>
    <row r="27" spans="2:41" s="1236" customFormat="1" ht="36.65" customHeight="1">
      <c r="B27" s="1399"/>
      <c r="D27" s="4265" t="s">
        <v>1831</v>
      </c>
      <c r="E27" s="4266"/>
      <c r="F27" s="4266"/>
      <c r="G27" s="4266"/>
      <c r="H27" s="4266"/>
      <c r="I27" s="4266"/>
      <c r="J27" s="4266"/>
      <c r="K27" s="4266"/>
      <c r="L27" s="4266"/>
      <c r="M27" s="4266"/>
      <c r="N27" s="4266"/>
      <c r="O27" s="1607"/>
      <c r="P27" s="4267">
        <v>0</v>
      </c>
      <c r="Q27" s="4268"/>
      <c r="R27" s="4269"/>
      <c r="S27" s="4270">
        <v>0</v>
      </c>
      <c r="T27" s="4268"/>
      <c r="U27" s="4271"/>
      <c r="V27" s="4268">
        <v>0</v>
      </c>
      <c r="W27" s="4268"/>
      <c r="X27" s="4269"/>
      <c r="Y27" s="4270">
        <v>0</v>
      </c>
      <c r="Z27" s="4268"/>
      <c r="AA27" s="4268"/>
      <c r="AB27" s="4272">
        <v>0</v>
      </c>
      <c r="AC27" s="4268"/>
      <c r="AD27" s="4269"/>
      <c r="AE27" s="4270">
        <v>0</v>
      </c>
      <c r="AF27" s="4268"/>
      <c r="AG27" s="4271"/>
      <c r="AH27" s="4268">
        <v>0</v>
      </c>
      <c r="AI27" s="4268"/>
      <c r="AJ27" s="4269"/>
      <c r="AK27" s="4270">
        <v>0</v>
      </c>
      <c r="AL27" s="4268"/>
      <c r="AM27" s="4273"/>
      <c r="AO27" s="1404"/>
    </row>
    <row r="28" spans="2:41" s="1236" customFormat="1" ht="22.5" customHeight="1">
      <c r="B28" s="1399"/>
      <c r="D28" s="4265" t="s">
        <v>687</v>
      </c>
      <c r="E28" s="4266"/>
      <c r="F28" s="4266"/>
      <c r="G28" s="4266"/>
      <c r="H28" s="4266"/>
      <c r="I28" s="4266"/>
      <c r="J28" s="4266"/>
      <c r="K28" s="4266"/>
      <c r="L28" s="4266"/>
      <c r="M28" s="4266"/>
      <c r="N28" s="4266"/>
      <c r="O28" s="1607"/>
      <c r="P28" s="4258">
        <v>0</v>
      </c>
      <c r="Q28" s="4259"/>
      <c r="R28" s="4260"/>
      <c r="S28" s="4261">
        <v>0</v>
      </c>
      <c r="T28" s="4259"/>
      <c r="U28" s="4262"/>
      <c r="V28" s="4259">
        <v>0</v>
      </c>
      <c r="W28" s="4259"/>
      <c r="X28" s="4260"/>
      <c r="Y28" s="4261">
        <v>0</v>
      </c>
      <c r="Z28" s="4259"/>
      <c r="AA28" s="4259"/>
      <c r="AB28" s="4263">
        <v>0</v>
      </c>
      <c r="AC28" s="4259"/>
      <c r="AD28" s="4260"/>
      <c r="AE28" s="4261">
        <v>0</v>
      </c>
      <c r="AF28" s="4259"/>
      <c r="AG28" s="4262"/>
      <c r="AH28" s="4259">
        <v>0</v>
      </c>
      <c r="AI28" s="4259"/>
      <c r="AJ28" s="4260"/>
      <c r="AK28" s="4261">
        <v>0</v>
      </c>
      <c r="AL28" s="4259"/>
      <c r="AM28" s="4264"/>
      <c r="AO28" s="1404"/>
    </row>
    <row r="29" spans="2:41" s="1236" customFormat="1" ht="22.5" customHeight="1">
      <c r="B29" s="1399"/>
      <c r="D29" s="4265" t="s">
        <v>686</v>
      </c>
      <c r="E29" s="4266"/>
      <c r="F29" s="4266"/>
      <c r="G29" s="4266"/>
      <c r="H29" s="4266"/>
      <c r="I29" s="4266"/>
      <c r="J29" s="4266"/>
      <c r="K29" s="4266"/>
      <c r="L29" s="4266"/>
      <c r="M29" s="4266"/>
      <c r="N29" s="4266"/>
      <c r="O29" s="1607"/>
      <c r="P29" s="4267">
        <v>0</v>
      </c>
      <c r="Q29" s="4268"/>
      <c r="R29" s="4269"/>
      <c r="S29" s="4270">
        <v>0</v>
      </c>
      <c r="T29" s="4268"/>
      <c r="U29" s="4271"/>
      <c r="V29" s="4268">
        <v>0</v>
      </c>
      <c r="W29" s="4268"/>
      <c r="X29" s="4269"/>
      <c r="Y29" s="4270">
        <v>0</v>
      </c>
      <c r="Z29" s="4268"/>
      <c r="AA29" s="4268"/>
      <c r="AB29" s="4272">
        <v>0</v>
      </c>
      <c r="AC29" s="4268"/>
      <c r="AD29" s="4269"/>
      <c r="AE29" s="4270">
        <v>0</v>
      </c>
      <c r="AF29" s="4268"/>
      <c r="AG29" s="4271"/>
      <c r="AH29" s="4268">
        <v>0</v>
      </c>
      <c r="AI29" s="4268"/>
      <c r="AJ29" s="4269"/>
      <c r="AK29" s="4270">
        <v>0</v>
      </c>
      <c r="AL29" s="4268"/>
      <c r="AM29" s="4273"/>
      <c r="AO29" s="1404"/>
    </row>
    <row r="30" spans="2:41" s="1236" customFormat="1" ht="22.5" customHeight="1">
      <c r="B30" s="1399"/>
      <c r="D30" s="4265" t="s">
        <v>685</v>
      </c>
      <c r="E30" s="4266"/>
      <c r="F30" s="4266"/>
      <c r="G30" s="4266"/>
      <c r="H30" s="4266"/>
      <c r="I30" s="4266"/>
      <c r="J30" s="4266"/>
      <c r="K30" s="4266"/>
      <c r="L30" s="4266"/>
      <c r="M30" s="4266"/>
      <c r="N30" s="4266"/>
      <c r="O30" s="1607"/>
      <c r="P30" s="4258">
        <v>0</v>
      </c>
      <c r="Q30" s="4259"/>
      <c r="R30" s="4260"/>
      <c r="S30" s="4261">
        <v>0</v>
      </c>
      <c r="T30" s="4259"/>
      <c r="U30" s="4262"/>
      <c r="V30" s="4259">
        <v>0</v>
      </c>
      <c r="W30" s="4259"/>
      <c r="X30" s="4260"/>
      <c r="Y30" s="4261">
        <v>0</v>
      </c>
      <c r="Z30" s="4259"/>
      <c r="AA30" s="4259"/>
      <c r="AB30" s="4263">
        <v>0</v>
      </c>
      <c r="AC30" s="4259"/>
      <c r="AD30" s="4260"/>
      <c r="AE30" s="4261">
        <v>0</v>
      </c>
      <c r="AF30" s="4259"/>
      <c r="AG30" s="4262"/>
      <c r="AH30" s="4259">
        <v>0</v>
      </c>
      <c r="AI30" s="4259"/>
      <c r="AJ30" s="4260"/>
      <c r="AK30" s="4261">
        <v>0</v>
      </c>
      <c r="AL30" s="4259"/>
      <c r="AM30" s="4264"/>
      <c r="AO30" s="1404"/>
    </row>
    <row r="31" spans="2:41" s="1236" customFormat="1" ht="22.5" customHeight="1">
      <c r="B31" s="1399"/>
      <c r="D31" s="4265" t="s">
        <v>1718</v>
      </c>
      <c r="E31" s="4266"/>
      <c r="F31" s="4266"/>
      <c r="G31" s="4266"/>
      <c r="H31" s="4266"/>
      <c r="I31" s="4266"/>
      <c r="J31" s="4266"/>
      <c r="K31" s="4266"/>
      <c r="L31" s="4266"/>
      <c r="M31" s="4266"/>
      <c r="N31" s="4266"/>
      <c r="O31" s="1607"/>
      <c r="P31" s="4267">
        <v>0</v>
      </c>
      <c r="Q31" s="4268"/>
      <c r="R31" s="4269"/>
      <c r="S31" s="4270">
        <v>0</v>
      </c>
      <c r="T31" s="4268"/>
      <c r="U31" s="4271"/>
      <c r="V31" s="4268">
        <v>0</v>
      </c>
      <c r="W31" s="4268"/>
      <c r="X31" s="4269"/>
      <c r="Y31" s="4270">
        <v>0</v>
      </c>
      <c r="Z31" s="4268"/>
      <c r="AA31" s="4268"/>
      <c r="AB31" s="4272">
        <v>0</v>
      </c>
      <c r="AC31" s="4268"/>
      <c r="AD31" s="4269"/>
      <c r="AE31" s="4270">
        <v>0</v>
      </c>
      <c r="AF31" s="4268"/>
      <c r="AG31" s="4271"/>
      <c r="AH31" s="4268">
        <v>0</v>
      </c>
      <c r="AI31" s="4268"/>
      <c r="AJ31" s="4269"/>
      <c r="AK31" s="4270">
        <v>0</v>
      </c>
      <c r="AL31" s="4268"/>
      <c r="AM31" s="4273"/>
      <c r="AO31" s="1404"/>
    </row>
    <row r="32" spans="2:41" s="1236" customFormat="1" ht="36.65" customHeight="1">
      <c r="B32" s="1399"/>
      <c r="D32" s="4265" t="s">
        <v>1832</v>
      </c>
      <c r="E32" s="4266"/>
      <c r="F32" s="4266"/>
      <c r="G32" s="4266"/>
      <c r="H32" s="4266"/>
      <c r="I32" s="4266"/>
      <c r="J32" s="4266"/>
      <c r="K32" s="4266"/>
      <c r="L32" s="4266"/>
      <c r="M32" s="4266"/>
      <c r="N32" s="4266"/>
      <c r="O32" s="1607"/>
      <c r="P32" s="4258">
        <v>0</v>
      </c>
      <c r="Q32" s="4259"/>
      <c r="R32" s="4260"/>
      <c r="S32" s="4261">
        <v>0</v>
      </c>
      <c r="T32" s="4259"/>
      <c r="U32" s="4262"/>
      <c r="V32" s="4259">
        <v>0</v>
      </c>
      <c r="W32" s="4259"/>
      <c r="X32" s="4260"/>
      <c r="Y32" s="4261">
        <v>0</v>
      </c>
      <c r="Z32" s="4259"/>
      <c r="AA32" s="4259"/>
      <c r="AB32" s="4263">
        <v>0</v>
      </c>
      <c r="AC32" s="4259"/>
      <c r="AD32" s="4260"/>
      <c r="AE32" s="4261">
        <v>0</v>
      </c>
      <c r="AF32" s="4259"/>
      <c r="AG32" s="4262"/>
      <c r="AH32" s="4259">
        <v>0</v>
      </c>
      <c r="AI32" s="4259"/>
      <c r="AJ32" s="4260"/>
      <c r="AK32" s="4261">
        <v>0</v>
      </c>
      <c r="AL32" s="4259"/>
      <c r="AM32" s="4264"/>
      <c r="AO32" s="1404"/>
    </row>
    <row r="33" spans="1:41" s="1236" customFormat="1" ht="22.5" customHeight="1">
      <c r="B33" s="1399"/>
      <c r="D33" s="4274" t="s">
        <v>1820</v>
      </c>
      <c r="E33" s="4275"/>
      <c r="F33" s="4275"/>
      <c r="G33" s="4275"/>
      <c r="H33" s="4275"/>
      <c r="I33" s="4275"/>
      <c r="J33" s="4275"/>
      <c r="K33" s="4275"/>
      <c r="L33" s="4275"/>
      <c r="M33" s="4275"/>
      <c r="N33" s="4275"/>
      <c r="O33" s="1561"/>
      <c r="P33" s="4276"/>
      <c r="Q33" s="4277"/>
      <c r="R33" s="4278"/>
      <c r="S33" s="4285"/>
      <c r="T33" s="4277"/>
      <c r="U33" s="4286"/>
      <c r="V33" s="4277"/>
      <c r="W33" s="4277"/>
      <c r="X33" s="4278"/>
      <c r="Y33" s="4285"/>
      <c r="Z33" s="4277"/>
      <c r="AA33" s="4277"/>
      <c r="AB33" s="4291"/>
      <c r="AC33" s="4277"/>
      <c r="AD33" s="4278"/>
      <c r="AE33" s="4285"/>
      <c r="AF33" s="4277"/>
      <c r="AG33" s="4286"/>
      <c r="AH33" s="4277"/>
      <c r="AI33" s="4277"/>
      <c r="AJ33" s="4278"/>
      <c r="AK33" s="4285"/>
      <c r="AL33" s="4277"/>
      <c r="AM33" s="4294"/>
      <c r="AO33" s="1404"/>
    </row>
    <row r="34" spans="1:41" s="1236" customFormat="1" ht="22.5" customHeight="1">
      <c r="B34" s="1399"/>
      <c r="D34" s="1605"/>
      <c r="E34" s="4061"/>
      <c r="F34" s="4061"/>
      <c r="G34" s="4061"/>
      <c r="H34" s="4061"/>
      <c r="I34" s="4061"/>
      <c r="J34" s="4061"/>
      <c r="K34" s="4061"/>
      <c r="L34" s="4061"/>
      <c r="M34" s="4061"/>
      <c r="N34" s="4061"/>
      <c r="O34" s="1591"/>
      <c r="P34" s="4279"/>
      <c r="Q34" s="4280"/>
      <c r="R34" s="4281"/>
      <c r="S34" s="4287"/>
      <c r="T34" s="4280"/>
      <c r="U34" s="4288"/>
      <c r="V34" s="4280"/>
      <c r="W34" s="4280"/>
      <c r="X34" s="4281"/>
      <c r="Y34" s="4287"/>
      <c r="Z34" s="4280"/>
      <c r="AA34" s="4280"/>
      <c r="AB34" s="4292"/>
      <c r="AC34" s="4280"/>
      <c r="AD34" s="4281"/>
      <c r="AE34" s="4287"/>
      <c r="AF34" s="4280"/>
      <c r="AG34" s="4288"/>
      <c r="AH34" s="4280"/>
      <c r="AI34" s="4280"/>
      <c r="AJ34" s="4281"/>
      <c r="AK34" s="4287"/>
      <c r="AL34" s="4280"/>
      <c r="AM34" s="4295"/>
      <c r="AO34" s="1404"/>
    </row>
    <row r="35" spans="1:41" s="1236" customFormat="1" ht="15" customHeight="1" thickBot="1">
      <c r="B35" s="1399"/>
      <c r="D35" s="1571"/>
      <c r="E35" s="1609" t="str">
        <f>IF(AND(ISBLANK(number_stakeholder_ccam_learner_others_specify), SUM(P33:AM35)&gt;0), "Please specify.", IF(AND(number_stakeholder_ccam_learner_others_specify&gt;0, SUM(P33:AM35)=0), "Please provide details.", ""))</f>
        <v/>
      </c>
      <c r="F35" s="1572"/>
      <c r="G35" s="1572"/>
      <c r="H35" s="1572"/>
      <c r="I35" s="1572"/>
      <c r="J35" s="1572"/>
      <c r="K35" s="1572"/>
      <c r="L35" s="1572"/>
      <c r="M35" s="1572"/>
      <c r="N35" s="1572"/>
      <c r="O35" s="1572"/>
      <c r="P35" s="4282"/>
      <c r="Q35" s="4283"/>
      <c r="R35" s="4284"/>
      <c r="S35" s="4289"/>
      <c r="T35" s="4283"/>
      <c r="U35" s="4290"/>
      <c r="V35" s="4283"/>
      <c r="W35" s="4283"/>
      <c r="X35" s="4284"/>
      <c r="Y35" s="4289"/>
      <c r="Z35" s="4283"/>
      <c r="AA35" s="4283"/>
      <c r="AB35" s="4293"/>
      <c r="AC35" s="4283"/>
      <c r="AD35" s="4284"/>
      <c r="AE35" s="4289"/>
      <c r="AF35" s="4283"/>
      <c r="AG35" s="4290"/>
      <c r="AH35" s="4283"/>
      <c r="AI35" s="4283"/>
      <c r="AJ35" s="4284"/>
      <c r="AK35" s="4289"/>
      <c r="AL35" s="4283"/>
      <c r="AM35" s="4296"/>
      <c r="AO35" s="1404"/>
    </row>
    <row r="36" spans="1:41" s="1236" customFormat="1" ht="19.5" customHeight="1" thickTop="1" thickBot="1">
      <c r="B36" s="1399"/>
      <c r="D36" s="1568" t="s">
        <v>1833</v>
      </c>
      <c r="E36" s="1569"/>
      <c r="F36" s="1569"/>
      <c r="G36" s="1569"/>
      <c r="H36" s="1569"/>
      <c r="I36" s="1569"/>
      <c r="J36" s="1569"/>
      <c r="K36" s="1569"/>
      <c r="L36" s="1569"/>
      <c r="M36" s="1569"/>
      <c r="N36" s="1569"/>
      <c r="O36" s="1569"/>
      <c r="P36" s="4253"/>
      <c r="Q36" s="4254"/>
      <c r="R36" s="4254"/>
      <c r="S36" s="4254"/>
      <c r="T36" s="4254"/>
      <c r="U36" s="4254"/>
      <c r="V36" s="4254"/>
      <c r="W36" s="4254"/>
      <c r="X36" s="4254"/>
      <c r="Y36" s="4254"/>
      <c r="Z36" s="4254"/>
      <c r="AA36" s="4254"/>
      <c r="AB36" s="4254"/>
      <c r="AC36" s="4254"/>
      <c r="AD36" s="4254"/>
      <c r="AE36" s="4254"/>
      <c r="AF36" s="4254"/>
      <c r="AG36" s="4254"/>
      <c r="AH36" s="4254"/>
      <c r="AI36" s="4254"/>
      <c r="AJ36" s="4254"/>
      <c r="AK36" s="4254"/>
      <c r="AL36" s="4254"/>
      <c r="AM36" s="4255"/>
      <c r="AO36" s="1404"/>
    </row>
    <row r="37" spans="1:41" s="1236" customFormat="1" ht="22.5" customHeight="1">
      <c r="B37" s="1399"/>
      <c r="D37" s="4297" t="s">
        <v>691</v>
      </c>
      <c r="E37" s="4298"/>
      <c r="F37" s="4298"/>
      <c r="G37" s="4298"/>
      <c r="H37" s="4298"/>
      <c r="I37" s="4298"/>
      <c r="J37" s="4298"/>
      <c r="K37" s="4298"/>
      <c r="L37" s="4298"/>
      <c r="M37" s="4298"/>
      <c r="N37" s="4298"/>
      <c r="O37" s="1606"/>
      <c r="P37" s="4299">
        <v>0</v>
      </c>
      <c r="Q37" s="4300"/>
      <c r="R37" s="4301"/>
      <c r="S37" s="4302">
        <v>0</v>
      </c>
      <c r="T37" s="4300"/>
      <c r="U37" s="4303"/>
      <c r="V37" s="4300">
        <v>0</v>
      </c>
      <c r="W37" s="4300"/>
      <c r="X37" s="4301"/>
      <c r="Y37" s="4302">
        <v>0</v>
      </c>
      <c r="Z37" s="4300"/>
      <c r="AA37" s="4300"/>
      <c r="AB37" s="4304">
        <v>0</v>
      </c>
      <c r="AC37" s="4300"/>
      <c r="AD37" s="4301"/>
      <c r="AE37" s="4302">
        <v>0</v>
      </c>
      <c r="AF37" s="4300"/>
      <c r="AG37" s="4303"/>
      <c r="AH37" s="4300">
        <v>0</v>
      </c>
      <c r="AI37" s="4300"/>
      <c r="AJ37" s="4301"/>
      <c r="AK37" s="4302">
        <v>0</v>
      </c>
      <c r="AL37" s="4300"/>
      <c r="AM37" s="4305"/>
      <c r="AO37" s="1404"/>
    </row>
    <row r="38" spans="1:41" s="1236" customFormat="1" ht="36.65" customHeight="1" thickBot="1">
      <c r="B38" s="1399"/>
      <c r="D38" s="4265" t="s">
        <v>1720</v>
      </c>
      <c r="E38" s="4266"/>
      <c r="F38" s="4266"/>
      <c r="G38" s="4266"/>
      <c r="H38" s="4266"/>
      <c r="I38" s="4266"/>
      <c r="J38" s="4266"/>
      <c r="K38" s="4266"/>
      <c r="L38" s="4266"/>
      <c r="M38" s="4266"/>
      <c r="N38" s="4266"/>
      <c r="O38" s="1607"/>
      <c r="P38" s="4267">
        <v>0</v>
      </c>
      <c r="Q38" s="4268"/>
      <c r="R38" s="4269"/>
      <c r="S38" s="4270">
        <v>0</v>
      </c>
      <c r="T38" s="4268"/>
      <c r="U38" s="4271"/>
      <c r="V38" s="4272">
        <v>0</v>
      </c>
      <c r="W38" s="4268"/>
      <c r="X38" s="4269"/>
      <c r="Y38" s="4270">
        <v>0</v>
      </c>
      <c r="Z38" s="4268"/>
      <c r="AA38" s="4271"/>
      <c r="AB38" s="4272">
        <v>0</v>
      </c>
      <c r="AC38" s="4268"/>
      <c r="AD38" s="4269"/>
      <c r="AE38" s="4270">
        <v>0</v>
      </c>
      <c r="AF38" s="4268"/>
      <c r="AG38" s="4271"/>
      <c r="AH38" s="4272">
        <v>0</v>
      </c>
      <c r="AI38" s="4268"/>
      <c r="AJ38" s="4269"/>
      <c r="AK38" s="4270">
        <v>0</v>
      </c>
      <c r="AL38" s="4268"/>
      <c r="AM38" s="4273"/>
      <c r="AO38" s="1404"/>
    </row>
    <row r="39" spans="1:41" s="1236" customFormat="1" ht="22.5" customHeight="1">
      <c r="B39" s="1399"/>
      <c r="D39" s="4265" t="s">
        <v>690</v>
      </c>
      <c r="E39" s="4266"/>
      <c r="F39" s="4266"/>
      <c r="G39" s="4266"/>
      <c r="H39" s="4266"/>
      <c r="I39" s="4266"/>
      <c r="J39" s="4266"/>
      <c r="K39" s="4266"/>
      <c r="L39" s="4266"/>
      <c r="M39" s="4266"/>
      <c r="N39" s="4266"/>
      <c r="O39" s="1608"/>
      <c r="P39" s="4299">
        <v>0</v>
      </c>
      <c r="Q39" s="4300"/>
      <c r="R39" s="4301"/>
      <c r="S39" s="4302">
        <v>0</v>
      </c>
      <c r="T39" s="4300"/>
      <c r="U39" s="4303"/>
      <c r="V39" s="4300">
        <v>0</v>
      </c>
      <c r="W39" s="4300"/>
      <c r="X39" s="4301"/>
      <c r="Y39" s="4302">
        <v>0</v>
      </c>
      <c r="Z39" s="4300"/>
      <c r="AA39" s="4300"/>
      <c r="AB39" s="4304">
        <v>0</v>
      </c>
      <c r="AC39" s="4300"/>
      <c r="AD39" s="4301"/>
      <c r="AE39" s="4302">
        <v>0</v>
      </c>
      <c r="AF39" s="4300"/>
      <c r="AG39" s="4303"/>
      <c r="AH39" s="4300">
        <v>0</v>
      </c>
      <c r="AI39" s="4300"/>
      <c r="AJ39" s="4301"/>
      <c r="AK39" s="4302">
        <v>0</v>
      </c>
      <c r="AL39" s="4300"/>
      <c r="AM39" s="4305"/>
      <c r="AO39" s="1404"/>
    </row>
    <row r="40" spans="1:41" s="1236" customFormat="1" ht="36.65" customHeight="1">
      <c r="B40" s="1399"/>
      <c r="D40" s="4265" t="s">
        <v>1834</v>
      </c>
      <c r="E40" s="4266"/>
      <c r="F40" s="4266"/>
      <c r="G40" s="4266"/>
      <c r="H40" s="4266"/>
      <c r="I40" s="4266"/>
      <c r="J40" s="4266"/>
      <c r="K40" s="4266"/>
      <c r="L40" s="4266"/>
      <c r="M40" s="4266"/>
      <c r="N40" s="4266"/>
      <c r="O40" s="1607"/>
      <c r="P40" s="4267">
        <v>0</v>
      </c>
      <c r="Q40" s="4268"/>
      <c r="R40" s="4269"/>
      <c r="S40" s="4270">
        <v>0</v>
      </c>
      <c r="T40" s="4268"/>
      <c r="U40" s="4271"/>
      <c r="V40" s="4272">
        <v>0</v>
      </c>
      <c r="W40" s="4268"/>
      <c r="X40" s="4269"/>
      <c r="Y40" s="4270">
        <v>0</v>
      </c>
      <c r="Z40" s="4268"/>
      <c r="AA40" s="4271"/>
      <c r="AB40" s="4272">
        <v>0</v>
      </c>
      <c r="AC40" s="4268"/>
      <c r="AD40" s="4269"/>
      <c r="AE40" s="4270">
        <v>0</v>
      </c>
      <c r="AF40" s="4268"/>
      <c r="AG40" s="4271"/>
      <c r="AH40" s="4272">
        <v>0</v>
      </c>
      <c r="AI40" s="4268"/>
      <c r="AJ40" s="4269"/>
      <c r="AK40" s="4270">
        <v>0</v>
      </c>
      <c r="AL40" s="4268"/>
      <c r="AM40" s="4273"/>
      <c r="AO40" s="1404"/>
    </row>
    <row r="41" spans="1:41" s="1236" customFormat="1" ht="22.5" customHeight="1">
      <c r="B41" s="1399"/>
      <c r="D41" s="4274" t="s">
        <v>1820</v>
      </c>
      <c r="E41" s="4275"/>
      <c r="F41" s="4275"/>
      <c r="G41" s="4275"/>
      <c r="H41" s="4275"/>
      <c r="I41" s="4275"/>
      <c r="J41" s="4275"/>
      <c r="K41" s="4275"/>
      <c r="L41" s="4275"/>
      <c r="M41" s="4275"/>
      <c r="N41" s="4275"/>
      <c r="O41" s="1561"/>
      <c r="P41" s="4276"/>
      <c r="Q41" s="4277"/>
      <c r="R41" s="4278"/>
      <c r="S41" s="4285"/>
      <c r="T41" s="4277"/>
      <c r="U41" s="4286"/>
      <c r="V41" s="4277"/>
      <c r="W41" s="4277"/>
      <c r="X41" s="4278"/>
      <c r="Y41" s="4285"/>
      <c r="Z41" s="4277"/>
      <c r="AA41" s="4277"/>
      <c r="AB41" s="4291"/>
      <c r="AC41" s="4277"/>
      <c r="AD41" s="4278"/>
      <c r="AE41" s="4285"/>
      <c r="AF41" s="4277"/>
      <c r="AG41" s="4286"/>
      <c r="AH41" s="4277"/>
      <c r="AI41" s="4277"/>
      <c r="AJ41" s="4278"/>
      <c r="AK41" s="4285"/>
      <c r="AL41" s="4277"/>
      <c r="AM41" s="4294"/>
      <c r="AO41" s="1404"/>
    </row>
    <row r="42" spans="1:41" s="1236" customFormat="1" ht="22.5" customHeight="1">
      <c r="B42" s="1399"/>
      <c r="D42" s="1605"/>
      <c r="E42" s="4061"/>
      <c r="F42" s="4061"/>
      <c r="G42" s="4061"/>
      <c r="H42" s="4061"/>
      <c r="I42" s="4061"/>
      <c r="J42" s="4061"/>
      <c r="K42" s="4061"/>
      <c r="L42" s="4061"/>
      <c r="M42" s="4061"/>
      <c r="N42" s="4061"/>
      <c r="O42" s="1591"/>
      <c r="P42" s="4279"/>
      <c r="Q42" s="4280"/>
      <c r="R42" s="4281"/>
      <c r="S42" s="4287"/>
      <c r="T42" s="4280"/>
      <c r="U42" s="4288"/>
      <c r="V42" s="4280"/>
      <c r="W42" s="4280"/>
      <c r="X42" s="4281"/>
      <c r="Y42" s="4287"/>
      <c r="Z42" s="4280"/>
      <c r="AA42" s="4280"/>
      <c r="AB42" s="4292"/>
      <c r="AC42" s="4280"/>
      <c r="AD42" s="4281"/>
      <c r="AE42" s="4287"/>
      <c r="AF42" s="4280"/>
      <c r="AG42" s="4288"/>
      <c r="AH42" s="4280"/>
      <c r="AI42" s="4280"/>
      <c r="AJ42" s="4281"/>
      <c r="AK42" s="4287"/>
      <c r="AL42" s="4280"/>
      <c r="AM42" s="4295"/>
      <c r="AO42" s="1404"/>
    </row>
    <row r="43" spans="1:41" s="1236" customFormat="1" ht="15" customHeight="1" thickBot="1">
      <c r="B43" s="1399"/>
      <c r="D43" s="1557"/>
      <c r="E43" s="1604" t="str">
        <f>IF(AND(ISBLANK(number_stakeholder_pbp_learner_others_specify), SUM(P41:AM43)&gt;0), "Please specify.", IF(AND(number_stakeholder_pbp_learner_others_specify&gt;0, SUM(P41:AM43)=0), "Please provide details.", ""))</f>
        <v/>
      </c>
      <c r="F43" s="1440"/>
      <c r="G43" s="1440"/>
      <c r="H43" s="1440"/>
      <c r="I43" s="1440"/>
      <c r="J43" s="1440"/>
      <c r="K43" s="1440"/>
      <c r="L43" s="1440"/>
      <c r="M43" s="1440"/>
      <c r="N43" s="1440"/>
      <c r="O43" s="1440"/>
      <c r="P43" s="4315"/>
      <c r="Q43" s="4307"/>
      <c r="R43" s="4316"/>
      <c r="S43" s="4306"/>
      <c r="T43" s="4307"/>
      <c r="U43" s="4317"/>
      <c r="V43" s="4307"/>
      <c r="W43" s="4307"/>
      <c r="X43" s="4316"/>
      <c r="Y43" s="4306"/>
      <c r="Z43" s="4307"/>
      <c r="AA43" s="4307"/>
      <c r="AB43" s="4318"/>
      <c r="AC43" s="4307"/>
      <c r="AD43" s="4316"/>
      <c r="AE43" s="4306"/>
      <c r="AF43" s="4307"/>
      <c r="AG43" s="4317"/>
      <c r="AH43" s="4307"/>
      <c r="AI43" s="4307"/>
      <c r="AJ43" s="4316"/>
      <c r="AK43" s="4306"/>
      <c r="AL43" s="4307"/>
      <c r="AM43" s="4308"/>
      <c r="AO43" s="1404"/>
    </row>
    <row r="44" spans="1:41" s="1236" customFormat="1" ht="5.15" customHeight="1" thickTop="1">
      <c r="A44" s="1404"/>
      <c r="D44" s="1595"/>
      <c r="E44" s="1591"/>
      <c r="F44" s="1591"/>
      <c r="G44" s="1591"/>
      <c r="H44" s="1591"/>
      <c r="I44" s="1591"/>
      <c r="J44" s="1591"/>
      <c r="K44" s="1591"/>
      <c r="L44" s="1591"/>
      <c r="M44" s="1591"/>
      <c r="N44" s="1591"/>
      <c r="O44" s="1591"/>
      <c r="P44" s="1403"/>
      <c r="Q44" s="1403"/>
      <c r="R44" s="1403"/>
      <c r="S44" s="1403"/>
      <c r="T44" s="1403"/>
      <c r="U44" s="1403"/>
      <c r="V44" s="1403"/>
      <c r="W44" s="1403"/>
      <c r="X44" s="1403"/>
      <c r="Y44" s="1403"/>
      <c r="Z44" s="1403"/>
      <c r="AA44" s="1403"/>
      <c r="AB44" s="1403"/>
      <c r="AC44" s="1403"/>
      <c r="AD44" s="1403"/>
      <c r="AE44" s="1403"/>
      <c r="AF44" s="1403"/>
      <c r="AG44" s="1403"/>
      <c r="AH44" s="1403"/>
      <c r="AI44" s="1403"/>
      <c r="AJ44" s="1403"/>
      <c r="AK44" s="1403"/>
      <c r="AL44" s="1403"/>
      <c r="AM44" s="1403"/>
      <c r="AO44" s="1404"/>
    </row>
    <row r="45" spans="1:41" s="1444" customFormat="1" ht="22.5" customHeight="1">
      <c r="B45" s="1459"/>
      <c r="C45" s="1575"/>
      <c r="D45" s="216" t="s">
        <v>143</v>
      </c>
      <c r="E45" s="1295"/>
      <c r="F45" s="1295"/>
      <c r="G45" s="4309" t="s">
        <v>1814</v>
      </c>
      <c r="H45" s="4309"/>
      <c r="I45" s="4309"/>
      <c r="J45" s="4309"/>
      <c r="K45" s="4309"/>
      <c r="L45" s="4309"/>
      <c r="M45" s="4309"/>
      <c r="N45" s="4309"/>
      <c r="O45" s="4309"/>
      <c r="P45" s="4309"/>
      <c r="Q45" s="4309"/>
      <c r="R45" s="4309"/>
      <c r="S45" s="4309"/>
      <c r="T45" s="4309"/>
      <c r="U45" s="4309"/>
      <c r="V45" s="4309"/>
      <c r="W45" s="4309"/>
      <c r="X45" s="4309"/>
      <c r="Y45" s="4309"/>
      <c r="Z45" s="4309"/>
      <c r="AA45" s="4309"/>
      <c r="AB45" s="4309"/>
      <c r="AC45" s="4309"/>
      <c r="AD45" s="4309"/>
      <c r="AE45" s="4309"/>
      <c r="AF45" s="4309"/>
      <c r="AG45" s="4309"/>
      <c r="AH45" s="4309"/>
      <c r="AI45" s="4309"/>
      <c r="AJ45" s="4309"/>
      <c r="AK45" s="4309"/>
      <c r="AL45" s="4309"/>
      <c r="AM45" s="4309"/>
      <c r="AO45" s="1596"/>
    </row>
    <row r="46" spans="1:41" s="1236" customFormat="1" ht="10" customHeight="1">
      <c r="B46" s="1399"/>
      <c r="D46" s="1595"/>
      <c r="E46" s="1591"/>
      <c r="F46" s="1591"/>
      <c r="G46" s="1591"/>
      <c r="H46" s="1591"/>
      <c r="I46" s="1591"/>
      <c r="J46" s="1591"/>
      <c r="K46" s="1591"/>
      <c r="L46" s="1591"/>
      <c r="M46" s="1591"/>
      <c r="N46" s="1591"/>
      <c r="O46" s="1591"/>
      <c r="P46" s="1403"/>
      <c r="Q46" s="1403"/>
      <c r="R46" s="1403"/>
      <c r="S46" s="1403"/>
      <c r="T46" s="1403"/>
      <c r="U46" s="1403"/>
      <c r="V46" s="1403"/>
      <c r="W46" s="1403"/>
      <c r="X46" s="1403"/>
      <c r="Y46" s="1403"/>
      <c r="Z46" s="1403"/>
      <c r="AA46" s="1403"/>
      <c r="AB46" s="1403"/>
      <c r="AC46" s="1403"/>
      <c r="AD46" s="1403"/>
      <c r="AE46" s="1403"/>
      <c r="AF46" s="1403"/>
      <c r="AG46" s="1403"/>
      <c r="AH46" s="1403"/>
      <c r="AI46" s="1403"/>
      <c r="AJ46" s="1403"/>
      <c r="AK46" s="1403"/>
      <c r="AL46" s="1403"/>
      <c r="AM46" s="1403"/>
      <c r="AO46" s="1404"/>
    </row>
    <row r="47" spans="1:41" s="1447" customFormat="1" ht="24.75" customHeight="1">
      <c r="B47" s="1597"/>
      <c r="C47" s="1598" t="s">
        <v>152</v>
      </c>
      <c r="D47" s="601" t="b">
        <v>0</v>
      </c>
      <c r="E47" s="1599" t="s">
        <v>1722</v>
      </c>
      <c r="F47" s="1600"/>
      <c r="G47" s="1600"/>
      <c r="H47" s="1600"/>
      <c r="I47" s="1600"/>
      <c r="J47" s="1600"/>
      <c r="K47" s="1600"/>
      <c r="L47" s="1600"/>
      <c r="M47" s="1600"/>
      <c r="N47" s="1600"/>
      <c r="O47" s="1600"/>
      <c r="P47" s="1600"/>
      <c r="Q47" s="1600"/>
      <c r="R47" s="1600"/>
      <c r="S47" s="1600"/>
      <c r="T47" s="1600"/>
      <c r="U47" s="1600"/>
      <c r="V47" s="1600"/>
      <c r="W47" s="1600"/>
      <c r="X47" s="1600"/>
      <c r="Y47" s="1600"/>
      <c r="Z47" s="1600"/>
      <c r="AA47" s="1600"/>
      <c r="AB47" s="1600"/>
      <c r="AC47" s="1600"/>
      <c r="AD47" s="1600"/>
      <c r="AE47" s="1600"/>
      <c r="AF47" s="1600"/>
      <c r="AG47" s="1600"/>
      <c r="AH47" s="1600"/>
      <c r="AI47" s="1600"/>
      <c r="AJ47" s="1600"/>
      <c r="AK47" s="1600"/>
      <c r="AL47" s="1600"/>
      <c r="AM47" s="1600"/>
      <c r="AO47" s="1601"/>
    </row>
    <row r="48" spans="1:41" s="1447" customFormat="1" ht="16" customHeight="1">
      <c r="B48" s="1597"/>
      <c r="C48" s="1450" t="s">
        <v>153</v>
      </c>
      <c r="D48" s="1578" t="s">
        <v>1723</v>
      </c>
      <c r="E48" s="1452"/>
      <c r="F48" s="1452"/>
      <c r="G48" s="1452"/>
      <c r="H48" s="1452"/>
      <c r="I48" s="1452"/>
      <c r="J48" s="1452"/>
      <c r="K48" s="1452"/>
      <c r="L48" s="1452"/>
      <c r="M48" s="1452"/>
      <c r="N48" s="1452"/>
      <c r="O48" s="1452"/>
      <c r="P48" s="1452"/>
      <c r="Q48" s="1452"/>
      <c r="R48" s="1452"/>
      <c r="S48" s="1452"/>
      <c r="T48" s="1452"/>
      <c r="U48" s="1452"/>
      <c r="V48" s="1452"/>
      <c r="W48" s="1452"/>
      <c r="X48" s="1452"/>
      <c r="Y48" s="1452"/>
      <c r="Z48" s="1452"/>
      <c r="AA48" s="1452"/>
      <c r="AO48" s="1601"/>
    </row>
    <row r="49" spans="2:41" s="1236" customFormat="1" ht="5.15" customHeight="1" thickBot="1">
      <c r="B49" s="1602"/>
      <c r="C49" s="1595"/>
      <c r="AO49" s="1404"/>
    </row>
    <row r="50" spans="2:41" s="1591" customFormat="1" ht="18.649999999999999" customHeight="1" thickTop="1">
      <c r="B50" s="1593"/>
      <c r="C50" s="1594"/>
      <c r="D50" s="3951" t="s">
        <v>1757</v>
      </c>
      <c r="E50" s="3952"/>
      <c r="F50" s="3952"/>
      <c r="G50" s="3952"/>
      <c r="H50" s="3952"/>
      <c r="I50" s="3953"/>
      <c r="J50" s="3952" t="s">
        <v>1835</v>
      </c>
      <c r="K50" s="3952"/>
      <c r="L50" s="3952"/>
      <c r="M50" s="3952"/>
      <c r="N50" s="3952"/>
      <c r="O50" s="3953"/>
      <c r="P50" s="1603"/>
      <c r="Q50" s="1603"/>
      <c r="R50" s="1603"/>
      <c r="S50" s="1603"/>
      <c r="T50" s="1603"/>
      <c r="U50" s="1603"/>
      <c r="V50" s="1603"/>
      <c r="W50" s="1603"/>
      <c r="X50" s="1603"/>
      <c r="Y50" s="1603"/>
      <c r="Z50" s="1603"/>
      <c r="AA50" s="1603"/>
      <c r="AB50" s="1603"/>
      <c r="AC50" s="1603"/>
      <c r="AD50" s="1603"/>
      <c r="AE50" s="1603"/>
      <c r="AF50" s="1603"/>
      <c r="AG50" s="1603"/>
      <c r="AH50" s="1603"/>
      <c r="AI50" s="1603"/>
      <c r="AJ50" s="1603"/>
      <c r="AK50" s="1603"/>
      <c r="AO50" s="1592"/>
    </row>
    <row r="51" spans="2:41" s="1591" customFormat="1" ht="18.649999999999999" customHeight="1" thickBot="1">
      <c r="B51" s="1593"/>
      <c r="C51" s="1594"/>
      <c r="D51" s="4004"/>
      <c r="E51" s="4005"/>
      <c r="F51" s="4005"/>
      <c r="G51" s="4005"/>
      <c r="H51" s="4005"/>
      <c r="I51" s="4006"/>
      <c r="J51" s="4005"/>
      <c r="K51" s="4005"/>
      <c r="L51" s="4005"/>
      <c r="M51" s="4005"/>
      <c r="N51" s="4005"/>
      <c r="O51" s="4006"/>
      <c r="P51" s="1603"/>
      <c r="Q51" s="1603"/>
      <c r="R51" s="1603"/>
      <c r="S51" s="1603"/>
      <c r="T51" s="1603"/>
      <c r="U51" s="1603"/>
      <c r="V51" s="1603"/>
      <c r="W51" s="1603"/>
      <c r="X51" s="1603"/>
      <c r="Y51" s="1603"/>
      <c r="Z51" s="1603"/>
      <c r="AA51" s="1603"/>
      <c r="AB51" s="1603"/>
      <c r="AC51" s="1603"/>
      <c r="AD51" s="1603"/>
      <c r="AE51" s="1603"/>
      <c r="AF51" s="1603"/>
      <c r="AG51" s="1603"/>
      <c r="AH51" s="1603"/>
      <c r="AI51" s="1603"/>
      <c r="AJ51" s="1603"/>
      <c r="AK51" s="1603"/>
      <c r="AO51" s="1592"/>
    </row>
    <row r="52" spans="2:41" s="1591" customFormat="1" ht="24.65" customHeight="1" thickTop="1">
      <c r="B52" s="1593"/>
      <c r="C52" s="1594"/>
      <c r="D52" s="4310" t="s">
        <v>593</v>
      </c>
      <c r="E52" s="4311"/>
      <c r="F52" s="4311"/>
      <c r="G52" s="4311"/>
      <c r="H52" s="4311"/>
      <c r="I52" s="4312"/>
      <c r="J52" s="4313">
        <v>0</v>
      </c>
      <c r="K52" s="4313"/>
      <c r="L52" s="4313"/>
      <c r="M52" s="4313"/>
      <c r="N52" s="4313"/>
      <c r="O52" s="4314"/>
      <c r="P52" s="1589"/>
      <c r="Q52" s="1590"/>
      <c r="R52" s="1589"/>
      <c r="S52" s="1589"/>
      <c r="T52" s="1590"/>
      <c r="U52" s="1589"/>
      <c r="V52" s="1589"/>
      <c r="W52" s="1590"/>
      <c r="X52" s="1589"/>
      <c r="Y52" s="1589"/>
      <c r="Z52" s="1590"/>
      <c r="AA52" s="1589"/>
      <c r="AB52" s="1589"/>
      <c r="AC52" s="1590"/>
      <c r="AD52" s="1589"/>
      <c r="AE52" s="1589"/>
      <c r="AF52" s="1589"/>
      <c r="AG52" s="1590"/>
      <c r="AH52" s="1589"/>
      <c r="AI52" s="1589"/>
      <c r="AJ52" s="1590"/>
      <c r="AK52" s="1589"/>
      <c r="AO52" s="1592"/>
    </row>
    <row r="53" spans="2:41" s="1591" customFormat="1" ht="24.65" customHeight="1">
      <c r="B53" s="1593"/>
      <c r="C53" s="1594"/>
      <c r="D53" s="4319" t="s">
        <v>1700</v>
      </c>
      <c r="E53" s="4320"/>
      <c r="F53" s="4320"/>
      <c r="G53" s="4320"/>
      <c r="H53" s="4320"/>
      <c r="I53" s="4321"/>
      <c r="J53" s="4235">
        <v>0</v>
      </c>
      <c r="K53" s="4235"/>
      <c r="L53" s="4235"/>
      <c r="M53" s="4235"/>
      <c r="N53" s="4235"/>
      <c r="O53" s="4240"/>
      <c r="P53" s="1589"/>
      <c r="Q53" s="1590"/>
      <c r="R53" s="1589"/>
      <c r="S53" s="1589"/>
      <c r="T53" s="1590"/>
      <c r="U53" s="1589"/>
      <c r="V53" s="1589"/>
      <c r="W53" s="1590"/>
      <c r="X53" s="1589"/>
      <c r="Y53" s="1589"/>
      <c r="Z53" s="1590"/>
      <c r="AA53" s="1589"/>
      <c r="AB53" s="1589"/>
      <c r="AC53" s="1590"/>
      <c r="AD53" s="1589"/>
      <c r="AE53" s="1589"/>
      <c r="AF53" s="1589"/>
      <c r="AG53" s="1590"/>
      <c r="AH53" s="1589"/>
      <c r="AI53" s="1589"/>
      <c r="AJ53" s="1590"/>
      <c r="AK53" s="1589"/>
      <c r="AO53" s="1592"/>
    </row>
    <row r="54" spans="2:41" s="1591" customFormat="1" ht="24.65" customHeight="1" thickBot="1">
      <c r="B54" s="1593"/>
      <c r="C54" s="1594"/>
      <c r="D54" s="4322" t="s">
        <v>757</v>
      </c>
      <c r="E54" s="4323"/>
      <c r="F54" s="4323"/>
      <c r="G54" s="4323"/>
      <c r="H54" s="4323"/>
      <c r="I54" s="4324"/>
      <c r="J54" s="4325">
        <v>0</v>
      </c>
      <c r="K54" s="4325"/>
      <c r="L54" s="4325"/>
      <c r="M54" s="4325"/>
      <c r="N54" s="4325"/>
      <c r="O54" s="4326"/>
      <c r="P54" s="1589"/>
      <c r="Q54" s="1590"/>
      <c r="R54" s="1589"/>
      <c r="S54" s="1589"/>
      <c r="T54" s="1590"/>
      <c r="U54" s="1589"/>
      <c r="V54" s="1589"/>
      <c r="W54" s="1590"/>
      <c r="X54" s="1589"/>
      <c r="Y54" s="1589"/>
      <c r="Z54" s="1590"/>
      <c r="AA54" s="1589"/>
      <c r="AB54" s="1589"/>
      <c r="AC54" s="1590"/>
      <c r="AD54" s="1589"/>
      <c r="AE54" s="1589"/>
      <c r="AF54" s="1589"/>
      <c r="AG54" s="1590"/>
      <c r="AH54" s="1589"/>
      <c r="AI54" s="1589"/>
      <c r="AJ54" s="1590"/>
      <c r="AK54" s="1589"/>
      <c r="AO54" s="1592"/>
    </row>
    <row r="55" spans="2:41" ht="10" customHeight="1" thickTop="1" thickBot="1">
      <c r="B55" s="1436"/>
      <c r="C55" s="1282"/>
      <c r="D55" s="1587"/>
      <c r="E55" s="1588"/>
      <c r="F55" s="1588"/>
      <c r="G55" s="1588"/>
      <c r="H55" s="1588"/>
      <c r="I55" s="1588"/>
      <c r="J55" s="1588"/>
      <c r="K55" s="1588"/>
      <c r="L55" s="1588"/>
      <c r="M55" s="1588"/>
      <c r="N55" s="1588"/>
      <c r="O55" s="1441"/>
      <c r="P55" s="1441"/>
      <c r="Q55" s="1441"/>
      <c r="R55" s="1441"/>
      <c r="S55" s="1441"/>
      <c r="T55" s="1441"/>
      <c r="U55" s="1441"/>
      <c r="V55" s="1441"/>
      <c r="W55" s="1441"/>
      <c r="X55" s="1441"/>
      <c r="Y55" s="1441"/>
      <c r="Z55" s="1441"/>
      <c r="AA55" s="1441"/>
      <c r="AB55" s="1441"/>
      <c r="AC55" s="1441"/>
      <c r="AD55" s="1441"/>
      <c r="AE55" s="1441"/>
      <c r="AF55" s="1441"/>
      <c r="AG55" s="1441"/>
      <c r="AH55" s="1441"/>
      <c r="AI55" s="1441"/>
      <c r="AJ55" s="1441"/>
      <c r="AK55" s="1441"/>
      <c r="AL55" s="1441"/>
      <c r="AM55" s="1441"/>
      <c r="AN55" s="1441"/>
      <c r="AO55" s="1442"/>
    </row>
    <row r="56" spans="2:41" ht="10" customHeight="1" thickTop="1">
      <c r="B56" s="1443"/>
      <c r="C56" s="587"/>
      <c r="E56" s="1445"/>
      <c r="F56" s="1445"/>
      <c r="G56" s="1445"/>
      <c r="H56" s="1445"/>
      <c r="I56" s="1445"/>
      <c r="J56" s="1445"/>
      <c r="K56" s="1434"/>
      <c r="L56" s="1434"/>
      <c r="M56" s="1434"/>
      <c r="N56" s="1434"/>
      <c r="O56" s="1434"/>
      <c r="P56" s="1434"/>
      <c r="Q56" s="1434"/>
      <c r="R56" s="1434"/>
      <c r="S56" s="1434"/>
      <c r="T56" s="1434"/>
      <c r="U56" s="1434"/>
      <c r="V56" s="1434"/>
      <c r="W56" s="1434"/>
      <c r="X56" s="1434"/>
      <c r="Y56" s="1434"/>
      <c r="Z56" s="1434"/>
      <c r="AA56" s="1434"/>
      <c r="AB56" s="1434"/>
      <c r="AC56" s="1434"/>
      <c r="AD56" s="1434"/>
      <c r="AE56" s="1434"/>
      <c r="AF56" s="1434"/>
      <c r="AG56" s="1434"/>
      <c r="AH56" s="1434"/>
      <c r="AI56" s="1434"/>
      <c r="AJ56" s="1434"/>
      <c r="AK56" s="1434"/>
      <c r="AL56" s="1434"/>
      <c r="AM56" s="1434"/>
      <c r="AN56" s="1434"/>
    </row>
    <row r="57" spans="2:41" s="180" customFormat="1" ht="17.25" customHeight="1">
      <c r="B57" s="3855" t="s">
        <v>1815</v>
      </c>
      <c r="C57" s="3855"/>
      <c r="D57" s="3855"/>
      <c r="E57" s="3855"/>
      <c r="F57" s="3855"/>
      <c r="G57" s="3855"/>
      <c r="H57" s="3855"/>
      <c r="I57" s="3855"/>
      <c r="J57" s="3855"/>
      <c r="K57" s="3855"/>
      <c r="L57" s="3855"/>
      <c r="M57" s="3855"/>
      <c r="N57" s="3855"/>
      <c r="O57" s="3855"/>
      <c r="P57" s="3855"/>
      <c r="Q57" s="3855"/>
      <c r="R57" s="3855"/>
      <c r="S57" s="3855"/>
      <c r="T57" s="3855"/>
      <c r="U57" s="3855"/>
      <c r="V57" s="3855"/>
      <c r="W57" s="3855"/>
      <c r="X57" s="3855"/>
      <c r="Y57" s="3855"/>
      <c r="Z57" s="3855"/>
      <c r="AA57" s="3855"/>
      <c r="AB57" s="3855"/>
      <c r="AC57" s="3855"/>
      <c r="AD57" s="3855"/>
    </row>
    <row r="58" spans="2:41" s="602" customFormat="1" ht="30.75" customHeight="1"/>
    <row r="59" spans="2:41" s="1235" customFormat="1" ht="14">
      <c r="B59" s="169" t="s">
        <v>847</v>
      </c>
      <c r="P59" s="169" t="s">
        <v>747</v>
      </c>
      <c r="AD59" s="169" t="s">
        <v>783</v>
      </c>
    </row>
    <row r="60" spans="2:41" s="1235" customFormat="1" ht="21.75" customHeight="1">
      <c r="B60" s="169" t="s">
        <v>748</v>
      </c>
      <c r="F60" s="3607" t="str">
        <f>activesheet!E29</f>
        <v>RICO S. MISPEROS</v>
      </c>
      <c r="G60" s="3607"/>
      <c r="H60" s="3607"/>
      <c r="I60" s="3607"/>
      <c r="J60" s="3607"/>
      <c r="K60" s="3607"/>
      <c r="L60" s="3607"/>
      <c r="M60" s="3607"/>
      <c r="P60" s="3607" t="str">
        <f>activesheet!E3244</f>
        <v>ELYN KENDRA D. DELA CRUZ</v>
      </c>
      <c r="Q60" s="3607"/>
      <c r="R60" s="3607"/>
      <c r="S60" s="3607"/>
      <c r="T60" s="3607"/>
      <c r="U60" s="3607"/>
      <c r="V60" s="3607"/>
      <c r="W60" s="3607"/>
      <c r="X60" s="3607"/>
      <c r="Y60" s="3607"/>
      <c r="Z60" s="3607"/>
      <c r="AA60" s="3607"/>
      <c r="AD60" s="3906" t="str">
        <f>activesheet!E31</f>
        <v>MICHAEL T. JAMIS</v>
      </c>
      <c r="AE60" s="3906"/>
      <c r="AF60" s="3906"/>
      <c r="AG60" s="3906"/>
      <c r="AH60" s="3906"/>
      <c r="AI60" s="3906"/>
      <c r="AJ60" s="3906"/>
      <c r="AK60" s="3906"/>
      <c r="AL60" s="3906"/>
      <c r="AM60" s="3906"/>
      <c r="AN60" s="3906"/>
      <c r="AO60" s="3906"/>
    </row>
    <row r="61" spans="2:41" s="1237" customFormat="1" ht="14.15" customHeight="1">
      <c r="B61" s="655"/>
      <c r="F61" s="1776" t="s">
        <v>741</v>
      </c>
      <c r="G61" s="1776"/>
      <c r="H61" s="1776"/>
      <c r="I61" s="1776"/>
      <c r="J61" s="1776"/>
      <c r="K61" s="1776"/>
      <c r="L61" s="1776"/>
      <c r="M61" s="1776"/>
      <c r="N61" s="153"/>
      <c r="O61" s="153"/>
      <c r="P61" s="1776" t="s">
        <v>741</v>
      </c>
      <c r="Q61" s="1776"/>
      <c r="R61" s="1776"/>
      <c r="S61" s="1776"/>
      <c r="T61" s="1776"/>
      <c r="U61" s="1776"/>
      <c r="V61" s="1776"/>
      <c r="W61" s="1776"/>
      <c r="X61" s="1776"/>
      <c r="Y61" s="1776"/>
      <c r="Z61" s="1776"/>
      <c r="AA61" s="1776"/>
      <c r="AB61" s="153"/>
      <c r="AC61" s="153"/>
      <c r="AD61" s="3907"/>
      <c r="AE61" s="3907"/>
      <c r="AF61" s="3907"/>
      <c r="AG61" s="3907"/>
      <c r="AH61" s="3907"/>
      <c r="AI61" s="3907"/>
      <c r="AJ61" s="3907"/>
      <c r="AK61" s="3907"/>
      <c r="AL61" s="3907"/>
      <c r="AM61" s="3907"/>
      <c r="AN61" s="3907"/>
      <c r="AO61" s="3907"/>
    </row>
    <row r="62" spans="2:41" s="1235" customFormat="1" ht="21.75" customHeight="1">
      <c r="B62" s="169" t="s">
        <v>71</v>
      </c>
      <c r="F62" s="3607" t="str">
        <f>activesheet!E30</f>
        <v>SCHOOL PRINCIPAL II</v>
      </c>
      <c r="G62" s="3607"/>
      <c r="H62" s="3607"/>
      <c r="I62" s="3607"/>
      <c r="J62" s="3607"/>
      <c r="K62" s="3607"/>
      <c r="L62" s="3607"/>
      <c r="M62" s="3607"/>
      <c r="P62" s="169" t="s">
        <v>71</v>
      </c>
      <c r="V62" s="3607" t="str">
        <f>activesheet!E3245</f>
        <v>Project Development Officer II</v>
      </c>
      <c r="W62" s="3607"/>
      <c r="X62" s="3607"/>
      <c r="Y62" s="3607"/>
      <c r="Z62" s="3607"/>
      <c r="AA62" s="3607"/>
      <c r="AD62" s="1776" t="s">
        <v>741</v>
      </c>
      <c r="AE62" s="1776"/>
      <c r="AF62" s="1776"/>
      <c r="AG62" s="1776"/>
      <c r="AH62" s="1776"/>
      <c r="AI62" s="1776"/>
      <c r="AJ62" s="1776"/>
      <c r="AK62" s="1776"/>
      <c r="AL62" s="1776"/>
      <c r="AM62" s="1776"/>
      <c r="AN62" s="1776"/>
      <c r="AO62" s="1776"/>
    </row>
    <row r="63" spans="2:41">
      <c r="B63" s="1434"/>
      <c r="C63" s="1434"/>
      <c r="D63" s="1434"/>
      <c r="E63" s="1434"/>
      <c r="F63" s="1434"/>
      <c r="G63" s="1434"/>
      <c r="H63" s="1434"/>
      <c r="I63" s="1434"/>
      <c r="J63" s="1434"/>
      <c r="K63" s="1434"/>
      <c r="L63" s="1434"/>
      <c r="M63" s="1434"/>
      <c r="N63" s="602"/>
      <c r="O63" s="602"/>
      <c r="P63" s="1434"/>
      <c r="Q63" s="1434"/>
      <c r="R63" s="1434"/>
      <c r="S63" s="1434"/>
      <c r="T63" s="1434"/>
      <c r="U63" s="1434"/>
      <c r="V63" s="1434"/>
      <c r="W63" s="1434"/>
      <c r="X63" s="1434"/>
      <c r="Y63" s="1434"/>
      <c r="Z63" s="1434"/>
      <c r="AA63" s="1434"/>
      <c r="AB63" s="1434"/>
      <c r="AC63" s="1434"/>
      <c r="AD63" s="1434"/>
      <c r="AE63" s="1434"/>
      <c r="AF63" s="1434"/>
      <c r="AG63" s="1434"/>
      <c r="AH63" s="1434"/>
      <c r="AI63" s="1434"/>
      <c r="AJ63" s="1434"/>
      <c r="AK63" s="1434"/>
      <c r="AL63" s="1434"/>
      <c r="AM63" s="1434"/>
      <c r="AN63" s="1434"/>
    </row>
  </sheetData>
  <sheetProtection algorithmName="SHA-512" hashValue="2w25/r1HdbWpXYXnvR4D793mya5A6krZ9Tl5Da0VGHf6bZIqQhYeYzC/lhIL3t7WjrxMQf85acQpWMo6EXy6Ng==" saltValue="ueBNAYsR7Vpcn/7BX/O9Jw==" spinCount="100000" sheet="1" objects="1" scenarios="1" selectLockedCells="1"/>
  <mergeCells count="280">
    <mergeCell ref="F62:M62"/>
    <mergeCell ref="V62:AA62"/>
    <mergeCell ref="AD62:AO62"/>
    <mergeCell ref="D53:I53"/>
    <mergeCell ref="J53:O53"/>
    <mergeCell ref="D54:I54"/>
    <mergeCell ref="J54:O54"/>
    <mergeCell ref="B57:AD57"/>
    <mergeCell ref="F60:M60"/>
    <mergeCell ref="P60:AA60"/>
    <mergeCell ref="AD60:AO61"/>
    <mergeCell ref="F61:M61"/>
    <mergeCell ref="P61:AA61"/>
    <mergeCell ref="AK41:AM43"/>
    <mergeCell ref="E42:N42"/>
    <mergeCell ref="G45:AM45"/>
    <mergeCell ref="D50:I51"/>
    <mergeCell ref="J50:O51"/>
    <mergeCell ref="D52:I52"/>
    <mergeCell ref="J52:O52"/>
    <mergeCell ref="AH40:AJ40"/>
    <mergeCell ref="AK40:AM40"/>
    <mergeCell ref="D41:N41"/>
    <mergeCell ref="P41:R43"/>
    <mergeCell ref="S41:U43"/>
    <mergeCell ref="V41:X43"/>
    <mergeCell ref="Y41:AA43"/>
    <mergeCell ref="AB41:AD43"/>
    <mergeCell ref="AE41:AG43"/>
    <mergeCell ref="AH41:AJ43"/>
    <mergeCell ref="AE39:AG39"/>
    <mergeCell ref="AH39:AJ39"/>
    <mergeCell ref="AK39:AM39"/>
    <mergeCell ref="D40:N40"/>
    <mergeCell ref="P40:R40"/>
    <mergeCell ref="S40:U40"/>
    <mergeCell ref="V40:X40"/>
    <mergeCell ref="Y40:AA40"/>
    <mergeCell ref="AB40:AD40"/>
    <mergeCell ref="AE40:AG40"/>
    <mergeCell ref="D39:N39"/>
    <mergeCell ref="P39:R39"/>
    <mergeCell ref="S39:U39"/>
    <mergeCell ref="V39:X39"/>
    <mergeCell ref="Y39:AA39"/>
    <mergeCell ref="AB39:AD39"/>
    <mergeCell ref="D38:N38"/>
    <mergeCell ref="P38:R38"/>
    <mergeCell ref="S38:U38"/>
    <mergeCell ref="V38:X38"/>
    <mergeCell ref="Y38:AA38"/>
    <mergeCell ref="AB38:AD38"/>
    <mergeCell ref="AE38:AG38"/>
    <mergeCell ref="AH38:AJ38"/>
    <mergeCell ref="AK38:AM38"/>
    <mergeCell ref="P36:AM36"/>
    <mergeCell ref="D37:N37"/>
    <mergeCell ref="P37:R37"/>
    <mergeCell ref="S37:U37"/>
    <mergeCell ref="V37:X37"/>
    <mergeCell ref="Y37:AA37"/>
    <mergeCell ref="AB37:AD37"/>
    <mergeCell ref="AE37:AG37"/>
    <mergeCell ref="AH37:AJ37"/>
    <mergeCell ref="AK37:AM37"/>
    <mergeCell ref="D33:N33"/>
    <mergeCell ref="P33:R35"/>
    <mergeCell ref="S33:U35"/>
    <mergeCell ref="V33:X35"/>
    <mergeCell ref="Y33:AA35"/>
    <mergeCell ref="AB33:AD35"/>
    <mergeCell ref="AE33:AG35"/>
    <mergeCell ref="AH33:AJ35"/>
    <mergeCell ref="AK33:AM35"/>
    <mergeCell ref="E34:N34"/>
    <mergeCell ref="D32:N32"/>
    <mergeCell ref="P32:R32"/>
    <mergeCell ref="S32:U32"/>
    <mergeCell ref="V32:X32"/>
    <mergeCell ref="Y32:AA32"/>
    <mergeCell ref="AB32:AD32"/>
    <mergeCell ref="AE32:AG32"/>
    <mergeCell ref="AH32:AJ32"/>
    <mergeCell ref="AK32:AM32"/>
    <mergeCell ref="AE30:AG30"/>
    <mergeCell ref="AH30:AJ30"/>
    <mergeCell ref="AK30:AM30"/>
    <mergeCell ref="D31:N31"/>
    <mergeCell ref="P31:R31"/>
    <mergeCell ref="S31:U31"/>
    <mergeCell ref="V31:X31"/>
    <mergeCell ref="Y31:AA31"/>
    <mergeCell ref="AB31:AD31"/>
    <mergeCell ref="AE31:AG31"/>
    <mergeCell ref="D30:N30"/>
    <mergeCell ref="P30:R30"/>
    <mergeCell ref="S30:U30"/>
    <mergeCell ref="V30:X30"/>
    <mergeCell ref="Y30:AA30"/>
    <mergeCell ref="AB30:AD30"/>
    <mergeCell ref="AH31:AJ31"/>
    <mergeCell ref="AK31:AM31"/>
    <mergeCell ref="D29:N29"/>
    <mergeCell ref="P29:R29"/>
    <mergeCell ref="S29:U29"/>
    <mergeCell ref="V29:X29"/>
    <mergeCell ref="Y29:AA29"/>
    <mergeCell ref="AB29:AD29"/>
    <mergeCell ref="AE29:AG29"/>
    <mergeCell ref="AH29:AJ29"/>
    <mergeCell ref="AK29:AM29"/>
    <mergeCell ref="D28:N28"/>
    <mergeCell ref="P28:R28"/>
    <mergeCell ref="S28:U28"/>
    <mergeCell ref="V28:X28"/>
    <mergeCell ref="Y28:AA28"/>
    <mergeCell ref="AB28:AD28"/>
    <mergeCell ref="AE28:AG28"/>
    <mergeCell ref="AH28:AJ28"/>
    <mergeCell ref="AK28:AM28"/>
    <mergeCell ref="AE26:AG26"/>
    <mergeCell ref="AH26:AJ26"/>
    <mergeCell ref="AK26:AM26"/>
    <mergeCell ref="D27:N27"/>
    <mergeCell ref="P27:R27"/>
    <mergeCell ref="S27:U27"/>
    <mergeCell ref="V27:X27"/>
    <mergeCell ref="Y27:AA27"/>
    <mergeCell ref="AB27:AD27"/>
    <mergeCell ref="AE27:AG27"/>
    <mergeCell ref="D26:N26"/>
    <mergeCell ref="P26:R26"/>
    <mergeCell ref="S26:U26"/>
    <mergeCell ref="V26:X26"/>
    <mergeCell ref="Y26:AA26"/>
    <mergeCell ref="AB26:AD26"/>
    <mergeCell ref="AH27:AJ27"/>
    <mergeCell ref="AK27:AM27"/>
    <mergeCell ref="D25:N25"/>
    <mergeCell ref="P25:R25"/>
    <mergeCell ref="S25:U25"/>
    <mergeCell ref="V25:X25"/>
    <mergeCell ref="Y25:AA25"/>
    <mergeCell ref="AB25:AD25"/>
    <mergeCell ref="AE25:AG25"/>
    <mergeCell ref="AH25:AJ25"/>
    <mergeCell ref="AK25:AM25"/>
    <mergeCell ref="D24:N24"/>
    <mergeCell ref="P24:R24"/>
    <mergeCell ref="S24:U24"/>
    <mergeCell ref="V24:X24"/>
    <mergeCell ref="Y24:AA24"/>
    <mergeCell ref="AB24:AD24"/>
    <mergeCell ref="AE24:AG24"/>
    <mergeCell ref="AH24:AJ24"/>
    <mergeCell ref="AK24:AM24"/>
    <mergeCell ref="D23:N23"/>
    <mergeCell ref="P23:R23"/>
    <mergeCell ref="S23:U23"/>
    <mergeCell ref="V23:X23"/>
    <mergeCell ref="Y23:AA23"/>
    <mergeCell ref="AB23:AD23"/>
    <mergeCell ref="AE23:AG23"/>
    <mergeCell ref="AH23:AJ23"/>
    <mergeCell ref="AK23:AM23"/>
    <mergeCell ref="P21:AM21"/>
    <mergeCell ref="D22:N22"/>
    <mergeCell ref="P22:R22"/>
    <mergeCell ref="S22:U22"/>
    <mergeCell ref="V22:X22"/>
    <mergeCell ref="Y22:AA22"/>
    <mergeCell ref="AB22:AD22"/>
    <mergeCell ref="AE22:AG22"/>
    <mergeCell ref="AH22:AJ22"/>
    <mergeCell ref="AK22:AM22"/>
    <mergeCell ref="AE17:AG17"/>
    <mergeCell ref="AH17:AJ17"/>
    <mergeCell ref="AK17:AM17"/>
    <mergeCell ref="D18:N18"/>
    <mergeCell ref="P18:R20"/>
    <mergeCell ref="S18:U20"/>
    <mergeCell ref="V18:X20"/>
    <mergeCell ref="Y18:AA20"/>
    <mergeCell ref="AB18:AD20"/>
    <mergeCell ref="AE18:AG20"/>
    <mergeCell ref="D17:N17"/>
    <mergeCell ref="P17:R17"/>
    <mergeCell ref="S17:U17"/>
    <mergeCell ref="V17:X17"/>
    <mergeCell ref="Y17:AA17"/>
    <mergeCell ref="AB17:AD17"/>
    <mergeCell ref="AH18:AJ20"/>
    <mergeCell ref="AK18:AM20"/>
    <mergeCell ref="E19:N19"/>
    <mergeCell ref="D16:N16"/>
    <mergeCell ref="P16:R16"/>
    <mergeCell ref="S16:U16"/>
    <mergeCell ref="V16:X16"/>
    <mergeCell ref="Y16:AA16"/>
    <mergeCell ref="AB16:AD16"/>
    <mergeCell ref="AE16:AG16"/>
    <mergeCell ref="AH16:AJ16"/>
    <mergeCell ref="AK16:AM16"/>
    <mergeCell ref="D15:N15"/>
    <mergeCell ref="P15:R15"/>
    <mergeCell ref="S15:U15"/>
    <mergeCell ref="V15:X15"/>
    <mergeCell ref="Y15:AA15"/>
    <mergeCell ref="AB15:AD15"/>
    <mergeCell ref="AE15:AG15"/>
    <mergeCell ref="AH15:AJ15"/>
    <mergeCell ref="AK15:AM15"/>
    <mergeCell ref="AE13:AG13"/>
    <mergeCell ref="AH13:AJ13"/>
    <mergeCell ref="AK13:AM13"/>
    <mergeCell ref="D14:N14"/>
    <mergeCell ref="P14:R14"/>
    <mergeCell ref="S14:U14"/>
    <mergeCell ref="V14:X14"/>
    <mergeCell ref="Y14:AA14"/>
    <mergeCell ref="AB14:AD14"/>
    <mergeCell ref="AE14:AG14"/>
    <mergeCell ref="D13:N13"/>
    <mergeCell ref="P13:R13"/>
    <mergeCell ref="S13:U13"/>
    <mergeCell ref="V13:X13"/>
    <mergeCell ref="Y13:AA13"/>
    <mergeCell ref="AB13:AD13"/>
    <mergeCell ref="AH14:AJ14"/>
    <mergeCell ref="AK14:AM14"/>
    <mergeCell ref="D12:N12"/>
    <mergeCell ref="P12:R12"/>
    <mergeCell ref="S12:U12"/>
    <mergeCell ref="V12:X12"/>
    <mergeCell ref="Y12:AA12"/>
    <mergeCell ref="AB12:AD12"/>
    <mergeCell ref="AE12:AG12"/>
    <mergeCell ref="AH12:AJ12"/>
    <mergeCell ref="AK12:AM12"/>
    <mergeCell ref="D11:N11"/>
    <mergeCell ref="P11:R11"/>
    <mergeCell ref="S11:U11"/>
    <mergeCell ref="V11:X11"/>
    <mergeCell ref="Y11:AA11"/>
    <mergeCell ref="AB11:AD11"/>
    <mergeCell ref="AE11:AG11"/>
    <mergeCell ref="AH11:AJ11"/>
    <mergeCell ref="AK11:AM11"/>
    <mergeCell ref="D10:N10"/>
    <mergeCell ref="P10:R10"/>
    <mergeCell ref="S10:U10"/>
    <mergeCell ref="V10:X10"/>
    <mergeCell ref="Y10:AA10"/>
    <mergeCell ref="AB10:AD10"/>
    <mergeCell ref="AE10:AG10"/>
    <mergeCell ref="AH10:AJ10"/>
    <mergeCell ref="AK10:AM10"/>
    <mergeCell ref="AE7:AG7"/>
    <mergeCell ref="AH7:AJ7"/>
    <mergeCell ref="AK7:AM7"/>
    <mergeCell ref="P8:AM8"/>
    <mergeCell ref="D9:N9"/>
    <mergeCell ref="P9:R9"/>
    <mergeCell ref="S9:U9"/>
    <mergeCell ref="V9:X9"/>
    <mergeCell ref="Y9:AA9"/>
    <mergeCell ref="AB9:AD9"/>
    <mergeCell ref="D6:O7"/>
    <mergeCell ref="P6:U6"/>
    <mergeCell ref="V6:AA6"/>
    <mergeCell ref="AB6:AG6"/>
    <mergeCell ref="AH6:AM6"/>
    <mergeCell ref="P7:R7"/>
    <mergeCell ref="S7:U7"/>
    <mergeCell ref="V7:X7"/>
    <mergeCell ref="Y7:AA7"/>
    <mergeCell ref="AB7:AD7"/>
    <mergeCell ref="AE9:AG9"/>
    <mergeCell ref="AH9:AJ9"/>
    <mergeCell ref="AK9:AM9"/>
  </mergeCells>
  <dataValidations count="2">
    <dataValidation type="whole" allowBlank="1" showInputMessage="1" showErrorMessage="1" errorTitle="GESP SY 2021-2022" error="Please enter valid number between 0 - 999." sqref="J52:O54" xr:uid="{00000000-0002-0000-3C00-000000000000}">
      <formula1>0</formula1>
      <formula2>999</formula2>
    </dataValidation>
    <dataValidation type="whole" allowBlank="1" showInputMessage="1" showErrorMessage="1" errorTitle="GESP SY 2022-2023" error="Please enter valid number between 0 - 20,000." sqref="P9:AM20 P22:AM35 P37:AM43" xr:uid="{00000000-0002-0000-3C00-000001000000}">
      <formula1>0</formula1>
      <formula2>20000</formula2>
    </dataValidation>
  </dataValidations>
  <printOptions horizontalCentered="1" verticalCentered="1"/>
  <pageMargins left="0.25" right="0.25" top="0.2" bottom="0.2" header="0" footer="0.1"/>
  <pageSetup paperSize="9" scale="58" orientation="portrait" r:id="rId1"/>
  <headerFooter>
    <oddFooter>&amp;L&amp;10&amp;F &amp;A&amp;R&amp;10Page 57 of 60</oddFooter>
  </headerFooter>
  <ignoredErrors>
    <ignoredError sqref="C47:C48 C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6305" r:id="rId4" name="Check Box 1">
              <controlPr locked="0" defaultSize="0" autoFill="0" autoLine="0" autoPict="0">
                <anchor moveWithCells="1">
                  <from>
                    <xdr:col>3</xdr:col>
                    <xdr:colOff>50800</xdr:colOff>
                    <xdr:row>46</xdr:row>
                    <xdr:rowOff>50800</xdr:rowOff>
                  </from>
                  <to>
                    <xdr:col>6</xdr:col>
                    <xdr:colOff>31750</xdr:colOff>
                    <xdr:row>46</xdr:row>
                    <xdr:rowOff>260350</xdr:rowOff>
                  </to>
                </anchor>
              </controlPr>
            </control>
          </mc:Choice>
        </mc:AlternateContent>
      </controls>
    </mc:Choice>
  </mc:AlternateContent>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pageSetUpPr fitToPage="1"/>
  </sheetPr>
  <dimension ref="B1:AX62"/>
  <sheetViews>
    <sheetView showGridLines="0" zoomScaleNormal="100" zoomScaleSheetLayoutView="100" workbookViewId="0">
      <selection activeCell="AH51" sqref="AH51:AJ53"/>
    </sheetView>
  </sheetViews>
  <sheetFormatPr defaultColWidth="8" defaultRowHeight="15.5"/>
  <cols>
    <col min="1" max="1" width="2.08203125" style="1434" customWidth="1"/>
    <col min="2" max="3" width="3.58203125" style="1434" customWidth="1"/>
    <col min="4" max="41" width="3.58203125" style="1444" customWidth="1"/>
    <col min="42" max="42" width="2.08203125" style="1444" customWidth="1"/>
    <col min="43" max="43" width="3.58203125" style="1434" customWidth="1"/>
    <col min="44" max="44" width="2.08203125" style="1434" customWidth="1"/>
    <col min="45" max="176" width="3.58203125" style="1434" customWidth="1"/>
    <col min="177" max="16384" width="8" style="1434"/>
  </cols>
  <sheetData>
    <row r="1" spans="3:50" ht="12" customHeight="1">
      <c r="D1" s="1434"/>
      <c r="AQ1" s="1444"/>
    </row>
    <row r="2" spans="3:50" ht="17" thickBot="1">
      <c r="C2" s="1467" t="s">
        <v>1758</v>
      </c>
      <c r="D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c r="AO2" s="1434"/>
      <c r="AP2" s="1434"/>
    </row>
    <row r="3" spans="3:50" ht="5.15" customHeight="1" thickTop="1">
      <c r="C3" s="1636"/>
      <c r="D3" s="1469"/>
      <c r="E3" s="1637"/>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433"/>
      <c r="AP3" s="1434"/>
    </row>
    <row r="4" spans="3:50" s="1447" customFormat="1">
      <c r="C4" s="1626"/>
      <c r="D4" s="1638" t="s">
        <v>151</v>
      </c>
      <c r="E4" s="4327" t="s">
        <v>1836</v>
      </c>
      <c r="F4" s="4327"/>
      <c r="G4" s="4327"/>
      <c r="H4" s="4327"/>
      <c r="I4" s="4327"/>
      <c r="J4" s="4327"/>
      <c r="K4" s="4327"/>
      <c r="L4" s="4327"/>
      <c r="M4" s="4327"/>
      <c r="N4" s="4327"/>
      <c r="O4" s="4327"/>
      <c r="P4" s="4327"/>
      <c r="Q4" s="4327"/>
      <c r="R4" s="4327"/>
      <c r="S4" s="4327"/>
      <c r="T4" s="4327"/>
      <c r="U4" s="4327"/>
      <c r="V4" s="4327"/>
      <c r="W4" s="4327"/>
      <c r="X4" s="4327"/>
      <c r="Y4" s="4327"/>
      <c r="Z4" s="4327"/>
      <c r="AA4" s="4327"/>
      <c r="AB4" s="4327"/>
      <c r="AC4" s="1452"/>
      <c r="AO4" s="1626"/>
    </row>
    <row r="5" spans="3:50" s="1447" customFormat="1" ht="5.15" customHeight="1" thickBot="1">
      <c r="C5" s="1626"/>
      <c r="E5" s="1639"/>
      <c r="F5" s="1640"/>
      <c r="G5" s="1641"/>
      <c r="H5" s="1641"/>
      <c r="I5" s="1641"/>
      <c r="J5" s="1641"/>
      <c r="K5" s="1641"/>
      <c r="L5" s="1641"/>
      <c r="M5" s="1641"/>
      <c r="N5" s="1641"/>
      <c r="O5" s="1641"/>
      <c r="P5" s="1641"/>
      <c r="Q5" s="1641"/>
      <c r="R5" s="1641"/>
      <c r="S5" s="1641"/>
      <c r="T5" s="1641"/>
      <c r="U5" s="1641"/>
      <c r="V5" s="1641"/>
      <c r="W5" s="1641"/>
      <c r="X5" s="1641"/>
      <c r="Y5" s="1641"/>
      <c r="Z5" s="1641"/>
      <c r="AA5" s="1641"/>
      <c r="AB5" s="1641"/>
      <c r="AC5" s="1641"/>
      <c r="AD5" s="1641"/>
      <c r="AE5" s="1641"/>
      <c r="AF5" s="1642"/>
      <c r="AG5" s="1642"/>
      <c r="AH5" s="1642"/>
      <c r="AI5" s="1642"/>
      <c r="AJ5" s="1642"/>
      <c r="AK5" s="1642"/>
      <c r="AL5" s="1642"/>
      <c r="AO5" s="1626"/>
    </row>
    <row r="6" spans="3:50" s="1236" customFormat="1" ht="61" customHeight="1" thickTop="1" thickBot="1">
      <c r="C6" s="1399"/>
      <c r="E6" s="3951" t="s">
        <v>1823</v>
      </c>
      <c r="F6" s="3952"/>
      <c r="G6" s="3952"/>
      <c r="H6" s="3952"/>
      <c r="I6" s="3952"/>
      <c r="J6" s="3952"/>
      <c r="K6" s="3952"/>
      <c r="L6" s="3952"/>
      <c r="M6" s="3952"/>
      <c r="N6" s="3953"/>
      <c r="O6" s="3750" t="s">
        <v>1824</v>
      </c>
      <c r="P6" s="3751"/>
      <c r="Q6" s="3751"/>
      <c r="R6" s="3751"/>
      <c r="S6" s="3751"/>
      <c r="T6" s="3752"/>
      <c r="U6" s="3751" t="s">
        <v>1661</v>
      </c>
      <c r="V6" s="3751"/>
      <c r="W6" s="3751"/>
      <c r="X6" s="3751"/>
      <c r="Y6" s="3751"/>
      <c r="Z6" s="3751"/>
      <c r="AA6" s="3753" t="s">
        <v>1662</v>
      </c>
      <c r="AB6" s="3751"/>
      <c r="AC6" s="3751"/>
      <c r="AD6" s="3751"/>
      <c r="AE6" s="3751"/>
      <c r="AF6" s="3752"/>
      <c r="AG6" s="3751" t="s">
        <v>1813</v>
      </c>
      <c r="AH6" s="3751"/>
      <c r="AI6" s="3751"/>
      <c r="AJ6" s="3751"/>
      <c r="AK6" s="3751"/>
      <c r="AL6" s="3754"/>
      <c r="AM6" s="1399"/>
      <c r="AO6" s="1399"/>
    </row>
    <row r="7" spans="3:50" s="1236" customFormat="1" ht="19.5" customHeight="1" thickBot="1">
      <c r="C7" s="1399"/>
      <c r="E7" s="3954"/>
      <c r="F7" s="3955"/>
      <c r="G7" s="3955"/>
      <c r="H7" s="3955"/>
      <c r="I7" s="3955"/>
      <c r="J7" s="3955"/>
      <c r="K7" s="3955"/>
      <c r="L7" s="3955"/>
      <c r="M7" s="3955"/>
      <c r="N7" s="3956"/>
      <c r="O7" s="3954" t="s">
        <v>15</v>
      </c>
      <c r="P7" s="3955"/>
      <c r="Q7" s="3957"/>
      <c r="R7" s="3958" t="s">
        <v>16</v>
      </c>
      <c r="S7" s="3955"/>
      <c r="T7" s="3971"/>
      <c r="U7" s="3955" t="s">
        <v>15</v>
      </c>
      <c r="V7" s="3955"/>
      <c r="W7" s="3957"/>
      <c r="X7" s="3958" t="s">
        <v>16</v>
      </c>
      <c r="Y7" s="3955"/>
      <c r="Z7" s="3955"/>
      <c r="AA7" s="3972" t="s">
        <v>15</v>
      </c>
      <c r="AB7" s="3955"/>
      <c r="AC7" s="3957"/>
      <c r="AD7" s="3958" t="s">
        <v>16</v>
      </c>
      <c r="AE7" s="3955"/>
      <c r="AF7" s="3971"/>
      <c r="AG7" s="3955" t="s">
        <v>15</v>
      </c>
      <c r="AH7" s="3955"/>
      <c r="AI7" s="3957"/>
      <c r="AJ7" s="3958" t="s">
        <v>16</v>
      </c>
      <c r="AK7" s="3955"/>
      <c r="AL7" s="3956"/>
      <c r="AO7" s="1399"/>
    </row>
    <row r="8" spans="3:50" s="1236" customFormat="1" ht="22.5" customHeight="1" thickTop="1">
      <c r="C8" s="1399"/>
      <c r="E8" s="1630" t="s">
        <v>151</v>
      </c>
      <c r="F8" s="4328" t="s">
        <v>1837</v>
      </c>
      <c r="G8" s="4328"/>
      <c r="H8" s="4328"/>
      <c r="I8" s="4328"/>
      <c r="J8" s="4328"/>
      <c r="K8" s="4328"/>
      <c r="L8" s="4328"/>
      <c r="M8" s="4328"/>
      <c r="N8" s="1631"/>
      <c r="O8" s="4258">
        <v>0</v>
      </c>
      <c r="P8" s="4259"/>
      <c r="Q8" s="4260"/>
      <c r="R8" s="4261">
        <v>0</v>
      </c>
      <c r="S8" s="4259"/>
      <c r="T8" s="4262"/>
      <c r="U8" s="4259">
        <v>0</v>
      </c>
      <c r="V8" s="4259"/>
      <c r="W8" s="4260"/>
      <c r="X8" s="4261">
        <v>0</v>
      </c>
      <c r="Y8" s="4259"/>
      <c r="Z8" s="4259"/>
      <c r="AA8" s="4263"/>
      <c r="AB8" s="4259"/>
      <c r="AC8" s="4260"/>
      <c r="AD8" s="4261">
        <v>0</v>
      </c>
      <c r="AE8" s="4259"/>
      <c r="AF8" s="4262"/>
      <c r="AG8" s="4259">
        <v>0</v>
      </c>
      <c r="AH8" s="4259"/>
      <c r="AI8" s="4260"/>
      <c r="AJ8" s="4261">
        <v>0</v>
      </c>
      <c r="AK8" s="4259"/>
      <c r="AL8" s="4264"/>
      <c r="AO8" s="1399"/>
    </row>
    <row r="9" spans="3:50" s="1236" customFormat="1" ht="22.5" customHeight="1">
      <c r="C9" s="1399"/>
      <c r="E9" s="1632" t="s">
        <v>152</v>
      </c>
      <c r="F9" s="4329" t="s">
        <v>1838</v>
      </c>
      <c r="G9" s="4329"/>
      <c r="H9" s="4329"/>
      <c r="I9" s="4329"/>
      <c r="J9" s="4329"/>
      <c r="K9" s="4329"/>
      <c r="L9" s="4329"/>
      <c r="M9" s="4329"/>
      <c r="N9" s="1633"/>
      <c r="O9" s="4267">
        <v>0</v>
      </c>
      <c r="P9" s="4268"/>
      <c r="Q9" s="4269"/>
      <c r="R9" s="4270">
        <v>0</v>
      </c>
      <c r="S9" s="4268"/>
      <c r="T9" s="4271"/>
      <c r="U9" s="4268">
        <v>0</v>
      </c>
      <c r="V9" s="4268"/>
      <c r="W9" s="4269"/>
      <c r="X9" s="4270">
        <v>0</v>
      </c>
      <c r="Y9" s="4268"/>
      <c r="Z9" s="4268"/>
      <c r="AA9" s="4272">
        <v>0</v>
      </c>
      <c r="AB9" s="4268"/>
      <c r="AC9" s="4269"/>
      <c r="AD9" s="4270">
        <v>0</v>
      </c>
      <c r="AE9" s="4268"/>
      <c r="AF9" s="4271"/>
      <c r="AG9" s="4268">
        <v>0</v>
      </c>
      <c r="AH9" s="4268"/>
      <c r="AI9" s="4269"/>
      <c r="AJ9" s="4270">
        <v>0</v>
      </c>
      <c r="AK9" s="4268"/>
      <c r="AL9" s="4273"/>
      <c r="AO9" s="1399"/>
    </row>
    <row r="10" spans="3:50" s="1236" customFormat="1" ht="22.5" customHeight="1">
      <c r="C10" s="1399"/>
      <c r="E10" s="1632" t="s">
        <v>153</v>
      </c>
      <c r="F10" s="4329" t="s">
        <v>1839</v>
      </c>
      <c r="G10" s="4329"/>
      <c r="H10" s="4329"/>
      <c r="I10" s="4329"/>
      <c r="J10" s="4329"/>
      <c r="K10" s="4329"/>
      <c r="L10" s="4329"/>
      <c r="M10" s="4329"/>
      <c r="N10" s="1634"/>
      <c r="O10" s="4267">
        <v>0</v>
      </c>
      <c r="P10" s="4268"/>
      <c r="Q10" s="4269"/>
      <c r="R10" s="4270">
        <v>0</v>
      </c>
      <c r="S10" s="4268"/>
      <c r="T10" s="4271"/>
      <c r="U10" s="4268">
        <v>0</v>
      </c>
      <c r="V10" s="4268"/>
      <c r="W10" s="4269"/>
      <c r="X10" s="4270">
        <v>0</v>
      </c>
      <c r="Y10" s="4268"/>
      <c r="Z10" s="4268"/>
      <c r="AA10" s="4272">
        <v>0</v>
      </c>
      <c r="AB10" s="4268"/>
      <c r="AC10" s="4269"/>
      <c r="AD10" s="4270">
        <v>0</v>
      </c>
      <c r="AE10" s="4268"/>
      <c r="AF10" s="4271"/>
      <c r="AG10" s="4268">
        <v>0</v>
      </c>
      <c r="AH10" s="4268"/>
      <c r="AI10" s="4269"/>
      <c r="AJ10" s="4270">
        <v>0</v>
      </c>
      <c r="AK10" s="4268"/>
      <c r="AL10" s="4273"/>
      <c r="AO10" s="1399"/>
    </row>
    <row r="11" spans="3:50" s="1236" customFormat="1" ht="22.5" customHeight="1" thickBot="1">
      <c r="C11" s="1399"/>
      <c r="E11" s="1408" t="s">
        <v>154</v>
      </c>
      <c r="F11" s="4330" t="s">
        <v>1840</v>
      </c>
      <c r="G11" s="4330"/>
      <c r="H11" s="4330"/>
      <c r="I11" s="4330"/>
      <c r="J11" s="4330"/>
      <c r="K11" s="4330"/>
      <c r="L11" s="4330"/>
      <c r="M11" s="4330"/>
      <c r="N11" s="1635"/>
      <c r="O11" s="4331">
        <v>0</v>
      </c>
      <c r="P11" s="4332"/>
      <c r="Q11" s="4333"/>
      <c r="R11" s="4334">
        <v>0</v>
      </c>
      <c r="S11" s="4332"/>
      <c r="T11" s="4335"/>
      <c r="U11" s="4332">
        <v>0</v>
      </c>
      <c r="V11" s="4332"/>
      <c r="W11" s="4333"/>
      <c r="X11" s="4334">
        <v>0</v>
      </c>
      <c r="Y11" s="4332"/>
      <c r="Z11" s="4332"/>
      <c r="AA11" s="4336">
        <v>0</v>
      </c>
      <c r="AB11" s="4332"/>
      <c r="AC11" s="4333"/>
      <c r="AD11" s="4334">
        <v>0</v>
      </c>
      <c r="AE11" s="4332"/>
      <c r="AF11" s="4335"/>
      <c r="AG11" s="4332">
        <v>0</v>
      </c>
      <c r="AH11" s="4332"/>
      <c r="AI11" s="4333"/>
      <c r="AJ11" s="4334">
        <v>0</v>
      </c>
      <c r="AK11" s="4332"/>
      <c r="AL11" s="4337"/>
      <c r="AO11" s="1399"/>
    </row>
    <row r="12" spans="3:50" s="1236" customFormat="1" ht="5.15" customHeight="1" thickTop="1">
      <c r="C12" s="1399"/>
      <c r="E12" s="1400"/>
      <c r="F12" s="1624"/>
      <c r="G12" s="1624"/>
      <c r="H12" s="1624"/>
      <c r="I12" s="1624"/>
      <c r="J12" s="1624"/>
      <c r="K12" s="1624"/>
      <c r="L12" s="1624"/>
      <c r="M12" s="1624"/>
      <c r="N12" s="1624"/>
      <c r="O12" s="1403"/>
      <c r="P12" s="1403"/>
      <c r="Q12" s="1403"/>
      <c r="R12" s="1403"/>
      <c r="S12" s="1403"/>
      <c r="T12" s="1403"/>
      <c r="U12" s="1403"/>
      <c r="V12" s="1403"/>
      <c r="W12" s="1403"/>
      <c r="X12" s="1403"/>
      <c r="Y12" s="1403"/>
      <c r="Z12" s="1403"/>
      <c r="AA12" s="1403"/>
      <c r="AB12" s="1403"/>
      <c r="AC12" s="1403"/>
      <c r="AD12" s="1403"/>
      <c r="AE12" s="1403"/>
      <c r="AF12" s="1403"/>
      <c r="AG12" s="1403"/>
      <c r="AH12" s="1403"/>
      <c r="AI12" s="1403"/>
      <c r="AJ12" s="1403"/>
      <c r="AK12" s="1403"/>
      <c r="AL12" s="1403"/>
      <c r="AN12" s="1404"/>
    </row>
    <row r="13" spans="3:50" s="1444" customFormat="1" ht="22.5" customHeight="1">
      <c r="C13" s="1459"/>
      <c r="D13" s="1575"/>
      <c r="E13" s="216" t="s">
        <v>143</v>
      </c>
      <c r="F13" s="1295"/>
      <c r="G13" s="1295"/>
      <c r="H13" s="1473" t="s">
        <v>1814</v>
      </c>
      <c r="I13" s="1473"/>
      <c r="J13" s="1473"/>
      <c r="K13" s="1473"/>
      <c r="L13" s="1473"/>
      <c r="M13" s="1473"/>
      <c r="N13" s="1473"/>
      <c r="O13" s="1473"/>
      <c r="P13" s="1473"/>
      <c r="Q13" s="1473"/>
      <c r="R13" s="1473"/>
      <c r="S13" s="1473"/>
      <c r="T13" s="1473"/>
      <c r="U13" s="1473"/>
      <c r="V13" s="1473"/>
      <c r="W13" s="1473"/>
      <c r="X13" s="1473"/>
      <c r="Y13" s="1473"/>
      <c r="Z13" s="1473"/>
      <c r="AA13" s="1473"/>
      <c r="AB13" s="1473"/>
      <c r="AC13" s="1473"/>
      <c r="AD13" s="1473"/>
      <c r="AE13" s="1473"/>
      <c r="AF13" s="1473"/>
      <c r="AG13" s="1473"/>
      <c r="AH13" s="1473"/>
      <c r="AI13" s="1473"/>
      <c r="AJ13" s="1473"/>
      <c r="AK13" s="1473"/>
      <c r="AL13" s="1473"/>
      <c r="AM13" s="1473"/>
      <c r="AN13" s="1596"/>
    </row>
    <row r="14" spans="3:50" s="1447" customFormat="1" ht="10" customHeight="1">
      <c r="C14" s="1597"/>
      <c r="D14" s="1575"/>
      <c r="E14" s="1295"/>
      <c r="F14" s="1295"/>
      <c r="G14" s="1295"/>
      <c r="H14" s="1625"/>
      <c r="I14" s="1625"/>
      <c r="J14" s="1625"/>
      <c r="K14" s="1295"/>
      <c r="L14" s="1295"/>
      <c r="M14" s="1295"/>
      <c r="N14" s="1625"/>
      <c r="O14" s="1625"/>
      <c r="P14" s="1625"/>
      <c r="Q14" s="1295"/>
      <c r="R14" s="1295"/>
      <c r="S14" s="1295"/>
      <c r="T14" s="1625"/>
      <c r="U14" s="1625"/>
      <c r="V14" s="1625"/>
      <c r="W14" s="1295"/>
      <c r="X14" s="1295"/>
      <c r="Y14" s="1295"/>
      <c r="Z14" s="1625"/>
      <c r="AA14" s="1625"/>
      <c r="AB14" s="1625"/>
      <c r="AO14" s="1626"/>
    </row>
    <row r="15" spans="3:50" s="1447" customFormat="1" ht="16" customHeight="1">
      <c r="C15" s="1597"/>
      <c r="D15" s="1450" t="s">
        <v>152</v>
      </c>
      <c r="E15" s="1578" t="s">
        <v>1724</v>
      </c>
      <c r="F15" s="1452"/>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D15" s="1598"/>
      <c r="AE15" s="1627"/>
      <c r="AF15" s="1627"/>
      <c r="AG15" s="1627"/>
      <c r="AH15" s="1627"/>
      <c r="AI15" s="1627"/>
      <c r="AJ15" s="1627"/>
      <c r="AK15" s="1627"/>
      <c r="AL15" s="1627"/>
      <c r="AM15" s="1627"/>
      <c r="AN15" s="1627"/>
      <c r="AO15" s="1628"/>
      <c r="AP15" s="1627"/>
      <c r="AQ15" s="1627"/>
      <c r="AR15" s="1627"/>
      <c r="AS15" s="1627"/>
      <c r="AT15" s="1627"/>
      <c r="AU15" s="1627"/>
      <c r="AV15" s="1627"/>
      <c r="AW15" s="1627"/>
    </row>
    <row r="16" spans="3:50" s="1236" customFormat="1" ht="5.15" customHeight="1" thickBot="1">
      <c r="C16" s="1602"/>
      <c r="D16" s="1595"/>
      <c r="AE16" s="1627"/>
      <c r="AF16" s="1627"/>
      <c r="AG16" s="1627"/>
      <c r="AH16" s="1627"/>
      <c r="AI16" s="1627"/>
      <c r="AJ16" s="1627"/>
      <c r="AK16" s="1627"/>
      <c r="AL16" s="1627"/>
      <c r="AM16" s="1627"/>
      <c r="AN16" s="1627"/>
      <c r="AO16" s="1628"/>
      <c r="AP16" s="1627"/>
      <c r="AQ16" s="1627"/>
      <c r="AR16" s="1627"/>
      <c r="AS16" s="1627"/>
      <c r="AT16" s="1627"/>
      <c r="AU16" s="1627"/>
      <c r="AV16" s="1627"/>
      <c r="AW16" s="1627"/>
      <c r="AX16" s="1591"/>
    </row>
    <row r="17" spans="3:49" s="1591" customFormat="1" ht="18.649999999999999" customHeight="1" thickTop="1">
      <c r="C17" s="1593"/>
      <c r="D17" s="1594"/>
      <c r="E17" s="3951" t="s">
        <v>1757</v>
      </c>
      <c r="F17" s="3952"/>
      <c r="G17" s="3952"/>
      <c r="H17" s="3952"/>
      <c r="I17" s="3952"/>
      <c r="J17" s="3953"/>
      <c r="K17" s="3952" t="s">
        <v>1841</v>
      </c>
      <c r="L17" s="3952"/>
      <c r="M17" s="3952"/>
      <c r="N17" s="3952"/>
      <c r="O17" s="3952"/>
      <c r="P17" s="3953"/>
      <c r="Q17" s="1603"/>
      <c r="R17" s="1603"/>
      <c r="S17" s="1603"/>
      <c r="T17" s="1603"/>
      <c r="U17" s="1603"/>
      <c r="V17" s="1603"/>
      <c r="W17" s="1629"/>
      <c r="X17" s="1629"/>
      <c r="Y17" s="1629"/>
      <c r="Z17" s="1629"/>
      <c r="AA17" s="1629"/>
      <c r="AB17" s="1629"/>
      <c r="AC17" s="1629"/>
      <c r="AD17" s="1629"/>
      <c r="AE17" s="1629"/>
      <c r="AF17" s="1629"/>
      <c r="AG17" s="1627"/>
      <c r="AH17" s="1627"/>
      <c r="AI17" s="1627"/>
      <c r="AJ17" s="1627"/>
      <c r="AK17" s="1627"/>
      <c r="AL17" s="1627"/>
      <c r="AM17" s="1627"/>
      <c r="AN17" s="1627"/>
      <c r="AO17" s="1628"/>
      <c r="AP17" s="1627"/>
      <c r="AQ17" s="1627"/>
      <c r="AR17" s="1627"/>
      <c r="AS17" s="1627"/>
      <c r="AT17" s="1627"/>
      <c r="AU17" s="1627"/>
      <c r="AV17" s="1627"/>
      <c r="AW17" s="1627"/>
    </row>
    <row r="18" spans="3:49" s="1591" customFormat="1" ht="18.649999999999999" customHeight="1" thickBot="1">
      <c r="C18" s="1593"/>
      <c r="D18" s="1594"/>
      <c r="E18" s="4004"/>
      <c r="F18" s="4005"/>
      <c r="G18" s="4005"/>
      <c r="H18" s="4005"/>
      <c r="I18" s="4005"/>
      <c r="J18" s="4006"/>
      <c r="K18" s="4005"/>
      <c r="L18" s="4005"/>
      <c r="M18" s="4005"/>
      <c r="N18" s="4005"/>
      <c r="O18" s="4005"/>
      <c r="P18" s="4006"/>
      <c r="Q18" s="1603"/>
      <c r="R18" s="1603"/>
      <c r="S18" s="1603"/>
      <c r="T18" s="1603"/>
      <c r="U18" s="1603"/>
      <c r="V18" s="1603"/>
      <c r="W18" s="1629"/>
      <c r="X18" s="1629"/>
      <c r="Y18" s="1629"/>
      <c r="Z18" s="1629"/>
      <c r="AA18" s="1629"/>
      <c r="AB18" s="1629"/>
      <c r="AC18" s="1629"/>
      <c r="AD18" s="1629"/>
      <c r="AE18" s="1629"/>
      <c r="AF18" s="1629"/>
      <c r="AO18" s="1593"/>
    </row>
    <row r="19" spans="3:49" s="1591" customFormat="1" ht="24.65" customHeight="1" thickTop="1">
      <c r="C19" s="1593"/>
      <c r="D19" s="1594"/>
      <c r="E19" s="4310" t="s">
        <v>593</v>
      </c>
      <c r="F19" s="4311"/>
      <c r="G19" s="4311"/>
      <c r="H19" s="4311"/>
      <c r="I19" s="4311"/>
      <c r="J19" s="4312"/>
      <c r="K19" s="4313">
        <v>0</v>
      </c>
      <c r="L19" s="4313"/>
      <c r="M19" s="4313"/>
      <c r="N19" s="4313"/>
      <c r="O19" s="4313"/>
      <c r="P19" s="4314"/>
      <c r="Q19" s="1589"/>
      <c r="R19" s="1589"/>
      <c r="S19" s="1590"/>
      <c r="T19" s="1589"/>
      <c r="U19" s="1589"/>
      <c r="V19" s="1590"/>
      <c r="AB19" s="1590"/>
      <c r="AC19" s="1590"/>
      <c r="AD19" s="1590"/>
      <c r="AE19" s="1590"/>
      <c r="AF19" s="1590"/>
      <c r="AO19" s="1593"/>
    </row>
    <row r="20" spans="3:49" s="1591" customFormat="1" ht="24.65" customHeight="1">
      <c r="C20" s="1593"/>
      <c r="D20" s="1594"/>
      <c r="E20" s="4319" t="s">
        <v>1700</v>
      </c>
      <c r="F20" s="4320"/>
      <c r="G20" s="4320"/>
      <c r="H20" s="4320"/>
      <c r="I20" s="4320"/>
      <c r="J20" s="4321"/>
      <c r="K20" s="4235">
        <v>0</v>
      </c>
      <c r="L20" s="4235"/>
      <c r="M20" s="4235"/>
      <c r="N20" s="4235"/>
      <c r="O20" s="4235"/>
      <c r="P20" s="4240"/>
      <c r="Q20" s="1589"/>
      <c r="R20" s="1589"/>
      <c r="S20" s="1590"/>
      <c r="T20" s="1589"/>
      <c r="U20" s="1589"/>
      <c r="V20" s="1590"/>
      <c r="AB20" s="1590"/>
      <c r="AC20" s="1590"/>
      <c r="AD20" s="1590"/>
      <c r="AE20" s="1590"/>
      <c r="AF20" s="1590"/>
      <c r="AO20" s="1593"/>
    </row>
    <row r="21" spans="3:49" s="1591" customFormat="1" ht="24.65" customHeight="1" thickBot="1">
      <c r="C21" s="1593"/>
      <c r="D21" s="1594"/>
      <c r="E21" s="4322" t="s">
        <v>757</v>
      </c>
      <c r="F21" s="4323"/>
      <c r="G21" s="4323"/>
      <c r="H21" s="4323"/>
      <c r="I21" s="4323"/>
      <c r="J21" s="4324"/>
      <c r="K21" s="4325">
        <v>0</v>
      </c>
      <c r="L21" s="4325"/>
      <c r="M21" s="4325"/>
      <c r="N21" s="4325"/>
      <c r="O21" s="4325"/>
      <c r="P21" s="4326"/>
      <c r="Q21" s="1589"/>
      <c r="R21" s="1589"/>
      <c r="S21" s="1590"/>
      <c r="T21" s="1589"/>
      <c r="U21" s="1589"/>
      <c r="V21" s="1590"/>
      <c r="AB21" s="1590"/>
      <c r="AC21" s="1590"/>
      <c r="AD21" s="1590"/>
      <c r="AE21" s="1590"/>
      <c r="AF21" s="1590"/>
      <c r="AG21" s="1589"/>
      <c r="AH21" s="1589"/>
      <c r="AI21" s="1590"/>
      <c r="AJ21" s="1589"/>
      <c r="AO21" s="1593"/>
      <c r="AS21" s="1589"/>
    </row>
    <row r="22" spans="3:49" s="1447" customFormat="1" ht="24.75" customHeight="1" thickTop="1">
      <c r="C22" s="1597"/>
      <c r="D22" s="1598" t="s">
        <v>153</v>
      </c>
      <c r="E22" s="601" t="b">
        <v>1</v>
      </c>
      <c r="F22" s="1599" t="s">
        <v>1725</v>
      </c>
      <c r="G22" s="1600"/>
      <c r="H22" s="1600"/>
      <c r="I22" s="1600"/>
      <c r="J22" s="1600"/>
      <c r="K22" s="1600"/>
      <c r="L22" s="1600"/>
      <c r="M22" s="1600"/>
      <c r="N22" s="1600"/>
      <c r="O22" s="1600"/>
      <c r="P22" s="1600"/>
      <c r="Q22" s="1600"/>
      <c r="R22" s="1600"/>
      <c r="S22" s="1600"/>
      <c r="T22" s="1600"/>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21"/>
      <c r="AP22" s="1600"/>
      <c r="AQ22" s="1600"/>
      <c r="AR22" s="1600"/>
      <c r="AS22" s="1600"/>
      <c r="AT22" s="1600"/>
      <c r="AU22" s="1600"/>
      <c r="AV22" s="1600"/>
      <c r="AW22" s="1600"/>
    </row>
    <row r="23" spans="3:49" s="1447" customFormat="1" ht="10" customHeight="1">
      <c r="C23" s="1597"/>
      <c r="D23" s="1598"/>
      <c r="E23" s="587"/>
      <c r="F23" s="1599"/>
      <c r="G23" s="1600"/>
      <c r="H23" s="1600"/>
      <c r="I23" s="1600"/>
      <c r="J23" s="1600"/>
      <c r="K23" s="1600"/>
      <c r="L23" s="1600"/>
      <c r="M23" s="1600"/>
      <c r="N23" s="1600"/>
      <c r="O23" s="1600"/>
      <c r="P23" s="1600"/>
      <c r="Q23" s="1600"/>
      <c r="R23" s="1600"/>
      <c r="S23" s="1600"/>
      <c r="T23" s="1600"/>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21"/>
      <c r="AP23" s="1600"/>
      <c r="AQ23" s="1600"/>
      <c r="AR23" s="1600"/>
      <c r="AS23" s="1600"/>
      <c r="AT23" s="1600"/>
      <c r="AU23" s="1600"/>
      <c r="AV23" s="1600"/>
      <c r="AW23" s="1600"/>
    </row>
    <row r="24" spans="3:49" ht="15.65" customHeight="1">
      <c r="C24" s="1433"/>
      <c r="D24" s="1450" t="s">
        <v>154</v>
      </c>
      <c r="E24" s="1578" t="s">
        <v>1726</v>
      </c>
      <c r="F24" s="1452"/>
      <c r="G24" s="1452"/>
      <c r="H24" s="1452"/>
      <c r="I24" s="1452"/>
      <c r="J24" s="1452"/>
      <c r="K24" s="1452"/>
      <c r="L24" s="1452"/>
      <c r="M24" s="1452"/>
      <c r="N24" s="1452"/>
      <c r="O24" s="1452"/>
      <c r="P24" s="1452"/>
      <c r="Q24" s="1452"/>
      <c r="R24" s="1452"/>
      <c r="S24" s="1452"/>
      <c r="T24" s="1452"/>
      <c r="U24" s="1452"/>
      <c r="V24" s="1452"/>
      <c r="W24" s="1452"/>
      <c r="X24" s="1452"/>
      <c r="Y24" s="1452"/>
      <c r="Z24" s="1452"/>
      <c r="AA24" s="1452"/>
      <c r="AB24" s="1452"/>
      <c r="AC24" s="1452"/>
      <c r="AD24" s="1452"/>
      <c r="AE24" s="1452"/>
      <c r="AF24" s="1452"/>
      <c r="AG24" s="1452"/>
      <c r="AH24" s="1452"/>
      <c r="AI24" s="1452"/>
      <c r="AJ24" s="1452"/>
      <c r="AK24" s="1452"/>
      <c r="AL24" s="1452"/>
      <c r="AM24" s="1452"/>
      <c r="AN24" s="1452"/>
      <c r="AO24" s="1622"/>
      <c r="AP24" s="1452"/>
      <c r="AQ24" s="1452"/>
      <c r="AR24" s="1445"/>
      <c r="AS24" s="1452"/>
      <c r="AT24" s="1452"/>
      <c r="AU24" s="1452"/>
      <c r="AV24" s="1452"/>
      <c r="AW24" s="1445"/>
    </row>
    <row r="25" spans="3:49" ht="5.15" customHeight="1" thickBot="1">
      <c r="C25" s="1457"/>
      <c r="D25" s="1466"/>
      <c r="E25" s="1466"/>
      <c r="F25" s="1466"/>
      <c r="G25" s="1466"/>
      <c r="H25" s="1466"/>
      <c r="I25" s="1466"/>
      <c r="J25" s="1466"/>
      <c r="K25" s="1466"/>
      <c r="L25" s="1466"/>
      <c r="M25" s="1466"/>
      <c r="N25" s="1466"/>
      <c r="O25" s="1466"/>
      <c r="P25" s="1466"/>
      <c r="Q25" s="1466"/>
      <c r="R25" s="1466"/>
      <c r="S25" s="1466"/>
      <c r="T25" s="1466"/>
      <c r="U25" s="1466"/>
      <c r="V25" s="1466"/>
      <c r="W25" s="1466"/>
      <c r="X25" s="1466"/>
      <c r="Y25" s="1466"/>
      <c r="Z25" s="1466"/>
      <c r="AA25" s="1466"/>
      <c r="AB25" s="1466"/>
      <c r="AC25" s="1466"/>
      <c r="AD25" s="1466"/>
      <c r="AE25" s="1466"/>
      <c r="AF25" s="1466"/>
      <c r="AG25" s="1466"/>
      <c r="AH25" s="1466"/>
      <c r="AI25" s="1466"/>
      <c r="AJ25" s="1466"/>
      <c r="AK25" s="1466"/>
      <c r="AL25" s="1466"/>
      <c r="AM25" s="1466"/>
      <c r="AN25" s="1466"/>
      <c r="AO25" s="1623"/>
      <c r="AP25" s="1466"/>
      <c r="AQ25" s="1466"/>
      <c r="AR25" s="1466"/>
      <c r="AS25" s="1466"/>
      <c r="AT25" s="1466"/>
      <c r="AU25" s="1466"/>
      <c r="AV25" s="1466"/>
      <c r="AW25" s="1466"/>
    </row>
    <row r="26" spans="3:49" s="1236" customFormat="1" ht="15.75" customHeight="1" thickTop="1">
      <c r="C26" s="1399"/>
      <c r="E26" s="4211" t="s">
        <v>1727</v>
      </c>
      <c r="F26" s="4212"/>
      <c r="G26" s="4212"/>
      <c r="H26" s="4212"/>
      <c r="I26" s="4212"/>
      <c r="J26" s="4212"/>
      <c r="K26" s="4212"/>
      <c r="L26" s="4212"/>
      <c r="M26" s="4212"/>
      <c r="N26" s="4212"/>
      <c r="O26" s="4212"/>
      <c r="P26" s="4212"/>
      <c r="Q26" s="4212"/>
      <c r="R26" s="4212"/>
      <c r="S26" s="4212"/>
      <c r="T26" s="4212"/>
      <c r="U26" s="4212"/>
      <c r="V26" s="4212"/>
      <c r="W26" s="4212"/>
      <c r="X26" s="4213"/>
      <c r="Y26" s="4211" t="s">
        <v>758</v>
      </c>
      <c r="Z26" s="4212"/>
      <c r="AA26" s="4212"/>
      <c r="AB26" s="4212"/>
      <c r="AC26" s="4212"/>
      <c r="AD26" s="4341"/>
      <c r="AE26" s="4345" t="s">
        <v>759</v>
      </c>
      <c r="AF26" s="3952"/>
      <c r="AG26" s="3952"/>
      <c r="AH26" s="3952"/>
      <c r="AI26" s="3952"/>
      <c r="AJ26" s="3953"/>
      <c r="AO26" s="1399"/>
    </row>
    <row r="27" spans="3:49" s="1236" customFormat="1" ht="15.75" customHeight="1" thickBot="1">
      <c r="C27" s="1399"/>
      <c r="E27" s="4338"/>
      <c r="F27" s="4339"/>
      <c r="G27" s="4339"/>
      <c r="H27" s="4339"/>
      <c r="I27" s="4339"/>
      <c r="J27" s="4339"/>
      <c r="K27" s="4339"/>
      <c r="L27" s="4339"/>
      <c r="M27" s="4339"/>
      <c r="N27" s="4339"/>
      <c r="O27" s="4339"/>
      <c r="P27" s="4339"/>
      <c r="Q27" s="4339"/>
      <c r="R27" s="4339"/>
      <c r="S27" s="4339"/>
      <c r="T27" s="4339"/>
      <c r="U27" s="4339"/>
      <c r="V27" s="4339"/>
      <c r="W27" s="4339"/>
      <c r="X27" s="4340"/>
      <c r="Y27" s="4342"/>
      <c r="Z27" s="4343"/>
      <c r="AA27" s="4343"/>
      <c r="AB27" s="4343"/>
      <c r="AC27" s="4343"/>
      <c r="AD27" s="4344"/>
      <c r="AE27" s="4346"/>
      <c r="AF27" s="4347"/>
      <c r="AG27" s="4347"/>
      <c r="AH27" s="4347"/>
      <c r="AI27" s="4347"/>
      <c r="AJ27" s="4348"/>
      <c r="AO27" s="1399"/>
    </row>
    <row r="28" spans="3:49" s="1236" customFormat="1" ht="20.149999999999999" customHeight="1" thickBot="1">
      <c r="C28" s="1399"/>
      <c r="E28" s="4338"/>
      <c r="F28" s="4339"/>
      <c r="G28" s="4339"/>
      <c r="H28" s="4339"/>
      <c r="I28" s="4339"/>
      <c r="J28" s="4339"/>
      <c r="K28" s="4339"/>
      <c r="L28" s="4339"/>
      <c r="M28" s="4339"/>
      <c r="N28" s="4339"/>
      <c r="O28" s="4339"/>
      <c r="P28" s="4339"/>
      <c r="Q28" s="4339"/>
      <c r="R28" s="4339"/>
      <c r="S28" s="4339"/>
      <c r="T28" s="4339"/>
      <c r="U28" s="4339"/>
      <c r="V28" s="4339"/>
      <c r="W28" s="4339"/>
      <c r="X28" s="4340"/>
      <c r="Y28" s="4005" t="s">
        <v>15</v>
      </c>
      <c r="Z28" s="4005"/>
      <c r="AA28" s="4221"/>
      <c r="AB28" s="4222" t="s">
        <v>16</v>
      </c>
      <c r="AC28" s="4005"/>
      <c r="AD28" s="4223"/>
      <c r="AE28" s="4224" t="s">
        <v>15</v>
      </c>
      <c r="AF28" s="4005"/>
      <c r="AG28" s="4221"/>
      <c r="AH28" s="4222" t="s">
        <v>16</v>
      </c>
      <c r="AI28" s="4005"/>
      <c r="AJ28" s="4006"/>
      <c r="AO28" s="1399"/>
    </row>
    <row r="29" spans="3:49" s="1236" customFormat="1" ht="23.15" customHeight="1" thickTop="1">
      <c r="C29" s="1399"/>
      <c r="E29" s="1619"/>
      <c r="F29" s="4349" t="s">
        <v>719</v>
      </c>
      <c r="G29" s="4349"/>
      <c r="H29" s="4349"/>
      <c r="I29" s="4349"/>
      <c r="J29" s="4349"/>
      <c r="K29" s="4349"/>
      <c r="L29" s="4349"/>
      <c r="M29" s="4349"/>
      <c r="N29" s="4349"/>
      <c r="O29" s="4349"/>
      <c r="P29" s="4349"/>
      <c r="Q29" s="4349"/>
      <c r="R29" s="4349"/>
      <c r="S29" s="4349"/>
      <c r="T29" s="4349"/>
      <c r="U29" s="4349"/>
      <c r="V29" s="4349"/>
      <c r="W29" s="4349"/>
      <c r="X29" s="1620"/>
      <c r="Y29" s="4350">
        <v>0</v>
      </c>
      <c r="Z29" s="4313"/>
      <c r="AA29" s="4351"/>
      <c r="AB29" s="4352">
        <v>1</v>
      </c>
      <c r="AC29" s="4313"/>
      <c r="AD29" s="4353"/>
      <c r="AE29" s="4354">
        <v>0</v>
      </c>
      <c r="AF29" s="4313"/>
      <c r="AG29" s="4351"/>
      <c r="AH29" s="4352">
        <v>0</v>
      </c>
      <c r="AI29" s="4313"/>
      <c r="AJ29" s="4314"/>
      <c r="AO29" s="1399"/>
    </row>
    <row r="30" spans="3:49" s="1236" customFormat="1" ht="23.15" customHeight="1">
      <c r="C30" s="1399"/>
      <c r="E30" s="1564"/>
      <c r="F30" s="4355" t="s">
        <v>718</v>
      </c>
      <c r="G30" s="4355"/>
      <c r="H30" s="4355"/>
      <c r="I30" s="4355"/>
      <c r="J30" s="4355"/>
      <c r="K30" s="4355"/>
      <c r="L30" s="4355"/>
      <c r="M30" s="4355"/>
      <c r="N30" s="4355"/>
      <c r="O30" s="4355"/>
      <c r="P30" s="4355"/>
      <c r="Q30" s="4355"/>
      <c r="R30" s="4355"/>
      <c r="S30" s="4355"/>
      <c r="T30" s="4355"/>
      <c r="U30" s="4355"/>
      <c r="V30" s="4355"/>
      <c r="W30" s="4355"/>
      <c r="X30" s="1565"/>
      <c r="Y30" s="4356">
        <v>0</v>
      </c>
      <c r="Z30" s="4235"/>
      <c r="AA30" s="4236"/>
      <c r="AB30" s="4237">
        <v>1</v>
      </c>
      <c r="AC30" s="4235"/>
      <c r="AD30" s="4238"/>
      <c r="AE30" s="4239">
        <v>0</v>
      </c>
      <c r="AF30" s="4235"/>
      <c r="AG30" s="4236"/>
      <c r="AH30" s="4237">
        <v>0</v>
      </c>
      <c r="AI30" s="4235"/>
      <c r="AJ30" s="4240"/>
      <c r="AO30" s="1399"/>
    </row>
    <row r="31" spans="3:49" s="1236" customFormat="1" ht="32.25" customHeight="1">
      <c r="C31" s="1399"/>
      <c r="E31" s="1566"/>
      <c r="F31" s="4355" t="s">
        <v>717</v>
      </c>
      <c r="G31" s="4355"/>
      <c r="H31" s="4355"/>
      <c r="I31" s="4355"/>
      <c r="J31" s="4355"/>
      <c r="K31" s="4355"/>
      <c r="L31" s="4355"/>
      <c r="M31" s="4355"/>
      <c r="N31" s="4355"/>
      <c r="O31" s="4355"/>
      <c r="P31" s="4355"/>
      <c r="Q31" s="4355"/>
      <c r="R31" s="4355"/>
      <c r="S31" s="4355"/>
      <c r="T31" s="4355"/>
      <c r="U31" s="4355"/>
      <c r="V31" s="4355"/>
      <c r="W31" s="4355"/>
      <c r="X31" s="1567"/>
      <c r="Y31" s="4356">
        <v>0</v>
      </c>
      <c r="Z31" s="4235"/>
      <c r="AA31" s="4236"/>
      <c r="AB31" s="4237">
        <v>1</v>
      </c>
      <c r="AC31" s="4235"/>
      <c r="AD31" s="4238"/>
      <c r="AE31" s="4239">
        <v>0</v>
      </c>
      <c r="AF31" s="4235"/>
      <c r="AG31" s="4236"/>
      <c r="AH31" s="4237">
        <v>0</v>
      </c>
      <c r="AI31" s="4235"/>
      <c r="AJ31" s="4240"/>
      <c r="AO31" s="1399"/>
    </row>
    <row r="32" spans="3:49" s="1236" customFormat="1" ht="23.15" customHeight="1">
      <c r="C32" s="1399"/>
      <c r="E32" s="1564"/>
      <c r="F32" s="4357" t="s">
        <v>716</v>
      </c>
      <c r="G32" s="4357"/>
      <c r="H32" s="4357"/>
      <c r="I32" s="4357"/>
      <c r="J32" s="4357"/>
      <c r="K32" s="4357"/>
      <c r="L32" s="4357"/>
      <c r="M32" s="4357"/>
      <c r="N32" s="4357"/>
      <c r="O32" s="4357"/>
      <c r="P32" s="4357"/>
      <c r="Q32" s="4357"/>
      <c r="R32" s="4357"/>
      <c r="S32" s="4357"/>
      <c r="T32" s="4357"/>
      <c r="U32" s="4357"/>
      <c r="V32" s="4357"/>
      <c r="W32" s="4357"/>
      <c r="X32" s="1565"/>
      <c r="Y32" s="4356">
        <v>0</v>
      </c>
      <c r="Z32" s="4235"/>
      <c r="AA32" s="4236"/>
      <c r="AB32" s="4237">
        <v>1</v>
      </c>
      <c r="AC32" s="4235"/>
      <c r="AD32" s="4238"/>
      <c r="AE32" s="4239">
        <v>0</v>
      </c>
      <c r="AF32" s="4235"/>
      <c r="AG32" s="4236"/>
      <c r="AH32" s="4237">
        <v>0</v>
      </c>
      <c r="AI32" s="4235"/>
      <c r="AJ32" s="4240"/>
      <c r="AO32" s="1399"/>
    </row>
    <row r="33" spans="3:41" s="1236" customFormat="1" ht="23.15" customHeight="1">
      <c r="C33" s="1399"/>
      <c r="E33" s="1564"/>
      <c r="F33" s="4357" t="s">
        <v>715</v>
      </c>
      <c r="G33" s="4357"/>
      <c r="H33" s="4357"/>
      <c r="I33" s="4357"/>
      <c r="J33" s="4357"/>
      <c r="K33" s="4357"/>
      <c r="L33" s="4357"/>
      <c r="M33" s="4357"/>
      <c r="N33" s="4357"/>
      <c r="O33" s="4357"/>
      <c r="P33" s="4357"/>
      <c r="Q33" s="4357"/>
      <c r="R33" s="4357"/>
      <c r="S33" s="4357"/>
      <c r="T33" s="4357"/>
      <c r="U33" s="4357"/>
      <c r="V33" s="4357"/>
      <c r="W33" s="4357"/>
      <c r="X33" s="1565"/>
      <c r="Y33" s="4356">
        <v>0</v>
      </c>
      <c r="Z33" s="4235"/>
      <c r="AA33" s="4236"/>
      <c r="AB33" s="4237">
        <v>1</v>
      </c>
      <c r="AC33" s="4235"/>
      <c r="AD33" s="4238"/>
      <c r="AE33" s="4239">
        <v>0</v>
      </c>
      <c r="AF33" s="4235"/>
      <c r="AG33" s="4236"/>
      <c r="AH33" s="4237">
        <v>0</v>
      </c>
      <c r="AI33" s="4235"/>
      <c r="AJ33" s="4240"/>
      <c r="AO33" s="1399"/>
    </row>
    <row r="34" spans="3:41" s="1236" customFormat="1" ht="23.15" customHeight="1">
      <c r="C34" s="1399"/>
      <c r="E34" s="1564"/>
      <c r="F34" s="4357" t="s">
        <v>714</v>
      </c>
      <c r="G34" s="4357"/>
      <c r="H34" s="4357"/>
      <c r="I34" s="4357"/>
      <c r="J34" s="4357"/>
      <c r="K34" s="4357"/>
      <c r="L34" s="4357"/>
      <c r="M34" s="4357"/>
      <c r="N34" s="4357"/>
      <c r="O34" s="4357"/>
      <c r="P34" s="4357"/>
      <c r="Q34" s="4357"/>
      <c r="R34" s="4357"/>
      <c r="S34" s="4357"/>
      <c r="T34" s="4357"/>
      <c r="U34" s="4357"/>
      <c r="V34" s="4357"/>
      <c r="W34" s="4357"/>
      <c r="X34" s="1565"/>
      <c r="Y34" s="4356">
        <v>0</v>
      </c>
      <c r="Z34" s="4235"/>
      <c r="AA34" s="4236"/>
      <c r="AB34" s="4237">
        <v>1</v>
      </c>
      <c r="AC34" s="4235"/>
      <c r="AD34" s="4238"/>
      <c r="AE34" s="4239">
        <v>0</v>
      </c>
      <c r="AF34" s="4235"/>
      <c r="AG34" s="4236"/>
      <c r="AH34" s="4237">
        <v>0</v>
      </c>
      <c r="AI34" s="4235"/>
      <c r="AJ34" s="4240"/>
      <c r="AO34" s="1399"/>
    </row>
    <row r="35" spans="3:41" s="1236" customFormat="1" ht="23.15" customHeight="1">
      <c r="C35" s="1399"/>
      <c r="E35" s="1564"/>
      <c r="F35" s="4357" t="s">
        <v>713</v>
      </c>
      <c r="G35" s="4357"/>
      <c r="H35" s="4357"/>
      <c r="I35" s="4357"/>
      <c r="J35" s="4357"/>
      <c r="K35" s="4357"/>
      <c r="L35" s="4357"/>
      <c r="M35" s="4357"/>
      <c r="N35" s="4357"/>
      <c r="O35" s="4357"/>
      <c r="P35" s="4357"/>
      <c r="Q35" s="4357"/>
      <c r="R35" s="4357"/>
      <c r="S35" s="4357"/>
      <c r="T35" s="4357"/>
      <c r="U35" s="4357"/>
      <c r="V35" s="4357"/>
      <c r="W35" s="4357"/>
      <c r="X35" s="1565"/>
      <c r="Y35" s="4356">
        <v>0</v>
      </c>
      <c r="Z35" s="4235"/>
      <c r="AA35" s="4236"/>
      <c r="AB35" s="4237">
        <v>1</v>
      </c>
      <c r="AC35" s="4235"/>
      <c r="AD35" s="4238"/>
      <c r="AE35" s="4239">
        <v>0</v>
      </c>
      <c r="AF35" s="4235"/>
      <c r="AG35" s="4236"/>
      <c r="AH35" s="4237">
        <v>0</v>
      </c>
      <c r="AI35" s="4235"/>
      <c r="AJ35" s="4240"/>
      <c r="AO35" s="1399"/>
    </row>
    <row r="36" spans="3:41" s="1236" customFormat="1" ht="23.15" customHeight="1">
      <c r="C36" s="1399"/>
      <c r="E36" s="1564"/>
      <c r="F36" s="4357" t="s">
        <v>712</v>
      </c>
      <c r="G36" s="4357"/>
      <c r="H36" s="4357"/>
      <c r="I36" s="4357"/>
      <c r="J36" s="4357"/>
      <c r="K36" s="4357"/>
      <c r="L36" s="4357"/>
      <c r="M36" s="4357"/>
      <c r="N36" s="4357"/>
      <c r="O36" s="4357"/>
      <c r="P36" s="4357"/>
      <c r="Q36" s="4357"/>
      <c r="R36" s="4357"/>
      <c r="S36" s="4357"/>
      <c r="T36" s="4357"/>
      <c r="U36" s="4357"/>
      <c r="V36" s="4357"/>
      <c r="W36" s="4357"/>
      <c r="X36" s="1565"/>
      <c r="Y36" s="4356">
        <v>0</v>
      </c>
      <c r="Z36" s="4235"/>
      <c r="AA36" s="4236"/>
      <c r="AB36" s="4237">
        <v>1</v>
      </c>
      <c r="AC36" s="4235"/>
      <c r="AD36" s="4238"/>
      <c r="AE36" s="4239">
        <v>0</v>
      </c>
      <c r="AF36" s="4235"/>
      <c r="AG36" s="4236"/>
      <c r="AH36" s="4237">
        <v>0</v>
      </c>
      <c r="AI36" s="4235"/>
      <c r="AJ36" s="4240"/>
      <c r="AO36" s="1399"/>
    </row>
    <row r="37" spans="3:41" s="1236" customFormat="1" ht="23.15" customHeight="1">
      <c r="C37" s="1399"/>
      <c r="E37" s="1564"/>
      <c r="F37" s="4357" t="s">
        <v>711</v>
      </c>
      <c r="G37" s="4357"/>
      <c r="H37" s="4357"/>
      <c r="I37" s="4357"/>
      <c r="J37" s="4357"/>
      <c r="K37" s="4357"/>
      <c r="L37" s="4357"/>
      <c r="M37" s="4357"/>
      <c r="N37" s="4357"/>
      <c r="O37" s="4357"/>
      <c r="P37" s="4357"/>
      <c r="Q37" s="4357"/>
      <c r="R37" s="4357"/>
      <c r="S37" s="4357"/>
      <c r="T37" s="4357"/>
      <c r="U37" s="4357"/>
      <c r="V37" s="4357"/>
      <c r="W37" s="4357"/>
      <c r="X37" s="1565"/>
      <c r="Y37" s="4356">
        <v>0</v>
      </c>
      <c r="Z37" s="4235"/>
      <c r="AA37" s="4236"/>
      <c r="AB37" s="4237">
        <v>1</v>
      </c>
      <c r="AC37" s="4235"/>
      <c r="AD37" s="4238"/>
      <c r="AE37" s="4239">
        <v>0</v>
      </c>
      <c r="AF37" s="4235"/>
      <c r="AG37" s="4236"/>
      <c r="AH37" s="4237">
        <v>0</v>
      </c>
      <c r="AI37" s="4235"/>
      <c r="AJ37" s="4240"/>
      <c r="AO37" s="1399"/>
    </row>
    <row r="38" spans="3:41" s="1236" customFormat="1" ht="23.15" customHeight="1">
      <c r="C38" s="1399"/>
      <c r="E38" s="1564"/>
      <c r="F38" s="4357" t="s">
        <v>668</v>
      </c>
      <c r="G38" s="4357"/>
      <c r="H38" s="4357"/>
      <c r="I38" s="4357"/>
      <c r="J38" s="4357"/>
      <c r="K38" s="4357"/>
      <c r="L38" s="4357"/>
      <c r="M38" s="4357"/>
      <c r="N38" s="4357"/>
      <c r="O38" s="4357"/>
      <c r="P38" s="4357"/>
      <c r="Q38" s="4357"/>
      <c r="R38" s="4357"/>
      <c r="S38" s="4357"/>
      <c r="T38" s="4357"/>
      <c r="U38" s="4357"/>
      <c r="V38" s="4357"/>
      <c r="W38" s="4357"/>
      <c r="X38" s="1565"/>
      <c r="Y38" s="4356">
        <v>0</v>
      </c>
      <c r="Z38" s="4235"/>
      <c r="AA38" s="4236"/>
      <c r="AB38" s="4237">
        <v>1</v>
      </c>
      <c r="AC38" s="4235"/>
      <c r="AD38" s="4238"/>
      <c r="AE38" s="4239">
        <v>0</v>
      </c>
      <c r="AF38" s="4235"/>
      <c r="AG38" s="4236"/>
      <c r="AH38" s="4237">
        <v>0</v>
      </c>
      <c r="AI38" s="4235"/>
      <c r="AJ38" s="4240"/>
      <c r="AO38" s="1399"/>
    </row>
    <row r="39" spans="3:41" s="1236" customFormat="1" ht="23.15" customHeight="1">
      <c r="C39" s="1399"/>
      <c r="E39" s="1564"/>
      <c r="F39" s="4357" t="s">
        <v>710</v>
      </c>
      <c r="G39" s="4357"/>
      <c r="H39" s="4357"/>
      <c r="I39" s="4357"/>
      <c r="J39" s="4357"/>
      <c r="K39" s="4357"/>
      <c r="L39" s="4357"/>
      <c r="M39" s="4357"/>
      <c r="N39" s="4357"/>
      <c r="O39" s="4357"/>
      <c r="P39" s="4357"/>
      <c r="Q39" s="4357"/>
      <c r="R39" s="4357"/>
      <c r="S39" s="4357"/>
      <c r="T39" s="4357"/>
      <c r="U39" s="4357"/>
      <c r="V39" s="4357"/>
      <c r="W39" s="4357"/>
      <c r="X39" s="1565"/>
      <c r="Y39" s="4356">
        <v>0</v>
      </c>
      <c r="Z39" s="4235"/>
      <c r="AA39" s="4236"/>
      <c r="AB39" s="4237">
        <v>1</v>
      </c>
      <c r="AC39" s="4235"/>
      <c r="AD39" s="4238"/>
      <c r="AE39" s="4239">
        <v>0</v>
      </c>
      <c r="AF39" s="4235"/>
      <c r="AG39" s="4236"/>
      <c r="AH39" s="4237">
        <v>0</v>
      </c>
      <c r="AI39" s="4235"/>
      <c r="AJ39" s="4240"/>
      <c r="AO39" s="1399"/>
    </row>
    <row r="40" spans="3:41" s="1236" customFormat="1" ht="23.15" customHeight="1">
      <c r="C40" s="1399"/>
      <c r="E40" s="1564"/>
      <c r="F40" s="4357" t="s">
        <v>709</v>
      </c>
      <c r="G40" s="4357"/>
      <c r="H40" s="4357"/>
      <c r="I40" s="4357"/>
      <c r="J40" s="4357"/>
      <c r="K40" s="4357"/>
      <c r="L40" s="4357"/>
      <c r="M40" s="4357"/>
      <c r="N40" s="4357"/>
      <c r="O40" s="4357"/>
      <c r="P40" s="4357"/>
      <c r="Q40" s="4357"/>
      <c r="R40" s="4357"/>
      <c r="S40" s="4357"/>
      <c r="T40" s="4357"/>
      <c r="U40" s="4357"/>
      <c r="V40" s="4357"/>
      <c r="W40" s="4357"/>
      <c r="X40" s="1565"/>
      <c r="Y40" s="4356">
        <v>0</v>
      </c>
      <c r="Z40" s="4235"/>
      <c r="AA40" s="4236"/>
      <c r="AB40" s="4237">
        <v>1</v>
      </c>
      <c r="AC40" s="4235"/>
      <c r="AD40" s="4238"/>
      <c r="AE40" s="4239">
        <v>0</v>
      </c>
      <c r="AF40" s="4235"/>
      <c r="AG40" s="4236"/>
      <c r="AH40" s="4237">
        <v>0</v>
      </c>
      <c r="AI40" s="4235"/>
      <c r="AJ40" s="4240"/>
      <c r="AO40" s="1399"/>
    </row>
    <row r="41" spans="3:41" s="1236" customFormat="1" ht="23.15" customHeight="1">
      <c r="C41" s="1399"/>
      <c r="E41" s="1564"/>
      <c r="F41" s="4357" t="s">
        <v>708</v>
      </c>
      <c r="G41" s="4357"/>
      <c r="H41" s="4357"/>
      <c r="I41" s="4357"/>
      <c r="J41" s="4357"/>
      <c r="K41" s="4357"/>
      <c r="L41" s="4357"/>
      <c r="M41" s="4357"/>
      <c r="N41" s="4357"/>
      <c r="O41" s="4357"/>
      <c r="P41" s="4357"/>
      <c r="Q41" s="4357"/>
      <c r="R41" s="4357"/>
      <c r="S41" s="4357"/>
      <c r="T41" s="4357"/>
      <c r="U41" s="4357"/>
      <c r="V41" s="4357"/>
      <c r="W41" s="4357"/>
      <c r="X41" s="1565"/>
      <c r="Y41" s="4356">
        <v>0</v>
      </c>
      <c r="Z41" s="4235"/>
      <c r="AA41" s="4236"/>
      <c r="AB41" s="4237">
        <v>1</v>
      </c>
      <c r="AC41" s="4235"/>
      <c r="AD41" s="4238"/>
      <c r="AE41" s="4239">
        <v>0</v>
      </c>
      <c r="AF41" s="4235"/>
      <c r="AG41" s="4236"/>
      <c r="AH41" s="4237">
        <v>0</v>
      </c>
      <c r="AI41" s="4235"/>
      <c r="AJ41" s="4240"/>
      <c r="AO41" s="1399"/>
    </row>
    <row r="42" spans="3:41" s="1236" customFormat="1" ht="23.15" customHeight="1">
      <c r="C42" s="1399"/>
      <c r="E42" s="1564"/>
      <c r="F42" s="4357" t="s">
        <v>707</v>
      </c>
      <c r="G42" s="4357"/>
      <c r="H42" s="4357"/>
      <c r="I42" s="4357"/>
      <c r="J42" s="4357"/>
      <c r="K42" s="4357"/>
      <c r="L42" s="4357"/>
      <c r="M42" s="4357"/>
      <c r="N42" s="4357"/>
      <c r="O42" s="4357"/>
      <c r="P42" s="4357"/>
      <c r="Q42" s="4357"/>
      <c r="R42" s="4357"/>
      <c r="S42" s="4357"/>
      <c r="T42" s="4357"/>
      <c r="U42" s="4357"/>
      <c r="V42" s="4357"/>
      <c r="W42" s="4357"/>
      <c r="X42" s="1565"/>
      <c r="Y42" s="4356">
        <v>0</v>
      </c>
      <c r="Z42" s="4235"/>
      <c r="AA42" s="4236"/>
      <c r="AB42" s="4237">
        <v>1</v>
      </c>
      <c r="AC42" s="4235"/>
      <c r="AD42" s="4238"/>
      <c r="AE42" s="4239">
        <v>0</v>
      </c>
      <c r="AF42" s="4235"/>
      <c r="AG42" s="4236"/>
      <c r="AH42" s="4237">
        <v>0</v>
      </c>
      <c r="AI42" s="4235"/>
      <c r="AJ42" s="4240"/>
      <c r="AO42" s="1399"/>
    </row>
    <row r="43" spans="3:41" s="1236" customFormat="1" ht="23.15" customHeight="1">
      <c r="C43" s="1399"/>
      <c r="E43" s="1564"/>
      <c r="F43" s="4357" t="s">
        <v>705</v>
      </c>
      <c r="G43" s="4357"/>
      <c r="H43" s="4357"/>
      <c r="I43" s="4357"/>
      <c r="J43" s="4357"/>
      <c r="K43" s="4357"/>
      <c r="L43" s="4357"/>
      <c r="M43" s="4357"/>
      <c r="N43" s="4357"/>
      <c r="O43" s="4357"/>
      <c r="P43" s="4357"/>
      <c r="Q43" s="4357"/>
      <c r="R43" s="4357"/>
      <c r="S43" s="4357"/>
      <c r="T43" s="4357"/>
      <c r="U43" s="4357"/>
      <c r="V43" s="4357"/>
      <c r="W43" s="4357"/>
      <c r="X43" s="1565"/>
      <c r="Y43" s="4356">
        <v>0</v>
      </c>
      <c r="Z43" s="4235"/>
      <c r="AA43" s="4236"/>
      <c r="AB43" s="4237">
        <v>1</v>
      </c>
      <c r="AC43" s="4235"/>
      <c r="AD43" s="4238"/>
      <c r="AE43" s="4239">
        <v>0</v>
      </c>
      <c r="AF43" s="4235"/>
      <c r="AG43" s="4236"/>
      <c r="AH43" s="4237">
        <v>0</v>
      </c>
      <c r="AI43" s="4235"/>
      <c r="AJ43" s="4240"/>
      <c r="AO43" s="1399"/>
    </row>
    <row r="44" spans="3:41" s="1236" customFormat="1" ht="23.15" customHeight="1">
      <c r="C44" s="1399"/>
      <c r="E44" s="1564"/>
      <c r="F44" s="4357" t="s">
        <v>703</v>
      </c>
      <c r="G44" s="4357"/>
      <c r="H44" s="4357"/>
      <c r="I44" s="4357"/>
      <c r="J44" s="4357"/>
      <c r="K44" s="4357"/>
      <c r="L44" s="4357"/>
      <c r="M44" s="4357"/>
      <c r="N44" s="4357"/>
      <c r="O44" s="4357"/>
      <c r="P44" s="4357"/>
      <c r="Q44" s="4357"/>
      <c r="R44" s="4357"/>
      <c r="S44" s="4357"/>
      <c r="T44" s="4357"/>
      <c r="U44" s="4357"/>
      <c r="V44" s="4357"/>
      <c r="W44" s="4357"/>
      <c r="X44" s="1565"/>
      <c r="Y44" s="4356">
        <v>0</v>
      </c>
      <c r="Z44" s="4235"/>
      <c r="AA44" s="4236"/>
      <c r="AB44" s="4237">
        <v>1</v>
      </c>
      <c r="AC44" s="4235"/>
      <c r="AD44" s="4238"/>
      <c r="AE44" s="4239">
        <v>0</v>
      </c>
      <c r="AF44" s="4235"/>
      <c r="AG44" s="4236"/>
      <c r="AH44" s="4237">
        <v>0</v>
      </c>
      <c r="AI44" s="4235"/>
      <c r="AJ44" s="4240"/>
      <c r="AO44" s="1399"/>
    </row>
    <row r="45" spans="3:41" s="1236" customFormat="1" ht="23.15" customHeight="1">
      <c r="C45" s="1399"/>
      <c r="E45" s="1564"/>
      <c r="F45" s="4357" t="s">
        <v>701</v>
      </c>
      <c r="G45" s="4357"/>
      <c r="H45" s="4357"/>
      <c r="I45" s="4357"/>
      <c r="J45" s="4357"/>
      <c r="K45" s="4357"/>
      <c r="L45" s="4357"/>
      <c r="M45" s="4357"/>
      <c r="N45" s="4357"/>
      <c r="O45" s="4357"/>
      <c r="P45" s="4357"/>
      <c r="Q45" s="4357"/>
      <c r="R45" s="4357"/>
      <c r="S45" s="4357"/>
      <c r="T45" s="4357"/>
      <c r="U45" s="4357"/>
      <c r="V45" s="4357"/>
      <c r="W45" s="4357"/>
      <c r="X45" s="1565"/>
      <c r="Y45" s="4356">
        <v>0</v>
      </c>
      <c r="Z45" s="4235"/>
      <c r="AA45" s="4236"/>
      <c r="AB45" s="4237">
        <v>1</v>
      </c>
      <c r="AC45" s="4235"/>
      <c r="AD45" s="4238"/>
      <c r="AE45" s="4239">
        <v>0</v>
      </c>
      <c r="AF45" s="4235"/>
      <c r="AG45" s="4236"/>
      <c r="AH45" s="4237">
        <v>0</v>
      </c>
      <c r="AI45" s="4235"/>
      <c r="AJ45" s="4240"/>
      <c r="AO45" s="1399"/>
    </row>
    <row r="46" spans="3:41" s="1236" customFormat="1" ht="23.15" customHeight="1">
      <c r="C46" s="1399"/>
      <c r="E46" s="1564"/>
      <c r="F46" s="4357" t="s">
        <v>699</v>
      </c>
      <c r="G46" s="4357"/>
      <c r="H46" s="4357"/>
      <c r="I46" s="4357"/>
      <c r="J46" s="4357"/>
      <c r="K46" s="4357"/>
      <c r="L46" s="4357"/>
      <c r="M46" s="4357"/>
      <c r="N46" s="4357"/>
      <c r="O46" s="4357"/>
      <c r="P46" s="4357"/>
      <c r="Q46" s="4357"/>
      <c r="R46" s="4357"/>
      <c r="S46" s="4357"/>
      <c r="T46" s="4357"/>
      <c r="U46" s="4357"/>
      <c r="V46" s="4357"/>
      <c r="W46" s="4357"/>
      <c r="X46" s="1565"/>
      <c r="Y46" s="4356">
        <v>0</v>
      </c>
      <c r="Z46" s="4235"/>
      <c r="AA46" s="4236"/>
      <c r="AB46" s="4237">
        <v>1</v>
      </c>
      <c r="AC46" s="4235"/>
      <c r="AD46" s="4238"/>
      <c r="AE46" s="4239">
        <v>0</v>
      </c>
      <c r="AF46" s="4235"/>
      <c r="AG46" s="4236"/>
      <c r="AH46" s="4237">
        <v>0</v>
      </c>
      <c r="AI46" s="4235"/>
      <c r="AJ46" s="4240"/>
      <c r="AO46" s="1399"/>
    </row>
    <row r="47" spans="3:41" s="1236" customFormat="1" ht="23.15" customHeight="1">
      <c r="C47" s="1399"/>
      <c r="E47" s="1564"/>
      <c r="F47" s="4357" t="s">
        <v>697</v>
      </c>
      <c r="G47" s="4357"/>
      <c r="H47" s="4357"/>
      <c r="I47" s="4357"/>
      <c r="J47" s="4357"/>
      <c r="K47" s="4357"/>
      <c r="L47" s="4357"/>
      <c r="M47" s="4357"/>
      <c r="N47" s="4357"/>
      <c r="O47" s="4357"/>
      <c r="P47" s="4357"/>
      <c r="Q47" s="4357"/>
      <c r="R47" s="4357"/>
      <c r="S47" s="4357"/>
      <c r="T47" s="4357"/>
      <c r="U47" s="4357"/>
      <c r="V47" s="4357"/>
      <c r="W47" s="4357"/>
      <c r="X47" s="1565"/>
      <c r="Y47" s="4356">
        <v>0</v>
      </c>
      <c r="Z47" s="4235"/>
      <c r="AA47" s="4236"/>
      <c r="AB47" s="4237">
        <v>1</v>
      </c>
      <c r="AC47" s="4235"/>
      <c r="AD47" s="4238"/>
      <c r="AE47" s="4239">
        <v>0</v>
      </c>
      <c r="AF47" s="4235"/>
      <c r="AG47" s="4236"/>
      <c r="AH47" s="4237">
        <v>0</v>
      </c>
      <c r="AI47" s="4235"/>
      <c r="AJ47" s="4240"/>
      <c r="AO47" s="1399"/>
    </row>
    <row r="48" spans="3:41" s="1236" customFormat="1" ht="23.15" customHeight="1">
      <c r="C48" s="1399"/>
      <c r="E48" s="1564"/>
      <c r="F48" s="4357" t="s">
        <v>1728</v>
      </c>
      <c r="G48" s="4357"/>
      <c r="H48" s="4357"/>
      <c r="I48" s="4357"/>
      <c r="J48" s="4357"/>
      <c r="K48" s="4357"/>
      <c r="L48" s="4357"/>
      <c r="M48" s="4357"/>
      <c r="N48" s="4357"/>
      <c r="O48" s="4357"/>
      <c r="P48" s="4357"/>
      <c r="Q48" s="4357"/>
      <c r="R48" s="4357"/>
      <c r="S48" s="4357"/>
      <c r="T48" s="4357"/>
      <c r="U48" s="4357"/>
      <c r="V48" s="4357"/>
      <c r="W48" s="4357"/>
      <c r="X48" s="1565"/>
      <c r="Y48" s="4356">
        <v>0</v>
      </c>
      <c r="Z48" s="4235"/>
      <c r="AA48" s="4236"/>
      <c r="AB48" s="4237">
        <v>1</v>
      </c>
      <c r="AC48" s="4235"/>
      <c r="AD48" s="4238"/>
      <c r="AE48" s="4239">
        <v>0</v>
      </c>
      <c r="AF48" s="4235"/>
      <c r="AG48" s="4236"/>
      <c r="AH48" s="4237">
        <v>0</v>
      </c>
      <c r="AI48" s="4235"/>
      <c r="AJ48" s="4240"/>
      <c r="AO48" s="1399"/>
    </row>
    <row r="49" spans="2:42" s="1236" customFormat="1" ht="23.15" customHeight="1">
      <c r="C49" s="1399"/>
      <c r="E49" s="1564"/>
      <c r="F49" s="4357" t="s">
        <v>694</v>
      </c>
      <c r="G49" s="4357"/>
      <c r="H49" s="4357"/>
      <c r="I49" s="4357"/>
      <c r="J49" s="4357"/>
      <c r="K49" s="4357"/>
      <c r="L49" s="4357"/>
      <c r="M49" s="4357"/>
      <c r="N49" s="4357"/>
      <c r="O49" s="4357"/>
      <c r="P49" s="4357"/>
      <c r="Q49" s="4357"/>
      <c r="R49" s="4357"/>
      <c r="S49" s="4357"/>
      <c r="T49" s="4357"/>
      <c r="U49" s="4357"/>
      <c r="V49" s="4357"/>
      <c r="W49" s="4357"/>
      <c r="X49" s="1565"/>
      <c r="Y49" s="4356">
        <v>0</v>
      </c>
      <c r="Z49" s="4235"/>
      <c r="AA49" s="4236"/>
      <c r="AB49" s="4237">
        <v>1</v>
      </c>
      <c r="AC49" s="4235"/>
      <c r="AD49" s="4238"/>
      <c r="AE49" s="4239">
        <v>0</v>
      </c>
      <c r="AF49" s="4235"/>
      <c r="AG49" s="4236"/>
      <c r="AH49" s="4237">
        <v>0</v>
      </c>
      <c r="AI49" s="4235"/>
      <c r="AJ49" s="4240"/>
      <c r="AO49" s="1399"/>
    </row>
    <row r="50" spans="2:42" s="1236" customFormat="1" ht="23.15" customHeight="1">
      <c r="C50" s="1399"/>
      <c r="E50" s="1564"/>
      <c r="F50" s="4357" t="s">
        <v>692</v>
      </c>
      <c r="G50" s="4357"/>
      <c r="H50" s="4357"/>
      <c r="I50" s="4357"/>
      <c r="J50" s="4357"/>
      <c r="K50" s="4357"/>
      <c r="L50" s="4357"/>
      <c r="M50" s="4357"/>
      <c r="N50" s="4357"/>
      <c r="O50" s="4357"/>
      <c r="P50" s="4357"/>
      <c r="Q50" s="4357"/>
      <c r="R50" s="4357"/>
      <c r="S50" s="4357"/>
      <c r="T50" s="4357"/>
      <c r="U50" s="4357"/>
      <c r="V50" s="4357"/>
      <c r="W50" s="4357"/>
      <c r="X50" s="1565"/>
      <c r="Y50" s="4356">
        <v>0</v>
      </c>
      <c r="Z50" s="4235"/>
      <c r="AA50" s="4236"/>
      <c r="AB50" s="4237">
        <v>1</v>
      </c>
      <c r="AC50" s="4235"/>
      <c r="AD50" s="4238"/>
      <c r="AE50" s="4239">
        <v>0</v>
      </c>
      <c r="AF50" s="4235"/>
      <c r="AG50" s="4236"/>
      <c r="AH50" s="4237">
        <v>0</v>
      </c>
      <c r="AI50" s="4235"/>
      <c r="AJ50" s="4240"/>
      <c r="AO50" s="1399"/>
    </row>
    <row r="51" spans="2:42" s="1236" customFormat="1" ht="23.15" customHeight="1">
      <c r="C51" s="1399"/>
      <c r="E51" s="1560"/>
      <c r="F51" s="4358" t="s">
        <v>1820</v>
      </c>
      <c r="G51" s="4358"/>
      <c r="H51" s="4358"/>
      <c r="I51" s="4358"/>
      <c r="J51" s="4358"/>
      <c r="K51" s="4358"/>
      <c r="L51" s="4358"/>
      <c r="M51" s="4358"/>
      <c r="N51" s="4358"/>
      <c r="O51" s="4358"/>
      <c r="P51" s="4358"/>
      <c r="Q51" s="4358"/>
      <c r="R51" s="4358"/>
      <c r="S51" s="4358"/>
      <c r="T51" s="4358"/>
      <c r="U51" s="4358"/>
      <c r="V51" s="4358"/>
      <c r="W51" s="4358"/>
      <c r="X51" s="1559"/>
      <c r="Y51" s="4359"/>
      <c r="Z51" s="4360"/>
      <c r="AA51" s="4361"/>
      <c r="AB51" s="4365"/>
      <c r="AC51" s="4360"/>
      <c r="AD51" s="4366"/>
      <c r="AE51" s="4369"/>
      <c r="AF51" s="4360"/>
      <c r="AG51" s="4361"/>
      <c r="AH51" s="4365"/>
      <c r="AI51" s="4360"/>
      <c r="AJ51" s="4371"/>
      <c r="AO51" s="1399"/>
    </row>
    <row r="52" spans="2:42" s="1236" customFormat="1" ht="23.15" customHeight="1">
      <c r="C52" s="1399"/>
      <c r="E52" s="1618"/>
      <c r="F52" s="4061"/>
      <c r="G52" s="4061"/>
      <c r="H52" s="4061"/>
      <c r="I52" s="4061"/>
      <c r="J52" s="4061"/>
      <c r="K52" s="4061"/>
      <c r="L52" s="4061"/>
      <c r="M52" s="4061"/>
      <c r="N52" s="4061"/>
      <c r="O52" s="4061"/>
      <c r="P52" s="4061"/>
      <c r="Q52" s="4061"/>
      <c r="R52" s="4061"/>
      <c r="S52" s="4061"/>
      <c r="T52" s="4061"/>
      <c r="U52" s="4061"/>
      <c r="V52" s="4061"/>
      <c r="W52" s="4061"/>
      <c r="X52" s="1592"/>
      <c r="Y52" s="4359"/>
      <c r="Z52" s="4360"/>
      <c r="AA52" s="4361"/>
      <c r="AB52" s="4365"/>
      <c r="AC52" s="4360"/>
      <c r="AD52" s="4366"/>
      <c r="AE52" s="4369"/>
      <c r="AF52" s="4360"/>
      <c r="AG52" s="4361"/>
      <c r="AH52" s="4365"/>
      <c r="AI52" s="4360"/>
      <c r="AJ52" s="4371"/>
      <c r="AO52" s="1399"/>
    </row>
    <row r="53" spans="2:42" ht="15" customHeight="1" thickBot="1">
      <c r="C53" s="1615"/>
      <c r="D53" s="587"/>
      <c r="E53" s="1616"/>
      <c r="F53" s="1617" t="str">
        <f>IF(AND(ISBLANK(number_trained_module_others_specify),SUM(Y51:AJ53)&gt;0),"Please specify.",IF(AND(number_trained_module_others_specify&gt;0,SUM(Y51:AJ53)=0),"Please provide details.",""))</f>
        <v/>
      </c>
      <c r="G53" s="1588"/>
      <c r="H53" s="1588"/>
      <c r="I53" s="1588"/>
      <c r="J53" s="1588"/>
      <c r="K53" s="1588"/>
      <c r="L53" s="1588"/>
      <c r="M53" s="1588"/>
      <c r="N53" s="1588"/>
      <c r="O53" s="1588"/>
      <c r="P53" s="1441"/>
      <c r="Q53" s="1441"/>
      <c r="R53" s="1441"/>
      <c r="S53" s="1441"/>
      <c r="T53" s="1441"/>
      <c r="U53" s="1441"/>
      <c r="V53" s="1441"/>
      <c r="W53" s="1441"/>
      <c r="X53" s="1442"/>
      <c r="Y53" s="4362"/>
      <c r="Z53" s="4363"/>
      <c r="AA53" s="4364"/>
      <c r="AB53" s="4367"/>
      <c r="AC53" s="4363"/>
      <c r="AD53" s="4368"/>
      <c r="AE53" s="4370"/>
      <c r="AF53" s="4363"/>
      <c r="AG53" s="4364"/>
      <c r="AH53" s="4367"/>
      <c r="AI53" s="4363"/>
      <c r="AJ53" s="4372"/>
      <c r="AK53" s="1434"/>
      <c r="AL53" s="1434"/>
      <c r="AM53" s="1434"/>
      <c r="AN53" s="1434"/>
      <c r="AO53" s="1433"/>
      <c r="AP53" s="1434"/>
    </row>
    <row r="54" spans="2:42" ht="10" customHeight="1" thickTop="1" thickBot="1">
      <c r="C54" s="1436"/>
      <c r="D54" s="1282"/>
      <c r="E54" s="1587"/>
      <c r="F54" s="1588"/>
      <c r="G54" s="1588"/>
      <c r="H54" s="1588"/>
      <c r="I54" s="1588"/>
      <c r="J54" s="1588"/>
      <c r="K54" s="1588"/>
      <c r="L54" s="1588"/>
      <c r="M54" s="1588"/>
      <c r="N54" s="1588"/>
      <c r="O54" s="1588"/>
      <c r="P54" s="1441"/>
      <c r="Q54" s="1441"/>
      <c r="R54" s="1441"/>
      <c r="S54" s="1441"/>
      <c r="T54" s="1441"/>
      <c r="U54" s="1441"/>
      <c r="V54" s="1441"/>
      <c r="W54" s="1441"/>
      <c r="X54" s="1441"/>
      <c r="Y54" s="1614"/>
      <c r="Z54" s="1614"/>
      <c r="AA54" s="1614"/>
      <c r="AB54" s="1614"/>
      <c r="AC54" s="1614"/>
      <c r="AD54" s="1614"/>
      <c r="AE54" s="1614"/>
      <c r="AF54" s="1614"/>
      <c r="AG54" s="1614"/>
      <c r="AH54" s="1614"/>
      <c r="AI54" s="1614"/>
      <c r="AJ54" s="1614"/>
      <c r="AK54" s="1441"/>
      <c r="AL54" s="1441"/>
      <c r="AM54" s="1441"/>
      <c r="AN54" s="1441"/>
      <c r="AO54" s="1433"/>
      <c r="AP54" s="1434"/>
    </row>
    <row r="55" spans="2:42" ht="10" customHeight="1" thickTop="1">
      <c r="B55" s="1443"/>
      <c r="C55" s="587"/>
      <c r="E55" s="1445"/>
      <c r="F55" s="1445"/>
      <c r="G55" s="1445"/>
      <c r="H55" s="1445"/>
      <c r="I55" s="1445"/>
      <c r="J55" s="1445"/>
      <c r="K55" s="1434"/>
      <c r="L55" s="1434"/>
      <c r="M55" s="1434"/>
      <c r="N55" s="1434"/>
      <c r="O55" s="1434"/>
      <c r="P55" s="1434"/>
      <c r="Q55" s="1434"/>
      <c r="R55" s="1434"/>
      <c r="S55" s="1434"/>
      <c r="T55" s="1434"/>
      <c r="U55" s="1434"/>
      <c r="V55" s="1434"/>
      <c r="W55" s="1434"/>
      <c r="X55" s="1434"/>
      <c r="Y55" s="1434"/>
      <c r="Z55" s="1434"/>
      <c r="AA55" s="1434"/>
      <c r="AB55" s="1434"/>
      <c r="AC55" s="1434"/>
      <c r="AD55" s="1434"/>
      <c r="AE55" s="1434"/>
      <c r="AF55" s="1434"/>
      <c r="AG55" s="1434"/>
      <c r="AH55" s="1434"/>
      <c r="AI55" s="1434"/>
      <c r="AJ55" s="1434"/>
      <c r="AK55" s="1434"/>
      <c r="AL55" s="1434"/>
      <c r="AM55" s="1434"/>
      <c r="AN55" s="1434"/>
      <c r="AO55" s="1434"/>
      <c r="AP55" s="1434"/>
    </row>
    <row r="56" spans="2:42" s="681" customFormat="1" ht="16.5">
      <c r="C56" s="187" t="s">
        <v>1245</v>
      </c>
      <c r="E56" s="1244"/>
      <c r="F56" s="1240"/>
      <c r="G56" s="1240"/>
      <c r="H56" s="1240"/>
      <c r="I56" s="1240"/>
      <c r="J56" s="1240"/>
      <c r="K56" s="1240"/>
      <c r="L56" s="1240"/>
      <c r="M56" s="1240"/>
      <c r="N56" s="1240"/>
      <c r="O56" s="1240"/>
      <c r="P56" s="1240"/>
      <c r="Q56" s="1240"/>
      <c r="R56" s="1240"/>
      <c r="S56" s="1240"/>
      <c r="T56" s="1240"/>
      <c r="U56" s="1240"/>
      <c r="V56" s="1240"/>
    </row>
    <row r="57" spans="2:42" s="602" customFormat="1" ht="30.75" customHeight="1"/>
    <row r="58" spans="2:42" s="1235" customFormat="1" ht="14">
      <c r="B58" s="169" t="s">
        <v>847</v>
      </c>
      <c r="P58" s="169" t="s">
        <v>747</v>
      </c>
      <c r="AD58" s="169" t="s">
        <v>783</v>
      </c>
    </row>
    <row r="59" spans="2:42" s="1235" customFormat="1" ht="21.75" customHeight="1">
      <c r="B59" s="169" t="s">
        <v>748</v>
      </c>
      <c r="F59" s="3607" t="str">
        <f>activesheet!E29</f>
        <v>RICO S. MISPEROS</v>
      </c>
      <c r="G59" s="3607"/>
      <c r="H59" s="3607"/>
      <c r="I59" s="3607"/>
      <c r="J59" s="3607"/>
      <c r="K59" s="3607"/>
      <c r="L59" s="3607"/>
      <c r="M59" s="3607"/>
      <c r="P59" s="3607" t="str">
        <f>activesheet!E3244</f>
        <v>ELYN KENDRA D. DELA CRUZ</v>
      </c>
      <c r="Q59" s="3607"/>
      <c r="R59" s="3607"/>
      <c r="S59" s="3607"/>
      <c r="T59" s="3607"/>
      <c r="U59" s="3607"/>
      <c r="V59" s="3607"/>
      <c r="W59" s="3607"/>
      <c r="X59" s="3607"/>
      <c r="Y59" s="3607"/>
      <c r="Z59" s="3607"/>
      <c r="AA59" s="3607"/>
      <c r="AD59" s="3906" t="str">
        <f>activesheet!E31</f>
        <v>MICHAEL T. JAMIS</v>
      </c>
      <c r="AE59" s="3906"/>
      <c r="AF59" s="3906"/>
      <c r="AG59" s="3906"/>
      <c r="AH59" s="3906"/>
      <c r="AI59" s="3906"/>
      <c r="AJ59" s="3906"/>
      <c r="AK59" s="3906"/>
      <c r="AL59" s="3906"/>
      <c r="AM59" s="3906"/>
      <c r="AN59" s="3906"/>
      <c r="AO59" s="3906"/>
    </row>
    <row r="60" spans="2:42" s="1237" customFormat="1" ht="14.15" customHeight="1">
      <c r="B60" s="655"/>
      <c r="F60" s="1776" t="s">
        <v>741</v>
      </c>
      <c r="G60" s="1776"/>
      <c r="H60" s="1776"/>
      <c r="I60" s="1776"/>
      <c r="J60" s="1776"/>
      <c r="K60" s="1776"/>
      <c r="L60" s="1776"/>
      <c r="M60" s="1776"/>
      <c r="N60" s="153"/>
      <c r="O60" s="153"/>
      <c r="P60" s="1776" t="s">
        <v>741</v>
      </c>
      <c r="Q60" s="1776"/>
      <c r="R60" s="1776"/>
      <c r="S60" s="1776"/>
      <c r="T60" s="1776"/>
      <c r="U60" s="1776"/>
      <c r="V60" s="1776"/>
      <c r="W60" s="1776"/>
      <c r="X60" s="1776"/>
      <c r="Y60" s="1776"/>
      <c r="Z60" s="1776"/>
      <c r="AA60" s="1776"/>
      <c r="AB60" s="153"/>
      <c r="AC60" s="153"/>
      <c r="AD60" s="3907"/>
      <c r="AE60" s="3907"/>
      <c r="AF60" s="3907"/>
      <c r="AG60" s="3907"/>
      <c r="AH60" s="3907"/>
      <c r="AI60" s="3907"/>
      <c r="AJ60" s="3907"/>
      <c r="AK60" s="3907"/>
      <c r="AL60" s="3907"/>
      <c r="AM60" s="3907"/>
      <c r="AN60" s="3907"/>
      <c r="AO60" s="3907"/>
    </row>
    <row r="61" spans="2:42" s="1235" customFormat="1" ht="21.75" customHeight="1">
      <c r="B61" s="169" t="s">
        <v>71</v>
      </c>
      <c r="F61" s="3607" t="str">
        <f>activesheet!E30</f>
        <v>SCHOOL PRINCIPAL II</v>
      </c>
      <c r="G61" s="3607"/>
      <c r="H61" s="3607"/>
      <c r="I61" s="3607"/>
      <c r="J61" s="3607"/>
      <c r="K61" s="3607"/>
      <c r="L61" s="3607"/>
      <c r="M61" s="3607"/>
      <c r="P61" s="169" t="s">
        <v>71</v>
      </c>
      <c r="V61" s="3607" t="str">
        <f>activesheet!E3245</f>
        <v>Project Development Officer II</v>
      </c>
      <c r="W61" s="3607"/>
      <c r="X61" s="3607"/>
      <c r="Y61" s="3607"/>
      <c r="Z61" s="3607"/>
      <c r="AA61" s="3607"/>
      <c r="AD61" s="1776" t="s">
        <v>741</v>
      </c>
      <c r="AE61" s="1776"/>
      <c r="AF61" s="1776"/>
      <c r="AG61" s="1776"/>
      <c r="AH61" s="1776"/>
      <c r="AI61" s="1776"/>
      <c r="AJ61" s="1776"/>
      <c r="AK61" s="1776"/>
      <c r="AL61" s="1776"/>
      <c r="AM61" s="1776"/>
      <c r="AN61" s="1776"/>
      <c r="AO61" s="1776"/>
    </row>
    <row r="62" spans="2:42">
      <c r="D62" s="1434"/>
      <c r="E62" s="1434"/>
      <c r="F62" s="1434"/>
      <c r="G62" s="1434"/>
      <c r="H62" s="1434"/>
      <c r="I62" s="1434"/>
      <c r="J62" s="1434"/>
      <c r="K62" s="1434"/>
      <c r="L62" s="1434"/>
      <c r="M62" s="1434"/>
      <c r="N62" s="1434"/>
      <c r="O62" s="1434"/>
      <c r="P62" s="602"/>
      <c r="Q62" s="602"/>
      <c r="R62" s="1434"/>
      <c r="S62" s="1434"/>
      <c r="T62" s="1434"/>
      <c r="U62" s="1434"/>
      <c r="V62" s="1434"/>
      <c r="W62" s="1434"/>
      <c r="X62" s="1434"/>
      <c r="Y62" s="1434"/>
      <c r="Z62" s="1434"/>
      <c r="AA62" s="1434"/>
      <c r="AB62" s="1434"/>
      <c r="AC62" s="1434"/>
      <c r="AD62" s="1434"/>
      <c r="AE62" s="1434"/>
      <c r="AF62" s="1434"/>
      <c r="AG62" s="1434"/>
      <c r="AH62" s="1434"/>
      <c r="AI62" s="1434"/>
      <c r="AJ62" s="1434"/>
      <c r="AK62" s="1434"/>
      <c r="AL62" s="1434"/>
      <c r="AM62" s="1434"/>
      <c r="AN62" s="1434"/>
      <c r="AO62" s="1434"/>
      <c r="AP62" s="1434"/>
    </row>
  </sheetData>
  <sheetProtection algorithmName="SHA-512" hashValue="m3d0R+ROoY/Q6pVLDNr+sYXpwpdHZ9jL0mOg0f2ufD7TJReOYFAt+xACljdCNRKBZKTat660Hy1I22qjcXcY5Q==" saltValue="ywcQ153GHlhI43R8FW5JGA==" spinCount="100000" sheet="1" objects="1" scenarios="1" selectLockedCells="1"/>
  <mergeCells count="189">
    <mergeCell ref="F59:M59"/>
    <mergeCell ref="P59:AA59"/>
    <mergeCell ref="AD59:AO60"/>
    <mergeCell ref="F60:M60"/>
    <mergeCell ref="P60:AA60"/>
    <mergeCell ref="F61:M61"/>
    <mergeCell ref="V61:AA61"/>
    <mergeCell ref="AD61:AO61"/>
    <mergeCell ref="F51:W51"/>
    <mergeCell ref="Y51:AA53"/>
    <mergeCell ref="AB51:AD53"/>
    <mergeCell ref="AE51:AG53"/>
    <mergeCell ref="AH51:AJ53"/>
    <mergeCell ref="F52:W52"/>
    <mergeCell ref="F49:W49"/>
    <mergeCell ref="Y49:AA49"/>
    <mergeCell ref="AB49:AD49"/>
    <mergeCell ref="AE49:AG49"/>
    <mergeCell ref="AH49:AJ49"/>
    <mergeCell ref="F50:W50"/>
    <mergeCell ref="Y50:AA50"/>
    <mergeCell ref="AB50:AD50"/>
    <mergeCell ref="AE50:AG50"/>
    <mergeCell ref="AH50:AJ50"/>
    <mergeCell ref="F47:W47"/>
    <mergeCell ref="Y47:AA47"/>
    <mergeCell ref="AB47:AD47"/>
    <mergeCell ref="AE47:AG47"/>
    <mergeCell ref="AH47:AJ47"/>
    <mergeCell ref="F48:W48"/>
    <mergeCell ref="Y48:AA48"/>
    <mergeCell ref="AB48:AD48"/>
    <mergeCell ref="AE48:AG48"/>
    <mergeCell ref="AH48:AJ48"/>
    <mergeCell ref="F45:W45"/>
    <mergeCell ref="Y45:AA45"/>
    <mergeCell ref="AB45:AD45"/>
    <mergeCell ref="AE45:AG45"/>
    <mergeCell ref="AH45:AJ45"/>
    <mergeCell ref="F46:W46"/>
    <mergeCell ref="Y46:AA46"/>
    <mergeCell ref="AB46:AD46"/>
    <mergeCell ref="AE46:AG46"/>
    <mergeCell ref="AH46:AJ46"/>
    <mergeCell ref="F43:W43"/>
    <mergeCell ref="Y43:AA43"/>
    <mergeCell ref="AB43:AD43"/>
    <mergeCell ref="AE43:AG43"/>
    <mergeCell ref="AH43:AJ43"/>
    <mergeCell ref="F44:W44"/>
    <mergeCell ref="Y44:AA44"/>
    <mergeCell ref="AB44:AD44"/>
    <mergeCell ref="AE44:AG44"/>
    <mergeCell ref="AH44:AJ44"/>
    <mergeCell ref="F41:W41"/>
    <mergeCell ref="Y41:AA41"/>
    <mergeCell ref="AB41:AD41"/>
    <mergeCell ref="AE41:AG41"/>
    <mergeCell ref="AH41:AJ41"/>
    <mergeCell ref="F42:W42"/>
    <mergeCell ref="Y42:AA42"/>
    <mergeCell ref="AB42:AD42"/>
    <mergeCell ref="AE42:AG42"/>
    <mergeCell ref="AH42:AJ42"/>
    <mergeCell ref="F39:W39"/>
    <mergeCell ref="Y39:AA39"/>
    <mergeCell ref="AB39:AD39"/>
    <mergeCell ref="AE39:AG39"/>
    <mergeCell ref="AH39:AJ39"/>
    <mergeCell ref="F40:W40"/>
    <mergeCell ref="Y40:AA40"/>
    <mergeCell ref="AB40:AD40"/>
    <mergeCell ref="AE40:AG40"/>
    <mergeCell ref="AH40:AJ40"/>
    <mergeCell ref="F37:W37"/>
    <mergeCell ref="Y37:AA37"/>
    <mergeCell ref="AB37:AD37"/>
    <mergeCell ref="AE37:AG37"/>
    <mergeCell ref="AH37:AJ37"/>
    <mergeCell ref="F38:W38"/>
    <mergeCell ref="Y38:AA38"/>
    <mergeCell ref="AB38:AD38"/>
    <mergeCell ref="AE38:AG38"/>
    <mergeCell ref="AH38:AJ38"/>
    <mergeCell ref="F35:W35"/>
    <mergeCell ref="Y35:AA35"/>
    <mergeCell ref="AB35:AD35"/>
    <mergeCell ref="AE35:AG35"/>
    <mergeCell ref="AH35:AJ35"/>
    <mergeCell ref="F36:W36"/>
    <mergeCell ref="Y36:AA36"/>
    <mergeCell ref="AB36:AD36"/>
    <mergeCell ref="AE36:AG36"/>
    <mergeCell ref="AH36:AJ36"/>
    <mergeCell ref="F33:W33"/>
    <mergeCell ref="Y33:AA33"/>
    <mergeCell ref="AB33:AD33"/>
    <mergeCell ref="AE33:AG33"/>
    <mergeCell ref="AH33:AJ33"/>
    <mergeCell ref="F34:W34"/>
    <mergeCell ref="Y34:AA34"/>
    <mergeCell ref="AB34:AD34"/>
    <mergeCell ref="AE34:AG34"/>
    <mergeCell ref="AH34:AJ34"/>
    <mergeCell ref="F31:W31"/>
    <mergeCell ref="Y31:AA31"/>
    <mergeCell ref="AB31:AD31"/>
    <mergeCell ref="AE31:AG31"/>
    <mergeCell ref="AH31:AJ31"/>
    <mergeCell ref="F32:W32"/>
    <mergeCell ref="Y32:AA32"/>
    <mergeCell ref="AB32:AD32"/>
    <mergeCell ref="AE32:AG32"/>
    <mergeCell ref="AH32:AJ32"/>
    <mergeCell ref="F29:W29"/>
    <mergeCell ref="Y29:AA29"/>
    <mergeCell ref="AB29:AD29"/>
    <mergeCell ref="AE29:AG29"/>
    <mergeCell ref="AH29:AJ29"/>
    <mergeCell ref="F30:W30"/>
    <mergeCell ref="Y30:AA30"/>
    <mergeCell ref="AB30:AD30"/>
    <mergeCell ref="AE30:AG30"/>
    <mergeCell ref="AH30:AJ30"/>
    <mergeCell ref="E21:J21"/>
    <mergeCell ref="K21:P21"/>
    <mergeCell ref="E26:X28"/>
    <mergeCell ref="Y26:AD27"/>
    <mergeCell ref="AE26:AJ27"/>
    <mergeCell ref="Y28:AA28"/>
    <mergeCell ref="AB28:AD28"/>
    <mergeCell ref="AE28:AG28"/>
    <mergeCell ref="AH28:AJ28"/>
    <mergeCell ref="E19:J19"/>
    <mergeCell ref="K19:P19"/>
    <mergeCell ref="E20:J20"/>
    <mergeCell ref="K20:P20"/>
    <mergeCell ref="AJ10:AL10"/>
    <mergeCell ref="F11:M11"/>
    <mergeCell ref="O11:Q11"/>
    <mergeCell ref="R11:T11"/>
    <mergeCell ref="U11:W11"/>
    <mergeCell ref="X11:Z11"/>
    <mergeCell ref="AA11:AC11"/>
    <mergeCell ref="AD11:AF11"/>
    <mergeCell ref="AG11:AI11"/>
    <mergeCell ref="AJ11:AL11"/>
    <mergeCell ref="F10:M10"/>
    <mergeCell ref="O10:Q10"/>
    <mergeCell ref="R10:T10"/>
    <mergeCell ref="U10:W10"/>
    <mergeCell ref="X10:Z10"/>
    <mergeCell ref="AA10:AC10"/>
    <mergeCell ref="AD10:AF10"/>
    <mergeCell ref="AG10:AI10"/>
    <mergeCell ref="E17:J18"/>
    <mergeCell ref="K17:P18"/>
    <mergeCell ref="F9:M9"/>
    <mergeCell ref="O9:Q9"/>
    <mergeCell ref="R9:T9"/>
    <mergeCell ref="U9:W9"/>
    <mergeCell ref="X9:Z9"/>
    <mergeCell ref="AA9:AC9"/>
    <mergeCell ref="AD9:AF9"/>
    <mergeCell ref="AG9:AI9"/>
    <mergeCell ref="AJ9:AL9"/>
    <mergeCell ref="F8:M8"/>
    <mergeCell ref="O8:Q8"/>
    <mergeCell ref="R8:T8"/>
    <mergeCell ref="U8:W8"/>
    <mergeCell ref="X8:Z8"/>
    <mergeCell ref="AA8:AC8"/>
    <mergeCell ref="AD8:AF8"/>
    <mergeCell ref="AG8:AI8"/>
    <mergeCell ref="AJ8:AL8"/>
    <mergeCell ref="E4:AB4"/>
    <mergeCell ref="E6:N7"/>
    <mergeCell ref="O6:T6"/>
    <mergeCell ref="U6:Z6"/>
    <mergeCell ref="AA6:AF6"/>
    <mergeCell ref="AG6:AL6"/>
    <mergeCell ref="O7:Q7"/>
    <mergeCell ref="R7:T7"/>
    <mergeCell ref="U7:W7"/>
    <mergeCell ref="X7:Z7"/>
    <mergeCell ref="AA7:AC7"/>
    <mergeCell ref="AD7:AF7"/>
    <mergeCell ref="AG7:AI7"/>
    <mergeCell ref="AJ7:AL7"/>
  </mergeCells>
  <dataValidations count="2">
    <dataValidation type="whole" allowBlank="1" showInputMessage="1" showErrorMessage="1" errorTitle="GESP SY 2022-2023" error="Please enter valid number between 0 - 999." sqref="Y29:AJ53 K19:P21" xr:uid="{00000000-0002-0000-3D00-000000000000}">
      <formula1>0</formula1>
      <formula2>999</formula2>
    </dataValidation>
    <dataValidation type="whole" allowBlank="1" showInputMessage="1" showErrorMessage="1" errorTitle="GESP SY 2022-2023" error="Please enter valid number between 0 - 20,000." sqref="O8:AL11" xr:uid="{00000000-0002-0000-3D00-000001000000}">
      <formula1>0</formula1>
      <formula2>20000</formula2>
    </dataValidation>
  </dataValidations>
  <printOptions horizontalCentered="1" verticalCentered="1"/>
  <pageMargins left="0.25" right="0.25" top="0.2" bottom="0.2" header="0" footer="0.1"/>
  <pageSetup paperSize="9" scale="46" orientation="landscape" r:id="rId1"/>
  <headerFooter>
    <oddFooter>&amp;L&amp;10&amp;F &amp;A&amp;R&amp;10Page 58 of 60</oddFooter>
  </headerFooter>
  <ignoredErrors>
    <ignoredError sqref="D4 E8:E11 D15 D22 D2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7329" r:id="rId4" name="Check Box 1">
              <controlPr locked="0" defaultSize="0" autoFill="0" autoLine="0" autoPict="0">
                <anchor moveWithCells="1">
                  <from>
                    <xdr:col>4</xdr:col>
                    <xdr:colOff>50800</xdr:colOff>
                    <xdr:row>21</xdr:row>
                    <xdr:rowOff>50800</xdr:rowOff>
                  </from>
                  <to>
                    <xdr:col>7</xdr:col>
                    <xdr:colOff>31750</xdr:colOff>
                    <xdr:row>21</xdr:row>
                    <xdr:rowOff>260350</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pageSetUpPr fitToPage="1"/>
  </sheetPr>
  <dimension ref="A1:BB43"/>
  <sheetViews>
    <sheetView showGridLines="0" zoomScaleNormal="100" zoomScaleSheetLayoutView="100" workbookViewId="0">
      <selection activeCell="X10" sqref="X10:AA10"/>
    </sheetView>
  </sheetViews>
  <sheetFormatPr defaultColWidth="8" defaultRowHeight="15.5"/>
  <cols>
    <col min="1" max="1" width="2.08203125" style="1434" customWidth="1"/>
    <col min="2" max="36" width="3.58203125" style="1444" customWidth="1"/>
    <col min="37" max="38" width="3.58203125" style="1434" customWidth="1"/>
    <col min="39" max="39" width="2.08203125" style="1434" customWidth="1"/>
    <col min="40" max="171" width="3.58203125" style="1434" customWidth="1"/>
    <col min="172" max="16384" width="8" style="1434"/>
  </cols>
  <sheetData>
    <row r="1" spans="2:48" ht="12" customHeight="1"/>
    <row r="2" spans="2:48" ht="17" thickBot="1">
      <c r="B2" s="1467" t="s">
        <v>1842</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row>
    <row r="3" spans="2:48" ht="5.15"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611"/>
      <c r="AM3" s="1466"/>
    </row>
    <row r="4" spans="2:48" ht="15.65" customHeight="1">
      <c r="B4" s="1433"/>
      <c r="C4" s="1450" t="s">
        <v>151</v>
      </c>
      <c r="D4" s="4373" t="s">
        <v>1729</v>
      </c>
      <c r="E4" s="4373"/>
      <c r="F4" s="4373"/>
      <c r="G4" s="4373"/>
      <c r="H4" s="4373"/>
      <c r="I4" s="4373"/>
      <c r="J4" s="4373"/>
      <c r="K4" s="4373"/>
      <c r="L4" s="4373"/>
      <c r="M4" s="4373"/>
      <c r="N4" s="4373"/>
      <c r="O4" s="4373"/>
      <c r="P4" s="1452"/>
      <c r="Q4" s="1452"/>
      <c r="R4" s="1452"/>
      <c r="S4" s="1452"/>
      <c r="T4" s="1452"/>
      <c r="U4" s="1452"/>
      <c r="V4" s="1452"/>
      <c r="W4" s="1450" t="s">
        <v>152</v>
      </c>
      <c r="X4" s="4373" t="s">
        <v>1730</v>
      </c>
      <c r="Y4" s="4373"/>
      <c r="Z4" s="4373"/>
      <c r="AA4" s="4373"/>
      <c r="AB4" s="4373"/>
      <c r="AC4" s="4373"/>
      <c r="AD4" s="4373"/>
      <c r="AE4" s="4373"/>
      <c r="AF4" s="4373"/>
      <c r="AG4" s="4373"/>
      <c r="AH4" s="4373"/>
      <c r="AI4" s="1452"/>
      <c r="AJ4" s="1452"/>
      <c r="AK4" s="1445"/>
      <c r="AL4" s="1612"/>
      <c r="AM4" s="1445"/>
    </row>
    <row r="5" spans="2:48" ht="15.65" customHeight="1">
      <c r="B5" s="1433"/>
      <c r="C5" s="1450"/>
      <c r="D5" s="4373"/>
      <c r="E5" s="4373"/>
      <c r="F5" s="4373"/>
      <c r="G5" s="4373"/>
      <c r="H5" s="4373"/>
      <c r="I5" s="4373"/>
      <c r="J5" s="4373"/>
      <c r="K5" s="4373"/>
      <c r="L5" s="4373"/>
      <c r="M5" s="4373"/>
      <c r="N5" s="4373"/>
      <c r="O5" s="4373"/>
      <c r="P5" s="1452"/>
      <c r="Q5" s="1452"/>
      <c r="R5" s="1452"/>
      <c r="S5" s="1452"/>
      <c r="T5" s="1452"/>
      <c r="U5" s="1452"/>
      <c r="V5" s="1452"/>
      <c r="W5" s="1450"/>
      <c r="X5" s="4373"/>
      <c r="Y5" s="4373"/>
      <c r="Z5" s="4373"/>
      <c r="AA5" s="4373"/>
      <c r="AB5" s="4373"/>
      <c r="AC5" s="4373"/>
      <c r="AD5" s="4373"/>
      <c r="AE5" s="4373"/>
      <c r="AF5" s="4373"/>
      <c r="AG5" s="4373"/>
      <c r="AH5" s="4373"/>
      <c r="AI5" s="1452"/>
      <c r="AJ5" s="1452"/>
      <c r="AK5" s="1445"/>
      <c r="AL5" s="1612"/>
      <c r="AM5" s="1445"/>
    </row>
    <row r="6" spans="2:48" ht="15.65" customHeight="1">
      <c r="B6" s="1433"/>
      <c r="C6" s="1450"/>
      <c r="D6" s="4373"/>
      <c r="E6" s="4373"/>
      <c r="F6" s="4373"/>
      <c r="G6" s="4373"/>
      <c r="H6" s="4373"/>
      <c r="I6" s="4373"/>
      <c r="J6" s="4373"/>
      <c r="K6" s="4373"/>
      <c r="L6" s="4373"/>
      <c r="M6" s="4373"/>
      <c r="N6" s="4373"/>
      <c r="O6" s="4373"/>
      <c r="P6" s="1452"/>
      <c r="Q6" s="1452"/>
      <c r="R6" s="1452"/>
      <c r="S6" s="1452"/>
      <c r="T6" s="1452"/>
      <c r="U6" s="1452"/>
      <c r="V6" s="1452"/>
      <c r="W6" s="1450"/>
      <c r="X6" s="4373"/>
      <c r="Y6" s="4373"/>
      <c r="Z6" s="4373"/>
      <c r="AA6" s="4373"/>
      <c r="AB6" s="4373"/>
      <c r="AC6" s="4373"/>
      <c r="AD6" s="4373"/>
      <c r="AE6" s="4373"/>
      <c r="AF6" s="4373"/>
      <c r="AG6" s="4373"/>
      <c r="AH6" s="4373"/>
      <c r="AI6" s="1452"/>
      <c r="AJ6" s="1452"/>
      <c r="AK6" s="1445"/>
      <c r="AL6" s="1612"/>
      <c r="AM6" s="1445"/>
    </row>
    <row r="7" spans="2:48" ht="5.15" customHeight="1" thickBot="1">
      <c r="B7" s="1457"/>
      <c r="C7" s="1466"/>
      <c r="D7" s="1466"/>
      <c r="E7" s="1466"/>
      <c r="F7" s="1466"/>
      <c r="G7" s="1466"/>
      <c r="H7" s="1466"/>
      <c r="I7" s="1466"/>
      <c r="J7" s="1466"/>
      <c r="K7" s="1466"/>
      <c r="L7" s="1466"/>
      <c r="M7" s="1466"/>
      <c r="N7" s="1466"/>
      <c r="O7" s="1466"/>
      <c r="P7" s="1466"/>
      <c r="Q7" s="1466"/>
      <c r="R7" s="1466"/>
      <c r="S7" s="1466"/>
      <c r="T7" s="1466"/>
      <c r="U7" s="1466"/>
      <c r="V7" s="1466"/>
      <c r="W7" s="1466"/>
      <c r="X7" s="1466"/>
      <c r="Y7" s="1466"/>
      <c r="Z7" s="1466"/>
      <c r="AA7" s="1466"/>
      <c r="AB7" s="1466"/>
      <c r="AC7" s="1466"/>
      <c r="AD7" s="1466"/>
      <c r="AE7" s="1466"/>
      <c r="AF7" s="1466"/>
      <c r="AG7" s="1466"/>
      <c r="AH7" s="1466"/>
      <c r="AI7" s="1466"/>
      <c r="AJ7" s="1466"/>
      <c r="AK7" s="1466"/>
      <c r="AL7" s="1613"/>
      <c r="AM7" s="1466"/>
    </row>
    <row r="8" spans="2:48" s="1444" customFormat="1" ht="30.65" customHeight="1" thickTop="1" thickBot="1">
      <c r="B8" s="1457"/>
      <c r="C8" s="1585"/>
      <c r="D8" s="3710" t="s">
        <v>758</v>
      </c>
      <c r="E8" s="3711"/>
      <c r="F8" s="3711"/>
      <c r="G8" s="3711"/>
      <c r="H8" s="3711"/>
      <c r="I8" s="3713"/>
      <c r="J8" s="3711" t="s">
        <v>759</v>
      </c>
      <c r="K8" s="3711"/>
      <c r="L8" s="3711"/>
      <c r="M8" s="3711"/>
      <c r="N8" s="3711"/>
      <c r="O8" s="3714"/>
      <c r="P8" s="1585"/>
      <c r="Q8" s="1585"/>
      <c r="R8" s="1585"/>
      <c r="S8" s="1585"/>
      <c r="T8" s="1585"/>
      <c r="U8" s="1585"/>
      <c r="V8" s="1585"/>
      <c r="W8" s="1585"/>
      <c r="X8" s="3710" t="s">
        <v>758</v>
      </c>
      <c r="Y8" s="3711"/>
      <c r="Z8" s="3711"/>
      <c r="AA8" s="3711"/>
      <c r="AB8" s="3711"/>
      <c r="AC8" s="3711"/>
      <c r="AD8" s="3711"/>
      <c r="AE8" s="3714"/>
      <c r="AF8" s="1373"/>
      <c r="AG8" s="1373"/>
      <c r="AH8" s="1373"/>
      <c r="AI8" s="1373"/>
      <c r="AJ8" s="1585"/>
      <c r="AK8" s="1585"/>
      <c r="AL8" s="1662"/>
      <c r="AM8" s="1585"/>
    </row>
    <row r="9" spans="2:48" s="1444" customFormat="1" ht="19.5" customHeight="1" thickBot="1">
      <c r="B9" s="1459"/>
      <c r="C9" s="1575"/>
      <c r="D9" s="3715" t="s">
        <v>15</v>
      </c>
      <c r="E9" s="3716"/>
      <c r="F9" s="3717"/>
      <c r="G9" s="3720" t="s">
        <v>16</v>
      </c>
      <c r="H9" s="3716"/>
      <c r="I9" s="3719"/>
      <c r="J9" s="3716" t="s">
        <v>15</v>
      </c>
      <c r="K9" s="3716"/>
      <c r="L9" s="3717"/>
      <c r="M9" s="3720" t="s">
        <v>16</v>
      </c>
      <c r="N9" s="3716"/>
      <c r="O9" s="3721"/>
      <c r="W9" s="1575"/>
      <c r="X9" s="3715" t="s">
        <v>15</v>
      </c>
      <c r="Y9" s="3716"/>
      <c r="Z9" s="3716"/>
      <c r="AA9" s="3717"/>
      <c r="AB9" s="3720" t="s">
        <v>16</v>
      </c>
      <c r="AC9" s="3716"/>
      <c r="AD9" s="3716"/>
      <c r="AE9" s="3721"/>
      <c r="AF9" s="1647"/>
      <c r="AG9" s="1647"/>
      <c r="AH9" s="1647"/>
      <c r="AI9" s="1647"/>
      <c r="AL9" s="1596"/>
    </row>
    <row r="10" spans="2:48" s="1444" customFormat="1" ht="25" customHeight="1" thickTop="1" thickBot="1">
      <c r="B10" s="1459"/>
      <c r="C10" s="1575"/>
      <c r="D10" s="3741">
        <v>0</v>
      </c>
      <c r="E10" s="3742"/>
      <c r="F10" s="3746"/>
      <c r="G10" s="3783">
        <v>0</v>
      </c>
      <c r="H10" s="3768"/>
      <c r="I10" s="3784"/>
      <c r="J10" s="3742">
        <v>0</v>
      </c>
      <c r="K10" s="3742"/>
      <c r="L10" s="3746"/>
      <c r="M10" s="3783">
        <v>0</v>
      </c>
      <c r="N10" s="3768"/>
      <c r="O10" s="3785"/>
      <c r="W10" s="1575"/>
      <c r="X10" s="3741">
        <v>0</v>
      </c>
      <c r="Y10" s="3742"/>
      <c r="Z10" s="3742"/>
      <c r="AA10" s="3746"/>
      <c r="AB10" s="3783">
        <v>0</v>
      </c>
      <c r="AC10" s="3768"/>
      <c r="AD10" s="3768"/>
      <c r="AE10" s="3785"/>
      <c r="AF10" s="1625"/>
      <c r="AG10" s="1625"/>
      <c r="AH10" s="1625"/>
      <c r="AI10" s="1625"/>
      <c r="AL10" s="1596"/>
    </row>
    <row r="11" spans="2:48" ht="10" customHeight="1" thickTop="1">
      <c r="B11" s="1433"/>
      <c r="C11" s="1450"/>
      <c r="D11" s="1452"/>
      <c r="E11" s="1452"/>
      <c r="F11" s="1452"/>
      <c r="G11" s="1452"/>
      <c r="H11" s="1452"/>
      <c r="I11" s="1452"/>
      <c r="J11" s="1452"/>
      <c r="K11" s="1452"/>
      <c r="L11" s="1452"/>
      <c r="M11" s="1452"/>
      <c r="N11" s="1452"/>
      <c r="O11" s="1452"/>
      <c r="P11" s="1452"/>
      <c r="Q11" s="1452"/>
      <c r="R11" s="1452"/>
      <c r="S11" s="1452"/>
      <c r="T11" s="1452"/>
      <c r="U11" s="1452"/>
      <c r="V11" s="1452"/>
      <c r="W11" s="1452"/>
      <c r="X11" s="1452"/>
      <c r="Y11" s="1452"/>
      <c r="Z11" s="1452"/>
      <c r="AA11" s="1452"/>
      <c r="AB11" s="1452"/>
      <c r="AC11" s="1452"/>
      <c r="AD11" s="1452"/>
      <c r="AE11" s="1452"/>
      <c r="AF11" s="1452"/>
      <c r="AG11" s="1452"/>
      <c r="AH11" s="1452"/>
      <c r="AI11" s="1434"/>
      <c r="AJ11" s="1655"/>
      <c r="AK11" s="1655"/>
      <c r="AL11" s="1612"/>
    </row>
    <row r="12" spans="2:48" s="1447" customFormat="1" ht="24.75" customHeight="1">
      <c r="B12" s="1597"/>
      <c r="C12" s="1656" t="s">
        <v>153</v>
      </c>
      <c r="D12" s="1360" t="b">
        <v>1</v>
      </c>
      <c r="E12" s="4374" t="s">
        <v>1731</v>
      </c>
      <c r="F12" s="4374"/>
      <c r="G12" s="4374"/>
      <c r="H12" s="4374"/>
      <c r="I12" s="4374"/>
      <c r="J12" s="4374"/>
      <c r="K12" s="4374"/>
      <c r="L12" s="4374"/>
      <c r="M12" s="4374"/>
      <c r="N12" s="4374"/>
      <c r="O12" s="4374"/>
      <c r="P12" s="4374"/>
      <c r="Q12" s="4374"/>
      <c r="R12" s="4374"/>
      <c r="S12" s="4374"/>
      <c r="T12" s="4374"/>
      <c r="U12" s="4374"/>
      <c r="V12" s="4374"/>
      <c r="W12" s="4374"/>
      <c r="X12" s="4374"/>
      <c r="Y12" s="4374"/>
      <c r="Z12" s="4374"/>
      <c r="AA12" s="4374"/>
      <c r="AB12" s="4374"/>
      <c r="AC12" s="4374"/>
      <c r="AD12" s="4374"/>
      <c r="AE12" s="4374"/>
      <c r="AF12" s="4374"/>
      <c r="AG12" s="4374"/>
      <c r="AH12" s="4374"/>
      <c r="AI12" s="4374"/>
      <c r="AJ12" s="1599"/>
      <c r="AK12" s="1600"/>
      <c r="AL12" s="1657"/>
      <c r="AM12" s="1600"/>
      <c r="AN12" s="1600"/>
      <c r="AO12" s="1600"/>
      <c r="AP12" s="1600"/>
      <c r="AQ12" s="1600"/>
      <c r="AR12" s="1600"/>
      <c r="AS12" s="1600"/>
      <c r="AT12" s="1600"/>
    </row>
    <row r="13" spans="2:48" s="1447" customFormat="1" ht="10" customHeight="1">
      <c r="B13" s="1597"/>
      <c r="C13" s="1656"/>
      <c r="D13" s="587"/>
      <c r="E13" s="1599"/>
      <c r="F13" s="1599"/>
      <c r="G13" s="1599"/>
      <c r="H13" s="1599"/>
      <c r="I13" s="1599"/>
      <c r="J13" s="1599"/>
      <c r="K13" s="1599"/>
      <c r="L13" s="1599"/>
      <c r="M13" s="1599"/>
      <c r="N13" s="1599"/>
      <c r="O13" s="1599"/>
      <c r="P13" s="1599"/>
      <c r="Q13" s="1599"/>
      <c r="R13" s="1599"/>
      <c r="S13" s="1599"/>
      <c r="T13" s="1599"/>
      <c r="U13" s="1599"/>
      <c r="V13" s="1599"/>
      <c r="W13" s="1599"/>
      <c r="X13" s="1599"/>
      <c r="Y13" s="1599"/>
      <c r="Z13" s="1599"/>
      <c r="AA13" s="1599"/>
      <c r="AB13" s="1599"/>
      <c r="AC13" s="1599"/>
      <c r="AD13" s="1599"/>
      <c r="AE13" s="1599"/>
      <c r="AF13" s="1599"/>
      <c r="AG13" s="1599"/>
      <c r="AH13" s="1599"/>
      <c r="AI13" s="1599"/>
      <c r="AJ13" s="1599"/>
      <c r="AK13" s="1599"/>
      <c r="AL13" s="1657"/>
      <c r="AM13" s="1600"/>
      <c r="AN13" s="1600"/>
      <c r="AO13" s="1600"/>
      <c r="AP13" s="1600"/>
      <c r="AQ13" s="1600"/>
      <c r="AR13" s="1600"/>
      <c r="AS13" s="1600"/>
      <c r="AT13" s="1600"/>
      <c r="AU13" s="1600"/>
      <c r="AV13" s="1600"/>
    </row>
    <row r="14" spans="2:48" s="1236" customFormat="1" ht="15.65" customHeight="1">
      <c r="B14" s="1399"/>
      <c r="C14" s="1658" t="s">
        <v>154</v>
      </c>
      <c r="D14" s="4375" t="s">
        <v>1732</v>
      </c>
      <c r="E14" s="4375"/>
      <c r="F14" s="4375"/>
      <c r="G14" s="4375"/>
      <c r="H14" s="4375"/>
      <c r="I14" s="4375"/>
      <c r="J14" s="4375"/>
      <c r="K14" s="4375"/>
      <c r="L14" s="4375"/>
      <c r="M14" s="4375"/>
      <c r="N14" s="4375"/>
      <c r="O14" s="4375"/>
      <c r="P14" s="4375"/>
      <c r="Q14" s="4375"/>
      <c r="R14" s="4375"/>
      <c r="S14" s="4375"/>
      <c r="T14" s="1659"/>
      <c r="U14" s="1659"/>
      <c r="V14" s="1659"/>
      <c r="W14" s="1659"/>
      <c r="X14" s="1450" t="s">
        <v>155</v>
      </c>
      <c r="Y14" s="4373" t="s">
        <v>1734</v>
      </c>
      <c r="Z14" s="4373"/>
      <c r="AA14" s="4373"/>
      <c r="AB14" s="4373"/>
      <c r="AC14" s="4373"/>
      <c r="AD14" s="4373"/>
      <c r="AE14" s="4373"/>
      <c r="AF14" s="4373"/>
      <c r="AG14" s="4373"/>
      <c r="AH14" s="4373"/>
      <c r="AI14" s="4373"/>
      <c r="AJ14" s="4373"/>
      <c r="AK14" s="1452"/>
      <c r="AL14" s="1660"/>
      <c r="AM14" s="1659"/>
      <c r="AN14" s="1659"/>
    </row>
    <row r="15" spans="2:48" s="1236" customFormat="1" ht="5.15" customHeight="1" thickBot="1">
      <c r="B15" s="1602"/>
      <c r="C15" s="1595"/>
      <c r="X15" s="1450"/>
      <c r="Y15" s="4373"/>
      <c r="Z15" s="4373"/>
      <c r="AA15" s="4373"/>
      <c r="AB15" s="4373"/>
      <c r="AC15" s="4373"/>
      <c r="AD15" s="4373"/>
      <c r="AE15" s="4373"/>
      <c r="AF15" s="4373"/>
      <c r="AG15" s="4373"/>
      <c r="AH15" s="4373"/>
      <c r="AI15" s="4373"/>
      <c r="AJ15" s="4373"/>
      <c r="AK15" s="1452"/>
      <c r="AL15" s="1404"/>
    </row>
    <row r="16" spans="2:48" s="1591" customFormat="1" ht="18.649999999999999" customHeight="1" thickTop="1" thickBot="1">
      <c r="B16" s="1593"/>
      <c r="C16" s="1594"/>
      <c r="D16" s="3951" t="s">
        <v>1757</v>
      </c>
      <c r="E16" s="3952"/>
      <c r="F16" s="3952"/>
      <c r="G16" s="3952"/>
      <c r="H16" s="3953"/>
      <c r="I16" s="4218" t="s">
        <v>1733</v>
      </c>
      <c r="J16" s="4218"/>
      <c r="K16" s="4218"/>
      <c r="L16" s="4218"/>
      <c r="M16" s="4218"/>
      <c r="N16" s="4218"/>
      <c r="O16" s="4218"/>
      <c r="P16" s="4218"/>
      <c r="Q16" s="4218"/>
      <c r="R16" s="4220"/>
      <c r="S16" s="1603"/>
      <c r="T16" s="1603"/>
      <c r="U16" s="1603"/>
      <c r="V16" s="1603"/>
      <c r="W16" s="1603"/>
      <c r="X16" s="1450"/>
      <c r="Y16" s="4373"/>
      <c r="Z16" s="4373"/>
      <c r="AA16" s="4373"/>
      <c r="AB16" s="4373"/>
      <c r="AC16" s="4373"/>
      <c r="AD16" s="4373"/>
      <c r="AE16" s="4373"/>
      <c r="AF16" s="4373"/>
      <c r="AG16" s="4373"/>
      <c r="AH16" s="4373"/>
      <c r="AI16" s="4373"/>
      <c r="AJ16" s="4373"/>
      <c r="AK16" s="1452"/>
      <c r="AL16" s="1661"/>
      <c r="AM16" s="1603"/>
      <c r="AN16" s="1603"/>
      <c r="AO16" s="1603"/>
      <c r="AP16" s="1603"/>
    </row>
    <row r="17" spans="1:54" s="1591" customFormat="1" ht="18.649999999999999" customHeight="1" thickTop="1" thickBot="1">
      <c r="B17" s="1593"/>
      <c r="C17" s="1594"/>
      <c r="D17" s="4004"/>
      <c r="E17" s="4005"/>
      <c r="F17" s="4005"/>
      <c r="G17" s="4005"/>
      <c r="H17" s="4006"/>
      <c r="I17" s="4005" t="s">
        <v>341</v>
      </c>
      <c r="J17" s="4005"/>
      <c r="K17" s="4005"/>
      <c r="L17" s="4005"/>
      <c r="M17" s="4223"/>
      <c r="N17" s="4224" t="s">
        <v>676</v>
      </c>
      <c r="O17" s="4005"/>
      <c r="P17" s="4005"/>
      <c r="Q17" s="4005"/>
      <c r="R17" s="4006"/>
      <c r="S17" s="1603"/>
      <c r="T17" s="1603"/>
      <c r="U17" s="1603"/>
      <c r="V17" s="1603"/>
      <c r="W17" s="1603"/>
      <c r="X17" s="1450"/>
      <c r="Y17" s="3710" t="s">
        <v>758</v>
      </c>
      <c r="Z17" s="3711"/>
      <c r="AA17" s="3711"/>
      <c r="AB17" s="3711"/>
      <c r="AC17" s="3711"/>
      <c r="AD17" s="3713"/>
      <c r="AE17" s="3711" t="s">
        <v>759</v>
      </c>
      <c r="AF17" s="3711"/>
      <c r="AG17" s="3711"/>
      <c r="AH17" s="3711"/>
      <c r="AI17" s="3711"/>
      <c r="AJ17" s="3714"/>
      <c r="AK17" s="1452"/>
      <c r="AL17" s="1661"/>
      <c r="AM17" s="1603"/>
      <c r="AN17" s="1603"/>
      <c r="AO17" s="1603"/>
      <c r="AP17" s="1603"/>
    </row>
    <row r="18" spans="1:54" s="1591" customFormat="1" ht="24.65" customHeight="1" thickTop="1" thickBot="1">
      <c r="B18" s="1593"/>
      <c r="C18" s="1594"/>
      <c r="D18" s="1648" t="s">
        <v>593</v>
      </c>
      <c r="E18" s="1649"/>
      <c r="F18" s="1649"/>
      <c r="G18" s="1649"/>
      <c r="H18" s="1620"/>
      <c r="I18" s="4313">
        <v>0</v>
      </c>
      <c r="J18" s="4313"/>
      <c r="K18" s="4313"/>
      <c r="L18" s="4313"/>
      <c r="M18" s="4353"/>
      <c r="N18" s="4354">
        <v>0</v>
      </c>
      <c r="O18" s="4313"/>
      <c r="P18" s="4313"/>
      <c r="Q18" s="4313"/>
      <c r="R18" s="4314"/>
      <c r="S18" s="1589"/>
      <c r="T18" s="1589"/>
      <c r="U18" s="1589"/>
      <c r="V18" s="1590"/>
      <c r="W18" s="1589"/>
      <c r="X18" s="1585"/>
      <c r="Y18" s="4008"/>
      <c r="Z18" s="4009"/>
      <c r="AA18" s="4009"/>
      <c r="AB18" s="4009"/>
      <c r="AC18" s="4009"/>
      <c r="AD18" s="4010"/>
      <c r="AE18" s="4009"/>
      <c r="AF18" s="4009"/>
      <c r="AG18" s="4009"/>
      <c r="AH18" s="4009"/>
      <c r="AI18" s="4009"/>
      <c r="AJ18" s="4013"/>
      <c r="AK18" s="1373"/>
      <c r="AL18" s="1646"/>
      <c r="AM18" s="1589"/>
      <c r="AN18" s="1589"/>
      <c r="AO18" s="1590"/>
      <c r="AP18" s="1589"/>
    </row>
    <row r="19" spans="1:54" s="1591" customFormat="1" ht="24.65" customHeight="1" thickBot="1">
      <c r="B19" s="1593"/>
      <c r="C19" s="1594"/>
      <c r="D19" s="1650" t="s">
        <v>1700</v>
      </c>
      <c r="E19" s="1651"/>
      <c r="F19" s="1651"/>
      <c r="G19" s="1651"/>
      <c r="H19" s="1565"/>
      <c r="I19" s="4235">
        <v>0</v>
      </c>
      <c r="J19" s="4235"/>
      <c r="K19" s="4235"/>
      <c r="L19" s="4235"/>
      <c r="M19" s="4238"/>
      <c r="N19" s="4239">
        <v>0</v>
      </c>
      <c r="O19" s="4235"/>
      <c r="P19" s="4235"/>
      <c r="Q19" s="4235"/>
      <c r="R19" s="4240"/>
      <c r="S19" s="1589"/>
      <c r="T19" s="1589"/>
      <c r="U19" s="1589"/>
      <c r="V19" s="1590"/>
      <c r="W19" s="1589"/>
      <c r="X19" s="1575"/>
      <c r="Y19" s="3715" t="s">
        <v>15</v>
      </c>
      <c r="Z19" s="3716"/>
      <c r="AA19" s="3717"/>
      <c r="AB19" s="3720" t="s">
        <v>16</v>
      </c>
      <c r="AC19" s="3716"/>
      <c r="AD19" s="3719"/>
      <c r="AE19" s="3716" t="s">
        <v>15</v>
      </c>
      <c r="AF19" s="3716"/>
      <c r="AG19" s="3717"/>
      <c r="AH19" s="3720" t="s">
        <v>16</v>
      </c>
      <c r="AI19" s="3716"/>
      <c r="AJ19" s="3721"/>
      <c r="AK19" s="1647"/>
      <c r="AL19" s="1646"/>
      <c r="AM19" s="1589"/>
      <c r="AN19" s="1589"/>
      <c r="AO19" s="1590"/>
      <c r="AP19" s="1589"/>
    </row>
    <row r="20" spans="1:54" s="1591" customFormat="1" ht="24.65" customHeight="1" thickTop="1" thickBot="1">
      <c r="B20" s="1593"/>
      <c r="C20" s="1594"/>
      <c r="D20" s="1652" t="s">
        <v>757</v>
      </c>
      <c r="E20" s="1653"/>
      <c r="F20" s="1653"/>
      <c r="G20" s="1653"/>
      <c r="H20" s="1654"/>
      <c r="I20" s="4325">
        <v>0</v>
      </c>
      <c r="J20" s="4325"/>
      <c r="K20" s="4325"/>
      <c r="L20" s="4325"/>
      <c r="M20" s="4376"/>
      <c r="N20" s="4380">
        <v>0</v>
      </c>
      <c r="O20" s="4325"/>
      <c r="P20" s="4325"/>
      <c r="Q20" s="4325"/>
      <c r="R20" s="4326"/>
      <c r="S20" s="1589"/>
      <c r="T20" s="1589"/>
      <c r="U20" s="1589"/>
      <c r="V20" s="1590"/>
      <c r="W20" s="1589"/>
      <c r="X20" s="1575"/>
      <c r="Y20" s="4225">
        <v>0</v>
      </c>
      <c r="Z20" s="4226"/>
      <c r="AA20" s="4230"/>
      <c r="AB20" s="4377">
        <v>1</v>
      </c>
      <c r="AC20" s="4378"/>
      <c r="AD20" s="4381"/>
      <c r="AE20" s="4382">
        <v>0</v>
      </c>
      <c r="AF20" s="4226"/>
      <c r="AG20" s="4230"/>
      <c r="AH20" s="4377">
        <v>0</v>
      </c>
      <c r="AI20" s="4378"/>
      <c r="AJ20" s="4379"/>
      <c r="AK20" s="1625"/>
      <c r="AL20" s="1646"/>
      <c r="AM20" s="1589"/>
      <c r="AN20" s="1589"/>
      <c r="AO20" s="1590"/>
      <c r="AP20" s="1589"/>
    </row>
    <row r="21" spans="1:54" s="1447" customFormat="1" ht="9" customHeight="1" thickTop="1">
      <c r="A21" s="1591"/>
      <c r="B21" s="1644"/>
      <c r="C21" s="1645"/>
      <c r="D21" s="1645"/>
      <c r="E21" s="1645"/>
      <c r="F21" s="1645"/>
      <c r="G21" s="1645"/>
      <c r="H21" s="1645"/>
      <c r="I21" s="1645"/>
      <c r="J21" s="1645"/>
      <c r="K21" s="1645"/>
      <c r="L21" s="1645"/>
      <c r="M21" s="1645"/>
      <c r="N21" s="1645"/>
      <c r="O21" s="1645"/>
      <c r="AL21" s="1646"/>
    </row>
    <row r="22" spans="1:54" s="1444" customFormat="1" ht="5.15" customHeight="1">
      <c r="B22" s="1459"/>
      <c r="C22" s="1575"/>
      <c r="D22" s="1295"/>
      <c r="E22" s="1295"/>
      <c r="F22" s="1295"/>
      <c r="G22" s="1625"/>
      <c r="H22" s="1625"/>
      <c r="I22" s="1625"/>
      <c r="J22" s="1295"/>
      <c r="K22" s="1295"/>
      <c r="L22" s="1295"/>
      <c r="M22" s="1625"/>
      <c r="N22" s="1625"/>
      <c r="O22" s="1625"/>
      <c r="P22" s="1295"/>
      <c r="Q22" s="1295"/>
      <c r="R22" s="1295"/>
      <c r="S22" s="1625"/>
      <c r="T22" s="1625"/>
      <c r="U22" s="1625"/>
      <c r="V22" s="1295"/>
      <c r="W22" s="1295"/>
      <c r="X22" s="1295"/>
      <c r="Y22" s="1625"/>
      <c r="Z22" s="1625"/>
      <c r="AA22" s="1625"/>
      <c r="AL22" s="1596"/>
    </row>
    <row r="23" spans="1:54" s="1444" customFormat="1" ht="22.5" customHeight="1">
      <c r="B23" s="1459"/>
      <c r="C23" s="1575"/>
      <c r="D23" s="216" t="s">
        <v>143</v>
      </c>
      <c r="E23" s="1295"/>
      <c r="F23" s="1295"/>
      <c r="G23" s="3731" t="s">
        <v>1814</v>
      </c>
      <c r="H23" s="3731"/>
      <c r="I23" s="3731"/>
      <c r="J23" s="3731"/>
      <c r="K23" s="3731"/>
      <c r="L23" s="3731"/>
      <c r="M23" s="3731"/>
      <c r="N23" s="3731"/>
      <c r="O23" s="3731"/>
      <c r="P23" s="3731"/>
      <c r="Q23" s="3731"/>
      <c r="R23" s="3731"/>
      <c r="S23" s="3731"/>
      <c r="T23" s="3731"/>
      <c r="U23" s="3731"/>
      <c r="V23" s="3731"/>
      <c r="W23" s="3731"/>
      <c r="X23" s="3731"/>
      <c r="Y23" s="3731"/>
      <c r="Z23" s="3731"/>
      <c r="AA23" s="3731"/>
      <c r="AB23" s="1473"/>
      <c r="AC23" s="1473"/>
      <c r="AD23" s="1473"/>
      <c r="AE23" s="1473"/>
      <c r="AF23" s="1473"/>
      <c r="AG23" s="1473"/>
      <c r="AH23" s="1473"/>
      <c r="AI23" s="1473"/>
      <c r="AJ23" s="1473"/>
      <c r="AK23" s="1473"/>
      <c r="AL23" s="1596"/>
    </row>
    <row r="24" spans="1:54" s="1444" customFormat="1" ht="22.5" customHeight="1">
      <c r="B24" s="1459"/>
      <c r="C24" s="1575"/>
      <c r="D24" s="216"/>
      <c r="E24" s="1295"/>
      <c r="F24" s="1295"/>
      <c r="G24" s="3731"/>
      <c r="H24" s="3731"/>
      <c r="I24" s="3731"/>
      <c r="J24" s="3731"/>
      <c r="K24" s="3731"/>
      <c r="L24" s="3731"/>
      <c r="M24" s="3731"/>
      <c r="N24" s="3731"/>
      <c r="O24" s="3731"/>
      <c r="P24" s="3731"/>
      <c r="Q24" s="3731"/>
      <c r="R24" s="3731"/>
      <c r="S24" s="3731"/>
      <c r="T24" s="3731"/>
      <c r="U24" s="3731"/>
      <c r="V24" s="3731"/>
      <c r="W24" s="3731"/>
      <c r="X24" s="3731"/>
      <c r="Y24" s="3731"/>
      <c r="Z24" s="3731"/>
      <c r="AA24" s="3731"/>
      <c r="AB24" s="1473"/>
      <c r="AC24" s="1473"/>
      <c r="AD24" s="1473"/>
      <c r="AE24" s="1473"/>
      <c r="AF24" s="1473"/>
      <c r="AG24" s="1473"/>
      <c r="AH24" s="1473"/>
      <c r="AI24" s="1473"/>
      <c r="AJ24" s="1473"/>
      <c r="AK24" s="1473"/>
      <c r="AL24" s="1596"/>
    </row>
    <row r="25" spans="1:54" ht="10" customHeight="1" thickBot="1">
      <c r="B25" s="1436"/>
      <c r="C25" s="1282"/>
      <c r="D25" s="1587"/>
      <c r="E25" s="1588"/>
      <c r="F25" s="1588"/>
      <c r="G25" s="1588"/>
      <c r="H25" s="1588"/>
      <c r="I25" s="1588"/>
      <c r="J25" s="1588"/>
      <c r="K25" s="1441"/>
      <c r="L25" s="1441"/>
      <c r="M25" s="1441"/>
      <c r="N25" s="1441"/>
      <c r="O25" s="1441"/>
      <c r="P25" s="1441"/>
      <c r="Q25" s="1441"/>
      <c r="R25" s="1441"/>
      <c r="S25" s="1441"/>
      <c r="T25" s="1441"/>
      <c r="U25" s="1441"/>
      <c r="V25" s="1441"/>
      <c r="W25" s="1441"/>
      <c r="X25" s="1441"/>
      <c r="Y25" s="1441"/>
      <c r="Z25" s="1441"/>
      <c r="AA25" s="1441"/>
      <c r="AB25" s="1441"/>
      <c r="AC25" s="1441"/>
      <c r="AD25" s="1441"/>
      <c r="AE25" s="1441"/>
      <c r="AF25" s="1441"/>
      <c r="AG25" s="1441"/>
      <c r="AH25" s="1441"/>
      <c r="AI25" s="1441"/>
      <c r="AJ25" s="1441"/>
      <c r="AK25" s="1441"/>
      <c r="AL25" s="1442"/>
    </row>
    <row r="26" spans="1:54" ht="10" customHeight="1" thickTop="1">
      <c r="B26" s="1443"/>
      <c r="C26" s="587"/>
      <c r="E26" s="1445"/>
      <c r="F26" s="1445"/>
      <c r="G26" s="1445"/>
      <c r="H26" s="1445"/>
      <c r="I26" s="1445"/>
      <c r="J26" s="1445"/>
      <c r="K26" s="1434"/>
      <c r="L26" s="1434"/>
      <c r="M26" s="1434"/>
      <c r="N26" s="1434"/>
      <c r="O26" s="1434"/>
      <c r="P26" s="1434"/>
      <c r="Q26" s="1434"/>
      <c r="R26" s="1434"/>
      <c r="S26" s="1434"/>
      <c r="T26" s="1434"/>
      <c r="U26" s="1434"/>
      <c r="V26" s="1434"/>
      <c r="W26" s="1434"/>
      <c r="X26" s="1434"/>
      <c r="Y26" s="1434"/>
      <c r="Z26" s="1434"/>
      <c r="AA26" s="1434"/>
      <c r="AB26" s="1434"/>
      <c r="AC26" s="1434"/>
      <c r="AD26" s="1434"/>
      <c r="AE26" s="1434"/>
      <c r="AF26" s="1434"/>
      <c r="AG26" s="1434"/>
      <c r="AH26" s="1434"/>
      <c r="AI26" s="1434"/>
      <c r="AJ26" s="1434"/>
    </row>
    <row r="27" spans="1:54" s="1447" customFormat="1" ht="98.15" customHeight="1">
      <c r="B27" s="1446" t="s">
        <v>151</v>
      </c>
      <c r="C27" s="4080" t="s">
        <v>1945</v>
      </c>
      <c r="D27" s="4080"/>
      <c r="E27" s="4080"/>
      <c r="F27" s="4080"/>
      <c r="G27" s="4080"/>
      <c r="H27" s="4080"/>
      <c r="I27" s="4080"/>
      <c r="J27" s="4080"/>
      <c r="K27" s="4080"/>
      <c r="L27" s="4080"/>
      <c r="M27" s="4080"/>
      <c r="N27" s="4080"/>
      <c r="O27" s="4080"/>
      <c r="P27" s="4080"/>
      <c r="Q27" s="4080"/>
      <c r="R27" s="4080"/>
      <c r="S27" s="4080"/>
      <c r="T27" s="4080"/>
      <c r="U27" s="4080"/>
      <c r="V27" s="4080"/>
      <c r="W27" s="4080"/>
      <c r="X27" s="4080"/>
      <c r="Y27" s="4080"/>
      <c r="Z27" s="4080"/>
      <c r="AA27" s="4080"/>
      <c r="AB27" s="4080"/>
      <c r="AC27" s="4080"/>
      <c r="AD27" s="4080"/>
      <c r="AE27" s="4080"/>
      <c r="AF27" s="4080"/>
      <c r="AG27" s="4080"/>
      <c r="AH27" s="4080"/>
      <c r="AI27" s="4080"/>
      <c r="AJ27" s="4080"/>
      <c r="AK27" s="4080"/>
      <c r="AL27" s="4080"/>
      <c r="AM27" s="1643"/>
      <c r="AN27" s="1643"/>
      <c r="AO27" s="1643"/>
      <c r="AP27" s="1643"/>
      <c r="AQ27" s="1643"/>
      <c r="AR27" s="1643"/>
      <c r="AS27" s="1643"/>
      <c r="AT27" s="1643"/>
      <c r="AU27" s="1643"/>
      <c r="AV27" s="1643"/>
      <c r="AW27" s="1643"/>
      <c r="AX27" s="1643"/>
      <c r="AY27" s="1643"/>
      <c r="AZ27" s="1643"/>
      <c r="BA27" s="1434"/>
      <c r="BB27" s="1434"/>
    </row>
    <row r="28" spans="1:54" s="1447" customFormat="1" ht="51" customHeight="1">
      <c r="B28" s="1446" t="s">
        <v>152</v>
      </c>
      <c r="C28" s="4080" t="s">
        <v>1946</v>
      </c>
      <c r="D28" s="4080"/>
      <c r="E28" s="4080"/>
      <c r="F28" s="4080"/>
      <c r="G28" s="4080"/>
      <c r="H28" s="4080"/>
      <c r="I28" s="4080"/>
      <c r="J28" s="4080"/>
      <c r="K28" s="4080"/>
      <c r="L28" s="4080"/>
      <c r="M28" s="4080"/>
      <c r="N28" s="4080"/>
      <c r="O28" s="4080"/>
      <c r="P28" s="4080"/>
      <c r="Q28" s="4080"/>
      <c r="R28" s="4080"/>
      <c r="S28" s="4080"/>
      <c r="T28" s="4080"/>
      <c r="U28" s="4080"/>
      <c r="V28" s="4080"/>
      <c r="W28" s="4080"/>
      <c r="X28" s="4080"/>
      <c r="Y28" s="4080"/>
      <c r="Z28" s="4080"/>
      <c r="AA28" s="4080"/>
      <c r="AB28" s="4080"/>
      <c r="AC28" s="4080"/>
      <c r="AD28" s="4080"/>
      <c r="AE28" s="4080"/>
      <c r="AF28" s="4080"/>
      <c r="AG28" s="4080"/>
      <c r="AH28" s="4080"/>
      <c r="AI28" s="4080"/>
      <c r="AJ28" s="4080"/>
      <c r="AK28" s="4080"/>
      <c r="AL28" s="4080"/>
      <c r="AM28" s="1643"/>
      <c r="AN28" s="1643"/>
      <c r="AO28" s="1643"/>
      <c r="AP28" s="1643"/>
      <c r="AQ28" s="1643"/>
      <c r="AR28" s="1643"/>
      <c r="AS28" s="1643"/>
      <c r="AT28" s="1643"/>
      <c r="AU28" s="1643"/>
      <c r="AV28" s="1643"/>
      <c r="AW28" s="1643"/>
      <c r="AX28" s="1643"/>
      <c r="AY28" s="1643"/>
      <c r="AZ28" s="1643"/>
      <c r="BA28" s="1434"/>
      <c r="BB28" s="1434"/>
    </row>
    <row r="29" spans="1:54" s="1447" customFormat="1" ht="66.650000000000006" customHeight="1">
      <c r="A29" s="1447" t="s">
        <v>1523</v>
      </c>
      <c r="B29" s="1446" t="s">
        <v>153</v>
      </c>
      <c r="C29" s="4080" t="s">
        <v>1947</v>
      </c>
      <c r="D29" s="4080"/>
      <c r="E29" s="4080"/>
      <c r="F29" s="4080"/>
      <c r="G29" s="4080"/>
      <c r="H29" s="4080"/>
      <c r="I29" s="4080"/>
      <c r="J29" s="4080"/>
      <c r="K29" s="4080"/>
      <c r="L29" s="4080"/>
      <c r="M29" s="4080"/>
      <c r="N29" s="4080"/>
      <c r="O29" s="4080"/>
      <c r="P29" s="4080"/>
      <c r="Q29" s="4080"/>
      <c r="R29" s="4080"/>
      <c r="S29" s="4080"/>
      <c r="T29" s="4080"/>
      <c r="U29" s="4080"/>
      <c r="V29" s="4080"/>
      <c r="W29" s="4080"/>
      <c r="X29" s="4080"/>
      <c r="Y29" s="4080"/>
      <c r="Z29" s="4080"/>
      <c r="AA29" s="4080"/>
      <c r="AB29" s="4080"/>
      <c r="AC29" s="4080"/>
      <c r="AD29" s="4080"/>
      <c r="AE29" s="4080"/>
      <c r="AF29" s="4080"/>
      <c r="AG29" s="4080"/>
      <c r="AH29" s="4080"/>
      <c r="AI29" s="4080"/>
      <c r="AJ29" s="4080"/>
      <c r="AK29" s="4080"/>
      <c r="AL29" s="4080"/>
      <c r="AM29" s="1643"/>
      <c r="AN29" s="1643"/>
      <c r="AO29" s="1643"/>
      <c r="AP29" s="1643"/>
      <c r="AQ29" s="1643"/>
      <c r="AR29" s="1643"/>
      <c r="AS29" s="1643"/>
      <c r="AT29" s="1643"/>
      <c r="AU29" s="1643"/>
      <c r="AV29" s="1643"/>
      <c r="AW29" s="1643"/>
      <c r="AX29" s="1643"/>
      <c r="AY29" s="1643"/>
      <c r="AZ29" s="1643"/>
      <c r="BA29" s="1434"/>
      <c r="BB29" s="1434"/>
    </row>
    <row r="30" spans="1:54" s="1447" customFormat="1" ht="50.5" customHeight="1">
      <c r="B30" s="1446" t="s">
        <v>154</v>
      </c>
      <c r="C30" s="4080" t="s">
        <v>1948</v>
      </c>
      <c r="D30" s="4080"/>
      <c r="E30" s="4080"/>
      <c r="F30" s="4080"/>
      <c r="G30" s="4080"/>
      <c r="H30" s="4080"/>
      <c r="I30" s="4080"/>
      <c r="J30" s="4080"/>
      <c r="K30" s="4080"/>
      <c r="L30" s="4080"/>
      <c r="M30" s="4080"/>
      <c r="N30" s="4080"/>
      <c r="O30" s="4080"/>
      <c r="P30" s="4080"/>
      <c r="Q30" s="4080"/>
      <c r="R30" s="4080"/>
      <c r="S30" s="4080"/>
      <c r="T30" s="4080"/>
      <c r="U30" s="4080"/>
      <c r="V30" s="4080"/>
      <c r="W30" s="4080"/>
      <c r="X30" s="4080"/>
      <c r="Y30" s="4080"/>
      <c r="Z30" s="4080"/>
      <c r="AA30" s="4080"/>
      <c r="AB30" s="4080"/>
      <c r="AC30" s="4080"/>
      <c r="AD30" s="4080"/>
      <c r="AE30" s="4080"/>
      <c r="AF30" s="4080"/>
      <c r="AG30" s="4080"/>
      <c r="AH30" s="4080"/>
      <c r="AI30" s="4080"/>
      <c r="AJ30" s="4080"/>
      <c r="AK30" s="4080"/>
      <c r="AL30" s="4080"/>
      <c r="AM30" s="1643"/>
      <c r="AN30" s="1643"/>
      <c r="AO30" s="1643"/>
      <c r="AP30" s="1643"/>
      <c r="AQ30" s="1643"/>
      <c r="AR30" s="1643"/>
      <c r="AS30" s="1643"/>
      <c r="AT30" s="1643"/>
      <c r="AU30" s="1643"/>
      <c r="AV30" s="1643"/>
      <c r="AW30" s="1643"/>
      <c r="AX30" s="1643"/>
      <c r="AY30" s="1643"/>
      <c r="AZ30" s="1643"/>
      <c r="BA30" s="1434"/>
      <c r="BB30" s="1434"/>
    </row>
    <row r="31" spans="1:54" s="1447" customFormat="1" ht="34" customHeight="1">
      <c r="B31" s="1446" t="s">
        <v>155</v>
      </c>
      <c r="C31" s="4080" t="s">
        <v>1949</v>
      </c>
      <c r="D31" s="4080"/>
      <c r="E31" s="4080"/>
      <c r="F31" s="4080"/>
      <c r="G31" s="4080"/>
      <c r="H31" s="4080"/>
      <c r="I31" s="4080"/>
      <c r="J31" s="4080"/>
      <c r="K31" s="4080"/>
      <c r="L31" s="4080"/>
      <c r="M31" s="4080"/>
      <c r="N31" s="4080"/>
      <c r="O31" s="4080"/>
      <c r="P31" s="4080"/>
      <c r="Q31" s="4080"/>
      <c r="R31" s="4080"/>
      <c r="S31" s="4080"/>
      <c r="T31" s="4080"/>
      <c r="U31" s="4080"/>
      <c r="V31" s="4080"/>
      <c r="W31" s="4080"/>
      <c r="X31" s="4080"/>
      <c r="Y31" s="4080"/>
      <c r="Z31" s="4080"/>
      <c r="AA31" s="4080"/>
      <c r="AB31" s="4080"/>
      <c r="AC31" s="4080"/>
      <c r="AD31" s="4080"/>
      <c r="AE31" s="4080"/>
      <c r="AF31" s="4080"/>
      <c r="AG31" s="4080"/>
      <c r="AH31" s="4080"/>
      <c r="AI31" s="4080"/>
      <c r="AJ31" s="4080"/>
      <c r="AK31" s="4080"/>
      <c r="AL31" s="4080"/>
      <c r="AM31" s="1643"/>
      <c r="AN31" s="1643"/>
      <c r="AO31" s="1643"/>
      <c r="AP31" s="1643"/>
      <c r="AQ31" s="1643"/>
      <c r="AR31" s="1643"/>
      <c r="AS31" s="1643"/>
      <c r="AT31" s="1643"/>
      <c r="AU31" s="1643"/>
      <c r="AV31" s="1643"/>
      <c r="AW31" s="1643"/>
      <c r="AX31" s="1643"/>
      <c r="AY31" s="1643"/>
      <c r="AZ31" s="1643"/>
      <c r="BA31" s="1434"/>
      <c r="BB31" s="1434"/>
    </row>
    <row r="32" spans="1:54" s="1447" customFormat="1" ht="66.650000000000006" customHeight="1">
      <c r="B32" s="1446" t="s">
        <v>156</v>
      </c>
      <c r="C32" s="4080" t="s">
        <v>1950</v>
      </c>
      <c r="D32" s="4080"/>
      <c r="E32" s="4080"/>
      <c r="F32" s="4080"/>
      <c r="G32" s="4080"/>
      <c r="H32" s="4080"/>
      <c r="I32" s="4080"/>
      <c r="J32" s="4080"/>
      <c r="K32" s="4080"/>
      <c r="L32" s="4080"/>
      <c r="M32" s="4080"/>
      <c r="N32" s="4080"/>
      <c r="O32" s="4080"/>
      <c r="P32" s="4080"/>
      <c r="Q32" s="4080"/>
      <c r="R32" s="4080"/>
      <c r="S32" s="4080"/>
      <c r="T32" s="4080"/>
      <c r="U32" s="4080"/>
      <c r="V32" s="4080"/>
      <c r="W32" s="4080"/>
      <c r="X32" s="4080"/>
      <c r="Y32" s="4080"/>
      <c r="Z32" s="4080"/>
      <c r="AA32" s="4080"/>
      <c r="AB32" s="4080"/>
      <c r="AC32" s="4080"/>
      <c r="AD32" s="4080"/>
      <c r="AE32" s="4080"/>
      <c r="AF32" s="4080"/>
      <c r="AG32" s="4080"/>
      <c r="AH32" s="4080"/>
      <c r="AI32" s="4080"/>
      <c r="AJ32" s="4080"/>
      <c r="AK32" s="4080"/>
      <c r="AL32" s="4080"/>
      <c r="AM32" s="1643"/>
      <c r="AN32" s="1643"/>
      <c r="AO32" s="1643"/>
      <c r="AP32" s="1643"/>
      <c r="AQ32" s="1643"/>
      <c r="AR32" s="1643"/>
      <c r="AS32" s="1643"/>
      <c r="AT32" s="1643"/>
      <c r="AU32" s="1643"/>
      <c r="AV32" s="1643"/>
      <c r="AW32" s="1643"/>
      <c r="AX32" s="1643"/>
      <c r="AY32" s="1643"/>
      <c r="AZ32" s="1643"/>
      <c r="BA32" s="1434"/>
      <c r="BB32" s="1434"/>
    </row>
    <row r="33" spans="2:38" s="602" customFormat="1" ht="30.75" customHeight="1"/>
    <row r="34" spans="2:38" s="1235" customFormat="1" ht="14">
      <c r="B34" s="169" t="s">
        <v>847</v>
      </c>
      <c r="X34" s="169" t="s">
        <v>747</v>
      </c>
    </row>
    <row r="35" spans="2:38" s="1235" customFormat="1" ht="21.75" customHeight="1">
      <c r="B35" s="169" t="s">
        <v>748</v>
      </c>
      <c r="F35" s="3607" t="str">
        <f>activesheet!E29</f>
        <v>RICO S. MISPEROS</v>
      </c>
      <c r="G35" s="3607"/>
      <c r="H35" s="3607"/>
      <c r="I35" s="3607"/>
      <c r="J35" s="3607"/>
      <c r="K35" s="3607"/>
      <c r="L35" s="3607"/>
      <c r="M35" s="3607"/>
      <c r="N35" s="3607"/>
      <c r="O35" s="3607"/>
      <c r="P35" s="3607"/>
      <c r="Q35" s="1290"/>
      <c r="R35" s="1290"/>
      <c r="S35" s="1290"/>
      <c r="T35" s="1290"/>
      <c r="U35" s="1290"/>
      <c r="V35" s="1290"/>
      <c r="W35" s="1290"/>
      <c r="X35" s="3607" t="str">
        <f>activesheet!E3244</f>
        <v>ELYN KENDRA D. DELA CRUZ</v>
      </c>
      <c r="Y35" s="3607"/>
      <c r="Z35" s="3607"/>
      <c r="AA35" s="3607"/>
      <c r="AB35" s="3607"/>
      <c r="AC35" s="3607"/>
      <c r="AD35" s="3607"/>
      <c r="AE35" s="3607"/>
      <c r="AF35" s="3607"/>
      <c r="AG35" s="3607"/>
      <c r="AH35" s="3607"/>
      <c r="AI35" s="3607"/>
      <c r="AJ35" s="3607"/>
      <c r="AK35" s="3607"/>
      <c r="AL35" s="3607"/>
    </row>
    <row r="36" spans="2:38" s="1237" customFormat="1" ht="14.15" customHeight="1">
      <c r="B36" s="655"/>
      <c r="F36" s="1776" t="s">
        <v>741</v>
      </c>
      <c r="G36" s="1776"/>
      <c r="H36" s="1776"/>
      <c r="I36" s="1776"/>
      <c r="J36" s="1776"/>
      <c r="K36" s="1776"/>
      <c r="L36" s="1776"/>
      <c r="M36" s="1776"/>
      <c r="N36" s="1776"/>
      <c r="O36" s="1776"/>
      <c r="P36" s="1776"/>
      <c r="Q36" s="151"/>
      <c r="R36" s="151"/>
      <c r="S36" s="151"/>
      <c r="T36" s="151"/>
      <c r="U36" s="151"/>
      <c r="V36" s="151"/>
      <c r="W36" s="151"/>
      <c r="X36" s="1776" t="s">
        <v>741</v>
      </c>
      <c r="Y36" s="1776"/>
      <c r="Z36" s="1776"/>
      <c r="AA36" s="1776"/>
      <c r="AB36" s="1776"/>
      <c r="AC36" s="1776"/>
      <c r="AD36" s="1776"/>
      <c r="AE36" s="1776"/>
      <c r="AF36" s="1776"/>
      <c r="AG36" s="1776"/>
      <c r="AH36" s="1776"/>
      <c r="AI36" s="1776"/>
      <c r="AJ36" s="1776"/>
      <c r="AK36" s="1776"/>
      <c r="AL36" s="1776"/>
    </row>
    <row r="37" spans="2:38" s="1235" customFormat="1" ht="21.75" customHeight="1">
      <c r="B37" s="169" t="s">
        <v>71</v>
      </c>
      <c r="F37" s="3607" t="str">
        <f>activesheet!E30</f>
        <v>SCHOOL PRINCIPAL II</v>
      </c>
      <c r="G37" s="3607"/>
      <c r="H37" s="3607"/>
      <c r="I37" s="3607"/>
      <c r="J37" s="3607"/>
      <c r="K37" s="3607"/>
      <c r="L37" s="3607"/>
      <c r="M37" s="3607"/>
      <c r="N37" s="3607"/>
      <c r="O37" s="3607"/>
      <c r="P37" s="3607"/>
      <c r="Q37" s="1290"/>
      <c r="R37" s="1290"/>
      <c r="S37" s="1290"/>
      <c r="T37" s="1290"/>
      <c r="U37" s="1290"/>
      <c r="V37" s="1290"/>
      <c r="W37" s="1290"/>
      <c r="X37" s="169" t="s">
        <v>71</v>
      </c>
      <c r="AB37" s="3607" t="str">
        <f>activesheet!E3245</f>
        <v>Project Development Officer II</v>
      </c>
      <c r="AC37" s="3607"/>
      <c r="AD37" s="3607"/>
      <c r="AE37" s="3607"/>
      <c r="AF37" s="3607"/>
      <c r="AG37" s="3607"/>
      <c r="AH37" s="3607"/>
      <c r="AI37" s="3607"/>
      <c r="AJ37" s="3607"/>
      <c r="AK37" s="3607"/>
      <c r="AL37" s="3607"/>
    </row>
    <row r="38" spans="2:38" s="602" customFormat="1" ht="30.75" customHeight="1"/>
    <row r="39" spans="2:38" s="1235" customFormat="1" ht="14">
      <c r="M39" s="169" t="s">
        <v>783</v>
      </c>
    </row>
    <row r="40" spans="2:38" s="1235" customFormat="1" ht="21.75" customHeight="1">
      <c r="M40" s="1956" t="str">
        <f>activesheet!E31</f>
        <v>MICHAEL T. JAMIS</v>
      </c>
      <c r="N40" s="1956"/>
      <c r="O40" s="1956"/>
      <c r="P40" s="1956"/>
      <c r="Q40" s="1956"/>
      <c r="R40" s="1956"/>
      <c r="S40" s="1956"/>
      <c r="T40" s="1956"/>
      <c r="U40" s="1956"/>
      <c r="V40" s="1956"/>
      <c r="W40" s="1956"/>
      <c r="X40" s="1956"/>
      <c r="Y40" s="1956"/>
      <c r="Z40" s="1956"/>
      <c r="AA40" s="1956"/>
    </row>
    <row r="41" spans="2:38" s="1237" customFormat="1" ht="14.15" customHeight="1">
      <c r="M41" s="1957"/>
      <c r="N41" s="1957"/>
      <c r="O41" s="1957"/>
      <c r="P41" s="1957"/>
      <c r="Q41" s="1957"/>
      <c r="R41" s="1957"/>
      <c r="S41" s="1957"/>
      <c r="T41" s="1957"/>
      <c r="U41" s="1957"/>
      <c r="V41" s="1957"/>
      <c r="W41" s="1957"/>
      <c r="X41" s="1957"/>
      <c r="Y41" s="1957"/>
      <c r="Z41" s="1957"/>
      <c r="AA41" s="1957"/>
    </row>
    <row r="42" spans="2:38" s="1235" customFormat="1" ht="21.75" customHeight="1">
      <c r="M42" s="1776" t="s">
        <v>741</v>
      </c>
      <c r="N42" s="1776"/>
      <c r="O42" s="1776"/>
      <c r="P42" s="1776"/>
      <c r="Q42" s="1776"/>
      <c r="R42" s="1776"/>
      <c r="S42" s="1776"/>
      <c r="T42" s="1776"/>
      <c r="U42" s="1776"/>
      <c r="V42" s="1776"/>
      <c r="W42" s="1776"/>
      <c r="X42" s="1776"/>
      <c r="Y42" s="1776"/>
      <c r="Z42" s="1776"/>
      <c r="AA42" s="1776"/>
    </row>
    <row r="43" spans="2:38">
      <c r="B43" s="1434"/>
      <c r="C43" s="1434"/>
      <c r="D43" s="1434"/>
      <c r="E43" s="1434"/>
      <c r="F43" s="1434"/>
      <c r="G43" s="1434"/>
      <c r="H43" s="1434"/>
      <c r="I43" s="1434"/>
      <c r="J43" s="1434"/>
      <c r="K43" s="1434"/>
      <c r="L43" s="602"/>
      <c r="M43" s="602"/>
      <c r="N43" s="602"/>
      <c r="O43" s="602"/>
      <c r="P43" s="602"/>
      <c r="Q43" s="602"/>
      <c r="R43" s="602"/>
      <c r="S43" s="602"/>
      <c r="T43" s="602"/>
      <c r="U43" s="602"/>
      <c r="V43" s="602"/>
      <c r="W43" s="602"/>
      <c r="X43" s="602"/>
      <c r="Y43" s="602"/>
      <c r="Z43" s="602"/>
      <c r="AA43" s="602"/>
      <c r="AB43" s="1434"/>
      <c r="AC43" s="1434"/>
      <c r="AD43" s="1434"/>
      <c r="AE43" s="1434"/>
      <c r="AF43" s="1434"/>
      <c r="AG43" s="1434"/>
      <c r="AH43" s="1434"/>
      <c r="AI43" s="1434"/>
      <c r="AJ43" s="1434"/>
    </row>
  </sheetData>
  <sheetProtection algorithmName="SHA-512" hashValue="1EOYHW5a+0HUWJn7Y05yFPCHoXjg7MncOiqYWZTb1+HAF1tqeV55qPl5QIxrd22XVB70m5OBYIzvReQPPAYd2w==" saltValue="XcgeQeYt17aMWzKXSX5GDA==" spinCount="100000" sheet="1" objects="1" scenarios="1" selectLockedCells="1"/>
  <mergeCells count="55">
    <mergeCell ref="C31:AL31"/>
    <mergeCell ref="G23:AA24"/>
    <mergeCell ref="C27:AL27"/>
    <mergeCell ref="C28:AL28"/>
    <mergeCell ref="C29:AL29"/>
    <mergeCell ref="C30:AL30"/>
    <mergeCell ref="M40:AA41"/>
    <mergeCell ref="M42:AA42"/>
    <mergeCell ref="C32:AL32"/>
    <mergeCell ref="F35:P35"/>
    <mergeCell ref="X35:AL35"/>
    <mergeCell ref="F36:P36"/>
    <mergeCell ref="X36:AL36"/>
    <mergeCell ref="F37:P37"/>
    <mergeCell ref="AB37:AL37"/>
    <mergeCell ref="AH19:AJ19"/>
    <mergeCell ref="I20:M20"/>
    <mergeCell ref="AE19:AG19"/>
    <mergeCell ref="I19:M19"/>
    <mergeCell ref="N19:R19"/>
    <mergeCell ref="Y19:AA19"/>
    <mergeCell ref="AB19:AD19"/>
    <mergeCell ref="AH20:AJ20"/>
    <mergeCell ref="N20:R20"/>
    <mergeCell ref="Y20:AA20"/>
    <mergeCell ref="AB20:AD20"/>
    <mergeCell ref="AE20:AG20"/>
    <mergeCell ref="E12:AI12"/>
    <mergeCell ref="D14:S14"/>
    <mergeCell ref="Y14:AJ16"/>
    <mergeCell ref="D16:H17"/>
    <mergeCell ref="I16:R16"/>
    <mergeCell ref="I17:M17"/>
    <mergeCell ref="N17:R17"/>
    <mergeCell ref="Y17:AD18"/>
    <mergeCell ref="AE17:AJ18"/>
    <mergeCell ref="I18:M18"/>
    <mergeCell ref="N18:R18"/>
    <mergeCell ref="AB9:AE9"/>
    <mergeCell ref="D10:F10"/>
    <mergeCell ref="G10:I10"/>
    <mergeCell ref="J10:L10"/>
    <mergeCell ref="M10:O10"/>
    <mergeCell ref="X10:AA10"/>
    <mergeCell ref="AB10:AE10"/>
    <mergeCell ref="D9:F9"/>
    <mergeCell ref="G9:I9"/>
    <mergeCell ref="J9:L9"/>
    <mergeCell ref="M9:O9"/>
    <mergeCell ref="X9:AA9"/>
    <mergeCell ref="D4:O6"/>
    <mergeCell ref="X4:AH6"/>
    <mergeCell ref="D8:I8"/>
    <mergeCell ref="J8:O8"/>
    <mergeCell ref="X8:AE8"/>
  </mergeCells>
  <dataValidations count="2">
    <dataValidation type="whole" allowBlank="1" showInputMessage="1" showErrorMessage="1" errorTitle="GESP SY 2022-2023" error="Please enter valid number between 0 - 999." sqref="D10:O10 X10:AE10 Y20:AJ20" xr:uid="{00000000-0002-0000-3E00-000000000000}">
      <formula1>0</formula1>
      <formula2>999</formula2>
    </dataValidation>
    <dataValidation type="whole" allowBlank="1" showInputMessage="1" showErrorMessage="1" errorTitle="GESP SY 2022-2023" error="Please enter valid number between 0-99." sqref="I18:R20" xr:uid="{00000000-0002-0000-3E00-000001000000}">
      <formula1>0</formula1>
      <formula2>99</formula2>
    </dataValidation>
  </dataValidations>
  <printOptions horizontalCentered="1" verticalCentered="1"/>
  <pageMargins left="0.25" right="0.25" top="0.2" bottom="0.2" header="0" footer="0.1"/>
  <pageSetup paperSize="9" scale="57" orientation="landscape" r:id="rId1"/>
  <headerFooter>
    <oddFooter>&amp;L&amp;10&amp;F &amp;A&amp;R&amp;10Page 59 of 60</oddFooter>
  </headerFooter>
  <ignoredErrors>
    <ignoredError sqref="C4 C12 W4 C14 X1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8353" r:id="rId4" name="Check Box 1">
              <controlPr locked="0" defaultSize="0" autoFill="0" autoLine="0" autoPict="0">
                <anchor moveWithCells="1">
                  <from>
                    <xdr:col>3</xdr:col>
                    <xdr:colOff>50800</xdr:colOff>
                    <xdr:row>11</xdr:row>
                    <xdr:rowOff>31750</xdr:rowOff>
                  </from>
                  <to>
                    <xdr:col>6</xdr:col>
                    <xdr:colOff>31750</xdr:colOff>
                    <xdr:row>11</xdr:row>
                    <xdr:rowOff>241300</xdr:rowOff>
                  </to>
                </anchor>
              </controlPr>
            </control>
          </mc:Choice>
        </mc:AlternateContent>
      </controls>
    </mc:Choice>
  </mc:AlternateConten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pageSetUpPr fitToPage="1"/>
  </sheetPr>
  <dimension ref="A1:BW62"/>
  <sheetViews>
    <sheetView showGridLines="0" zoomScaleNormal="100" zoomScaleSheetLayoutView="100" workbookViewId="0">
      <selection activeCell="U43" sqref="U43"/>
    </sheetView>
  </sheetViews>
  <sheetFormatPr defaultColWidth="9" defaultRowHeight="15.5"/>
  <cols>
    <col min="1" max="1" width="2.08203125" style="602" customWidth="1"/>
    <col min="2" max="41" width="3.58203125" style="602" customWidth="1"/>
    <col min="42" max="42" width="5" style="602" customWidth="1"/>
    <col min="43" max="43" width="4.83203125" style="602" customWidth="1"/>
    <col min="44" max="44" width="3.58203125" style="602" customWidth="1"/>
    <col min="45" max="45" width="1.08203125" style="602" customWidth="1"/>
    <col min="46" max="46" width="1.83203125" style="602" customWidth="1"/>
    <col min="47" max="47" width="2.08203125" style="602" customWidth="1"/>
    <col min="48" max="73" width="3.58203125" style="602" customWidth="1"/>
    <col min="74" max="74" width="2.08203125" style="602" customWidth="1"/>
    <col min="75" max="76" width="3.58203125" style="602" customWidth="1"/>
    <col min="77" max="16384" width="9" style="602"/>
  </cols>
  <sheetData>
    <row r="1" spans="2:48" ht="12" customHeight="1"/>
    <row r="2" spans="2:48" ht="16.5">
      <c r="B2" s="627" t="s">
        <v>11818</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8" s="568" customFormat="1" ht="16" thickBot="1">
      <c r="B3" s="582" t="s">
        <v>904</v>
      </c>
    </row>
    <row r="4" spans="2:48" ht="4.75" customHeight="1">
      <c r="B4" s="638"/>
      <c r="C4" s="640"/>
      <c r="D4" s="1029"/>
      <c r="E4" s="632"/>
      <c r="F4" s="632"/>
      <c r="G4" s="632"/>
      <c r="H4" s="632"/>
      <c r="I4" s="632"/>
      <c r="J4" s="632"/>
      <c r="K4" s="632"/>
      <c r="L4" s="632"/>
      <c r="M4" s="830"/>
      <c r="N4" s="830"/>
      <c r="O4" s="830"/>
      <c r="P4" s="830"/>
      <c r="Q4" s="830"/>
      <c r="R4" s="830"/>
      <c r="S4" s="634"/>
      <c r="T4" s="1030"/>
      <c r="U4" s="1030"/>
      <c r="V4" s="1030"/>
      <c r="W4" s="1030"/>
      <c r="X4" s="1030"/>
      <c r="Y4" s="1030"/>
      <c r="Z4" s="830"/>
      <c r="AA4" s="830"/>
      <c r="AB4" s="830"/>
      <c r="AC4" s="830"/>
      <c r="AD4" s="830"/>
      <c r="AE4" s="830"/>
      <c r="AF4" s="830"/>
      <c r="AG4" s="830"/>
      <c r="AH4" s="830"/>
      <c r="AI4" s="830"/>
      <c r="AJ4" s="640"/>
      <c r="AK4" s="640"/>
      <c r="AL4" s="640"/>
      <c r="AM4" s="640"/>
      <c r="AN4" s="640"/>
      <c r="AO4" s="632"/>
      <c r="AP4" s="632"/>
      <c r="AQ4" s="830"/>
      <c r="AR4" s="830"/>
      <c r="AS4" s="830"/>
      <c r="AT4" s="1031"/>
      <c r="AU4" s="614"/>
    </row>
    <row r="5" spans="2:48" ht="18.649999999999999" customHeight="1">
      <c r="B5" s="614"/>
      <c r="C5" s="1666" t="s">
        <v>151</v>
      </c>
      <c r="D5" s="1012" t="s">
        <v>906</v>
      </c>
      <c r="E5" s="1012"/>
      <c r="F5" s="1013"/>
      <c r="G5" s="1013"/>
      <c r="H5" s="1013"/>
      <c r="I5" s="1013"/>
      <c r="J5" s="1013"/>
      <c r="K5" s="1013"/>
      <c r="L5" s="1013"/>
      <c r="M5" s="1701"/>
      <c r="N5" s="588"/>
      <c r="O5" s="588"/>
      <c r="P5" s="588"/>
      <c r="Q5" s="588"/>
      <c r="R5" s="588"/>
      <c r="S5" s="1702"/>
      <c r="T5" s="1701"/>
      <c r="U5" s="1701"/>
      <c r="V5" s="1701"/>
      <c r="W5" s="1701"/>
      <c r="X5" s="1701"/>
      <c r="Y5" s="1701"/>
      <c r="Z5" s="588"/>
      <c r="AA5" s="588"/>
      <c r="AB5" s="588"/>
      <c r="AC5" s="588"/>
      <c r="AD5" s="588"/>
      <c r="AE5" s="588"/>
      <c r="AF5" s="588"/>
      <c r="AG5" s="588"/>
      <c r="AH5" s="588"/>
      <c r="AI5" s="588"/>
      <c r="AO5" s="1013"/>
      <c r="AP5" s="1013"/>
      <c r="AQ5" s="1701"/>
      <c r="AR5" s="588"/>
      <c r="AS5" s="588"/>
      <c r="AT5" s="812"/>
      <c r="AU5" s="614"/>
    </row>
    <row r="6" spans="2:48" s="610" customFormat="1" ht="17.149999999999999" customHeight="1">
      <c r="B6" s="636"/>
      <c r="C6" s="605"/>
      <c r="D6" s="4441" t="b">
        <v>0</v>
      </c>
      <c r="E6" s="3033" t="s">
        <v>877</v>
      </c>
      <c r="F6" s="3033"/>
      <c r="G6" s="3033"/>
      <c r="H6" s="3033"/>
      <c r="I6" s="3033"/>
      <c r="J6" s="3033"/>
      <c r="K6" s="3033"/>
      <c r="L6" s="3033"/>
      <c r="M6" s="3033"/>
      <c r="N6" s="3033"/>
      <c r="O6" s="3033"/>
      <c r="P6" s="3033"/>
      <c r="Q6" s="3033"/>
      <c r="R6" s="3033"/>
      <c r="S6" s="3033"/>
      <c r="T6" s="3033"/>
      <c r="U6" s="3033"/>
      <c r="V6" s="3033"/>
      <c r="W6" s="3033"/>
      <c r="X6" s="3033"/>
      <c r="Y6" s="3033"/>
      <c r="Z6" s="3033"/>
      <c r="AA6" s="3033"/>
      <c r="AB6" s="3033"/>
      <c r="AC6" s="3033"/>
      <c r="AD6" s="3033"/>
      <c r="AE6" s="3033"/>
      <c r="AF6" s="3033"/>
      <c r="AG6" s="3033"/>
      <c r="AH6" s="3033"/>
      <c r="AI6" s="3033"/>
      <c r="AJ6" s="3033"/>
      <c r="AK6" s="3033"/>
      <c r="AL6" s="3033"/>
      <c r="AM6" s="3033"/>
      <c r="AN6" s="3033"/>
      <c r="AO6" s="3033"/>
      <c r="AP6" s="3033"/>
      <c r="AQ6" s="3033"/>
      <c r="AR6" s="3033"/>
      <c r="AS6" s="568"/>
      <c r="AT6" s="574"/>
      <c r="AU6" s="636"/>
    </row>
    <row r="7" spans="2:48" s="610" customFormat="1" ht="17.149999999999999" customHeight="1">
      <c r="B7" s="636"/>
      <c r="C7" s="605"/>
      <c r="D7" s="4441"/>
      <c r="E7" s="3033"/>
      <c r="F7" s="3033"/>
      <c r="G7" s="3033"/>
      <c r="H7" s="3033"/>
      <c r="I7" s="3033"/>
      <c r="J7" s="3033"/>
      <c r="K7" s="3033"/>
      <c r="L7" s="3033"/>
      <c r="M7" s="3033"/>
      <c r="N7" s="3033"/>
      <c r="O7" s="3033"/>
      <c r="P7" s="3033"/>
      <c r="Q7" s="3033"/>
      <c r="R7" s="3033"/>
      <c r="S7" s="3033"/>
      <c r="T7" s="3033"/>
      <c r="U7" s="3033"/>
      <c r="V7" s="3033"/>
      <c r="W7" s="3033"/>
      <c r="X7" s="3033"/>
      <c r="Y7" s="3033"/>
      <c r="Z7" s="3033"/>
      <c r="AA7" s="3033"/>
      <c r="AB7" s="3033"/>
      <c r="AC7" s="3033"/>
      <c r="AD7" s="3033"/>
      <c r="AE7" s="3033"/>
      <c r="AF7" s="3033"/>
      <c r="AG7" s="3033"/>
      <c r="AH7" s="3033"/>
      <c r="AI7" s="3033"/>
      <c r="AJ7" s="3033"/>
      <c r="AK7" s="3033"/>
      <c r="AL7" s="3033"/>
      <c r="AM7" s="3033"/>
      <c r="AN7" s="3033"/>
      <c r="AO7" s="3033"/>
      <c r="AP7" s="3033"/>
      <c r="AQ7" s="3033"/>
      <c r="AR7" s="3033"/>
      <c r="AS7" s="568"/>
      <c r="AT7" s="574"/>
      <c r="AU7" s="636"/>
    </row>
    <row r="8" spans="2:48" s="610" customFormat="1" ht="17.149999999999999" customHeight="1">
      <c r="B8" s="636"/>
      <c r="C8" s="605"/>
      <c r="D8" s="4441" t="b">
        <v>0</v>
      </c>
      <c r="E8" s="3033" t="s">
        <v>876</v>
      </c>
      <c r="F8" s="3033"/>
      <c r="G8" s="3033"/>
      <c r="H8" s="3033"/>
      <c r="I8" s="3033"/>
      <c r="J8" s="3033"/>
      <c r="K8" s="3033"/>
      <c r="L8" s="3033"/>
      <c r="M8" s="3033"/>
      <c r="N8" s="3033"/>
      <c r="O8" s="3033"/>
      <c r="P8" s="3033"/>
      <c r="Q8" s="3033"/>
      <c r="R8" s="3033"/>
      <c r="S8" s="3033"/>
      <c r="T8" s="3033"/>
      <c r="U8" s="3033"/>
      <c r="V8" s="3033"/>
      <c r="W8" s="3033"/>
      <c r="X8" s="3033"/>
      <c r="Y8" s="3033"/>
      <c r="Z8" s="3033"/>
      <c r="AA8" s="3033"/>
      <c r="AB8" s="3033"/>
      <c r="AC8" s="3033"/>
      <c r="AD8" s="3033"/>
      <c r="AE8" s="3033"/>
      <c r="AF8" s="3033"/>
      <c r="AG8" s="3033"/>
      <c r="AH8" s="3033"/>
      <c r="AI8" s="3033"/>
      <c r="AJ8" s="3033"/>
      <c r="AK8" s="3033"/>
      <c r="AL8" s="3033"/>
      <c r="AM8" s="3033"/>
      <c r="AN8" s="3033"/>
      <c r="AO8" s="3033"/>
      <c r="AP8" s="3033"/>
      <c r="AQ8" s="3033"/>
      <c r="AR8" s="3033"/>
      <c r="AS8" s="568"/>
      <c r="AT8" s="574"/>
      <c r="AU8" s="636"/>
    </row>
    <row r="9" spans="2:48" s="610" customFormat="1" ht="17.149999999999999" customHeight="1">
      <c r="B9" s="636"/>
      <c r="C9" s="605"/>
      <c r="D9" s="4441"/>
      <c r="E9" s="3033"/>
      <c r="F9" s="3033"/>
      <c r="G9" s="3033"/>
      <c r="H9" s="3033"/>
      <c r="I9" s="3033"/>
      <c r="J9" s="3033"/>
      <c r="K9" s="3033"/>
      <c r="L9" s="3033"/>
      <c r="M9" s="3033"/>
      <c r="N9" s="3033"/>
      <c r="O9" s="3033"/>
      <c r="P9" s="3033"/>
      <c r="Q9" s="3033"/>
      <c r="R9" s="3033"/>
      <c r="S9" s="3033"/>
      <c r="T9" s="3033"/>
      <c r="U9" s="3033"/>
      <c r="V9" s="3033"/>
      <c r="W9" s="3033"/>
      <c r="X9" s="3033"/>
      <c r="Y9" s="3033"/>
      <c r="Z9" s="3033"/>
      <c r="AA9" s="3033"/>
      <c r="AB9" s="3033"/>
      <c r="AC9" s="3033"/>
      <c r="AD9" s="3033"/>
      <c r="AE9" s="3033"/>
      <c r="AF9" s="3033"/>
      <c r="AG9" s="3033"/>
      <c r="AH9" s="3033"/>
      <c r="AI9" s="3033"/>
      <c r="AJ9" s="3033"/>
      <c r="AK9" s="3033"/>
      <c r="AL9" s="3033"/>
      <c r="AM9" s="3033"/>
      <c r="AN9" s="3033"/>
      <c r="AO9" s="3033"/>
      <c r="AP9" s="3033"/>
      <c r="AQ9" s="3033"/>
      <c r="AR9" s="3033"/>
      <c r="AS9" s="568"/>
      <c r="AT9" s="574"/>
      <c r="AU9" s="636"/>
    </row>
    <row r="10" spans="2:48" s="610" customFormat="1" ht="17.149999999999999" customHeight="1">
      <c r="B10" s="636"/>
      <c r="C10" s="605"/>
      <c r="D10" s="4441" t="b">
        <v>0</v>
      </c>
      <c r="E10" s="3033" t="s">
        <v>875</v>
      </c>
      <c r="F10" s="3033"/>
      <c r="G10" s="3033"/>
      <c r="H10" s="3033"/>
      <c r="I10" s="3033"/>
      <c r="J10" s="3033"/>
      <c r="K10" s="3033"/>
      <c r="L10" s="3033"/>
      <c r="M10" s="3033"/>
      <c r="N10" s="3033"/>
      <c r="O10" s="3033"/>
      <c r="P10" s="3033"/>
      <c r="Q10" s="3033"/>
      <c r="R10" s="3033"/>
      <c r="S10" s="3033"/>
      <c r="T10" s="3033"/>
      <c r="U10" s="3033"/>
      <c r="V10" s="3033"/>
      <c r="W10" s="3033"/>
      <c r="X10" s="3033"/>
      <c r="Y10" s="3033"/>
      <c r="Z10" s="3033"/>
      <c r="AA10" s="3033"/>
      <c r="AB10" s="3033"/>
      <c r="AC10" s="3033"/>
      <c r="AD10" s="3033"/>
      <c r="AE10" s="3033"/>
      <c r="AF10" s="3033"/>
      <c r="AG10" s="3033"/>
      <c r="AH10" s="3033"/>
      <c r="AI10" s="3033"/>
      <c r="AJ10" s="3033"/>
      <c r="AK10" s="3033"/>
      <c r="AL10" s="3033"/>
      <c r="AM10" s="3033"/>
      <c r="AN10" s="3033"/>
      <c r="AO10" s="3033"/>
      <c r="AP10" s="3033"/>
      <c r="AQ10" s="3033"/>
      <c r="AR10" s="3033"/>
      <c r="AS10" s="568"/>
      <c r="AT10" s="574"/>
      <c r="AU10" s="636"/>
    </row>
    <row r="11" spans="2:48" s="610" customFormat="1" ht="17.149999999999999" customHeight="1">
      <c r="B11" s="636"/>
      <c r="C11" s="605"/>
      <c r="D11" s="4441"/>
      <c r="E11" s="3033"/>
      <c r="F11" s="3033"/>
      <c r="G11" s="3033"/>
      <c r="H11" s="3033"/>
      <c r="I11" s="3033"/>
      <c r="J11" s="3033"/>
      <c r="K11" s="3033"/>
      <c r="L11" s="3033"/>
      <c r="M11" s="3033"/>
      <c r="N11" s="3033"/>
      <c r="O11" s="3033"/>
      <c r="P11" s="3033"/>
      <c r="Q11" s="3033"/>
      <c r="R11" s="3033"/>
      <c r="S11" s="3033"/>
      <c r="T11" s="3033"/>
      <c r="U11" s="3033"/>
      <c r="V11" s="3033"/>
      <c r="W11" s="3033"/>
      <c r="X11" s="3033"/>
      <c r="Y11" s="3033"/>
      <c r="Z11" s="3033"/>
      <c r="AA11" s="3033"/>
      <c r="AB11" s="3033"/>
      <c r="AC11" s="3033"/>
      <c r="AD11" s="3033"/>
      <c r="AE11" s="3033"/>
      <c r="AF11" s="3033"/>
      <c r="AG11" s="3033"/>
      <c r="AH11" s="3033"/>
      <c r="AI11" s="3033"/>
      <c r="AJ11" s="3033"/>
      <c r="AK11" s="3033"/>
      <c r="AL11" s="3033"/>
      <c r="AM11" s="3033"/>
      <c r="AN11" s="3033"/>
      <c r="AO11" s="3033"/>
      <c r="AP11" s="3033"/>
      <c r="AQ11" s="3033"/>
      <c r="AR11" s="3033"/>
      <c r="AS11" s="568"/>
      <c r="AT11" s="574"/>
      <c r="AU11" s="636"/>
    </row>
    <row r="12" spans="2:48" ht="18" customHeight="1">
      <c r="B12" s="614"/>
      <c r="C12" s="1666" t="s">
        <v>152</v>
      </c>
      <c r="D12" s="1012" t="s">
        <v>907</v>
      </c>
      <c r="F12" s="1013"/>
      <c r="G12" s="1013"/>
      <c r="H12" s="1013"/>
      <c r="I12" s="1013"/>
      <c r="J12" s="1013"/>
      <c r="K12" s="1013"/>
      <c r="L12" s="1013"/>
      <c r="M12" s="1701"/>
      <c r="N12" s="588"/>
      <c r="O12" s="588"/>
      <c r="P12" s="588"/>
      <c r="Q12" s="588"/>
      <c r="R12" s="588"/>
      <c r="S12" s="1702"/>
      <c r="T12" s="1701"/>
      <c r="U12" s="1701"/>
      <c r="V12" s="1701"/>
      <c r="W12" s="1701"/>
      <c r="X12" s="1701"/>
      <c r="Y12" s="1701"/>
      <c r="Z12" s="588"/>
      <c r="AA12" s="588"/>
      <c r="AB12" s="588"/>
      <c r="AC12" s="588"/>
      <c r="AD12" s="588"/>
      <c r="AE12" s="588"/>
      <c r="AF12" s="588"/>
      <c r="AG12" s="588"/>
      <c r="AH12" s="588"/>
      <c r="AI12" s="588"/>
      <c r="AO12" s="1013"/>
      <c r="AP12" s="1013"/>
      <c r="AQ12" s="1701"/>
      <c r="AR12" s="588"/>
      <c r="AS12" s="588"/>
      <c r="AT12" s="812"/>
      <c r="AU12" s="614"/>
    </row>
    <row r="13" spans="2:48" ht="19.399999999999999" customHeight="1" thickBot="1">
      <c r="B13" s="614"/>
      <c r="D13" s="1081" t="s">
        <v>546</v>
      </c>
      <c r="E13" s="1012" t="s">
        <v>874</v>
      </c>
      <c r="F13" s="1013"/>
      <c r="G13" s="1013"/>
      <c r="H13" s="1013"/>
      <c r="I13" s="1013"/>
      <c r="J13" s="1013"/>
      <c r="K13" s="1013"/>
      <c r="L13" s="1013"/>
      <c r="M13" s="1701"/>
      <c r="N13" s="588"/>
      <c r="O13" s="588"/>
      <c r="P13" s="588"/>
      <c r="Q13" s="588"/>
      <c r="R13" s="588"/>
      <c r="S13" s="1702"/>
      <c r="T13" s="1701"/>
      <c r="U13" s="1701"/>
      <c r="V13" s="1701"/>
      <c r="W13" s="1701"/>
      <c r="X13" s="1701"/>
      <c r="Y13" s="1701"/>
      <c r="Z13" s="588"/>
      <c r="AA13" s="588"/>
      <c r="AB13" s="588"/>
      <c r="AC13" s="588"/>
      <c r="AD13" s="588"/>
      <c r="AE13" s="588"/>
      <c r="AF13" s="588"/>
      <c r="AG13" s="588"/>
      <c r="AH13" s="588"/>
      <c r="AI13" s="588"/>
      <c r="AO13" s="1013"/>
      <c r="AP13" s="1013"/>
      <c r="AQ13" s="1701"/>
      <c r="AR13" s="588"/>
      <c r="AS13" s="588"/>
      <c r="AT13" s="812"/>
      <c r="AU13" s="614"/>
    </row>
    <row r="14" spans="2:48" s="1120" customFormat="1" ht="15">
      <c r="B14" s="1680"/>
      <c r="E14" s="4444" t="s">
        <v>878</v>
      </c>
      <c r="F14" s="4444"/>
      <c r="G14" s="4444"/>
      <c r="H14" s="4444"/>
      <c r="I14" s="4444"/>
      <c r="J14" s="4444"/>
      <c r="K14" s="4444"/>
      <c r="L14" s="4444"/>
      <c r="M14" s="4447" t="s">
        <v>125</v>
      </c>
      <c r="N14" s="4447"/>
      <c r="O14" s="4447"/>
      <c r="P14" s="4447"/>
      <c r="Q14" s="4447"/>
      <c r="R14" s="4447"/>
      <c r="S14" s="4447"/>
      <c r="T14" s="4447"/>
      <c r="U14" s="4447"/>
      <c r="V14" s="4447"/>
      <c r="W14" s="4447"/>
      <c r="X14" s="4447"/>
      <c r="Y14" s="4447"/>
      <c r="Z14" s="4447"/>
      <c r="AA14" s="4447"/>
      <c r="AB14" s="4447"/>
      <c r="AC14" s="4447"/>
      <c r="AD14" s="4447"/>
      <c r="AE14" s="4447"/>
      <c r="AF14" s="4447"/>
      <c r="AG14" s="4447"/>
      <c r="AH14" s="4447"/>
      <c r="AI14" s="4447"/>
      <c r="AJ14" s="4447"/>
      <c r="AK14" s="4447"/>
      <c r="AL14" s="4447"/>
      <c r="AM14" s="4447"/>
      <c r="AN14" s="4447"/>
      <c r="AO14" s="4447"/>
      <c r="AP14" s="4447"/>
      <c r="AQ14" s="4447"/>
      <c r="AR14" s="4447"/>
      <c r="AS14" s="1678"/>
      <c r="AT14" s="1703"/>
      <c r="AU14" s="1091"/>
      <c r="AV14" s="580"/>
    </row>
    <row r="15" spans="2:48" s="1120" customFormat="1" ht="18" customHeight="1">
      <c r="B15" s="1680"/>
      <c r="E15" s="4445"/>
      <c r="F15" s="4445"/>
      <c r="G15" s="4445"/>
      <c r="H15" s="4445"/>
      <c r="I15" s="4445"/>
      <c r="J15" s="4445"/>
      <c r="K15" s="4445"/>
      <c r="L15" s="4445"/>
      <c r="M15" s="4460" t="s">
        <v>57</v>
      </c>
      <c r="N15" s="4449"/>
      <c r="O15" s="4449"/>
      <c r="P15" s="4450"/>
      <c r="Q15" s="4460" t="s">
        <v>19</v>
      </c>
      <c r="R15" s="4449"/>
      <c r="S15" s="4449"/>
      <c r="T15" s="4450"/>
      <c r="U15" s="4460" t="s">
        <v>20</v>
      </c>
      <c r="V15" s="4449"/>
      <c r="W15" s="4449"/>
      <c r="X15" s="4450"/>
      <c r="Y15" s="4460" t="s">
        <v>21</v>
      </c>
      <c r="Z15" s="4449"/>
      <c r="AA15" s="4449"/>
      <c r="AB15" s="4450"/>
      <c r="AC15" s="4460" t="s">
        <v>22</v>
      </c>
      <c r="AD15" s="4449"/>
      <c r="AE15" s="4449"/>
      <c r="AF15" s="4450"/>
      <c r="AG15" s="4460" t="s">
        <v>23</v>
      </c>
      <c r="AH15" s="4449"/>
      <c r="AI15" s="4449"/>
      <c r="AJ15" s="4450"/>
      <c r="AK15" s="4460" t="s">
        <v>24</v>
      </c>
      <c r="AL15" s="4449"/>
      <c r="AM15" s="4449"/>
      <c r="AN15" s="4461"/>
      <c r="AO15" s="4448" t="s">
        <v>1781</v>
      </c>
      <c r="AP15" s="4449"/>
      <c r="AQ15" s="4449"/>
      <c r="AR15" s="4450"/>
      <c r="AS15" s="1678"/>
      <c r="AT15" s="1703"/>
      <c r="AU15" s="1091"/>
      <c r="AV15" s="580"/>
    </row>
    <row r="16" spans="2:48" s="1120" customFormat="1" ht="16" customHeight="1" thickBot="1">
      <c r="B16" s="1680"/>
      <c r="E16" s="4446"/>
      <c r="F16" s="4446"/>
      <c r="G16" s="4446"/>
      <c r="H16" s="4446"/>
      <c r="I16" s="4446"/>
      <c r="J16" s="4446"/>
      <c r="K16" s="4446"/>
      <c r="L16" s="4446"/>
      <c r="M16" s="4442" t="s">
        <v>15</v>
      </c>
      <c r="N16" s="4419"/>
      <c r="O16" s="4400" t="s">
        <v>16</v>
      </c>
      <c r="P16" s="4442"/>
      <c r="Q16" s="4442" t="s">
        <v>15</v>
      </c>
      <c r="R16" s="4419"/>
      <c r="S16" s="4400" t="s">
        <v>16</v>
      </c>
      <c r="T16" s="4442"/>
      <c r="U16" s="4442" t="s">
        <v>15</v>
      </c>
      <c r="V16" s="4419"/>
      <c r="W16" s="4400" t="s">
        <v>16</v>
      </c>
      <c r="X16" s="4442"/>
      <c r="Y16" s="4442" t="s">
        <v>15</v>
      </c>
      <c r="Z16" s="4419"/>
      <c r="AA16" s="4400" t="s">
        <v>16</v>
      </c>
      <c r="AB16" s="4442"/>
      <c r="AC16" s="4442" t="s">
        <v>15</v>
      </c>
      <c r="AD16" s="4419"/>
      <c r="AE16" s="4400" t="s">
        <v>16</v>
      </c>
      <c r="AF16" s="4442"/>
      <c r="AG16" s="4442" t="s">
        <v>15</v>
      </c>
      <c r="AH16" s="4419"/>
      <c r="AI16" s="4400" t="s">
        <v>16</v>
      </c>
      <c r="AJ16" s="4442"/>
      <c r="AK16" s="4442" t="s">
        <v>15</v>
      </c>
      <c r="AL16" s="4419"/>
      <c r="AM16" s="4400" t="s">
        <v>16</v>
      </c>
      <c r="AN16" s="4443"/>
      <c r="AO16" s="4400" t="s">
        <v>15</v>
      </c>
      <c r="AP16" s="4419"/>
      <c r="AQ16" s="4400" t="s">
        <v>16</v>
      </c>
      <c r="AR16" s="4442"/>
      <c r="AS16" s="1678"/>
      <c r="AT16" s="1703"/>
      <c r="AU16" s="1091"/>
      <c r="AV16" s="580"/>
    </row>
    <row r="17" spans="2:68" s="610" customFormat="1" ht="19.399999999999999" customHeight="1">
      <c r="B17" s="636"/>
      <c r="E17" s="4451" t="s">
        <v>931</v>
      </c>
      <c r="F17" s="4451"/>
      <c r="G17" s="4451"/>
      <c r="H17" s="4451"/>
      <c r="I17" s="4451"/>
      <c r="J17" s="4451"/>
      <c r="K17" s="4451"/>
      <c r="L17" s="4451"/>
      <c r="M17" s="4452">
        <v>0</v>
      </c>
      <c r="N17" s="4453"/>
      <c r="O17" s="4454">
        <v>0</v>
      </c>
      <c r="P17" s="4452"/>
      <c r="Q17" s="4452">
        <v>0</v>
      </c>
      <c r="R17" s="4453"/>
      <c r="S17" s="4454">
        <v>0</v>
      </c>
      <c r="T17" s="4452"/>
      <c r="U17" s="4452">
        <v>0</v>
      </c>
      <c r="V17" s="4453"/>
      <c r="W17" s="4454">
        <v>0</v>
      </c>
      <c r="X17" s="4452"/>
      <c r="Y17" s="4452">
        <v>0</v>
      </c>
      <c r="Z17" s="4453"/>
      <c r="AA17" s="4454">
        <v>0</v>
      </c>
      <c r="AB17" s="4452"/>
      <c r="AC17" s="4452">
        <v>0</v>
      </c>
      <c r="AD17" s="4453"/>
      <c r="AE17" s="4454">
        <v>0</v>
      </c>
      <c r="AF17" s="4452"/>
      <c r="AG17" s="4452">
        <v>0</v>
      </c>
      <c r="AH17" s="4453"/>
      <c r="AI17" s="4454">
        <v>0</v>
      </c>
      <c r="AJ17" s="4452"/>
      <c r="AK17" s="4452">
        <v>0</v>
      </c>
      <c r="AL17" s="4453"/>
      <c r="AM17" s="4454">
        <v>0</v>
      </c>
      <c r="AN17" s="4455"/>
      <c r="AO17" s="4456">
        <f>SUM(M17,Q17,U17,Y17,AC17,AG17,AK17)</f>
        <v>0</v>
      </c>
      <c r="AP17" s="4457"/>
      <c r="AQ17" s="4456">
        <f>SUM(O17,S17,W17,AA17,AE17,AI17,AM17)</f>
        <v>0</v>
      </c>
      <c r="AR17" s="4458"/>
      <c r="AS17" s="1678"/>
      <c r="AT17" s="1104"/>
      <c r="AU17" s="1082"/>
      <c r="AV17" s="1105"/>
    </row>
    <row r="18" spans="2:68" s="610" customFormat="1" ht="18.649999999999999" customHeight="1" thickBot="1">
      <c r="B18" s="636"/>
      <c r="C18" s="610" t="s">
        <v>1523</v>
      </c>
      <c r="E18" s="4459" t="s">
        <v>932</v>
      </c>
      <c r="F18" s="4459"/>
      <c r="G18" s="4459"/>
      <c r="H18" s="4459"/>
      <c r="I18" s="4459"/>
      <c r="J18" s="4459"/>
      <c r="K18" s="4459"/>
      <c r="L18" s="4459"/>
      <c r="M18" s="4434">
        <v>0</v>
      </c>
      <c r="N18" s="4435"/>
      <c r="O18" s="4436">
        <v>0</v>
      </c>
      <c r="P18" s="4434"/>
      <c r="Q18" s="4434">
        <v>0</v>
      </c>
      <c r="R18" s="4435"/>
      <c r="S18" s="4436">
        <v>0</v>
      </c>
      <c r="T18" s="4434"/>
      <c r="U18" s="4434">
        <v>0</v>
      </c>
      <c r="V18" s="4435"/>
      <c r="W18" s="4436">
        <v>0</v>
      </c>
      <c r="X18" s="4434"/>
      <c r="Y18" s="4434">
        <v>0</v>
      </c>
      <c r="Z18" s="4435"/>
      <c r="AA18" s="4436">
        <v>0</v>
      </c>
      <c r="AB18" s="4434"/>
      <c r="AC18" s="4434">
        <v>0</v>
      </c>
      <c r="AD18" s="4435"/>
      <c r="AE18" s="4436">
        <v>0</v>
      </c>
      <c r="AF18" s="4434"/>
      <c r="AG18" s="4434">
        <v>0</v>
      </c>
      <c r="AH18" s="4435"/>
      <c r="AI18" s="4436">
        <v>0</v>
      </c>
      <c r="AJ18" s="4434"/>
      <c r="AK18" s="4434">
        <v>0</v>
      </c>
      <c r="AL18" s="4435"/>
      <c r="AM18" s="4436">
        <v>0</v>
      </c>
      <c r="AN18" s="4462"/>
      <c r="AO18" s="4431">
        <f t="shared" ref="AO18" si="0">SUM(M18,Q18,U18,Y18,AC18,AG18,AK18)</f>
        <v>0</v>
      </c>
      <c r="AP18" s="4432"/>
      <c r="AQ18" s="4431">
        <f t="shared" ref="AQ18:AQ19" si="1">SUM(O18,S18,W18,AA18,AE18,AI18,AM18)</f>
        <v>0</v>
      </c>
      <c r="AR18" s="4433"/>
      <c r="AS18" s="1678"/>
      <c r="AT18" s="1104"/>
      <c r="AU18" s="1082"/>
      <c r="AV18" s="1105"/>
    </row>
    <row r="19" spans="2:68" s="610" customFormat="1" ht="16.5" thickTop="1" thickBot="1">
      <c r="B19" s="636"/>
      <c r="E19" s="4463" t="s">
        <v>29</v>
      </c>
      <c r="F19" s="4463"/>
      <c r="G19" s="4463"/>
      <c r="H19" s="4463"/>
      <c r="I19" s="4463"/>
      <c r="J19" s="4463"/>
      <c r="K19" s="4463"/>
      <c r="L19" s="4463"/>
      <c r="M19" s="4438">
        <f>SUM(M17:N18)</f>
        <v>0</v>
      </c>
      <c r="N19" s="4439"/>
      <c r="O19" s="4437">
        <f t="shared" ref="O19" si="2">SUM(O17:P18)</f>
        <v>0</v>
      </c>
      <c r="P19" s="4438"/>
      <c r="Q19" s="4438">
        <f t="shared" ref="Q19" si="3">SUM(Q17:R18)</f>
        <v>0</v>
      </c>
      <c r="R19" s="4439"/>
      <c r="S19" s="4437">
        <f t="shared" ref="S19" si="4">SUM(S17:T18)</f>
        <v>0</v>
      </c>
      <c r="T19" s="4438"/>
      <c r="U19" s="4438">
        <f t="shared" ref="U19" si="5">SUM(U17:V18)</f>
        <v>0</v>
      </c>
      <c r="V19" s="4439"/>
      <c r="W19" s="4437">
        <f t="shared" ref="W19" si="6">SUM(W17:X18)</f>
        <v>0</v>
      </c>
      <c r="X19" s="4438"/>
      <c r="Y19" s="4438">
        <f t="shared" ref="Y19" si="7">SUM(Y17:Z18)</f>
        <v>0</v>
      </c>
      <c r="Z19" s="4439"/>
      <c r="AA19" s="4437">
        <f t="shared" ref="AA19" si="8">SUM(AA17:AB18)</f>
        <v>0</v>
      </c>
      <c r="AB19" s="4438"/>
      <c r="AC19" s="4438">
        <f t="shared" ref="AC19" si="9">SUM(AC17:AD18)</f>
        <v>0</v>
      </c>
      <c r="AD19" s="4439"/>
      <c r="AE19" s="4437">
        <f t="shared" ref="AE19" si="10">SUM(AE17:AF18)</f>
        <v>0</v>
      </c>
      <c r="AF19" s="4438"/>
      <c r="AG19" s="4438">
        <f t="shared" ref="AG19" si="11">SUM(AG17:AH18)</f>
        <v>0</v>
      </c>
      <c r="AH19" s="4439"/>
      <c r="AI19" s="4437">
        <f t="shared" ref="AI19" si="12">SUM(AI17:AJ18)</f>
        <v>0</v>
      </c>
      <c r="AJ19" s="4438"/>
      <c r="AK19" s="4438">
        <f t="shared" ref="AK19" si="13">SUM(AK17:AL18)</f>
        <v>0</v>
      </c>
      <c r="AL19" s="4439"/>
      <c r="AM19" s="4437">
        <f t="shared" ref="AM19" si="14">SUM(AM17:AN18)</f>
        <v>0</v>
      </c>
      <c r="AN19" s="4440"/>
      <c r="AO19" s="4437">
        <f>SUM(M19,Q19,U19,Y19,AC19,AG19,AK19)</f>
        <v>0</v>
      </c>
      <c r="AP19" s="4439"/>
      <c r="AQ19" s="4437">
        <f t="shared" si="1"/>
        <v>0</v>
      </c>
      <c r="AR19" s="4438"/>
      <c r="AS19" s="1678"/>
      <c r="AT19" s="1104"/>
      <c r="AU19" s="1082"/>
      <c r="AV19" s="1105"/>
      <c r="AX19" s="229"/>
      <c r="AY19" s="229"/>
      <c r="AZ19" s="229"/>
      <c r="BA19" s="229"/>
      <c r="BB19" s="229"/>
      <c r="BC19" s="229"/>
      <c r="BD19" s="229"/>
      <c r="BE19" s="229"/>
      <c r="BF19" s="229"/>
      <c r="BG19" s="229"/>
      <c r="BH19" s="229"/>
      <c r="BI19" s="229"/>
      <c r="BJ19" s="229"/>
      <c r="BK19" s="229"/>
      <c r="BL19" s="229"/>
      <c r="BM19" s="229"/>
      <c r="BN19" s="229"/>
      <c r="BO19" s="229"/>
    </row>
    <row r="20" spans="2:68" s="610" customFormat="1" ht="38.5" customHeight="1">
      <c r="B20" s="636"/>
      <c r="D20" s="1698" t="s">
        <v>1784</v>
      </c>
      <c r="E20" s="3501" t="s">
        <v>873</v>
      </c>
      <c r="F20" s="3501"/>
      <c r="G20" s="3501"/>
      <c r="H20" s="3501"/>
      <c r="I20" s="3501"/>
      <c r="J20" s="3501"/>
      <c r="K20" s="3501"/>
      <c r="L20" s="3501"/>
      <c r="M20" s="3501"/>
      <c r="N20" s="3501"/>
      <c r="O20" s="3501"/>
      <c r="P20" s="3501"/>
      <c r="Q20" s="3501"/>
      <c r="R20" s="3501"/>
      <c r="S20" s="3501"/>
      <c r="T20" s="3501"/>
      <c r="U20" s="3501"/>
      <c r="V20" s="3501"/>
      <c r="W20" s="3501"/>
      <c r="X20" s="3501"/>
      <c r="Y20" s="3501"/>
      <c r="Z20" s="3501"/>
      <c r="AA20" s="3501"/>
      <c r="AB20" s="3501"/>
      <c r="AC20" s="3501"/>
      <c r="AD20" s="3501"/>
      <c r="AE20" s="3501"/>
      <c r="AF20" s="3501"/>
      <c r="AG20" s="1694"/>
      <c r="AH20" s="1664" t="b">
        <v>0</v>
      </c>
      <c r="AI20" s="568" t="s">
        <v>64</v>
      </c>
      <c r="AJ20" s="1114"/>
      <c r="AK20" s="1114"/>
      <c r="AL20" s="602"/>
      <c r="AM20" s="1664" t="b">
        <v>1</v>
      </c>
      <c r="AN20" s="568" t="s">
        <v>0</v>
      </c>
      <c r="AT20" s="1159"/>
      <c r="AU20" s="636"/>
      <c r="AX20" s="462"/>
      <c r="AY20" s="462"/>
      <c r="AZ20" s="462"/>
      <c r="BA20" s="462"/>
      <c r="BB20" s="462"/>
      <c r="BC20" s="462"/>
      <c r="BD20" s="462"/>
      <c r="BE20" s="462"/>
      <c r="BF20" s="462"/>
      <c r="BG20" s="462"/>
      <c r="BH20" s="462"/>
      <c r="BI20" s="462"/>
      <c r="BJ20" s="462"/>
      <c r="BK20" s="462"/>
      <c r="BL20" s="462"/>
      <c r="BM20" s="462"/>
      <c r="BN20" s="462"/>
      <c r="BO20" s="462"/>
    </row>
    <row r="21" spans="2:68" ht="21" customHeight="1">
      <c r="B21" s="614"/>
      <c r="C21" s="1666" t="s">
        <v>153</v>
      </c>
      <c r="D21" s="1667" t="s">
        <v>1775</v>
      </c>
      <c r="E21" s="1668"/>
      <c r="F21" s="1668"/>
      <c r="G21" s="1668"/>
      <c r="H21" s="1668"/>
      <c r="I21" s="1668"/>
      <c r="J21" s="1668"/>
      <c r="K21" s="1668"/>
      <c r="L21" s="1668"/>
      <c r="M21" s="1668"/>
      <c r="N21" s="1668"/>
      <c r="O21" s="1668"/>
      <c r="P21" s="1668"/>
      <c r="Q21" s="1668"/>
      <c r="R21" s="1668"/>
      <c r="S21" s="1668"/>
      <c r="T21" s="1668"/>
      <c r="U21" s="1668"/>
      <c r="V21" s="1697"/>
      <c r="W21" s="1697"/>
      <c r="X21" s="1697"/>
      <c r="Y21" s="1669"/>
      <c r="Z21" s="588"/>
      <c r="AA21" s="1114"/>
      <c r="AB21" s="1114"/>
      <c r="AD21" s="1669"/>
      <c r="AE21" s="588"/>
      <c r="AF21" s="1668"/>
      <c r="AG21" s="1668"/>
      <c r="AH21" s="1663" t="b">
        <v>0</v>
      </c>
      <c r="AI21" s="588" t="s">
        <v>64</v>
      </c>
      <c r="AJ21" s="1114"/>
      <c r="AK21" s="1114"/>
      <c r="AM21" s="1663" t="b">
        <v>1</v>
      </c>
      <c r="AN21" s="588" t="s">
        <v>0</v>
      </c>
      <c r="AO21" s="1668"/>
      <c r="AP21" s="1668"/>
      <c r="AQ21" s="1668"/>
      <c r="AR21" s="1668"/>
      <c r="AT21" s="1018"/>
      <c r="AU21" s="614"/>
    </row>
    <row r="22" spans="2:68" ht="18.649999999999999" customHeight="1">
      <c r="B22" s="614"/>
      <c r="C22" s="1666" t="s">
        <v>154</v>
      </c>
      <c r="D22" s="602" t="s">
        <v>1776</v>
      </c>
      <c r="E22" s="1668"/>
      <c r="F22" s="1668"/>
      <c r="G22" s="1668"/>
      <c r="H22" s="1668"/>
      <c r="I22" s="1668"/>
      <c r="J22" s="1668"/>
      <c r="K22" s="1668"/>
      <c r="L22" s="1668"/>
      <c r="M22" s="1668"/>
      <c r="N22" s="1668"/>
      <c r="O22" s="1668"/>
      <c r="P22" s="1668"/>
      <c r="Q22" s="1668"/>
      <c r="R22" s="1668"/>
      <c r="S22" s="1668"/>
      <c r="T22" s="1668"/>
      <c r="U22" s="1668"/>
      <c r="V22" s="1697"/>
      <c r="W22" s="1697"/>
      <c r="X22" s="1697"/>
      <c r="Y22" s="1697"/>
      <c r="AA22" s="1668"/>
      <c r="AB22" s="1668"/>
      <c r="AC22" s="1668"/>
      <c r="AD22" s="1668"/>
      <c r="AE22" s="1668"/>
      <c r="AF22" s="1668"/>
      <c r="AG22" s="1668"/>
      <c r="AH22" s="1663" t="b">
        <v>0</v>
      </c>
      <c r="AI22" s="588" t="s">
        <v>64</v>
      </c>
      <c r="AJ22" s="1114"/>
      <c r="AK22" s="1114"/>
      <c r="AM22" s="1663" t="b">
        <v>1</v>
      </c>
      <c r="AN22" s="588" t="s">
        <v>0</v>
      </c>
      <c r="AO22" s="1668"/>
      <c r="AP22" s="1668"/>
      <c r="AQ22" s="1668"/>
      <c r="AR22" s="1668"/>
      <c r="AT22" s="1018"/>
      <c r="AU22" s="614"/>
    </row>
    <row r="23" spans="2:68" s="610" customFormat="1" ht="19.75" customHeight="1">
      <c r="B23" s="636"/>
      <c r="C23" s="1666" t="s">
        <v>155</v>
      </c>
      <c r="D23" s="969" t="s">
        <v>1741</v>
      </c>
      <c r="E23" s="1024"/>
      <c r="F23" s="1024"/>
      <c r="G23" s="1024"/>
      <c r="H23" s="1024"/>
      <c r="I23" s="1024"/>
      <c r="J23" s="1024"/>
      <c r="K23" s="1024"/>
      <c r="L23" s="1024"/>
      <c r="M23" s="1665" t="b">
        <v>0</v>
      </c>
      <c r="N23" s="588" t="s">
        <v>64</v>
      </c>
      <c r="O23" s="588"/>
      <c r="P23" s="602"/>
      <c r="Q23" s="602"/>
      <c r="R23" s="1665" t="b">
        <v>1</v>
      </c>
      <c r="S23" s="588" t="s">
        <v>0</v>
      </c>
      <c r="U23" s="1015"/>
      <c r="Y23" s="618"/>
      <c r="Z23" s="1687"/>
      <c r="AA23" s="1015"/>
      <c r="AB23" s="1015"/>
      <c r="AC23" s="1015"/>
      <c r="AD23" s="1015"/>
      <c r="AE23" s="1015"/>
      <c r="AF23" s="1015"/>
      <c r="AG23" s="1015"/>
      <c r="AH23" s="1015"/>
      <c r="AI23" s="1119"/>
      <c r="AJ23" s="568"/>
      <c r="AK23" s="568"/>
      <c r="AN23" s="1119"/>
      <c r="AO23" s="568"/>
      <c r="AT23" s="1159"/>
      <c r="AU23" s="636"/>
    </row>
    <row r="24" spans="2:68" s="610" customFormat="1" ht="21.65" customHeight="1">
      <c r="B24" s="636"/>
      <c r="C24" s="1666" t="s">
        <v>156</v>
      </c>
      <c r="D24" s="969" t="s">
        <v>1742</v>
      </c>
      <c r="E24" s="1024"/>
      <c r="F24" s="1024"/>
      <c r="G24" s="1024"/>
      <c r="H24" s="1024"/>
      <c r="I24" s="1024"/>
      <c r="J24" s="1024"/>
      <c r="K24" s="1024"/>
      <c r="L24" s="1024"/>
      <c r="M24" s="1663" t="b">
        <v>0</v>
      </c>
      <c r="N24" s="588" t="s">
        <v>64</v>
      </c>
      <c r="O24" s="588"/>
      <c r="P24" s="602"/>
      <c r="Q24" s="602"/>
      <c r="R24" s="1663" t="b">
        <v>1</v>
      </c>
      <c r="S24" s="588" t="s">
        <v>0</v>
      </c>
      <c r="U24" s="1015"/>
      <c r="Y24" s="1699"/>
      <c r="Z24" s="1687"/>
      <c r="AA24" s="1700"/>
      <c r="AB24" s="1015"/>
      <c r="AC24" s="1015"/>
      <c r="AD24" s="1015"/>
      <c r="AE24" s="1015"/>
      <c r="AF24" s="1015"/>
      <c r="AG24" s="1015"/>
      <c r="AH24" s="1015"/>
      <c r="AI24" s="1119"/>
      <c r="AJ24" s="568"/>
      <c r="AK24" s="568"/>
      <c r="AN24" s="1119"/>
      <c r="AO24" s="568"/>
      <c r="AT24" s="1159"/>
      <c r="AU24" s="636"/>
    </row>
    <row r="25" spans="2:68" s="610" customFormat="1" ht="20.5" customHeight="1">
      <c r="B25" s="636"/>
      <c r="C25" s="1666" t="s">
        <v>157</v>
      </c>
      <c r="D25" s="1688" t="s">
        <v>1743</v>
      </c>
      <c r="E25" s="1697"/>
      <c r="F25" s="1697"/>
      <c r="G25" s="1697"/>
      <c r="H25" s="1697"/>
      <c r="I25" s="1697"/>
      <c r="J25" s="1697"/>
      <c r="K25" s="602"/>
      <c r="L25" s="602"/>
      <c r="M25" s="1663" t="b">
        <v>0</v>
      </c>
      <c r="N25" s="588" t="s">
        <v>64</v>
      </c>
      <c r="O25" s="588"/>
      <c r="P25" s="602"/>
      <c r="Q25" s="602"/>
      <c r="R25" s="1663" t="b">
        <v>1</v>
      </c>
      <c r="S25" s="588" t="s">
        <v>0</v>
      </c>
      <c r="T25" s="602"/>
      <c r="U25" s="610" t="s">
        <v>11399</v>
      </c>
      <c r="V25" s="1678"/>
      <c r="W25" s="1678"/>
      <c r="X25" s="1678"/>
      <c r="Y25" s="1678"/>
      <c r="Z25" s="1120"/>
      <c r="AA25" s="3134"/>
      <c r="AB25" s="3134"/>
      <c r="AC25" s="3134"/>
      <c r="AD25" s="3134"/>
      <c r="AE25" s="3134"/>
      <c r="AF25" s="3134"/>
      <c r="AG25" s="3134"/>
      <c r="AH25" s="3134"/>
      <c r="AI25" s="3134"/>
      <c r="AJ25" s="3134"/>
      <c r="AK25" s="3134"/>
      <c r="AL25" s="1026" t="str">
        <f>IF(AND(sch_schoolhead_ip=TRUE,ISBLANK(sch_schoolhead_ip_specify)), "Please specify.", "")</f>
        <v/>
      </c>
      <c r="AM25" s="1120"/>
      <c r="AN25" s="1694"/>
      <c r="AO25" s="724"/>
      <c r="AT25" s="1159"/>
      <c r="AU25" s="636"/>
    </row>
    <row r="26" spans="2:68" s="610" customFormat="1" ht="21.65" customHeight="1">
      <c r="B26" s="636"/>
      <c r="C26" s="1666" t="s">
        <v>158</v>
      </c>
      <c r="D26" s="1693" t="s">
        <v>1744</v>
      </c>
      <c r="E26" s="1678"/>
      <c r="F26" s="1678"/>
      <c r="G26" s="1678"/>
      <c r="H26" s="1678"/>
      <c r="I26" s="1678"/>
      <c r="J26" s="1678"/>
      <c r="K26" s="1119"/>
      <c r="L26" s="568"/>
      <c r="M26" s="568"/>
      <c r="N26" s="1119"/>
      <c r="O26" s="568"/>
      <c r="R26" s="1678"/>
      <c r="S26" s="1678"/>
      <c r="T26" s="1678"/>
      <c r="U26" s="1664" t="b">
        <v>0</v>
      </c>
      <c r="V26" s="568" t="s">
        <v>64</v>
      </c>
      <c r="W26" s="568"/>
      <c r="X26" s="1664" t="b">
        <v>1</v>
      </c>
      <c r="Y26" s="568" t="s">
        <v>0</v>
      </c>
      <c r="Z26" s="1678"/>
      <c r="AA26" s="1678"/>
      <c r="AB26" s="1678"/>
      <c r="AC26" s="1678"/>
      <c r="AD26" s="1678"/>
      <c r="AE26" s="1678"/>
      <c r="AF26" s="1678"/>
      <c r="AG26" s="1678"/>
      <c r="AH26" s="1678"/>
      <c r="AI26" s="1678"/>
      <c r="AJ26" s="724"/>
      <c r="AK26" s="568"/>
      <c r="AN26" s="1694"/>
      <c r="AO26" s="724"/>
      <c r="AT26" s="1159"/>
      <c r="AU26" s="636"/>
    </row>
    <row r="27" spans="2:68" s="610" customFormat="1" ht="18.649999999999999" customHeight="1" thickBot="1">
      <c r="B27" s="636"/>
      <c r="C27" s="1666" t="s">
        <v>159</v>
      </c>
      <c r="D27" s="1688" t="s">
        <v>1745</v>
      </c>
      <c r="E27" s="607"/>
      <c r="F27" s="607"/>
      <c r="G27" s="607"/>
      <c r="H27" s="607"/>
      <c r="I27" s="607"/>
      <c r="J27" s="607"/>
      <c r="K27" s="607"/>
      <c r="L27" s="607"/>
      <c r="M27" s="607"/>
      <c r="N27" s="607"/>
      <c r="O27" s="607"/>
      <c r="P27" s="607"/>
      <c r="Q27" s="607"/>
      <c r="R27" s="607"/>
      <c r="S27" s="607"/>
      <c r="T27" s="607"/>
      <c r="U27" s="607"/>
      <c r="V27" s="607"/>
      <c r="AT27" s="1159"/>
      <c r="AU27" s="636"/>
    </row>
    <row r="28" spans="2:68" s="610" customFormat="1" ht="17.5" customHeight="1">
      <c r="B28" s="636"/>
      <c r="C28" s="1120"/>
      <c r="D28" s="4427" t="s">
        <v>57</v>
      </c>
      <c r="E28" s="4422"/>
      <c r="F28" s="4422"/>
      <c r="G28" s="4428"/>
      <c r="H28" s="4427" t="s">
        <v>19</v>
      </c>
      <c r="I28" s="4422"/>
      <c r="J28" s="4422"/>
      <c r="K28" s="4429"/>
      <c r="L28" s="4427" t="s">
        <v>20</v>
      </c>
      <c r="M28" s="4422"/>
      <c r="N28" s="4422"/>
      <c r="O28" s="4429"/>
      <c r="P28" s="4427" t="s">
        <v>21</v>
      </c>
      <c r="Q28" s="4422"/>
      <c r="R28" s="4422"/>
      <c r="S28" s="4429"/>
      <c r="T28" s="4427" t="s">
        <v>22</v>
      </c>
      <c r="U28" s="4422"/>
      <c r="V28" s="4422"/>
      <c r="W28" s="4429"/>
      <c r="X28" s="4427" t="s">
        <v>23</v>
      </c>
      <c r="Y28" s="4422"/>
      <c r="Z28" s="4422"/>
      <c r="AA28" s="4429"/>
      <c r="AB28" s="4421" t="s">
        <v>24</v>
      </c>
      <c r="AC28" s="4422"/>
      <c r="AD28" s="4422"/>
      <c r="AE28" s="4423"/>
      <c r="AF28" s="4396" t="s">
        <v>1780</v>
      </c>
      <c r="AG28" s="3285"/>
      <c r="AH28" s="3285"/>
      <c r="AI28" s="3285"/>
      <c r="AJ28" s="3285"/>
      <c r="AK28" s="3285"/>
      <c r="AL28" s="3285"/>
      <c r="AM28" s="3286"/>
      <c r="AT28" s="1159"/>
      <c r="AU28" s="636"/>
      <c r="AX28" s="1695"/>
      <c r="AY28" s="1695"/>
      <c r="AZ28" s="1696"/>
      <c r="BA28" s="1696"/>
      <c r="BB28" s="1696"/>
      <c r="BC28" s="1696"/>
      <c r="BD28" s="1015"/>
      <c r="BE28" s="1015"/>
      <c r="BF28" s="1015"/>
      <c r="BG28" s="1015"/>
      <c r="BH28" s="1015"/>
      <c r="BI28" s="1015"/>
      <c r="BJ28" s="1015"/>
      <c r="BK28" s="1015"/>
      <c r="BL28" s="1015"/>
      <c r="BM28" s="1015"/>
      <c r="BN28" s="1015"/>
      <c r="BO28" s="1015"/>
      <c r="BP28" s="1015"/>
    </row>
    <row r="29" spans="2:68" s="610" customFormat="1" ht="16" thickBot="1">
      <c r="B29" s="636"/>
      <c r="C29" s="1120"/>
      <c r="D29" s="4419" t="s">
        <v>15</v>
      </c>
      <c r="E29" s="4420"/>
      <c r="F29" s="4420" t="s">
        <v>16</v>
      </c>
      <c r="G29" s="4424"/>
      <c r="H29" s="4419" t="s">
        <v>15</v>
      </c>
      <c r="I29" s="4420"/>
      <c r="J29" s="4420" t="s">
        <v>16</v>
      </c>
      <c r="K29" s="4425"/>
      <c r="L29" s="4426" t="s">
        <v>15</v>
      </c>
      <c r="M29" s="4399"/>
      <c r="N29" s="4424" t="s">
        <v>16</v>
      </c>
      <c r="O29" s="4400"/>
      <c r="P29" s="4419" t="s">
        <v>15</v>
      </c>
      <c r="Q29" s="4420"/>
      <c r="R29" s="4420" t="s">
        <v>16</v>
      </c>
      <c r="S29" s="4425"/>
      <c r="T29" s="4419" t="s">
        <v>15</v>
      </c>
      <c r="U29" s="4420"/>
      <c r="V29" s="4420" t="s">
        <v>16</v>
      </c>
      <c r="W29" s="4425"/>
      <c r="X29" s="4419" t="s">
        <v>15</v>
      </c>
      <c r="Y29" s="4420"/>
      <c r="Z29" s="4420" t="s">
        <v>16</v>
      </c>
      <c r="AA29" s="4425"/>
      <c r="AB29" s="4399" t="s">
        <v>15</v>
      </c>
      <c r="AC29" s="4420"/>
      <c r="AD29" s="4420" t="s">
        <v>16</v>
      </c>
      <c r="AE29" s="4430"/>
      <c r="AF29" s="4397" t="s">
        <v>15</v>
      </c>
      <c r="AG29" s="4398"/>
      <c r="AH29" s="4398"/>
      <c r="AI29" s="4399"/>
      <c r="AJ29" s="4398" t="s">
        <v>16</v>
      </c>
      <c r="AK29" s="4398"/>
      <c r="AL29" s="4398"/>
      <c r="AM29" s="4400"/>
      <c r="AT29" s="1159"/>
      <c r="AU29" s="636"/>
      <c r="AY29" s="1691"/>
      <c r="AZ29" s="1691"/>
      <c r="BA29" s="1691"/>
      <c r="BB29" s="1691"/>
      <c r="BC29" s="1691"/>
      <c r="BD29" s="1691"/>
      <c r="BE29" s="1692"/>
      <c r="BF29" s="1692"/>
      <c r="BG29" s="1692"/>
      <c r="BH29" s="1692"/>
      <c r="BI29" s="1692"/>
      <c r="BJ29" s="1692"/>
      <c r="BK29" s="1692"/>
      <c r="BL29" s="1692"/>
      <c r="BM29" s="1692"/>
      <c r="BN29" s="1692"/>
      <c r="BO29" s="1692"/>
      <c r="BP29" s="1692"/>
    </row>
    <row r="30" spans="2:68" s="610" customFormat="1" ht="25.4" customHeight="1" thickBot="1">
      <c r="B30" s="636"/>
      <c r="C30" s="1120"/>
      <c r="D30" s="4409">
        <v>0</v>
      </c>
      <c r="E30" s="4410"/>
      <c r="F30" s="4410">
        <v>0</v>
      </c>
      <c r="G30" s="4414"/>
      <c r="H30" s="4409">
        <v>0</v>
      </c>
      <c r="I30" s="4410"/>
      <c r="J30" s="4410">
        <v>0</v>
      </c>
      <c r="K30" s="4411"/>
      <c r="L30" s="4415">
        <v>0</v>
      </c>
      <c r="M30" s="4416"/>
      <c r="N30" s="4417">
        <v>0</v>
      </c>
      <c r="O30" s="4418"/>
      <c r="P30" s="4409">
        <v>0</v>
      </c>
      <c r="Q30" s="4410"/>
      <c r="R30" s="4410">
        <v>0</v>
      </c>
      <c r="S30" s="4411"/>
      <c r="T30" s="4409">
        <v>0</v>
      </c>
      <c r="U30" s="4410"/>
      <c r="V30" s="4410">
        <v>0</v>
      </c>
      <c r="W30" s="4411"/>
      <c r="X30" s="4409">
        <v>0</v>
      </c>
      <c r="Y30" s="4410"/>
      <c r="Z30" s="4410">
        <v>0</v>
      </c>
      <c r="AA30" s="4411"/>
      <c r="AB30" s="4412">
        <v>0</v>
      </c>
      <c r="AC30" s="4410"/>
      <c r="AD30" s="4410">
        <v>0</v>
      </c>
      <c r="AE30" s="4413"/>
      <c r="AF30" s="4401">
        <f>SUM(D30,H30,L30,P30,T30,X30,AB30)</f>
        <v>0</v>
      </c>
      <c r="AG30" s="4402"/>
      <c r="AH30" s="4402"/>
      <c r="AI30" s="4403"/>
      <c r="AJ30" s="4402">
        <f>SUM(F30,J30,N30,R30,V30,Z30,AD30)</f>
        <v>0</v>
      </c>
      <c r="AK30" s="4402"/>
      <c r="AL30" s="4402"/>
      <c r="AM30" s="4404"/>
      <c r="AT30" s="1159"/>
      <c r="AU30" s="636"/>
      <c r="AY30" s="1691"/>
      <c r="AZ30" s="1691"/>
      <c r="BA30" s="1691"/>
      <c r="BB30" s="1691"/>
      <c r="BC30" s="1691"/>
      <c r="BD30" s="1691"/>
      <c r="BE30" s="1692"/>
      <c r="BF30" s="1692"/>
      <c r="BG30" s="1692"/>
      <c r="BH30" s="1692"/>
      <c r="BI30" s="1692"/>
      <c r="BJ30" s="1692"/>
      <c r="BK30" s="1692"/>
      <c r="BL30" s="1692"/>
      <c r="BM30" s="1692"/>
      <c r="BN30" s="1692"/>
      <c r="BO30" s="1692"/>
      <c r="BP30" s="1692"/>
    </row>
    <row r="31" spans="2:68" s="610" customFormat="1" ht="27" customHeight="1" thickBot="1">
      <c r="B31" s="636"/>
      <c r="C31" s="1666" t="s">
        <v>160</v>
      </c>
      <c r="D31" s="1688" t="s">
        <v>1746</v>
      </c>
      <c r="E31" s="1015"/>
      <c r="F31" s="1015"/>
      <c r="G31" s="1015"/>
      <c r="H31" s="1015"/>
      <c r="I31" s="1015"/>
      <c r="J31" s="1015"/>
      <c r="K31" s="1015"/>
      <c r="L31" s="1015"/>
      <c r="M31" s="1015"/>
      <c r="N31" s="1015"/>
      <c r="O31" s="1015"/>
      <c r="P31" s="1015"/>
      <c r="Q31" s="1015"/>
      <c r="R31" s="1015"/>
      <c r="S31" s="1015"/>
      <c r="T31" s="1015"/>
      <c r="U31" s="1015"/>
      <c r="X31" s="1120"/>
      <c r="Y31" s="1120"/>
      <c r="Z31" s="1666"/>
      <c r="AA31" s="1689"/>
      <c r="AC31" s="1686"/>
      <c r="AD31" s="1686"/>
      <c r="AE31" s="1686"/>
      <c r="AF31" s="1686"/>
      <c r="AG31" s="1686"/>
      <c r="AH31" s="1686"/>
      <c r="AI31" s="1686"/>
      <c r="AJ31" s="1686"/>
      <c r="AK31" s="1686"/>
      <c r="AL31" s="1686"/>
      <c r="AM31" s="1687"/>
      <c r="AN31" s="1687"/>
      <c r="AO31" s="1687"/>
      <c r="AP31" s="1687"/>
      <c r="AQ31" s="1687"/>
      <c r="AR31" s="1687"/>
      <c r="AT31" s="1159"/>
      <c r="AU31" s="636"/>
      <c r="AY31" s="1690"/>
      <c r="AZ31" s="1690"/>
      <c r="BA31" s="1690"/>
      <c r="BB31" s="1690"/>
      <c r="BC31" s="1690"/>
      <c r="BD31" s="1690"/>
      <c r="BE31" s="1690"/>
      <c r="BF31" s="1690"/>
      <c r="BG31" s="1690"/>
      <c r="BH31" s="1690"/>
      <c r="BI31" s="1690"/>
      <c r="BJ31" s="1690"/>
      <c r="BK31" s="1690"/>
      <c r="BL31" s="1690"/>
      <c r="BM31" s="1690"/>
      <c r="BN31" s="1690"/>
      <c r="BO31" s="1690"/>
      <c r="BP31" s="1690"/>
    </row>
    <row r="32" spans="2:68" s="610" customFormat="1" ht="16" thickBot="1">
      <c r="B32" s="636"/>
      <c r="D32" s="4384" t="s">
        <v>15</v>
      </c>
      <c r="E32" s="4385"/>
      <c r="F32" s="4385"/>
      <c r="G32" s="4385"/>
      <c r="H32" s="4385"/>
      <c r="I32" s="4385"/>
      <c r="J32" s="4386" t="s">
        <v>16</v>
      </c>
      <c r="K32" s="4386"/>
      <c r="L32" s="4386"/>
      <c r="M32" s="4386"/>
      <c r="N32" s="4386"/>
      <c r="O32" s="4387"/>
      <c r="P32" s="4388" t="s">
        <v>29</v>
      </c>
      <c r="Q32" s="4386"/>
      <c r="R32" s="4386"/>
      <c r="S32" s="4386"/>
      <c r="T32" s="4386"/>
      <c r="U32" s="4389"/>
      <c r="AA32" s="1852"/>
      <c r="AB32" s="1852"/>
      <c r="AC32" s="1852"/>
      <c r="AD32" s="1852"/>
      <c r="AE32" s="1852"/>
      <c r="AF32" s="1852"/>
      <c r="AG32" s="2130"/>
      <c r="AH32" s="2130"/>
      <c r="AI32" s="2130"/>
      <c r="AJ32" s="2130"/>
      <c r="AK32" s="2130"/>
      <c r="AL32" s="2130"/>
      <c r="AM32" s="2130"/>
      <c r="AN32" s="2130"/>
      <c r="AO32" s="2130"/>
      <c r="AP32" s="2130"/>
      <c r="AQ32" s="2130"/>
      <c r="AR32" s="2130"/>
      <c r="AT32" s="1159"/>
      <c r="AU32" s="636"/>
    </row>
    <row r="33" spans="1:52" s="610" customFormat="1" ht="22.4" customHeight="1" thickBot="1">
      <c r="B33" s="636"/>
      <c r="D33" s="4390">
        <v>0</v>
      </c>
      <c r="E33" s="4391"/>
      <c r="F33" s="4391"/>
      <c r="G33" s="4391"/>
      <c r="H33" s="4391"/>
      <c r="I33" s="4391"/>
      <c r="J33" s="4391">
        <v>0</v>
      </c>
      <c r="K33" s="4391"/>
      <c r="L33" s="4391"/>
      <c r="M33" s="4391"/>
      <c r="N33" s="4391"/>
      <c r="O33" s="4392"/>
      <c r="P33" s="4393">
        <f>SUM(D33:O33)</f>
        <v>0</v>
      </c>
      <c r="Q33" s="4394"/>
      <c r="R33" s="4394"/>
      <c r="S33" s="4394"/>
      <c r="T33" s="4394"/>
      <c r="U33" s="4395"/>
      <c r="V33" s="1678"/>
      <c r="W33" s="1678"/>
      <c r="X33" s="1678"/>
      <c r="Y33" s="1678"/>
      <c r="AA33" s="4408"/>
      <c r="AB33" s="4408"/>
      <c r="AC33" s="4408"/>
      <c r="AD33" s="4408"/>
      <c r="AE33" s="4408"/>
      <c r="AF33" s="4408"/>
      <c r="AG33" s="4408"/>
      <c r="AH33" s="4408"/>
      <c r="AI33" s="4408"/>
      <c r="AJ33" s="4408"/>
      <c r="AK33" s="4408"/>
      <c r="AL33" s="4408"/>
      <c r="AM33" s="4408"/>
      <c r="AN33" s="4408"/>
      <c r="AO33" s="4408"/>
      <c r="AP33" s="4408"/>
      <c r="AQ33" s="4408"/>
      <c r="AR33" s="4408"/>
      <c r="AT33" s="1159"/>
      <c r="AU33" s="636"/>
    </row>
    <row r="34" spans="1:52" s="610" customFormat="1" ht="27" customHeight="1" thickBot="1">
      <c r="B34" s="1680"/>
      <c r="C34" s="1666" t="s">
        <v>161</v>
      </c>
      <c r="D34" s="1685" t="s">
        <v>1747</v>
      </c>
      <c r="F34" s="1686"/>
      <c r="G34" s="1686"/>
      <c r="H34" s="1686"/>
      <c r="I34" s="1686"/>
      <c r="J34" s="1686"/>
      <c r="K34" s="1686"/>
      <c r="L34" s="1686"/>
      <c r="M34" s="1686"/>
      <c r="N34" s="1686"/>
      <c r="O34" s="1686"/>
      <c r="P34" s="1687"/>
      <c r="Q34" s="1687"/>
      <c r="R34" s="1687"/>
      <c r="S34" s="1687"/>
      <c r="T34" s="1687"/>
      <c r="U34" s="1687"/>
      <c r="V34" s="1678"/>
      <c r="W34" s="1678"/>
      <c r="X34" s="1678"/>
      <c r="Y34" s="1678"/>
      <c r="AA34" s="1670"/>
      <c r="AB34" s="1670"/>
      <c r="AC34" s="1670"/>
      <c r="AD34" s="1670"/>
      <c r="AE34" s="1670"/>
      <c r="AF34" s="1670"/>
      <c r="AG34" s="1670"/>
      <c r="AH34" s="1670"/>
      <c r="AI34" s="1670"/>
      <c r="AJ34" s="1670"/>
      <c r="AK34" s="1670"/>
      <c r="AL34" s="1670"/>
      <c r="AM34" s="1670"/>
      <c r="AN34" s="1670"/>
      <c r="AO34" s="1670"/>
      <c r="AP34" s="1670"/>
      <c r="AQ34" s="1670"/>
      <c r="AR34" s="1670"/>
      <c r="AT34" s="1159"/>
      <c r="AU34" s="636"/>
    </row>
    <row r="35" spans="1:52" s="610" customFormat="1" ht="16.399999999999999" customHeight="1" thickBot="1">
      <c r="B35" s="1680"/>
      <c r="C35" s="1120"/>
      <c r="D35" s="4384" t="s">
        <v>15</v>
      </c>
      <c r="E35" s="4385"/>
      <c r="F35" s="4385"/>
      <c r="G35" s="4385"/>
      <c r="H35" s="4385"/>
      <c r="I35" s="4385"/>
      <c r="J35" s="4386" t="s">
        <v>16</v>
      </c>
      <c r="K35" s="4386"/>
      <c r="L35" s="4386"/>
      <c r="M35" s="4386"/>
      <c r="N35" s="4386"/>
      <c r="O35" s="4387"/>
      <c r="P35" s="4388" t="s">
        <v>29</v>
      </c>
      <c r="Q35" s="4386"/>
      <c r="R35" s="4386"/>
      <c r="S35" s="4386"/>
      <c r="T35" s="4386"/>
      <c r="U35" s="4389"/>
      <c r="V35" s="1678"/>
      <c r="W35" s="1678"/>
      <c r="X35" s="1678"/>
      <c r="Y35" s="1678"/>
      <c r="AA35" s="1670"/>
      <c r="AB35" s="1670"/>
      <c r="AC35" s="1670"/>
      <c r="AD35" s="1670"/>
      <c r="AE35" s="1670"/>
      <c r="AF35" s="1670"/>
      <c r="AG35" s="1670"/>
      <c r="AH35" s="1670"/>
      <c r="AI35" s="1670"/>
      <c r="AJ35" s="1670"/>
      <c r="AK35" s="1670"/>
      <c r="AL35" s="1670"/>
      <c r="AM35" s="1670"/>
      <c r="AN35" s="1670"/>
      <c r="AO35" s="1670"/>
      <c r="AP35" s="1670"/>
      <c r="AQ35" s="1670"/>
      <c r="AR35" s="1670"/>
      <c r="AT35" s="1159"/>
      <c r="AU35" s="636"/>
    </row>
    <row r="36" spans="1:52" s="610" customFormat="1" ht="22.4" customHeight="1" thickBot="1">
      <c r="B36" s="1680"/>
      <c r="C36" s="1120"/>
      <c r="D36" s="4390">
        <v>0</v>
      </c>
      <c r="E36" s="4391"/>
      <c r="F36" s="4391"/>
      <c r="G36" s="4391"/>
      <c r="H36" s="4391"/>
      <c r="I36" s="4391"/>
      <c r="J36" s="4391">
        <v>0</v>
      </c>
      <c r="K36" s="4391"/>
      <c r="L36" s="4391"/>
      <c r="M36" s="4391"/>
      <c r="N36" s="4391"/>
      <c r="O36" s="4392"/>
      <c r="P36" s="4393">
        <f>SUM(D36:O36)</f>
        <v>0</v>
      </c>
      <c r="Q36" s="4394"/>
      <c r="R36" s="4394"/>
      <c r="S36" s="4394"/>
      <c r="T36" s="4394"/>
      <c r="U36" s="4395"/>
      <c r="V36" s="1678"/>
      <c r="W36" s="1678"/>
      <c r="X36" s="1678"/>
      <c r="Y36" s="1678"/>
      <c r="AA36" s="1670"/>
      <c r="AB36" s="1670"/>
      <c r="AC36" s="1670"/>
      <c r="AD36" s="1670"/>
      <c r="AE36" s="1670"/>
      <c r="AF36" s="1670"/>
      <c r="AG36" s="1670"/>
      <c r="AH36" s="1670"/>
      <c r="AI36" s="1670"/>
      <c r="AJ36" s="1670"/>
      <c r="AK36" s="1670"/>
      <c r="AL36" s="1670"/>
      <c r="AM36" s="1670"/>
      <c r="AN36" s="1670"/>
      <c r="AO36" s="1670"/>
      <c r="AP36" s="1670"/>
      <c r="AQ36" s="1670"/>
      <c r="AR36" s="1670"/>
      <c r="AT36" s="1159"/>
      <c r="AU36" s="636"/>
    </row>
    <row r="37" spans="1:52" s="610" customFormat="1" ht="27" customHeight="1" thickBot="1">
      <c r="B37" s="1680"/>
      <c r="C37" s="1666" t="s">
        <v>162</v>
      </c>
      <c r="D37" s="1681" t="s">
        <v>1782</v>
      </c>
      <c r="E37" s="625"/>
      <c r="F37" s="625"/>
      <c r="G37" s="625"/>
      <c r="H37" s="625"/>
      <c r="I37" s="568"/>
      <c r="J37" s="568"/>
      <c r="K37" s="647"/>
      <c r="L37" s="647"/>
      <c r="M37" s="647"/>
      <c r="N37" s="647"/>
      <c r="O37" s="647"/>
      <c r="P37" s="647"/>
      <c r="Q37" s="647"/>
      <c r="R37" s="647"/>
      <c r="S37" s="647"/>
      <c r="T37" s="647"/>
      <c r="U37" s="647"/>
      <c r="V37" s="647"/>
      <c r="W37" s="1678"/>
      <c r="X37" s="1678"/>
      <c r="Y37" s="1678"/>
      <c r="AA37" s="1670"/>
      <c r="AB37" s="1670"/>
      <c r="AC37" s="1682"/>
      <c r="AD37" s="1260"/>
      <c r="AE37" s="1670"/>
      <c r="AF37" s="1670"/>
      <c r="AG37" s="1670"/>
      <c r="AH37" s="1670"/>
      <c r="AI37" s="1670"/>
      <c r="AJ37" s="1670"/>
      <c r="AK37" s="1670"/>
      <c r="AL37" s="1670"/>
      <c r="AM37" s="1670"/>
      <c r="AN37" s="1670"/>
      <c r="AO37" s="1670"/>
      <c r="AP37" s="1670"/>
      <c r="AQ37" s="1670"/>
      <c r="AR37" s="1670"/>
      <c r="AT37" s="1159"/>
      <c r="AU37" s="636"/>
    </row>
    <row r="38" spans="1:52" s="610" customFormat="1" ht="16.399999999999999" customHeight="1">
      <c r="B38" s="636"/>
      <c r="C38" s="1679"/>
      <c r="D38" s="2858" t="s">
        <v>1164</v>
      </c>
      <c r="E38" s="2859"/>
      <c r="F38" s="2859"/>
      <c r="G38" s="2859"/>
      <c r="H38" s="2859"/>
      <c r="I38" s="2859"/>
      <c r="J38" s="2859"/>
      <c r="K38" s="3175"/>
      <c r="L38" s="3020" t="s">
        <v>19</v>
      </c>
      <c r="M38" s="3021"/>
      <c r="N38" s="3021"/>
      <c r="O38" s="3021"/>
      <c r="P38" s="3021"/>
      <c r="Q38" s="3021"/>
      <c r="R38" s="3021"/>
      <c r="S38" s="3021"/>
      <c r="T38" s="3022"/>
      <c r="U38" s="2858" t="s">
        <v>22</v>
      </c>
      <c r="V38" s="2859"/>
      <c r="W38" s="3175"/>
      <c r="X38" s="1678"/>
      <c r="Y38" s="1678"/>
      <c r="AA38" s="1670"/>
      <c r="AB38" s="1670"/>
      <c r="AC38" s="1670"/>
      <c r="AD38" s="1670"/>
      <c r="AE38" s="1670"/>
      <c r="AF38" s="1670"/>
      <c r="AG38" s="1670"/>
      <c r="AH38" s="1670"/>
      <c r="AI38" s="1670"/>
      <c r="AJ38" s="1670"/>
      <c r="AK38" s="1670"/>
      <c r="AL38" s="1670"/>
      <c r="AM38" s="1670"/>
      <c r="AN38" s="1670"/>
      <c r="AO38" s="1670"/>
      <c r="AP38" s="1670"/>
      <c r="AQ38" s="1670"/>
      <c r="AR38" s="1670"/>
      <c r="AT38" s="1159"/>
      <c r="AU38" s="636"/>
    </row>
    <row r="39" spans="1:52" s="610" customFormat="1" ht="16.399999999999999" customHeight="1" thickBot="1">
      <c r="B39" s="636"/>
      <c r="C39" s="1679"/>
      <c r="D39" s="3179"/>
      <c r="E39" s="3180"/>
      <c r="F39" s="3180"/>
      <c r="G39" s="3180"/>
      <c r="H39" s="3180"/>
      <c r="I39" s="3180"/>
      <c r="J39" s="3180"/>
      <c r="K39" s="3181"/>
      <c r="L39" s="3023" t="s">
        <v>15</v>
      </c>
      <c r="M39" s="3024"/>
      <c r="N39" s="3025"/>
      <c r="O39" s="3172" t="s">
        <v>16</v>
      </c>
      <c r="P39" s="3024"/>
      <c r="Q39" s="3026"/>
      <c r="R39" s="3174" t="s">
        <v>29</v>
      </c>
      <c r="S39" s="3024"/>
      <c r="T39" s="3173"/>
      <c r="U39" s="3179" t="s">
        <v>16</v>
      </c>
      <c r="V39" s="3180"/>
      <c r="W39" s="3181"/>
      <c r="X39" s="1678"/>
      <c r="Y39" s="1678"/>
      <c r="Z39" s="1683"/>
      <c r="AA39" s="1684"/>
      <c r="AB39" s="1684"/>
      <c r="AC39" s="1670"/>
      <c r="AD39" s="1670"/>
      <c r="AE39" s="1670"/>
      <c r="AF39" s="1670"/>
      <c r="AG39" s="1670"/>
      <c r="AH39" s="1670"/>
      <c r="AI39" s="1670"/>
      <c r="AJ39" s="1670"/>
      <c r="AK39" s="1670"/>
      <c r="AL39" s="1670"/>
      <c r="AM39" s="1670"/>
      <c r="AN39" s="1670"/>
      <c r="AO39" s="1670"/>
      <c r="AP39" s="1670"/>
      <c r="AQ39" s="1670"/>
      <c r="AR39" s="1670"/>
      <c r="AT39" s="1159"/>
      <c r="AU39" s="636"/>
    </row>
    <row r="40" spans="1:52" s="610" customFormat="1" ht="21" customHeight="1">
      <c r="B40" s="636"/>
      <c r="C40" s="1679"/>
      <c r="D40" s="1004" t="s">
        <v>209</v>
      </c>
      <c r="E40" s="995"/>
      <c r="F40" s="996"/>
      <c r="G40" s="996"/>
      <c r="H40" s="996"/>
      <c r="I40" s="996"/>
      <c r="J40" s="997"/>
      <c r="K40" s="998"/>
      <c r="L40" s="3198">
        <v>0</v>
      </c>
      <c r="M40" s="3199"/>
      <c r="N40" s="3200"/>
      <c r="O40" s="3205">
        <v>0</v>
      </c>
      <c r="P40" s="3199"/>
      <c r="Q40" s="3207"/>
      <c r="R40" s="3210">
        <f>SUM(L40:Q40)</f>
        <v>0</v>
      </c>
      <c r="S40" s="3201"/>
      <c r="T40" s="3209"/>
      <c r="U40" s="3211"/>
      <c r="V40" s="3212"/>
      <c r="W40" s="3213"/>
      <c r="X40" s="1678"/>
      <c r="Y40" s="1678"/>
      <c r="AA40" s="1670"/>
      <c r="AB40" s="1670"/>
      <c r="AC40" s="1670"/>
      <c r="AD40" s="1670"/>
      <c r="AE40" s="1670"/>
      <c r="AF40" s="1670"/>
      <c r="AG40" s="1670"/>
      <c r="AH40" s="1670"/>
      <c r="AI40" s="1670"/>
      <c r="AJ40" s="1670"/>
      <c r="AK40" s="1670"/>
      <c r="AL40" s="1670"/>
      <c r="AM40" s="1670"/>
      <c r="AN40" s="1670"/>
      <c r="AO40" s="1670"/>
      <c r="AP40" s="1670"/>
      <c r="AQ40" s="1670"/>
      <c r="AR40" s="1670"/>
      <c r="AT40" s="1159"/>
      <c r="AU40" s="636"/>
    </row>
    <row r="41" spans="1:52" s="610" customFormat="1" ht="19.75" customHeight="1">
      <c r="B41" s="636"/>
      <c r="C41" s="1679"/>
      <c r="D41" s="1005" t="s">
        <v>379</v>
      </c>
      <c r="E41" s="1006"/>
      <c r="F41" s="1007"/>
      <c r="G41" s="1007"/>
      <c r="H41" s="1007"/>
      <c r="I41" s="1007"/>
      <c r="J41" s="930"/>
      <c r="K41" s="1008"/>
      <c r="L41" s="3146">
        <v>0</v>
      </c>
      <c r="M41" s="2612"/>
      <c r="N41" s="3147"/>
      <c r="O41" s="3148">
        <v>0</v>
      </c>
      <c r="P41" s="2612"/>
      <c r="Q41" s="3214"/>
      <c r="R41" s="3155">
        <f>SUM(L41:Q41)</f>
        <v>0</v>
      </c>
      <c r="S41" s="3156"/>
      <c r="T41" s="3159"/>
      <c r="U41" s="3160"/>
      <c r="V41" s="3161"/>
      <c r="W41" s="3164"/>
      <c r="X41" s="1678"/>
      <c r="Y41" s="1678"/>
      <c r="AA41" s="1670"/>
      <c r="AB41" s="1670" t="s">
        <v>1523</v>
      </c>
      <c r="AC41" s="1670"/>
      <c r="AD41" s="1670"/>
      <c r="AE41" s="1670"/>
      <c r="AF41" s="1670"/>
      <c r="AG41" s="1670"/>
      <c r="AH41" s="1670"/>
      <c r="AI41" s="1670"/>
      <c r="AJ41" s="1670"/>
      <c r="AK41" s="1670"/>
      <c r="AL41" s="1670"/>
      <c r="AM41" s="1670"/>
      <c r="AN41" s="1670"/>
      <c r="AO41" s="1670"/>
      <c r="AP41" s="1670"/>
      <c r="AQ41" s="1670"/>
      <c r="AR41" s="1670"/>
      <c r="AT41" s="1159"/>
      <c r="AU41" s="636"/>
    </row>
    <row r="42" spans="1:52" s="610" customFormat="1" ht="20.5" customHeight="1" thickBot="1">
      <c r="B42" s="636"/>
      <c r="C42" s="1679"/>
      <c r="D42" s="1002" t="s">
        <v>210</v>
      </c>
      <c r="E42" s="1003"/>
      <c r="F42" s="993"/>
      <c r="G42" s="993"/>
      <c r="H42" s="993"/>
      <c r="I42" s="993"/>
      <c r="J42" s="562"/>
      <c r="K42" s="806"/>
      <c r="L42" s="3215"/>
      <c r="M42" s="3216"/>
      <c r="N42" s="3217"/>
      <c r="O42" s="3218"/>
      <c r="P42" s="3216"/>
      <c r="Q42" s="3219"/>
      <c r="R42" s="3220"/>
      <c r="S42" s="3216"/>
      <c r="T42" s="3221"/>
      <c r="U42" s="3222">
        <v>0</v>
      </c>
      <c r="V42" s="3223"/>
      <c r="W42" s="3224"/>
      <c r="X42" s="1678"/>
      <c r="Y42" s="1678"/>
      <c r="AA42" s="1670"/>
      <c r="AB42" s="1670"/>
      <c r="AC42" s="1670"/>
      <c r="AD42" s="1670"/>
      <c r="AE42" s="1670"/>
      <c r="AF42" s="1670"/>
      <c r="AG42" s="1670"/>
      <c r="AH42" s="1670"/>
      <c r="AI42" s="1670"/>
      <c r="AJ42" s="1670"/>
      <c r="AK42" s="1670"/>
      <c r="AL42" s="1670"/>
      <c r="AM42" s="1670"/>
      <c r="AN42" s="1670"/>
      <c r="AO42" s="1670"/>
      <c r="AP42" s="1670"/>
      <c r="AQ42" s="1670"/>
      <c r="AR42" s="1670"/>
      <c r="AT42" s="1159"/>
      <c r="AU42" s="636"/>
    </row>
    <row r="43" spans="1:52" s="610" customFormat="1" ht="27.65" customHeight="1">
      <c r="B43" s="636"/>
      <c r="C43" s="1666" t="s">
        <v>163</v>
      </c>
      <c r="D43" s="1667" t="s">
        <v>1958</v>
      </c>
      <c r="E43" s="1668"/>
      <c r="F43" s="1668"/>
      <c r="G43" s="1668"/>
      <c r="H43" s="1668"/>
      <c r="I43" s="1668"/>
      <c r="J43" s="1668"/>
      <c r="K43" s="1668"/>
      <c r="L43" s="1668"/>
      <c r="M43" s="1668"/>
      <c r="N43" s="1668"/>
      <c r="O43" s="1668"/>
      <c r="P43" s="1668"/>
      <c r="Q43" s="1668"/>
      <c r="R43" s="1668"/>
      <c r="S43" s="1668"/>
      <c r="T43" s="1668"/>
      <c r="U43" s="1663" t="b">
        <v>0</v>
      </c>
      <c r="V43" s="588" t="s">
        <v>64</v>
      </c>
      <c r="W43" s="588"/>
      <c r="X43" s="1663" t="b">
        <v>1</v>
      </c>
      <c r="Y43" s="588" t="s">
        <v>0</v>
      </c>
      <c r="Z43" s="602"/>
      <c r="AA43" s="1669"/>
      <c r="AB43" s="588"/>
      <c r="AC43" s="1668"/>
      <c r="AD43" s="1668"/>
      <c r="AE43" s="1668"/>
      <c r="AF43" s="1668"/>
      <c r="AG43" s="1668"/>
      <c r="AH43" s="1670"/>
      <c r="AI43" s="1670"/>
      <c r="AJ43" s="1670"/>
      <c r="AK43" s="1670"/>
      <c r="AL43" s="1670"/>
      <c r="AM43" s="1670"/>
      <c r="AN43" s="1670"/>
      <c r="AO43" s="1670"/>
      <c r="AP43" s="1670"/>
      <c r="AQ43" s="1670"/>
      <c r="AR43" s="1670"/>
      <c r="AS43" s="1670"/>
      <c r="AT43" s="1159"/>
      <c r="AU43" s="636"/>
    </row>
    <row r="44" spans="1:52" ht="2.5" customHeight="1" thickBot="1">
      <c r="B44" s="612"/>
      <c r="C44" s="1671"/>
      <c r="D44" s="1010"/>
      <c r="E44" s="1010"/>
      <c r="F44" s="1010"/>
      <c r="G44" s="1010"/>
      <c r="H44" s="1010"/>
      <c r="I44" s="1010"/>
      <c r="J44" s="1010"/>
      <c r="K44" s="1010"/>
      <c r="L44" s="1010"/>
      <c r="M44" s="1010"/>
      <c r="N44" s="1010"/>
      <c r="O44" s="1010"/>
      <c r="P44" s="1010"/>
      <c r="Q44" s="1010"/>
      <c r="R44" s="1010"/>
      <c r="S44" s="1010"/>
      <c r="T44" s="1010"/>
      <c r="U44" s="1010"/>
      <c r="V44" s="1010"/>
      <c r="W44" s="1010"/>
      <c r="X44" s="1010"/>
      <c r="Y44" s="1010"/>
      <c r="Z44" s="1010"/>
      <c r="AA44" s="1010"/>
      <c r="AB44" s="1010"/>
      <c r="AC44" s="1010"/>
      <c r="AD44" s="1010"/>
      <c r="AE44" s="1010"/>
      <c r="AF44" s="836"/>
      <c r="AG44" s="836"/>
      <c r="AH44" s="613"/>
      <c r="AI44" s="613"/>
      <c r="AJ44" s="613"/>
      <c r="AK44" s="613"/>
      <c r="AL44" s="613"/>
      <c r="AM44" s="613"/>
      <c r="AN44" s="613"/>
      <c r="AO44" s="613"/>
      <c r="AP44" s="613"/>
      <c r="AQ44" s="613"/>
      <c r="AR44" s="613"/>
      <c r="AS44" s="613"/>
      <c r="AT44" s="1069"/>
      <c r="AU44" s="614"/>
    </row>
    <row r="45" spans="1:52" ht="5.5" customHeight="1">
      <c r="C45" s="1081"/>
      <c r="D45" s="1015"/>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588"/>
      <c r="AG45" s="588"/>
    </row>
    <row r="46" spans="1:52" s="1674" customFormat="1" ht="115.4" customHeight="1">
      <c r="A46" s="602"/>
      <c r="B46" s="1672" t="s">
        <v>151</v>
      </c>
      <c r="C46" s="4405" t="s">
        <v>1773</v>
      </c>
      <c r="D46" s="4405"/>
      <c r="E46" s="4405"/>
      <c r="F46" s="4405"/>
      <c r="G46" s="4405"/>
      <c r="H46" s="4405"/>
      <c r="I46" s="4405"/>
      <c r="J46" s="4405"/>
      <c r="K46" s="4405"/>
      <c r="L46" s="4405"/>
      <c r="M46" s="4405"/>
      <c r="N46" s="4405"/>
      <c r="O46" s="4405"/>
      <c r="P46" s="4405"/>
      <c r="Q46" s="4405"/>
      <c r="R46" s="4405"/>
      <c r="S46" s="4405"/>
      <c r="T46" s="4405"/>
      <c r="U46" s="4405"/>
      <c r="V46" s="4405"/>
      <c r="W46" s="4405"/>
      <c r="X46" s="4405"/>
      <c r="Y46" s="4405"/>
      <c r="Z46" s="4405"/>
      <c r="AA46" s="4405"/>
      <c r="AB46" s="4405"/>
      <c r="AC46" s="4405"/>
      <c r="AD46" s="4405"/>
      <c r="AE46" s="4405"/>
      <c r="AF46" s="4405"/>
      <c r="AG46" s="4405"/>
      <c r="AH46" s="4405"/>
      <c r="AI46" s="4405"/>
      <c r="AJ46" s="4405"/>
      <c r="AK46" s="4405"/>
      <c r="AL46" s="4405"/>
      <c r="AM46" s="4405"/>
      <c r="AN46" s="4405"/>
      <c r="AO46" s="4405"/>
      <c r="AP46" s="4405"/>
      <c r="AQ46" s="4405"/>
      <c r="AR46" s="4405"/>
      <c r="AS46" s="4405"/>
      <c r="AT46" s="4405"/>
      <c r="AU46" s="602"/>
      <c r="AV46" s="1673"/>
      <c r="AW46" s="1673"/>
      <c r="AX46" s="1673"/>
      <c r="AY46" s="1673"/>
      <c r="AZ46" s="1673"/>
    </row>
    <row r="47" spans="1:52" s="1674" customFormat="1" ht="102" customHeight="1">
      <c r="A47" s="602"/>
      <c r="B47" s="1672" t="s">
        <v>152</v>
      </c>
      <c r="C47" s="4406" t="s">
        <v>1774</v>
      </c>
      <c r="D47" s="4406"/>
      <c r="E47" s="4406"/>
      <c r="F47" s="4406"/>
      <c r="G47" s="4406"/>
      <c r="H47" s="4406"/>
      <c r="I47" s="4406"/>
      <c r="J47" s="4406"/>
      <c r="K47" s="4406"/>
      <c r="L47" s="4406"/>
      <c r="M47" s="4406"/>
      <c r="N47" s="4406"/>
      <c r="O47" s="4406"/>
      <c r="P47" s="4406"/>
      <c r="Q47" s="4406"/>
      <c r="R47" s="4406"/>
      <c r="S47" s="4406"/>
      <c r="T47" s="4406"/>
      <c r="U47" s="4406"/>
      <c r="V47" s="4406"/>
      <c r="W47" s="4406"/>
      <c r="X47" s="4406"/>
      <c r="Y47" s="4406"/>
      <c r="Z47" s="4406"/>
      <c r="AA47" s="4406"/>
      <c r="AB47" s="4406"/>
      <c r="AC47" s="4406"/>
      <c r="AD47" s="4406"/>
      <c r="AE47" s="4406"/>
      <c r="AF47" s="4406"/>
      <c r="AG47" s="4406"/>
      <c r="AH47" s="4406"/>
      <c r="AI47" s="4406"/>
      <c r="AJ47" s="4406"/>
      <c r="AK47" s="4406"/>
      <c r="AL47" s="4406"/>
      <c r="AM47" s="4406"/>
      <c r="AN47" s="4406"/>
      <c r="AO47" s="4406"/>
      <c r="AP47" s="4406"/>
      <c r="AQ47" s="4406"/>
      <c r="AR47" s="4406"/>
      <c r="AS47" s="4406"/>
      <c r="AT47" s="4406"/>
      <c r="AU47" s="602"/>
    </row>
    <row r="48" spans="1:52" ht="69" customHeight="1">
      <c r="B48" s="1675" t="s">
        <v>153</v>
      </c>
      <c r="C48" s="4383" t="s">
        <v>1951</v>
      </c>
      <c r="D48" s="4383"/>
      <c r="E48" s="4383"/>
      <c r="F48" s="4383"/>
      <c r="G48" s="4383"/>
      <c r="H48" s="4383"/>
      <c r="I48" s="4383"/>
      <c r="J48" s="4383"/>
      <c r="K48" s="4383"/>
      <c r="L48" s="4383"/>
      <c r="M48" s="4383"/>
      <c r="N48" s="4383"/>
      <c r="O48" s="4383"/>
      <c r="P48" s="4383"/>
      <c r="Q48" s="4383"/>
      <c r="R48" s="4383"/>
      <c r="S48" s="4383"/>
      <c r="T48" s="4383"/>
      <c r="U48" s="4383"/>
      <c r="V48" s="4383"/>
      <c r="W48" s="4383"/>
      <c r="X48" s="4383"/>
      <c r="Y48" s="4383"/>
      <c r="Z48" s="4383"/>
      <c r="AA48" s="4383"/>
      <c r="AB48" s="4383"/>
      <c r="AC48" s="4383"/>
      <c r="AD48" s="4383"/>
      <c r="AE48" s="4383"/>
      <c r="AF48" s="4383"/>
      <c r="AG48" s="4383"/>
      <c r="AH48" s="4383"/>
      <c r="AI48" s="4383"/>
      <c r="AJ48" s="4383"/>
      <c r="AK48" s="4383"/>
      <c r="AL48" s="4383"/>
      <c r="AM48" s="4383"/>
      <c r="AN48" s="4383"/>
      <c r="AO48" s="4383"/>
      <c r="AP48" s="4383"/>
      <c r="AQ48" s="4383"/>
      <c r="AR48" s="4383"/>
      <c r="AS48" s="4383"/>
      <c r="AT48" s="4383"/>
      <c r="AU48" s="1676"/>
    </row>
    <row r="49" spans="1:75" s="1674" customFormat="1" ht="10.4" customHeight="1">
      <c r="A49" s="602"/>
      <c r="B49" s="1672"/>
      <c r="C49" s="1677"/>
      <c r="D49" s="1677"/>
      <c r="E49" s="1677"/>
      <c r="F49" s="1677"/>
      <c r="G49" s="1677"/>
      <c r="H49" s="1677"/>
      <c r="I49" s="1677"/>
      <c r="J49" s="1677"/>
      <c r="K49" s="1677"/>
      <c r="L49" s="1677"/>
      <c r="M49" s="1677"/>
      <c r="N49" s="1677"/>
      <c r="O49" s="1677"/>
      <c r="P49" s="1677"/>
      <c r="Q49" s="1677"/>
      <c r="R49" s="1677"/>
      <c r="S49" s="1677"/>
      <c r="T49" s="1677"/>
      <c r="U49" s="1677"/>
      <c r="V49" s="1677"/>
      <c r="W49" s="1677"/>
      <c r="X49" s="1677"/>
      <c r="Y49" s="1677"/>
      <c r="Z49" s="1677"/>
      <c r="AA49" s="1677"/>
      <c r="AB49" s="1677"/>
      <c r="AC49" s="1677"/>
      <c r="AD49" s="1677"/>
      <c r="AE49" s="1677"/>
      <c r="AF49" s="1677"/>
      <c r="AG49" s="1677"/>
      <c r="AH49" s="1677"/>
      <c r="AI49" s="1677"/>
      <c r="AJ49" s="1677"/>
      <c r="AK49" s="1677"/>
      <c r="AL49" s="1677"/>
      <c r="AM49" s="1677"/>
      <c r="AN49" s="1677"/>
      <c r="AO49" s="1677"/>
      <c r="AP49" s="1677"/>
      <c r="AQ49" s="1677"/>
      <c r="AR49" s="1677"/>
      <c r="AS49" s="1677"/>
      <c r="AT49" s="1677"/>
      <c r="AU49" s="602"/>
    </row>
    <row r="50" spans="1:75" s="215" customFormat="1" ht="37.4" customHeight="1">
      <c r="B50" s="216" t="s">
        <v>143</v>
      </c>
      <c r="C50" s="187"/>
      <c r="D50" s="187"/>
      <c r="E50" s="4407" t="s">
        <v>872</v>
      </c>
      <c r="F50" s="4407"/>
      <c r="G50" s="4407"/>
      <c r="H50" s="4407"/>
      <c r="I50" s="4407"/>
      <c r="J50" s="4407"/>
      <c r="K50" s="4407"/>
      <c r="L50" s="4407"/>
      <c r="M50" s="4407"/>
      <c r="N50" s="4407"/>
      <c r="O50" s="4407"/>
      <c r="P50" s="4407"/>
      <c r="Q50" s="4407"/>
      <c r="R50" s="4407"/>
      <c r="S50" s="4407"/>
      <c r="T50" s="4407"/>
      <c r="U50" s="4407"/>
      <c r="V50" s="4407"/>
      <c r="W50" s="4407"/>
      <c r="X50" s="4407"/>
      <c r="Y50" s="4407"/>
      <c r="Z50" s="4407"/>
      <c r="AA50" s="4407"/>
      <c r="AB50" s="4407"/>
      <c r="AC50" s="4407"/>
      <c r="AD50" s="4407"/>
      <c r="AE50" s="4407"/>
      <c r="AF50" s="4407"/>
      <c r="AG50" s="4407"/>
      <c r="AH50" s="4407"/>
      <c r="AI50" s="4407"/>
      <c r="AJ50" s="4407"/>
      <c r="AK50" s="4407"/>
      <c r="AL50" s="4407"/>
      <c r="AM50" s="4407"/>
      <c r="AN50" s="4407"/>
      <c r="AO50" s="4407"/>
      <c r="AP50" s="4407"/>
      <c r="AQ50" s="4407"/>
      <c r="AR50" s="4407"/>
      <c r="AS50" s="4407"/>
      <c r="AT50" s="4407"/>
      <c r="AU50" s="234"/>
      <c r="AV50" s="234"/>
      <c r="AW50" s="234"/>
      <c r="AX50" s="234"/>
      <c r="AY50" s="234"/>
      <c r="AZ50" s="234"/>
      <c r="BA50" s="216"/>
      <c r="BB50" s="216"/>
      <c r="BC50" s="216"/>
      <c r="BD50" s="216"/>
      <c r="BE50" s="216"/>
      <c r="BF50" s="216"/>
      <c r="BG50" s="216"/>
      <c r="BH50" s="216"/>
      <c r="BI50" s="216"/>
      <c r="BJ50" s="216"/>
      <c r="BK50" s="216"/>
      <c r="BL50" s="216"/>
      <c r="BM50" s="216"/>
      <c r="BN50" s="216"/>
      <c r="BO50" s="216"/>
      <c r="BP50" s="216"/>
      <c r="BQ50" s="216"/>
      <c r="BR50" s="216"/>
      <c r="BS50" s="216"/>
      <c r="BT50" s="216"/>
      <c r="BW50" s="180"/>
    </row>
    <row r="51" spans="1:75" s="755" customFormat="1" ht="30" customHeight="1">
      <c r="C51" s="187"/>
      <c r="E51" s="187"/>
      <c r="G51" s="187"/>
      <c r="I51" s="187"/>
      <c r="K51" s="187"/>
      <c r="M51" s="187"/>
      <c r="O51" s="187"/>
      <c r="Q51" s="187"/>
      <c r="T51" s="187"/>
      <c r="W51" s="187"/>
      <c r="Y51" s="187"/>
      <c r="AA51" s="187"/>
      <c r="AC51" s="187"/>
      <c r="AE51" s="187"/>
      <c r="AG51" s="187"/>
      <c r="AJ51" s="187"/>
      <c r="AS51" s="187"/>
    </row>
    <row r="52" spans="1:75" s="745" customFormat="1" ht="14">
      <c r="B52" s="169" t="s">
        <v>17</v>
      </c>
      <c r="C52" s="168"/>
      <c r="D52" s="168"/>
      <c r="E52" s="168"/>
      <c r="F52" s="168"/>
      <c r="G52" s="168"/>
      <c r="H52" s="168"/>
      <c r="I52" s="168"/>
      <c r="J52" s="168"/>
      <c r="K52" s="168"/>
      <c r="L52" s="168"/>
      <c r="M52" s="168"/>
      <c r="N52" s="168"/>
      <c r="O52" s="168"/>
      <c r="P52" s="168"/>
      <c r="Q52" s="168"/>
      <c r="T52" s="169" t="s">
        <v>871</v>
      </c>
      <c r="U52" s="168"/>
      <c r="V52" s="168"/>
      <c r="W52" s="168"/>
      <c r="X52" s="168"/>
      <c r="Y52" s="168"/>
      <c r="Z52" s="168"/>
      <c r="AA52" s="168"/>
      <c r="AB52" s="168"/>
      <c r="AC52" s="168"/>
      <c r="AD52" s="168"/>
      <c r="AE52" s="168"/>
      <c r="AH52" s="169" t="s">
        <v>783</v>
      </c>
      <c r="AI52" s="168"/>
      <c r="AJ52" s="168"/>
      <c r="AK52" s="168"/>
      <c r="AL52" s="168"/>
      <c r="AM52" s="168"/>
      <c r="AN52" s="168"/>
      <c r="AO52" s="168"/>
      <c r="AP52" s="168"/>
      <c r="AQ52" s="168"/>
      <c r="AR52" s="168"/>
      <c r="AS52" s="168"/>
    </row>
    <row r="53" spans="1:75" s="745" customFormat="1" ht="21.65" customHeight="1">
      <c r="B53" s="169" t="s">
        <v>748</v>
      </c>
      <c r="C53" s="168"/>
      <c r="D53" s="168"/>
      <c r="E53" s="168"/>
      <c r="F53" s="1959" t="str">
        <f>activesheet!E29</f>
        <v>RICO S. MISPEROS</v>
      </c>
      <c r="G53" s="1959"/>
      <c r="H53" s="1959"/>
      <c r="I53" s="1959"/>
      <c r="J53" s="1959"/>
      <c r="K53" s="1959"/>
      <c r="L53" s="1959"/>
      <c r="M53" s="1959"/>
      <c r="N53" s="1959"/>
      <c r="O53" s="1959"/>
      <c r="P53" s="1959"/>
      <c r="Q53" s="1959"/>
      <c r="R53" s="776"/>
      <c r="S53" s="776"/>
      <c r="T53" s="2036" t="s">
        <v>11873</v>
      </c>
      <c r="U53" s="2036"/>
      <c r="V53" s="2036"/>
      <c r="W53" s="2036"/>
      <c r="X53" s="2036"/>
      <c r="Y53" s="2036"/>
      <c r="Z53" s="2036"/>
      <c r="AA53" s="2036"/>
      <c r="AB53" s="2036"/>
      <c r="AC53" s="2036"/>
      <c r="AD53" s="2036"/>
      <c r="AE53" s="2036"/>
      <c r="AH53" s="1956" t="str">
        <f>activesheet!E31</f>
        <v>MICHAEL T. JAMIS</v>
      </c>
      <c r="AI53" s="1956"/>
      <c r="AJ53" s="1956"/>
      <c r="AK53" s="1956"/>
      <c r="AL53" s="1956"/>
      <c r="AM53" s="1956"/>
      <c r="AN53" s="1956"/>
      <c r="AO53" s="1956"/>
      <c r="AP53" s="1956"/>
      <c r="AQ53" s="1956"/>
      <c r="AR53" s="1956"/>
      <c r="AS53" s="1956"/>
    </row>
    <row r="54" spans="1:75" s="746" customFormat="1" ht="13.5" customHeight="1">
      <c r="A54" s="184"/>
      <c r="B54" s="184"/>
      <c r="C54" s="184"/>
      <c r="D54" s="184"/>
      <c r="E54" s="184"/>
      <c r="F54" s="1764" t="s">
        <v>741</v>
      </c>
      <c r="G54" s="1764"/>
      <c r="H54" s="1764"/>
      <c r="I54" s="1764"/>
      <c r="J54" s="1764"/>
      <c r="K54" s="1764"/>
      <c r="L54" s="1764"/>
      <c r="M54" s="1764"/>
      <c r="N54" s="1764"/>
      <c r="O54" s="1764"/>
      <c r="P54" s="1764"/>
      <c r="Q54" s="1764"/>
      <c r="R54" s="184"/>
      <c r="S54" s="184"/>
      <c r="T54" s="1764" t="s">
        <v>741</v>
      </c>
      <c r="U54" s="1764"/>
      <c r="V54" s="1764"/>
      <c r="W54" s="1764"/>
      <c r="X54" s="1764"/>
      <c r="Y54" s="1764"/>
      <c r="Z54" s="1764"/>
      <c r="AA54" s="1764"/>
      <c r="AB54" s="1764"/>
      <c r="AC54" s="1764"/>
      <c r="AD54" s="1764"/>
      <c r="AE54" s="1764"/>
      <c r="AF54" s="171"/>
      <c r="AG54" s="171"/>
      <c r="AH54" s="1957"/>
      <c r="AI54" s="1957"/>
      <c r="AJ54" s="1957"/>
      <c r="AK54" s="1957"/>
      <c r="AL54" s="1957"/>
      <c r="AM54" s="1957"/>
      <c r="AN54" s="1957"/>
      <c r="AO54" s="1957"/>
      <c r="AP54" s="1957"/>
      <c r="AQ54" s="1957"/>
      <c r="AR54" s="1957"/>
      <c r="AS54" s="1957"/>
      <c r="AT54" s="745"/>
    </row>
    <row r="55" spans="1:75" s="745" customFormat="1" ht="21.65" customHeight="1">
      <c r="B55" s="169" t="s">
        <v>71</v>
      </c>
      <c r="C55" s="168"/>
      <c r="D55" s="168"/>
      <c r="E55" s="168"/>
      <c r="F55" s="1959" t="str">
        <f>activesheet!E30</f>
        <v>SCHOOL PRINCIPAL II</v>
      </c>
      <c r="G55" s="1959"/>
      <c r="H55" s="1959"/>
      <c r="I55" s="1959"/>
      <c r="J55" s="1959"/>
      <c r="K55" s="1959"/>
      <c r="L55" s="1959"/>
      <c r="M55" s="1959"/>
      <c r="N55" s="1959"/>
      <c r="O55" s="1959"/>
      <c r="P55" s="1959"/>
      <c r="Q55" s="1959"/>
      <c r="R55" s="776"/>
      <c r="S55" s="776"/>
      <c r="T55" s="169" t="s">
        <v>71</v>
      </c>
      <c r="U55" s="168"/>
      <c r="V55" s="168"/>
      <c r="W55" s="168"/>
      <c r="X55" s="2036" t="s">
        <v>11876</v>
      </c>
      <c r="Y55" s="2036"/>
      <c r="Z55" s="2036"/>
      <c r="AA55" s="2036"/>
      <c r="AB55" s="2036"/>
      <c r="AC55" s="2036"/>
      <c r="AD55" s="2036"/>
      <c r="AE55" s="2036"/>
      <c r="AH55" s="1764" t="s">
        <v>741</v>
      </c>
      <c r="AI55" s="1764"/>
      <c r="AJ55" s="1764"/>
      <c r="AK55" s="1764"/>
      <c r="AL55" s="1764"/>
      <c r="AM55" s="1764"/>
      <c r="AN55" s="1764"/>
      <c r="AO55" s="1764"/>
      <c r="AP55" s="1764"/>
      <c r="AQ55" s="1764"/>
      <c r="AR55" s="1764"/>
      <c r="AS55" s="1764"/>
    </row>
    <row r="56" spans="1:75" s="661" customFormat="1" ht="30" customHeight="1">
      <c r="B56" s="501"/>
      <c r="D56" s="501"/>
      <c r="F56" s="501"/>
      <c r="H56" s="501"/>
      <c r="J56" s="501"/>
      <c r="L56" s="501"/>
      <c r="N56" s="501"/>
      <c r="R56" s="187"/>
      <c r="S56" s="187"/>
      <c r="T56" s="501"/>
      <c r="V56" s="501"/>
      <c r="X56" s="501"/>
      <c r="Z56" s="501"/>
      <c r="AB56" s="501"/>
      <c r="AD56" s="501"/>
      <c r="AF56" s="745"/>
      <c r="AG56" s="745"/>
      <c r="AH56" s="501"/>
      <c r="AJ56" s="501"/>
      <c r="AL56" s="501"/>
      <c r="AN56" s="501"/>
      <c r="AP56" s="501"/>
      <c r="AR56" s="501"/>
      <c r="AT56" s="745"/>
    </row>
    <row r="57" spans="1:75" s="745" customFormat="1" ht="14">
      <c r="B57" s="169" t="s">
        <v>765</v>
      </c>
      <c r="C57" s="168"/>
      <c r="D57" s="168"/>
      <c r="E57" s="168"/>
      <c r="F57" s="168"/>
      <c r="G57" s="168"/>
      <c r="H57" s="168"/>
      <c r="I57" s="168"/>
      <c r="J57" s="168"/>
      <c r="K57" s="168"/>
      <c r="L57" s="168"/>
      <c r="M57" s="168"/>
      <c r="N57" s="168"/>
      <c r="O57" s="168"/>
      <c r="P57" s="168"/>
      <c r="Q57" s="168"/>
      <c r="AE57" s="169"/>
      <c r="AH57" s="169" t="s">
        <v>779</v>
      </c>
      <c r="AI57" s="168"/>
      <c r="AJ57" s="168"/>
      <c r="AK57" s="168"/>
      <c r="AL57" s="168"/>
      <c r="AM57" s="168"/>
      <c r="AN57" s="168"/>
      <c r="AO57" s="168"/>
      <c r="AP57" s="168"/>
      <c r="AQ57" s="168"/>
      <c r="AR57" s="168"/>
      <c r="AS57" s="168"/>
    </row>
    <row r="58" spans="1:75" s="745" customFormat="1" ht="21.65" customHeight="1">
      <c r="B58" s="1959" t="str">
        <f>activesheet!E2079</f>
        <v>RAQUEL N. ACOMPAŇADO</v>
      </c>
      <c r="C58" s="1959"/>
      <c r="D58" s="1959"/>
      <c r="E58" s="1959"/>
      <c r="F58" s="1959"/>
      <c r="G58" s="1959"/>
      <c r="H58" s="1959"/>
      <c r="I58" s="1959"/>
      <c r="J58" s="1959"/>
      <c r="K58" s="1959"/>
      <c r="L58" s="1959"/>
      <c r="M58" s="1959"/>
      <c r="N58" s="1959"/>
      <c r="O58" s="1959"/>
      <c r="P58" s="1959"/>
      <c r="Q58" s="1959"/>
      <c r="AE58" s="169"/>
      <c r="AF58" s="169"/>
      <c r="AG58" s="169"/>
      <c r="AH58" s="1959" t="str">
        <f>activesheet!E658</f>
        <v>ELMA CEZARIE Y. ROMERO</v>
      </c>
      <c r="AI58" s="1959"/>
      <c r="AJ58" s="1959"/>
      <c r="AK58" s="1959"/>
      <c r="AL58" s="1959"/>
      <c r="AM58" s="1959"/>
      <c r="AN58" s="1959"/>
      <c r="AO58" s="1959"/>
      <c r="AP58" s="1959"/>
      <c r="AQ58" s="1959"/>
      <c r="AR58" s="1959"/>
      <c r="AS58" s="1959"/>
    </row>
    <row r="59" spans="1:75" s="746" customFormat="1" ht="13.5" customHeight="1">
      <c r="B59" s="1764" t="s">
        <v>741</v>
      </c>
      <c r="C59" s="1764"/>
      <c r="D59" s="1764"/>
      <c r="E59" s="1764"/>
      <c r="F59" s="1764"/>
      <c r="G59" s="1764"/>
      <c r="H59" s="1764"/>
      <c r="I59" s="1764"/>
      <c r="J59" s="1764"/>
      <c r="K59" s="1764"/>
      <c r="L59" s="1764"/>
      <c r="M59" s="1764"/>
      <c r="N59" s="1764"/>
      <c r="O59" s="1764"/>
      <c r="P59" s="1764"/>
      <c r="Q59" s="1764"/>
      <c r="AE59" s="169"/>
      <c r="AF59" s="169"/>
      <c r="AG59" s="169"/>
      <c r="AH59" s="1764" t="s">
        <v>741</v>
      </c>
      <c r="AI59" s="1764"/>
      <c r="AJ59" s="1764"/>
      <c r="AK59" s="1764"/>
      <c r="AL59" s="1764"/>
      <c r="AM59" s="1764"/>
      <c r="AN59" s="1764"/>
      <c r="AO59" s="1764"/>
      <c r="AP59" s="1764"/>
      <c r="AQ59" s="1764"/>
      <c r="AR59" s="1764"/>
      <c r="AS59" s="1764"/>
      <c r="AT59" s="745"/>
    </row>
    <row r="60" spans="1:75" ht="21.65" customHeight="1">
      <c r="B60" s="169" t="s">
        <v>71</v>
      </c>
      <c r="C60" s="168"/>
      <c r="D60" s="168"/>
      <c r="E60" s="168"/>
      <c r="F60" s="1959" t="str">
        <f>activesheet!E2080</f>
        <v>Nurse II</v>
      </c>
      <c r="G60" s="1959"/>
      <c r="H60" s="1959"/>
      <c r="I60" s="1959"/>
      <c r="J60" s="1959"/>
      <c r="K60" s="1959"/>
      <c r="L60" s="1959"/>
      <c r="M60" s="1959"/>
      <c r="N60" s="1959"/>
      <c r="O60" s="1959"/>
      <c r="P60" s="1959"/>
      <c r="Q60" s="1959"/>
      <c r="AE60" s="1040"/>
      <c r="AF60" s="1040"/>
      <c r="AG60" s="1040"/>
      <c r="AH60" s="169" t="s">
        <v>71</v>
      </c>
      <c r="AI60" s="168"/>
      <c r="AJ60" s="168"/>
      <c r="AK60" s="168"/>
      <c r="AL60" s="1959" t="str">
        <f>activesheet!E659</f>
        <v>Administrative Officer IV</v>
      </c>
      <c r="AM60" s="1959"/>
      <c r="AN60" s="1959"/>
      <c r="AO60" s="1959"/>
      <c r="AP60" s="1959"/>
      <c r="AQ60" s="1959"/>
      <c r="AR60" s="1959"/>
      <c r="AS60" s="1959"/>
      <c r="AT60" s="745"/>
    </row>
    <row r="61" spans="1:75">
      <c r="AH61" s="745"/>
      <c r="AI61" s="745"/>
      <c r="AJ61" s="745"/>
      <c r="AK61" s="745"/>
      <c r="AL61" s="745"/>
      <c r="AM61" s="745"/>
      <c r="AN61" s="745"/>
      <c r="AO61" s="745"/>
      <c r="AP61" s="745"/>
      <c r="AQ61" s="745"/>
      <c r="AR61" s="745"/>
      <c r="AS61" s="745"/>
      <c r="AT61" s="745"/>
    </row>
    <row r="62" spans="1:75">
      <c r="AH62" s="745"/>
      <c r="AI62" s="745"/>
      <c r="AJ62" s="745"/>
      <c r="AK62" s="745"/>
      <c r="AL62" s="745"/>
      <c r="AM62" s="745"/>
      <c r="AN62" s="745"/>
      <c r="AO62" s="745"/>
      <c r="AP62" s="745"/>
      <c r="AQ62" s="745"/>
      <c r="AR62" s="745"/>
      <c r="AS62" s="745"/>
      <c r="AT62" s="745"/>
    </row>
  </sheetData>
  <sheetProtection algorithmName="SHA-512" hashValue="wBDG+TqNdxFsimCSnKoSOBrxzrNwhzAw2e/MC/ecGIkczH6aTPwrovc/AWwAW6l0MDkrE+f+Pk0YvFA9yNmEjg==" saltValue="DVE2r20uyNbwjNXgfMSpYQ==" spinCount="100000" sheet="1" objects="1" scenarios="1" selectLockedCells="1"/>
  <mergeCells count="180">
    <mergeCell ref="AA25:AK25"/>
    <mergeCell ref="E18:L18"/>
    <mergeCell ref="M18:N18"/>
    <mergeCell ref="O18:P18"/>
    <mergeCell ref="Q18:R18"/>
    <mergeCell ref="M15:P15"/>
    <mergeCell ref="Q15:T15"/>
    <mergeCell ref="U15:X15"/>
    <mergeCell ref="Y15:AB15"/>
    <mergeCell ref="AC15:AF15"/>
    <mergeCell ref="S18:T18"/>
    <mergeCell ref="AG15:AJ15"/>
    <mergeCell ref="AK15:AN15"/>
    <mergeCell ref="AG18:AH18"/>
    <mergeCell ref="AI18:AJ18"/>
    <mergeCell ref="AK18:AL18"/>
    <mergeCell ref="AM18:AN18"/>
    <mergeCell ref="E20:AF20"/>
    <mergeCell ref="E19:L19"/>
    <mergeCell ref="M19:N19"/>
    <mergeCell ref="O19:P19"/>
    <mergeCell ref="Q19:R19"/>
    <mergeCell ref="S19:T19"/>
    <mergeCell ref="AO15:AR15"/>
    <mergeCell ref="E17:L17"/>
    <mergeCell ref="M17:N17"/>
    <mergeCell ref="O17:P17"/>
    <mergeCell ref="Q17:R17"/>
    <mergeCell ref="S17:T17"/>
    <mergeCell ref="U17:V17"/>
    <mergeCell ref="AI17:AJ17"/>
    <mergeCell ref="AK17:AL17"/>
    <mergeCell ref="AM17:AN17"/>
    <mergeCell ref="AO17:AP17"/>
    <mergeCell ref="AQ17:AR17"/>
    <mergeCell ref="W17:X17"/>
    <mergeCell ref="Y17:Z17"/>
    <mergeCell ref="AA17:AB17"/>
    <mergeCell ref="AC17:AD17"/>
    <mergeCell ref="AE17:AF17"/>
    <mergeCell ref="AG17:AH17"/>
    <mergeCell ref="D6:D7"/>
    <mergeCell ref="E6:AR7"/>
    <mergeCell ref="D8:D9"/>
    <mergeCell ref="E8:AR9"/>
    <mergeCell ref="D10:D11"/>
    <mergeCell ref="E10:AR11"/>
    <mergeCell ref="AK16:AL16"/>
    <mergeCell ref="AM16:AN16"/>
    <mergeCell ref="AO16:AP16"/>
    <mergeCell ref="AQ16:AR16"/>
    <mergeCell ref="Y16:Z16"/>
    <mergeCell ref="AA16:AB16"/>
    <mergeCell ref="AC16:AD16"/>
    <mergeCell ref="AE16:AF16"/>
    <mergeCell ref="AG16:AH16"/>
    <mergeCell ref="AI16:AJ16"/>
    <mergeCell ref="M16:N16"/>
    <mergeCell ref="O16:P16"/>
    <mergeCell ref="Q16:R16"/>
    <mergeCell ref="S16:T16"/>
    <mergeCell ref="U16:V16"/>
    <mergeCell ref="W16:X16"/>
    <mergeCell ref="E14:L16"/>
    <mergeCell ref="M14:AR14"/>
    <mergeCell ref="AO18:AP18"/>
    <mergeCell ref="AQ18:AR18"/>
    <mergeCell ref="U18:V18"/>
    <mergeCell ref="W18:X18"/>
    <mergeCell ref="Y18:Z18"/>
    <mergeCell ref="AA18:AB18"/>
    <mergeCell ref="AC18:AD18"/>
    <mergeCell ref="AE18:AF18"/>
    <mergeCell ref="AI19:AJ19"/>
    <mergeCell ref="AK19:AL19"/>
    <mergeCell ref="AM19:AN19"/>
    <mergeCell ref="AO19:AP19"/>
    <mergeCell ref="AQ19:AR19"/>
    <mergeCell ref="W19:X19"/>
    <mergeCell ref="Y19:Z19"/>
    <mergeCell ref="AA19:AB19"/>
    <mergeCell ref="AC19:AD19"/>
    <mergeCell ref="AE19:AF19"/>
    <mergeCell ref="AG19:AH19"/>
    <mergeCell ref="U19:V19"/>
    <mergeCell ref="T29:U29"/>
    <mergeCell ref="AB28:AE28"/>
    <mergeCell ref="D29:E29"/>
    <mergeCell ref="F29:G29"/>
    <mergeCell ref="H29:I29"/>
    <mergeCell ref="J29:K29"/>
    <mergeCell ref="L29:M29"/>
    <mergeCell ref="N29:O29"/>
    <mergeCell ref="P29:Q29"/>
    <mergeCell ref="R29:S29"/>
    <mergeCell ref="D28:G28"/>
    <mergeCell ref="H28:K28"/>
    <mergeCell ref="L28:O28"/>
    <mergeCell ref="P28:S28"/>
    <mergeCell ref="T28:W28"/>
    <mergeCell ref="X28:AA28"/>
    <mergeCell ref="V29:W29"/>
    <mergeCell ref="X29:Y29"/>
    <mergeCell ref="Z29:AA29"/>
    <mergeCell ref="AB29:AC29"/>
    <mergeCell ref="AD29:AE29"/>
    <mergeCell ref="AA32:AF32"/>
    <mergeCell ref="AG32:AL32"/>
    <mergeCell ref="T30:U30"/>
    <mergeCell ref="V30:W30"/>
    <mergeCell ref="X30:Y30"/>
    <mergeCell ref="Z30:AA30"/>
    <mergeCell ref="AB30:AC30"/>
    <mergeCell ref="AD30:AE30"/>
    <mergeCell ref="D30:E30"/>
    <mergeCell ref="F30:G30"/>
    <mergeCell ref="H30:I30"/>
    <mergeCell ref="J30:K30"/>
    <mergeCell ref="L30:M30"/>
    <mergeCell ref="N30:O30"/>
    <mergeCell ref="P30:Q30"/>
    <mergeCell ref="R30:S30"/>
    <mergeCell ref="AF28:AM28"/>
    <mergeCell ref="AF29:AI29"/>
    <mergeCell ref="AJ29:AM29"/>
    <mergeCell ref="AF30:AI30"/>
    <mergeCell ref="AJ30:AM30"/>
    <mergeCell ref="F60:Q60"/>
    <mergeCell ref="F54:Q54"/>
    <mergeCell ref="F55:Q55"/>
    <mergeCell ref="B58:Q58"/>
    <mergeCell ref="B59:Q59"/>
    <mergeCell ref="C46:AT46"/>
    <mergeCell ref="C47:AT47"/>
    <mergeCell ref="E50:AT50"/>
    <mergeCell ref="F53:Q53"/>
    <mergeCell ref="AM32:AR32"/>
    <mergeCell ref="D33:I33"/>
    <mergeCell ref="J33:O33"/>
    <mergeCell ref="P33:U33"/>
    <mergeCell ref="AA33:AF33"/>
    <mergeCell ref="AG33:AL33"/>
    <mergeCell ref="AM33:AR33"/>
    <mergeCell ref="D32:I32"/>
    <mergeCell ref="J32:O32"/>
    <mergeCell ref="P32:U32"/>
    <mergeCell ref="D38:K39"/>
    <mergeCell ref="L38:T38"/>
    <mergeCell ref="U38:W38"/>
    <mergeCell ref="L39:N39"/>
    <mergeCell ref="O39:Q39"/>
    <mergeCell ref="R39:T39"/>
    <mergeCell ref="U39:W39"/>
    <mergeCell ref="D35:I35"/>
    <mergeCell ref="J35:O35"/>
    <mergeCell ref="P35:U35"/>
    <mergeCell ref="D36:I36"/>
    <mergeCell ref="J36:O36"/>
    <mergeCell ref="P36:U36"/>
    <mergeCell ref="T53:AE53"/>
    <mergeCell ref="T54:AE54"/>
    <mergeCell ref="X55:AE55"/>
    <mergeCell ref="AH53:AS54"/>
    <mergeCell ref="AH55:AS55"/>
    <mergeCell ref="AH58:AS58"/>
    <mergeCell ref="AH59:AS59"/>
    <mergeCell ref="AL60:AS60"/>
    <mergeCell ref="L40:N40"/>
    <mergeCell ref="O40:Q40"/>
    <mergeCell ref="R40:T40"/>
    <mergeCell ref="U40:W40"/>
    <mergeCell ref="L41:N41"/>
    <mergeCell ref="O41:Q41"/>
    <mergeCell ref="R41:T41"/>
    <mergeCell ref="U41:W41"/>
    <mergeCell ref="L42:N42"/>
    <mergeCell ref="O42:Q42"/>
    <mergeCell ref="R42:T42"/>
    <mergeCell ref="U42:W42"/>
    <mergeCell ref="C48:AT48"/>
  </mergeCells>
  <conditionalFormatting sqref="U25">
    <cfRule type="expression" dxfId="0" priority="1">
      <formula>AND(M25=TRUE, AA25=0)</formula>
    </cfRule>
  </conditionalFormatting>
  <dataValidations count="2">
    <dataValidation type="whole" allowBlank="1" showInputMessage="1" showErrorMessage="1" errorTitle="GESP SY 2022-2023" error="Please enter valid number between 0 - 20,000." sqref="L40:Q41 U42:W42" xr:uid="{00000000-0002-0000-3F00-000000000000}">
      <formula1>0</formula1>
      <formula2>20000</formula2>
    </dataValidation>
    <dataValidation type="whole" allowBlank="1" showInputMessage="1" showErrorMessage="1" errorTitle="GESP SY 2022-2023" error="Please enter valid number between 0 - 999." sqref="M17:AN18 D30:AE30 D33:O33 D36:O36" xr:uid="{00000000-0002-0000-3F00-000001000000}">
      <formula1>0</formula1>
      <formula2>999</formula2>
    </dataValidation>
  </dataValidations>
  <printOptions horizontalCentered="1" verticalCentered="1"/>
  <pageMargins left="0.25" right="0.25" top="0.5" bottom="0.5" header="0" footer="0.2"/>
  <pageSetup paperSize="9" scale="38" orientation="landscape" r:id="rId1"/>
  <headerFooter alignWithMargins="0">
    <oddFooter>&amp;L&amp;10&amp;F &amp;A&amp;R&amp;11Page 60 of 60</oddFooter>
  </headerFooter>
  <ignoredErrors>
    <ignoredError sqref="C5 C12 C21:C31 C34:C43"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9377" r:id="rId4" name="Check Box 1">
              <controlPr locked="0" defaultSize="0" autoFill="0" autoLine="0" autoPict="0">
                <anchor moveWithCells="1">
                  <from>
                    <xdr:col>3</xdr:col>
                    <xdr:colOff>50800</xdr:colOff>
                    <xdr:row>5</xdr:row>
                    <xdr:rowOff>12700</xdr:rowOff>
                  </from>
                  <to>
                    <xdr:col>6</xdr:col>
                    <xdr:colOff>12700</xdr:colOff>
                    <xdr:row>6</xdr:row>
                    <xdr:rowOff>12700</xdr:rowOff>
                  </to>
                </anchor>
              </controlPr>
            </control>
          </mc:Choice>
        </mc:AlternateContent>
        <mc:AlternateContent xmlns:mc="http://schemas.openxmlformats.org/markup-compatibility/2006">
          <mc:Choice Requires="x14">
            <control shapeId="229378" r:id="rId5" name="Check Box 2">
              <controlPr locked="0" defaultSize="0" autoFill="0" autoLine="0" autoPict="0">
                <anchor moveWithCells="1">
                  <from>
                    <xdr:col>3</xdr:col>
                    <xdr:colOff>50800</xdr:colOff>
                    <xdr:row>7</xdr:row>
                    <xdr:rowOff>12700</xdr:rowOff>
                  </from>
                  <to>
                    <xdr:col>6</xdr:col>
                    <xdr:colOff>12700</xdr:colOff>
                    <xdr:row>8</xdr:row>
                    <xdr:rowOff>12700</xdr:rowOff>
                  </to>
                </anchor>
              </controlPr>
            </control>
          </mc:Choice>
        </mc:AlternateContent>
        <mc:AlternateContent xmlns:mc="http://schemas.openxmlformats.org/markup-compatibility/2006">
          <mc:Choice Requires="x14">
            <control shapeId="229379" r:id="rId6" name="Check Box 3">
              <controlPr locked="0" defaultSize="0" autoFill="0" autoLine="0" autoPict="0">
                <anchor moveWithCells="1">
                  <from>
                    <xdr:col>3</xdr:col>
                    <xdr:colOff>50800</xdr:colOff>
                    <xdr:row>9</xdr:row>
                    <xdr:rowOff>12700</xdr:rowOff>
                  </from>
                  <to>
                    <xdr:col>6</xdr:col>
                    <xdr:colOff>12700</xdr:colOff>
                    <xdr:row>10</xdr:row>
                    <xdr:rowOff>12700</xdr:rowOff>
                  </to>
                </anchor>
              </controlPr>
            </control>
          </mc:Choice>
        </mc:AlternateContent>
        <mc:AlternateContent xmlns:mc="http://schemas.openxmlformats.org/markup-compatibility/2006">
          <mc:Choice Requires="x14">
            <control shapeId="229380" r:id="rId7" name="Check Box 4">
              <controlPr locked="0" defaultSize="0" autoFill="0" autoLine="0" autoPict="0">
                <anchor moveWithCells="1">
                  <from>
                    <xdr:col>33</xdr:col>
                    <xdr:colOff>50800</xdr:colOff>
                    <xdr:row>19</xdr:row>
                    <xdr:rowOff>146050</xdr:rowOff>
                  </from>
                  <to>
                    <xdr:col>36</xdr:col>
                    <xdr:colOff>12700</xdr:colOff>
                    <xdr:row>19</xdr:row>
                    <xdr:rowOff>355600</xdr:rowOff>
                  </to>
                </anchor>
              </controlPr>
            </control>
          </mc:Choice>
        </mc:AlternateContent>
        <mc:AlternateContent xmlns:mc="http://schemas.openxmlformats.org/markup-compatibility/2006">
          <mc:Choice Requires="x14">
            <control shapeId="229381" r:id="rId8" name="Check Box 5">
              <controlPr locked="0" defaultSize="0" autoFill="0" autoLine="0" autoPict="0">
                <anchor moveWithCells="1">
                  <from>
                    <xdr:col>33</xdr:col>
                    <xdr:colOff>50800</xdr:colOff>
                    <xdr:row>20</xdr:row>
                    <xdr:rowOff>50800</xdr:rowOff>
                  </from>
                  <to>
                    <xdr:col>36</xdr:col>
                    <xdr:colOff>12700</xdr:colOff>
                    <xdr:row>21</xdr:row>
                    <xdr:rowOff>0</xdr:rowOff>
                  </to>
                </anchor>
              </controlPr>
            </control>
          </mc:Choice>
        </mc:AlternateContent>
        <mc:AlternateContent xmlns:mc="http://schemas.openxmlformats.org/markup-compatibility/2006">
          <mc:Choice Requires="x14">
            <control shapeId="229382" r:id="rId9" name="Check Box 6">
              <controlPr locked="0" defaultSize="0" autoFill="0" autoLine="0" autoPict="0">
                <anchor moveWithCells="1">
                  <from>
                    <xdr:col>33</xdr:col>
                    <xdr:colOff>50800</xdr:colOff>
                    <xdr:row>21</xdr:row>
                    <xdr:rowOff>31750</xdr:rowOff>
                  </from>
                  <to>
                    <xdr:col>36</xdr:col>
                    <xdr:colOff>12700</xdr:colOff>
                    <xdr:row>22</xdr:row>
                    <xdr:rowOff>12700</xdr:rowOff>
                  </to>
                </anchor>
              </controlPr>
            </control>
          </mc:Choice>
        </mc:AlternateContent>
        <mc:AlternateContent xmlns:mc="http://schemas.openxmlformats.org/markup-compatibility/2006">
          <mc:Choice Requires="x14">
            <control shapeId="229383" r:id="rId10" name="Check Box 7">
              <controlPr locked="0" defaultSize="0" autoFill="0" autoLine="0" autoPict="0">
                <anchor moveWithCells="1">
                  <from>
                    <xdr:col>38</xdr:col>
                    <xdr:colOff>50800</xdr:colOff>
                    <xdr:row>19</xdr:row>
                    <xdr:rowOff>146050</xdr:rowOff>
                  </from>
                  <to>
                    <xdr:col>41</xdr:col>
                    <xdr:colOff>12700</xdr:colOff>
                    <xdr:row>19</xdr:row>
                    <xdr:rowOff>355600</xdr:rowOff>
                  </to>
                </anchor>
              </controlPr>
            </control>
          </mc:Choice>
        </mc:AlternateContent>
        <mc:AlternateContent xmlns:mc="http://schemas.openxmlformats.org/markup-compatibility/2006">
          <mc:Choice Requires="x14">
            <control shapeId="229384" r:id="rId11" name="Check Box 8">
              <controlPr locked="0" defaultSize="0" autoFill="0" autoLine="0" autoPict="0">
                <anchor moveWithCells="1">
                  <from>
                    <xdr:col>38</xdr:col>
                    <xdr:colOff>50800</xdr:colOff>
                    <xdr:row>20</xdr:row>
                    <xdr:rowOff>50800</xdr:rowOff>
                  </from>
                  <to>
                    <xdr:col>41</xdr:col>
                    <xdr:colOff>12700</xdr:colOff>
                    <xdr:row>21</xdr:row>
                    <xdr:rowOff>0</xdr:rowOff>
                  </to>
                </anchor>
              </controlPr>
            </control>
          </mc:Choice>
        </mc:AlternateContent>
        <mc:AlternateContent xmlns:mc="http://schemas.openxmlformats.org/markup-compatibility/2006">
          <mc:Choice Requires="x14">
            <control shapeId="229385" r:id="rId12" name="Check Box 9">
              <controlPr locked="0" defaultSize="0" autoFill="0" autoLine="0" autoPict="0">
                <anchor moveWithCells="1">
                  <from>
                    <xdr:col>38</xdr:col>
                    <xdr:colOff>50800</xdr:colOff>
                    <xdr:row>21</xdr:row>
                    <xdr:rowOff>31750</xdr:rowOff>
                  </from>
                  <to>
                    <xdr:col>41</xdr:col>
                    <xdr:colOff>12700</xdr:colOff>
                    <xdr:row>22</xdr:row>
                    <xdr:rowOff>12700</xdr:rowOff>
                  </to>
                </anchor>
              </controlPr>
            </control>
          </mc:Choice>
        </mc:AlternateContent>
        <mc:AlternateContent xmlns:mc="http://schemas.openxmlformats.org/markup-compatibility/2006">
          <mc:Choice Requires="x14">
            <control shapeId="229386" r:id="rId13" name="Check Box 10">
              <controlPr locked="0" defaultSize="0" autoFill="0" autoLine="0" autoPict="0">
                <anchor moveWithCells="1">
                  <from>
                    <xdr:col>12</xdr:col>
                    <xdr:colOff>50800</xdr:colOff>
                    <xdr:row>22</xdr:row>
                    <xdr:rowOff>50800</xdr:rowOff>
                  </from>
                  <to>
                    <xdr:col>15</xdr:col>
                    <xdr:colOff>12700</xdr:colOff>
                    <xdr:row>23</xdr:row>
                    <xdr:rowOff>12700</xdr:rowOff>
                  </to>
                </anchor>
              </controlPr>
            </control>
          </mc:Choice>
        </mc:AlternateContent>
        <mc:AlternateContent xmlns:mc="http://schemas.openxmlformats.org/markup-compatibility/2006">
          <mc:Choice Requires="x14">
            <control shapeId="229387" r:id="rId14" name="Check Box 11">
              <controlPr locked="0" defaultSize="0" autoFill="0" autoLine="0" autoPict="0">
                <anchor moveWithCells="1">
                  <from>
                    <xdr:col>12</xdr:col>
                    <xdr:colOff>50800</xdr:colOff>
                    <xdr:row>23</xdr:row>
                    <xdr:rowOff>69850</xdr:rowOff>
                  </from>
                  <to>
                    <xdr:col>15</xdr:col>
                    <xdr:colOff>12700</xdr:colOff>
                    <xdr:row>24</xdr:row>
                    <xdr:rowOff>0</xdr:rowOff>
                  </to>
                </anchor>
              </controlPr>
            </control>
          </mc:Choice>
        </mc:AlternateContent>
        <mc:AlternateContent xmlns:mc="http://schemas.openxmlformats.org/markup-compatibility/2006">
          <mc:Choice Requires="x14">
            <control shapeId="229388" r:id="rId15" name="Check Box 12">
              <controlPr locked="0" defaultSize="0" autoFill="0" autoLine="0" autoPict="0">
                <anchor moveWithCells="1">
                  <from>
                    <xdr:col>12</xdr:col>
                    <xdr:colOff>50800</xdr:colOff>
                    <xdr:row>24</xdr:row>
                    <xdr:rowOff>50800</xdr:rowOff>
                  </from>
                  <to>
                    <xdr:col>15</xdr:col>
                    <xdr:colOff>12700</xdr:colOff>
                    <xdr:row>25</xdr:row>
                    <xdr:rowOff>0</xdr:rowOff>
                  </to>
                </anchor>
              </controlPr>
            </control>
          </mc:Choice>
        </mc:AlternateContent>
        <mc:AlternateContent xmlns:mc="http://schemas.openxmlformats.org/markup-compatibility/2006">
          <mc:Choice Requires="x14">
            <control shapeId="229389" r:id="rId16" name="Check Box 13">
              <controlPr locked="0" defaultSize="0" autoFill="0" autoLine="0" autoPict="0">
                <anchor moveWithCells="1">
                  <from>
                    <xdr:col>17</xdr:col>
                    <xdr:colOff>50800</xdr:colOff>
                    <xdr:row>22</xdr:row>
                    <xdr:rowOff>50800</xdr:rowOff>
                  </from>
                  <to>
                    <xdr:col>20</xdr:col>
                    <xdr:colOff>12700</xdr:colOff>
                    <xdr:row>23</xdr:row>
                    <xdr:rowOff>12700</xdr:rowOff>
                  </to>
                </anchor>
              </controlPr>
            </control>
          </mc:Choice>
        </mc:AlternateContent>
        <mc:AlternateContent xmlns:mc="http://schemas.openxmlformats.org/markup-compatibility/2006">
          <mc:Choice Requires="x14">
            <control shapeId="229390" r:id="rId17" name="Check Box 14">
              <controlPr locked="0" defaultSize="0" autoFill="0" autoLine="0" autoPict="0">
                <anchor moveWithCells="1">
                  <from>
                    <xdr:col>17</xdr:col>
                    <xdr:colOff>50800</xdr:colOff>
                    <xdr:row>23</xdr:row>
                    <xdr:rowOff>69850</xdr:rowOff>
                  </from>
                  <to>
                    <xdr:col>20</xdr:col>
                    <xdr:colOff>12700</xdr:colOff>
                    <xdr:row>24</xdr:row>
                    <xdr:rowOff>0</xdr:rowOff>
                  </to>
                </anchor>
              </controlPr>
            </control>
          </mc:Choice>
        </mc:AlternateContent>
        <mc:AlternateContent xmlns:mc="http://schemas.openxmlformats.org/markup-compatibility/2006">
          <mc:Choice Requires="x14">
            <control shapeId="229391" r:id="rId18" name="Check Box 15">
              <controlPr locked="0" defaultSize="0" autoFill="0" autoLine="0" autoPict="0">
                <anchor moveWithCells="1">
                  <from>
                    <xdr:col>17</xdr:col>
                    <xdr:colOff>50800</xdr:colOff>
                    <xdr:row>24</xdr:row>
                    <xdr:rowOff>50800</xdr:rowOff>
                  </from>
                  <to>
                    <xdr:col>20</xdr:col>
                    <xdr:colOff>12700</xdr:colOff>
                    <xdr:row>25</xdr:row>
                    <xdr:rowOff>0</xdr:rowOff>
                  </to>
                </anchor>
              </controlPr>
            </control>
          </mc:Choice>
        </mc:AlternateContent>
        <mc:AlternateContent xmlns:mc="http://schemas.openxmlformats.org/markup-compatibility/2006">
          <mc:Choice Requires="x14">
            <control shapeId="229392" r:id="rId19" name="Check Box 16">
              <controlPr locked="0" defaultSize="0" autoFill="0" autoLine="0" autoPict="0">
                <anchor moveWithCells="1">
                  <from>
                    <xdr:col>20</xdr:col>
                    <xdr:colOff>50800</xdr:colOff>
                    <xdr:row>25</xdr:row>
                    <xdr:rowOff>38100</xdr:rowOff>
                  </from>
                  <to>
                    <xdr:col>23</xdr:col>
                    <xdr:colOff>12700</xdr:colOff>
                    <xdr:row>25</xdr:row>
                    <xdr:rowOff>260350</xdr:rowOff>
                  </to>
                </anchor>
              </controlPr>
            </control>
          </mc:Choice>
        </mc:AlternateContent>
        <mc:AlternateContent xmlns:mc="http://schemas.openxmlformats.org/markup-compatibility/2006">
          <mc:Choice Requires="x14">
            <control shapeId="229393" r:id="rId20" name="Check Box 17">
              <controlPr locked="0" defaultSize="0" autoFill="0" autoLine="0" autoPict="0">
                <anchor moveWithCells="1">
                  <from>
                    <xdr:col>23</xdr:col>
                    <xdr:colOff>50800</xdr:colOff>
                    <xdr:row>25</xdr:row>
                    <xdr:rowOff>38100</xdr:rowOff>
                  </from>
                  <to>
                    <xdr:col>26</xdr:col>
                    <xdr:colOff>12700</xdr:colOff>
                    <xdr:row>25</xdr:row>
                    <xdr:rowOff>260350</xdr:rowOff>
                  </to>
                </anchor>
              </controlPr>
            </control>
          </mc:Choice>
        </mc:AlternateContent>
        <mc:AlternateContent xmlns:mc="http://schemas.openxmlformats.org/markup-compatibility/2006">
          <mc:Choice Requires="x14">
            <control shapeId="229394" r:id="rId21" name="Check Box 18">
              <controlPr locked="0" defaultSize="0" autoFill="0" autoLine="0" autoPict="0">
                <anchor moveWithCells="1">
                  <from>
                    <xdr:col>20</xdr:col>
                    <xdr:colOff>50800</xdr:colOff>
                    <xdr:row>42</xdr:row>
                    <xdr:rowOff>146050</xdr:rowOff>
                  </from>
                  <to>
                    <xdr:col>23</xdr:col>
                    <xdr:colOff>12700</xdr:colOff>
                    <xdr:row>42</xdr:row>
                    <xdr:rowOff>355600</xdr:rowOff>
                  </to>
                </anchor>
              </controlPr>
            </control>
          </mc:Choice>
        </mc:AlternateContent>
        <mc:AlternateContent xmlns:mc="http://schemas.openxmlformats.org/markup-compatibility/2006">
          <mc:Choice Requires="x14">
            <control shapeId="229395" r:id="rId22" name="Check Box 19">
              <controlPr locked="0" defaultSize="0" autoFill="0" autoLine="0" autoPict="0">
                <anchor moveWithCells="1">
                  <from>
                    <xdr:col>23</xdr:col>
                    <xdr:colOff>50800</xdr:colOff>
                    <xdr:row>42</xdr:row>
                    <xdr:rowOff>146050</xdr:rowOff>
                  </from>
                  <to>
                    <xdr:col>26</xdr:col>
                    <xdr:colOff>12700</xdr:colOff>
                    <xdr:row>43</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4733</vt:i4>
      </vt:variant>
    </vt:vector>
  </HeadingPairs>
  <TitlesOfParts>
    <vt:vector size="4797" baseType="lpstr">
      <vt:lpstr>Dropdowns</vt:lpstr>
      <vt:lpstr>list</vt:lpstr>
      <vt:lpstr>activesheet</vt:lpstr>
      <vt:lpstr>List of Tables &amp; Boxes</vt:lpstr>
      <vt:lpstr>SchInfo </vt:lpstr>
      <vt:lpstr>Table1-2</vt:lpstr>
      <vt:lpstr>Table2 cont.</vt:lpstr>
      <vt:lpstr>Table3</vt:lpstr>
      <vt:lpstr>Table4</vt:lpstr>
      <vt:lpstr>Table5</vt:lpstr>
      <vt:lpstr>Table6</vt:lpstr>
      <vt:lpstr>Tables7,8,9</vt:lpstr>
      <vt:lpstr>Table10</vt:lpstr>
      <vt:lpstr>Table11 </vt:lpstr>
      <vt:lpstr>Tables12-13</vt:lpstr>
      <vt:lpstr>Tables14-15</vt:lpstr>
      <vt:lpstr>Tables16-17</vt:lpstr>
      <vt:lpstr>Table18-Boxes1-2</vt:lpstr>
      <vt:lpstr>Boxes3-5</vt:lpstr>
      <vt:lpstr>Table19 </vt:lpstr>
      <vt:lpstr>Table20</vt:lpstr>
      <vt:lpstr>Box6-Table21</vt:lpstr>
      <vt:lpstr>Table22</vt:lpstr>
      <vt:lpstr>Table23</vt:lpstr>
      <vt:lpstr>Table24</vt:lpstr>
      <vt:lpstr>Table25</vt:lpstr>
      <vt:lpstr>Table26-Box7</vt:lpstr>
      <vt:lpstr>Table27-Box8</vt:lpstr>
      <vt:lpstr>Box9</vt:lpstr>
      <vt:lpstr>Box9 cont.-Box10</vt:lpstr>
      <vt:lpstr>Table28a-c</vt:lpstr>
      <vt:lpstr>Table28d-Box11</vt:lpstr>
      <vt:lpstr>Box12-Table29</vt:lpstr>
      <vt:lpstr>Tables30.31.32</vt:lpstr>
      <vt:lpstr>Box13</vt:lpstr>
      <vt:lpstr>Box14</vt:lpstr>
      <vt:lpstr>Box15</vt:lpstr>
      <vt:lpstr>Box16</vt:lpstr>
      <vt:lpstr>Boxes17,18,19,20</vt:lpstr>
      <vt:lpstr>Boxes21,22,23</vt:lpstr>
      <vt:lpstr>Boxes24-25</vt:lpstr>
      <vt:lpstr>Box26</vt:lpstr>
      <vt:lpstr>Table33</vt:lpstr>
      <vt:lpstr>Box27</vt:lpstr>
      <vt:lpstr>Table34</vt:lpstr>
      <vt:lpstr>Table34 cont.</vt:lpstr>
      <vt:lpstr>Table35</vt:lpstr>
      <vt:lpstr>Table35 cont.-Table36</vt:lpstr>
      <vt:lpstr>Box28_part1 </vt:lpstr>
      <vt:lpstr>Box28_part2_4</vt:lpstr>
      <vt:lpstr>Box28_part5</vt:lpstr>
      <vt:lpstr>Box29_part1</vt:lpstr>
      <vt:lpstr>Box29_part2</vt:lpstr>
      <vt:lpstr>Box30_part1</vt:lpstr>
      <vt:lpstr>Box30_part2</vt:lpstr>
      <vt:lpstr>Box30_part3a</vt:lpstr>
      <vt:lpstr>Box30_part3b </vt:lpstr>
      <vt:lpstr>Box30_part3b cont.</vt:lpstr>
      <vt:lpstr>Box31_Parts1-2</vt:lpstr>
      <vt:lpstr>Box31_part3a</vt:lpstr>
      <vt:lpstr>Box31_part3b</vt:lpstr>
      <vt:lpstr>Box31_part3c</vt:lpstr>
      <vt:lpstr>Box31_part3d</vt:lpstr>
      <vt:lpstr>Box32</vt:lpstr>
      <vt:lpstr>_ref_broadcast_station</vt:lpstr>
      <vt:lpstr>_ref_cell_serv_provider</vt:lpstr>
      <vt:lpstr>_ref_cell_wtg</vt:lpstr>
      <vt:lpstr>_ref_funding_source</vt:lpstr>
      <vt:lpstr>_ref_internet</vt:lpstr>
      <vt:lpstr>_ref_purpose</vt:lpstr>
      <vt:lpstr>_ref_service_provider</vt:lpstr>
      <vt:lpstr>_ref_stat_partnership</vt:lpstr>
      <vt:lpstr>_ref_type_printer</vt:lpstr>
      <vt:lpstr>_ref_type_radio</vt:lpstr>
      <vt:lpstr>action_research_ongoing</vt:lpstr>
      <vt:lpstr>action_research_prev_sy</vt:lpstr>
      <vt:lpstr>action_research_tobe_conducted</vt:lpstr>
      <vt:lpstr>action_research_yes</vt:lpstr>
      <vt:lpstr>adm_eimpact</vt:lpstr>
      <vt:lpstr>adm_eimpact_number</vt:lpstr>
      <vt:lpstr>adm_homeschool</vt:lpstr>
      <vt:lpstr>adm_homeschool_number</vt:lpstr>
      <vt:lpstr>adm_misosa</vt:lpstr>
      <vt:lpstr>adm_misosa_number</vt:lpstr>
      <vt:lpstr>adm_nighthighschool</vt:lpstr>
      <vt:lpstr>adm_nighthighschool_number</vt:lpstr>
      <vt:lpstr>adm_ohsp</vt:lpstr>
      <vt:lpstr>adm_ohsp_number</vt:lpstr>
      <vt:lpstr>alive_muslim_f_g1</vt:lpstr>
      <vt:lpstr>alive_muslim_f_g2</vt:lpstr>
      <vt:lpstr>alive_muslim_f_g3</vt:lpstr>
      <vt:lpstr>alive_muslim_f_g4</vt:lpstr>
      <vt:lpstr>alive_muslim_f_g5</vt:lpstr>
      <vt:lpstr>alive_muslim_f_g6</vt:lpstr>
      <vt:lpstr>alive_muslim_f_k</vt:lpstr>
      <vt:lpstr>alive_muslim_m_g1</vt:lpstr>
      <vt:lpstr>alive_muslim_m_g2</vt:lpstr>
      <vt:lpstr>alive_muslim_m_g3</vt:lpstr>
      <vt:lpstr>alive_muslim_m_g4</vt:lpstr>
      <vt:lpstr>alive_muslim_m_g5</vt:lpstr>
      <vt:lpstr>alive_muslim_m_g6</vt:lpstr>
      <vt:lpstr>alive_muslim_m_k</vt:lpstr>
      <vt:lpstr>alive_nonmuslim_f_g1</vt:lpstr>
      <vt:lpstr>alive_nonmuslim_f_g2</vt:lpstr>
      <vt:lpstr>alive_nonmuslim_f_g3</vt:lpstr>
      <vt:lpstr>alive_nonmuslim_f_g4</vt:lpstr>
      <vt:lpstr>alive_nonmuslim_f_g5</vt:lpstr>
      <vt:lpstr>alive_nonmuslim_f_g6</vt:lpstr>
      <vt:lpstr>alive_nonmuslim_f_k</vt:lpstr>
      <vt:lpstr>alive_nonmuslim_m_g1</vt:lpstr>
      <vt:lpstr>alive_nonmuslim_m_g2</vt:lpstr>
      <vt:lpstr>alive_nonmuslim_m_g3</vt:lpstr>
      <vt:lpstr>alive_nonmuslim_m_g4</vt:lpstr>
      <vt:lpstr>alive_nonmuslim_m_g5</vt:lpstr>
      <vt:lpstr>alive_nonmuslim_m_g6</vt:lpstr>
      <vt:lpstr>alive_nonmuslim_m_k</vt:lpstr>
      <vt:lpstr>ave_cost_monthly_bills_amount</vt:lpstr>
      <vt:lpstr>BARMM</vt:lpstr>
      <vt:lpstr>broadcast_station_broadcast_date1</vt:lpstr>
      <vt:lpstr>broadcast_station_broadcast_date2</vt:lpstr>
      <vt:lpstr>broadcast_station_broadcast_date3</vt:lpstr>
      <vt:lpstr>broadcast_station_broadcast_date4</vt:lpstr>
      <vt:lpstr>broadcast_station_broadcast_date5</vt:lpstr>
      <vt:lpstr>broadcast_station_broadcast_date6</vt:lpstr>
      <vt:lpstr>broadcast_station_broadcast_date7</vt:lpstr>
      <vt:lpstr>broadcast_station_broadcast_date8</vt:lpstr>
      <vt:lpstr>broadcast_station_broadcast_date9</vt:lpstr>
      <vt:lpstr>broadcast_station_frequency1</vt:lpstr>
      <vt:lpstr>broadcast_station_frequency2</vt:lpstr>
      <vt:lpstr>broadcast_station_frequency3</vt:lpstr>
      <vt:lpstr>broadcast_station_frequency4</vt:lpstr>
      <vt:lpstr>broadcast_station_frequency5</vt:lpstr>
      <vt:lpstr>broadcast_station_frequency6</vt:lpstr>
      <vt:lpstr>broadcast_station_frequency7</vt:lpstr>
      <vt:lpstr>broadcast_station_frequency8</vt:lpstr>
      <vt:lpstr>broadcast_station_frequency9</vt:lpstr>
      <vt:lpstr>broadcast_station_name1</vt:lpstr>
      <vt:lpstr>broadcast_station_name2</vt:lpstr>
      <vt:lpstr>broadcast_station_name3</vt:lpstr>
      <vt:lpstr>broadcast_station_name4</vt:lpstr>
      <vt:lpstr>broadcast_station_name5</vt:lpstr>
      <vt:lpstr>broadcast_station_name6</vt:lpstr>
      <vt:lpstr>broadcast_station_name7</vt:lpstr>
      <vt:lpstr>broadcast_station_name8</vt:lpstr>
      <vt:lpstr>broadcast_station_name9</vt:lpstr>
      <vt:lpstr>broadcast_station_ntc_licensenum1</vt:lpstr>
      <vt:lpstr>broadcast_station_ntc_licensenum2</vt:lpstr>
      <vt:lpstr>broadcast_station_ntc_licensenum3</vt:lpstr>
      <vt:lpstr>broadcast_station_ntc_licensenum4</vt:lpstr>
      <vt:lpstr>broadcast_station_ntc_licensenum5</vt:lpstr>
      <vt:lpstr>broadcast_station_ntc_licensenum6</vt:lpstr>
      <vt:lpstr>broadcast_station_ntc_licensenum7</vt:lpstr>
      <vt:lpstr>broadcast_station_ntc_licensenum8</vt:lpstr>
      <vt:lpstr>broadcast_station_ntc_licensenum9</vt:lpstr>
      <vt:lpstr>broadcast_station_owner1</vt:lpstr>
      <vt:lpstr>broadcast_station_owner2</vt:lpstr>
      <vt:lpstr>broadcast_station_owner3</vt:lpstr>
      <vt:lpstr>broadcast_station_owner4</vt:lpstr>
      <vt:lpstr>broadcast_station_owner5</vt:lpstr>
      <vt:lpstr>broadcast_station_owner6</vt:lpstr>
      <vt:lpstr>broadcast_station_owner7</vt:lpstr>
      <vt:lpstr>broadcast_station_owner8</vt:lpstr>
      <vt:lpstr>broadcast_station_owner9</vt:lpstr>
      <vt:lpstr>broadcast_station_partner_address1</vt:lpstr>
      <vt:lpstr>broadcast_station_partner_address2</vt:lpstr>
      <vt:lpstr>broadcast_station_partner_address3</vt:lpstr>
      <vt:lpstr>broadcast_station_partner_address4</vt:lpstr>
      <vt:lpstr>broadcast_station_partner_address5</vt:lpstr>
      <vt:lpstr>broadcast_station_partner_address6</vt:lpstr>
      <vt:lpstr>broadcast_station_partner_address7</vt:lpstr>
      <vt:lpstr>broadcast_station_partner_address8</vt:lpstr>
      <vt:lpstr>broadcast_station_partner_address9</vt:lpstr>
      <vt:lpstr>broadcast_station_partner_contact1</vt:lpstr>
      <vt:lpstr>broadcast_station_partner_contact2</vt:lpstr>
      <vt:lpstr>broadcast_station_partner_contact3</vt:lpstr>
      <vt:lpstr>broadcast_station_partner_contact4</vt:lpstr>
      <vt:lpstr>broadcast_station_partner_contact5</vt:lpstr>
      <vt:lpstr>broadcast_station_partner_contact6</vt:lpstr>
      <vt:lpstr>broadcast_station_partner_contact7</vt:lpstr>
      <vt:lpstr>broadcast_station_partner_contact8</vt:lpstr>
      <vt:lpstr>broadcast_station_partner_contact9</vt:lpstr>
      <vt:lpstr>broadcast_station_partner_email1</vt:lpstr>
      <vt:lpstr>broadcast_station_partner_email2</vt:lpstr>
      <vt:lpstr>broadcast_station_partner_email3</vt:lpstr>
      <vt:lpstr>broadcast_station_partner_email4</vt:lpstr>
      <vt:lpstr>broadcast_station_partner_email5</vt:lpstr>
      <vt:lpstr>broadcast_station_partner_email6</vt:lpstr>
      <vt:lpstr>broadcast_station_partner_email7</vt:lpstr>
      <vt:lpstr>broadcast_station_partner_email8</vt:lpstr>
      <vt:lpstr>broadcast_station_partner_email9</vt:lpstr>
      <vt:lpstr>broadcast_station_partner_status1</vt:lpstr>
      <vt:lpstr>broadcast_station_partner_status2</vt:lpstr>
      <vt:lpstr>broadcast_station_partner_status3</vt:lpstr>
      <vt:lpstr>broadcast_station_partner_status4</vt:lpstr>
      <vt:lpstr>broadcast_station_partner_status5</vt:lpstr>
      <vt:lpstr>broadcast_station_partner_status6</vt:lpstr>
      <vt:lpstr>broadcast_station_partner_status7</vt:lpstr>
      <vt:lpstr>broadcast_station_partner_status8</vt:lpstr>
      <vt:lpstr>broadcast_station_partner_status9</vt:lpstr>
      <vt:lpstr>broadcast_station_type1</vt:lpstr>
      <vt:lpstr>broadcast_station_type2</vt:lpstr>
      <vt:lpstr>broadcast_station_type3</vt:lpstr>
      <vt:lpstr>broadcast_station_type4</vt:lpstr>
      <vt:lpstr>broadcast_station_type5</vt:lpstr>
      <vt:lpstr>broadcast_station_type6</vt:lpstr>
      <vt:lpstr>broadcast_station_type7</vt:lpstr>
      <vt:lpstr>broadcast_station_type8</vt:lpstr>
      <vt:lpstr>broadcast_station_type9</vt:lpstr>
      <vt:lpstr>CAR</vt:lpstr>
      <vt:lpstr>CARAGA</vt:lpstr>
      <vt:lpstr>cellcomm_avemonth_expense1</vt:lpstr>
      <vt:lpstr>cellcomm_avemonth_expense2</vt:lpstr>
      <vt:lpstr>cellcomm_avemonth_expense3</vt:lpstr>
      <vt:lpstr>cellcomm_avemonth_expense4</vt:lpstr>
      <vt:lpstr>cellcomm_avemonth_expense5</vt:lpstr>
      <vt:lpstr>cellcomm_avemonth_expense6</vt:lpstr>
      <vt:lpstr>cellcomm_cellserviceprovider1</vt:lpstr>
      <vt:lpstr>cellcomm_cellserviceprovider1_call</vt:lpstr>
      <vt:lpstr>cellcomm_cellserviceprovider1_image</vt:lpstr>
      <vt:lpstr>cellcomm_cellserviceprovider1_nosignal</vt:lpstr>
      <vt:lpstr>cellcomm_cellserviceprovider1_text</vt:lpstr>
      <vt:lpstr>cellcomm_cellserviceprovider1_vidcall</vt:lpstr>
      <vt:lpstr>cellcomm_cellserviceprovider2</vt:lpstr>
      <vt:lpstr>cellcomm_cellserviceprovider2_cal</vt:lpstr>
      <vt:lpstr>cellcomm_cellserviceprovider2_call</vt:lpstr>
      <vt:lpstr>cellcomm_cellserviceprovider2_image</vt:lpstr>
      <vt:lpstr>cellcomm_cellserviceprovider2_nosignal</vt:lpstr>
      <vt:lpstr>cellcomm_cellserviceprovider2_text</vt:lpstr>
      <vt:lpstr>cellcomm_cellserviceprovider2_vidcall</vt:lpstr>
      <vt:lpstr>cellcomm_cellserviceprovider3</vt:lpstr>
      <vt:lpstr>cellcomm_cellserviceprovider3_call</vt:lpstr>
      <vt:lpstr>cellcomm_cellserviceprovider3_image</vt:lpstr>
      <vt:lpstr>cellcomm_cellserviceprovider3_nosignal</vt:lpstr>
      <vt:lpstr>cellcomm_cellserviceprovider3_text</vt:lpstr>
      <vt:lpstr>cellcomm_cellserviceprovider3_vidcall</vt:lpstr>
      <vt:lpstr>cellcomm_cellserviceprovider4</vt:lpstr>
      <vt:lpstr>cellcomm_cellserviceprovider4_call</vt:lpstr>
      <vt:lpstr>cellcomm_cellserviceprovider4_image</vt:lpstr>
      <vt:lpstr>cellcomm_cellserviceprovider4_nosignal</vt:lpstr>
      <vt:lpstr>cellcomm_cellserviceprovider4_text</vt:lpstr>
      <vt:lpstr>cellcomm_cellserviceprovider4_vidcall</vt:lpstr>
      <vt:lpstr>cellcomm_cellserviceprovider5</vt:lpstr>
      <vt:lpstr>cellcomm_cellserviceprovider5_call</vt:lpstr>
      <vt:lpstr>cellcomm_cellserviceprovider5_image</vt:lpstr>
      <vt:lpstr>cellcomm_cellserviceprovider5_nosignal</vt:lpstr>
      <vt:lpstr>cellcomm_cellserviceprovider5_text</vt:lpstr>
      <vt:lpstr>cellcomm_cellserviceprovider5_vidcall</vt:lpstr>
      <vt:lpstr>cellcomm_cellserviceprovider6</vt:lpstr>
      <vt:lpstr>cellcomm_cellserviceprovider6_call</vt:lpstr>
      <vt:lpstr>cellcomm_cellserviceprovider6_image</vt:lpstr>
      <vt:lpstr>cellcomm_cellserviceprovider6_nosignal</vt:lpstr>
      <vt:lpstr>cellcomm_cellserviceprovider6_text</vt:lpstr>
      <vt:lpstr>cellcomm_cellserviceprovider6_vidcall</vt:lpstr>
      <vt:lpstr>cellcomm_funding_source1</vt:lpstr>
      <vt:lpstr>cellcomm_funding_source2</vt:lpstr>
      <vt:lpstr>cellcomm_funding_source3</vt:lpstr>
      <vt:lpstr>cellcomm_funding_source4</vt:lpstr>
      <vt:lpstr>cellcomm_funding_source5</vt:lpstr>
      <vt:lpstr>cellcomm_funding_source6</vt:lpstr>
      <vt:lpstr>cellcomm_type_wireless_conn1</vt:lpstr>
      <vt:lpstr>cellcomm_type_wireless_conn2</vt:lpstr>
      <vt:lpstr>cellcomm_type_wireless_conn3</vt:lpstr>
      <vt:lpstr>cellcomm_type_wireless_conn4</vt:lpstr>
      <vt:lpstr>cellcomm_type_wireless_conn5</vt:lpstr>
      <vt:lpstr>cellcomm_type_wireless_conn6</vt:lpstr>
      <vt:lpstr>cid_personnel_name</vt:lpstr>
      <vt:lpstr>cid_personnel_pos</vt:lpstr>
      <vt:lpstr>clinic_basiclifesupport_unit</vt:lpstr>
      <vt:lpstr>clinic_bpapparatus_unit</vt:lpstr>
      <vt:lpstr>clinic_designated_teacher_yes</vt:lpstr>
      <vt:lpstr>clinic_designated_yes</vt:lpstr>
      <vt:lpstr>clinic_firstaidkits_unit</vt:lpstr>
      <vt:lpstr>clinic_thermometers_unit</vt:lpstr>
      <vt:lpstr>clinic_tools_microtoise</vt:lpstr>
      <vt:lpstr>clinic_tools_others</vt:lpstr>
      <vt:lpstr>clinic_tools_others_value</vt:lpstr>
      <vt:lpstr>clinic_tools_stadiometer</vt:lpstr>
      <vt:lpstr>clinic_tools_steeltape</vt:lpstr>
      <vt:lpstr>clinic_tools_tapemeasure</vt:lpstr>
      <vt:lpstr>clinic_weighing_bathroom_units</vt:lpstr>
      <vt:lpstr>clinic_weighing_beambalance_units</vt:lpstr>
      <vt:lpstr>clinic_weighing_other</vt:lpstr>
      <vt:lpstr>clinic_weighing_other_units</vt:lpstr>
      <vt:lpstr>combo_avemonthlyexpense_fundingsource1</vt:lpstr>
      <vt:lpstr>combo_avemonthlyexpense_fundingsource2</vt:lpstr>
      <vt:lpstr>combo_avemonthlyexpense_fundingsource3</vt:lpstr>
      <vt:lpstr>combo_avemonthlyexpense_fundingsource4</vt:lpstr>
      <vt:lpstr>combo_avemonthlyexpense_fundingsource5</vt:lpstr>
      <vt:lpstr>combo_avemonthlyexpense_internetserviceprovider1</vt:lpstr>
      <vt:lpstr>combo_avemonthlyexpense_internetserviceprovider2</vt:lpstr>
      <vt:lpstr>combo_avemonthlyexpense_internetserviceprovider3</vt:lpstr>
      <vt:lpstr>combo_avemonthlyexpense_internetserviceprovider4</vt:lpstr>
      <vt:lpstr>combo_avemonthlyexpense_internetserviceprovider5</vt:lpstr>
      <vt:lpstr>combo_avemontlyexpense_typesofinternet1</vt:lpstr>
      <vt:lpstr>combo_avemontlyexpense_typesofinternet2</vt:lpstr>
      <vt:lpstr>combo_avemontlyexpense_typesofinternet3</vt:lpstr>
      <vt:lpstr>combo_avemontlyexpense_typesofinternet4</vt:lpstr>
      <vt:lpstr>combo_avemontlyexpense_typesofinternet5</vt:lpstr>
      <vt:lpstr>cp_inc_bullying_cyber_lrnrs_f</vt:lpstr>
      <vt:lpstr>cp_inc_bullying_cyber_lrnrs_m</vt:lpstr>
      <vt:lpstr>cp_inc_bullying_due_age_g1</vt:lpstr>
      <vt:lpstr>cp_inc_bullying_due_age_g2</vt:lpstr>
      <vt:lpstr>cp_inc_bullying_due_age_g3</vt:lpstr>
      <vt:lpstr>cp_inc_bullying_due_age_g4</vt:lpstr>
      <vt:lpstr>cp_inc_bullying_due_age_g5</vt:lpstr>
      <vt:lpstr>cp_inc_bullying_due_age_g6</vt:lpstr>
      <vt:lpstr>cp_inc_bullying_due_age_k</vt:lpstr>
      <vt:lpstr>cp_inc_bullying_due_disability_g1</vt:lpstr>
      <vt:lpstr>cp_inc_bullying_due_disability_g2</vt:lpstr>
      <vt:lpstr>cp_inc_bullying_due_disability_g3</vt:lpstr>
      <vt:lpstr>cp_inc_bullying_due_disability_g4</vt:lpstr>
      <vt:lpstr>cp_inc_bullying_due_disability_g5</vt:lpstr>
      <vt:lpstr>cp_inc_bullying_due_disability_g6</vt:lpstr>
      <vt:lpstr>cp_inc_bullying_due_disability_k</vt:lpstr>
      <vt:lpstr>cp_inc_bullying_due_gender_g1</vt:lpstr>
      <vt:lpstr>cp_inc_bullying_due_gender_g2</vt:lpstr>
      <vt:lpstr>cp_inc_bullying_due_gender_g3</vt:lpstr>
      <vt:lpstr>cp_inc_bullying_due_gender_g4</vt:lpstr>
      <vt:lpstr>cp_inc_bullying_due_gender_g5</vt:lpstr>
      <vt:lpstr>cp_inc_bullying_due_gender_g6</vt:lpstr>
      <vt:lpstr>cp_inc_bullying_due_gender_k</vt:lpstr>
      <vt:lpstr>cp_inc_bullying_due_others_g1</vt:lpstr>
      <vt:lpstr>cp_inc_bullying_due_others_g2</vt:lpstr>
      <vt:lpstr>cp_inc_bullying_due_others_g3</vt:lpstr>
      <vt:lpstr>cp_inc_bullying_due_others_g4</vt:lpstr>
      <vt:lpstr>cp_inc_bullying_due_others_g5</vt:lpstr>
      <vt:lpstr>cp_inc_bullying_due_others_g6</vt:lpstr>
      <vt:lpstr>cp_inc_bullying_due_others_k</vt:lpstr>
      <vt:lpstr>cp_inc_bullying_due_physapp_g1</vt:lpstr>
      <vt:lpstr>cp_inc_bullying_due_physapp_g2</vt:lpstr>
      <vt:lpstr>cp_inc_bullying_due_physapp_g3</vt:lpstr>
      <vt:lpstr>cp_inc_bullying_due_physapp_g4</vt:lpstr>
      <vt:lpstr>cp_inc_bullying_due_physapp_g5</vt:lpstr>
      <vt:lpstr>cp_inc_bullying_due_physapp_g6</vt:lpstr>
      <vt:lpstr>cp_inc_bullying_due_physapp_k</vt:lpstr>
      <vt:lpstr>cp_inc_bullying_due_race_g1</vt:lpstr>
      <vt:lpstr>cp_inc_bullying_due_race_g2</vt:lpstr>
      <vt:lpstr>cp_inc_bullying_due_race_g3</vt:lpstr>
      <vt:lpstr>cp_inc_bullying_due_race_g4</vt:lpstr>
      <vt:lpstr>cp_inc_bullying_due_race_g5</vt:lpstr>
      <vt:lpstr>cp_inc_bullying_due_race_g6</vt:lpstr>
      <vt:lpstr>cp_inc_bullying_due_race_k</vt:lpstr>
      <vt:lpstr>cp_inc_bullying_due_religion_g1</vt:lpstr>
      <vt:lpstr>cp_inc_bullying_due_religion_g2</vt:lpstr>
      <vt:lpstr>cp_inc_bullying_due_religion_g3</vt:lpstr>
      <vt:lpstr>cp_inc_bullying_due_religion_g4</vt:lpstr>
      <vt:lpstr>cp_inc_bullying_due_religion_g5</vt:lpstr>
      <vt:lpstr>cp_inc_bullying_due_religion_g6</vt:lpstr>
      <vt:lpstr>cp_inc_bullying_due_religion_k</vt:lpstr>
      <vt:lpstr>cp_inc_bullying_due_skincolor_g1</vt:lpstr>
      <vt:lpstr>cp_inc_bullying_due_skincolor_g2</vt:lpstr>
      <vt:lpstr>cp_inc_bullying_due_skincolor_g3</vt:lpstr>
      <vt:lpstr>cp_inc_bullying_due_skincolor_g4</vt:lpstr>
      <vt:lpstr>cp_inc_bullying_due_skincolor_g5</vt:lpstr>
      <vt:lpstr>cp_inc_bullying_due_skincolor_g6</vt:lpstr>
      <vt:lpstr>cp_inc_bullying_due_skincolor_k</vt:lpstr>
      <vt:lpstr>cp_inc_bullying_due_statinlife_g1</vt:lpstr>
      <vt:lpstr>cp_inc_bullying_due_statinlife_g2</vt:lpstr>
      <vt:lpstr>cp_inc_bullying_due_statinlife_g3</vt:lpstr>
      <vt:lpstr>cp_inc_bullying_due_statinlife_g4</vt:lpstr>
      <vt:lpstr>cp_inc_bullying_due_statinlife_g5</vt:lpstr>
      <vt:lpstr>cp_inc_bullying_due_statinlife_g6</vt:lpstr>
      <vt:lpstr>cp_inc_bullying_due_statinlife_k</vt:lpstr>
      <vt:lpstr>cp_inc_bullying_g1_f</vt:lpstr>
      <vt:lpstr>cp_inc_bullying_g1_m</vt:lpstr>
      <vt:lpstr>cp_inc_bullying_g2_f</vt:lpstr>
      <vt:lpstr>cp_inc_bullying_g2_m</vt:lpstr>
      <vt:lpstr>cp_inc_bullying_g3_f</vt:lpstr>
      <vt:lpstr>cp_inc_bullying_g3_m</vt:lpstr>
      <vt:lpstr>cp_inc_bullying_g4_f</vt:lpstr>
      <vt:lpstr>cp_inc_bullying_g4_m</vt:lpstr>
      <vt:lpstr>cp_inc_bullying_g5_f</vt:lpstr>
      <vt:lpstr>cp_inc_bullying_g5_m</vt:lpstr>
      <vt:lpstr>cp_inc_bullying_g6_f</vt:lpstr>
      <vt:lpstr>cp_inc_bullying_g6_m</vt:lpstr>
      <vt:lpstr>cp_inc_bullying_genderbased_lrnrs_f</vt:lpstr>
      <vt:lpstr>cp_inc_bullying_genderbased_lrnrs_m</vt:lpstr>
      <vt:lpstr>cp_inc_bullying_k_f</vt:lpstr>
      <vt:lpstr>cp_inc_bullying_k_m</vt:lpstr>
      <vt:lpstr>cp_inc_bullying_physical_lrnrs_f</vt:lpstr>
      <vt:lpstr>cp_inc_bullying_physical_lrnrs_m</vt:lpstr>
      <vt:lpstr>cp_inc_bullying_social_lrnrs_f</vt:lpstr>
      <vt:lpstr>cp_inc_bullying_social_lrnrs_m</vt:lpstr>
      <vt:lpstr>cp_inc_vag_g1_f</vt:lpstr>
      <vt:lpstr>cp_inc_vag_g1_m</vt:lpstr>
      <vt:lpstr>cp_inc_vag_g2_f</vt:lpstr>
      <vt:lpstr>cp_inc_vag_g2_m</vt:lpstr>
      <vt:lpstr>cp_inc_vag_g3_f</vt:lpstr>
      <vt:lpstr>cp_inc_vag_g3_m</vt:lpstr>
      <vt:lpstr>cp_inc_vag_g4_f</vt:lpstr>
      <vt:lpstr>cp_inc_vag_g4_m</vt:lpstr>
      <vt:lpstr>cp_inc_vag_g5_f</vt:lpstr>
      <vt:lpstr>cp_inc_vag_g5_m</vt:lpstr>
      <vt:lpstr>cp_inc_vag_g6_f</vt:lpstr>
      <vt:lpstr>cp_inc_vag_g6_m</vt:lpstr>
      <vt:lpstr>cp_inc_vag_k_f</vt:lpstr>
      <vt:lpstr>cp_inc_vag_k_m</vt:lpstr>
      <vt:lpstr>cp_inc_violence_others_lrnrs_f</vt:lpstr>
      <vt:lpstr>cp_inc_violence_others_lrnrs_m</vt:lpstr>
      <vt:lpstr>cp_inc_violence_physical_lrnrs_f</vt:lpstr>
      <vt:lpstr>cp_inc_violence_physical_lrnrs_m</vt:lpstr>
      <vt:lpstr>cp_inc_violence_psychological_lrnrs_f</vt:lpstr>
      <vt:lpstr>cp_inc_violence_psychological_lrnrs_m</vt:lpstr>
      <vt:lpstr>cp_inc_violence_sexual_lrnrs_f</vt:lpstr>
      <vt:lpstr>cp_inc_violence_sexual_lrnrs_m</vt:lpstr>
      <vt:lpstr>cp_perp_violence_others_outsider</vt:lpstr>
      <vt:lpstr>cp_perp_violence_others_schpersonnel</vt:lpstr>
      <vt:lpstr>cp_perp_violence_physical_outsider</vt:lpstr>
      <vt:lpstr>cp_perp_violence_physical_schpersonnel</vt:lpstr>
      <vt:lpstr>cp_perp_violence_psychological_outsider</vt:lpstr>
      <vt:lpstr>cp_perp_violence_psychological_schpersonnel</vt:lpstr>
      <vt:lpstr>cp_perp_violence_sexual_outsider</vt:lpstr>
      <vt:lpstr>cp_perp_violence_sexual_schpersonnel</vt:lpstr>
      <vt:lpstr>curri_guide_ccam_als</vt:lpstr>
      <vt:lpstr>curri_guide_ccam_contents</vt:lpstr>
      <vt:lpstr>curri_guide_ccam_context_lr</vt:lpstr>
      <vt:lpstr>curri_guide_ccam_iped</vt:lpstr>
      <vt:lpstr>curri_guide_ccam_learningcomp</vt:lpstr>
      <vt:lpstr>curri_guide_ccam_sped</vt:lpstr>
      <vt:lpstr>curri_guide_drrm_als</vt:lpstr>
      <vt:lpstr>curri_guide_drrm_contents</vt:lpstr>
      <vt:lpstr>curri_guide_drrm_context_lr</vt:lpstr>
      <vt:lpstr>curri_guide_drrm_iped</vt:lpstr>
      <vt:lpstr>curri_guide_drrm_learningcomp</vt:lpstr>
      <vt:lpstr>curri_guide_drrm_sped</vt:lpstr>
      <vt:lpstr>curri_guide_pbuilding_als</vt:lpstr>
      <vt:lpstr>curri_guide_pbuilding_contents</vt:lpstr>
      <vt:lpstr>curri_guide_pbuilding_context_lr</vt:lpstr>
      <vt:lpstr>curri_guide_pbuilding_iped</vt:lpstr>
      <vt:lpstr>curri_guide_pbuilding_learningcomp</vt:lpstr>
      <vt:lpstr>curri_guide_pbuilding_sped</vt:lpstr>
      <vt:lpstr>deps_lrdms</vt:lpstr>
      <vt:lpstr>deps_lrdms_pos</vt:lpstr>
      <vt:lpstr>disastercalamities_human_induced_others_specify</vt:lpstr>
      <vt:lpstr>div_alive_coor_name</vt:lpstr>
      <vt:lpstr>div_alive_coor_pos</vt:lpstr>
      <vt:lpstr>div_hr_personnel_name</vt:lpstr>
      <vt:lpstr>div_hr_personnel_pos</vt:lpstr>
      <vt:lpstr>div_ito_name</vt:lpstr>
      <vt:lpstr>div_yfc_name</vt:lpstr>
      <vt:lpstr>div_yfc_pos</vt:lpstr>
      <vt:lpstr>do_accountant_name</vt:lpstr>
      <vt:lpstr>do_accountant_pos</vt:lpstr>
      <vt:lpstr>do_cp_focal_name</vt:lpstr>
      <vt:lpstr>do_cp_focal_pos_title</vt:lpstr>
      <vt:lpstr>do_iped_focal_name</vt:lpstr>
      <vt:lpstr>do_iped_focal_pos_title</vt:lpstr>
      <vt:lpstr>do_sports_coordinator_name</vt:lpstr>
      <vt:lpstr>do_sports_coordinator_pos</vt:lpstr>
      <vt:lpstr>drrm_cca_policies_dm084_2019</vt:lpstr>
      <vt:lpstr>drrm_cca_policies_dm221_2013</vt:lpstr>
      <vt:lpstr>drrm_cca_policies_do21_2015</vt:lpstr>
      <vt:lpstr>drrm_cca_policies_do23_2015</vt:lpstr>
      <vt:lpstr>drrm_cca_policies_do24_2021</vt:lpstr>
      <vt:lpstr>drrm_cca_policies_do27_2015</vt:lpstr>
      <vt:lpstr>drrm_cca_policies_do28_2016</vt:lpstr>
      <vt:lpstr>drrm_cca_policies_do32_2019</vt:lpstr>
      <vt:lpstr>drrm_cca_policies_do33_2021</vt:lpstr>
      <vt:lpstr>drrm_cca_policies_do37_2015</vt:lpstr>
      <vt:lpstr>drrm_cca_policies_do40_2012</vt:lpstr>
      <vt:lpstr>drrm_cca_policies_do43_2012</vt:lpstr>
      <vt:lpstr>drrm_cca_policies_do44_2005</vt:lpstr>
      <vt:lpstr>drrm_cca_policies_do57_2017</vt:lpstr>
      <vt:lpstr>drrm_cca_policies_do82_2010</vt:lpstr>
      <vt:lpstr>drrm_cca_policies_do83_2011</vt:lpstr>
      <vt:lpstr>drrm_ccam_cost_of_ppas</vt:lpstr>
      <vt:lpstr>drrm_ccam_no_of_ppas</vt:lpstr>
      <vt:lpstr>drrm_ccam_percent_sch_budget</vt:lpstr>
      <vt:lpstr>drrm_coordinator_name</vt:lpstr>
      <vt:lpstr>drrm_coordinator_pos</vt:lpstr>
      <vt:lpstr>drrm_dim_evidence_based_drrmccampbp</vt:lpstr>
      <vt:lpstr>drrm_dim_personnel_trained_nteaching_f</vt:lpstr>
      <vt:lpstr>drrm_dim_personnel_trained_nteaching_m</vt:lpstr>
      <vt:lpstr>drrm_dim_personnel_trained_teaching_f</vt:lpstr>
      <vt:lpstr>drrm_dim_personnel_trained_teaching_m</vt:lpstr>
      <vt:lpstr>drrm_dim_programs_developed_based_research</vt:lpstr>
      <vt:lpstr>drrm_dim_trainings_for_teaching_nteaching_data_mgmt</vt:lpstr>
      <vt:lpstr>drrm_dim_used_drrmccampbp_software_datacollect_chk</vt:lpstr>
      <vt:lpstr>drrm_documented_practices_drrmccam</vt:lpstr>
      <vt:lpstr>drrm_documented_practices_pbuilding</vt:lpstr>
      <vt:lpstr>drrm_drrm_cost_of_ppas</vt:lpstr>
      <vt:lpstr>drrm_drrm_no_of_ppas</vt:lpstr>
      <vt:lpstr>drrm_drrm_percent_sch_budget</vt:lpstr>
      <vt:lpstr>drrm_learner_participated_drrmccampbp_exclude_f</vt:lpstr>
      <vt:lpstr>drrm_learner_participated_drrmccampbp_exclude_m</vt:lpstr>
      <vt:lpstr>drrm_learner_participated_drrmccampbp_ip_f</vt:lpstr>
      <vt:lpstr>drrm_learner_participated_drrmccampbp_ip_m</vt:lpstr>
      <vt:lpstr>drrm_learner_participated_drrmccampbp_lwd_f</vt:lpstr>
      <vt:lpstr>drrm_learner_participated_drrmccampbp_lwd_m</vt:lpstr>
      <vt:lpstr>drrm_learner_participated_drrmccampbp_muslim_f</vt:lpstr>
      <vt:lpstr>drrm_learner_participated_drrmccampbp_muslim_m</vt:lpstr>
      <vt:lpstr>drrm_number_of_schoollevelpolicy_learners</vt:lpstr>
      <vt:lpstr>drrm_number_of_schoollevelpolicy_lgu</vt:lpstr>
      <vt:lpstr>drrm_number_of_schoollevelpolicy_ngo</vt:lpstr>
      <vt:lpstr>drrm_number_of_schoollevelpolicy_parents</vt:lpstr>
      <vt:lpstr>drrm_number_of_schoollevelpolicy_schpersonnel</vt:lpstr>
      <vt:lpstr>drrm_pbuild_cost_of_ppas</vt:lpstr>
      <vt:lpstr>drrm_pbuild_no_of_ppas</vt:lpstr>
      <vt:lpstr>drrm_pbuild_percent_sch_budget</vt:lpstr>
      <vt:lpstr>drrm_policy_learner_exclude_f</vt:lpstr>
      <vt:lpstr>drrm_policy_learner_exclude_m</vt:lpstr>
      <vt:lpstr>drrm_policy_learner_ip_f</vt:lpstr>
      <vt:lpstr>drrm_policy_learner_ip_m</vt:lpstr>
      <vt:lpstr>drrm_policy_learner_lwd_f</vt:lpstr>
      <vt:lpstr>drrm_policy_learner_lwd_m</vt:lpstr>
      <vt:lpstr>drrm_policy_learner_muslim_f</vt:lpstr>
      <vt:lpstr>drrm_policy_learner_muslim_m</vt:lpstr>
      <vt:lpstr>drrm_programs_developed_resultof_monitoring_evaluation_chk</vt:lpstr>
      <vt:lpstr>drrm_sch_compre_drrm_ccam_pbp_chk</vt:lpstr>
      <vt:lpstr>drrm_sch_compre_drrm_ccam_pbp_chk2</vt:lpstr>
      <vt:lpstr>drrm_sch_designated_drrm_coor_chk</vt:lpstr>
      <vt:lpstr>drrm_sch_drrmccampbp_consider_iksp_chk</vt:lpstr>
      <vt:lpstr>drrm_sch_drrmccampbp_consider_lwd_chk</vt:lpstr>
      <vt:lpstr>drrm_sch_drrmccampbp_develop_chk_extpartners</vt:lpstr>
      <vt:lpstr>drrm_sch_drrmccampbp_develop_chk_lgu</vt:lpstr>
      <vt:lpstr>drrm_sch_drrmccampbp_develop_chk_parents</vt:lpstr>
      <vt:lpstr>drrm_sch_drrmccampbp_develop_chk_schpersonnel</vt:lpstr>
      <vt:lpstr>drrm_sch_drrmccampbp_gender_sensitive_chk</vt:lpstr>
      <vt:lpstr>drrm_sch_functional_drrm_team_chk</vt:lpstr>
      <vt:lpstr>drrm_sch_monitoring_evaluation_implementing_drrmccampbp_chk</vt:lpstr>
      <vt:lpstr>drrm_sch_use_css_monitoring_chk</vt:lpstr>
      <vt:lpstr>electrical_funding_source_mooe</vt:lpstr>
      <vt:lpstr>electrical_funding_source_others</vt:lpstr>
      <vt:lpstr>electrical_funding_source_others_specify</vt:lpstr>
      <vt:lpstr>electrical_funding_source_private</vt:lpstr>
      <vt:lpstr>electrical_funding_sources_canteen</vt:lpstr>
      <vt:lpstr>electrical_funding_sources_lgu</vt:lpstr>
      <vt:lpstr>electrical_funding_sources_pta</vt:lpstr>
      <vt:lpstr>electrical_no_sources</vt:lpstr>
      <vt:lpstr>electrical_offgrid_generator</vt:lpstr>
      <vt:lpstr>electrical_offgrid_others</vt:lpstr>
      <vt:lpstr>electrical_offgrid_others_specify</vt:lpstr>
      <vt:lpstr>electrical_offgrid_solar_power</vt:lpstr>
      <vt:lpstr>electrical_supply_sources_grid</vt:lpstr>
      <vt:lpstr>electrical_supply_sources_offgrid</vt:lpstr>
      <vt:lpstr>electricity_available_inaday_hours</vt:lpstr>
      <vt:lpstr>es_sch_ws_ifyes_chk_natural</vt:lpstr>
      <vt:lpstr>es_sped_coordinator_name</vt:lpstr>
      <vt:lpstr>es_sped_coordinator_pos</vt:lpstr>
      <vt:lpstr>feeding_agriculture_agicrops</vt:lpstr>
      <vt:lpstr>feeding_agriculture_fishpond</vt:lpstr>
      <vt:lpstr>feeding_agriculture_gulayan</vt:lpstr>
      <vt:lpstr>feeding_agriculture_gulayan_fruits</vt:lpstr>
      <vt:lpstr>feeding_agriculture_gulayan_legumes</vt:lpstr>
      <vt:lpstr>feeding_agriculture_gulayan_rootcrops</vt:lpstr>
      <vt:lpstr>feeding_agriculture_gulayan_vegetables</vt:lpstr>
      <vt:lpstr>feeding_agriculture_livestock</vt:lpstr>
      <vt:lpstr>feeding_agriculture_none</vt:lpstr>
      <vt:lpstr>feeding_agriculture_others</vt:lpstr>
      <vt:lpstr>feeding_agriculture_others_values</vt:lpstr>
      <vt:lpstr>feeding_agriculture_used_fund_barangay</vt:lpstr>
      <vt:lpstr>feeding_agriculture_used_fund_canteen</vt:lpstr>
      <vt:lpstr>feeding_agriculture_used_fund_lgu</vt:lpstr>
      <vt:lpstr>feeding_agriculture_used_fund_mooe</vt:lpstr>
      <vt:lpstr>feeding_agriculture_used_fund_others</vt:lpstr>
      <vt:lpstr>feeding_agriculture_used_fund_others_value</vt:lpstr>
      <vt:lpstr>feeding_agriculture_used_fund_privatesector</vt:lpstr>
      <vt:lpstr>feeding_agriculture_used_fund_pta</vt:lpstr>
      <vt:lpstr>feeding_agriculture_used_has_yes</vt:lpstr>
      <vt:lpstr>feeding_school_fund_barangay</vt:lpstr>
      <vt:lpstr>feeding_school_fund_canteen</vt:lpstr>
      <vt:lpstr>feeding_school_fund_lgu</vt:lpstr>
      <vt:lpstr>feeding_school_fund_mooe</vt:lpstr>
      <vt:lpstr>feeding_school_fund_others</vt:lpstr>
      <vt:lpstr>feeding_school_fund_others_value</vt:lpstr>
      <vt:lpstr>feeding_school_fund_privatesector</vt:lpstr>
      <vt:lpstr>feeding_school_fund_pta</vt:lpstr>
      <vt:lpstr>feeding_school_fund_sbfp</vt:lpstr>
      <vt:lpstr>feeding_school_has_yes</vt:lpstr>
      <vt:lpstr>handling_canteen_others_healthcertificate_yes</vt:lpstr>
      <vt:lpstr>handling_canteen_school_healthcertificate_yes</vt:lpstr>
      <vt:lpstr>handling_canteen_teachercoop_healthcertificate_yes</vt:lpstr>
      <vt:lpstr>handling_school_canteen_has_yes</vt:lpstr>
      <vt:lpstr>handling_school_canteen_managed_others</vt:lpstr>
      <vt:lpstr>handling_school_canteen_managed_others_sanitarypermit</vt:lpstr>
      <vt:lpstr>handling_school_canteen_managed_others_validity</vt:lpstr>
      <vt:lpstr>handling_school_canteen_managed_others_value</vt:lpstr>
      <vt:lpstr>handling_school_canteen_managed_school</vt:lpstr>
      <vt:lpstr>handling_school_canteen_managed_school_sanitarypermit</vt:lpstr>
      <vt:lpstr>handling_school_canteen_managed_school_validity</vt:lpstr>
      <vt:lpstr>handling_school_canteen_managed_teachercoop</vt:lpstr>
      <vt:lpstr>handling_school_canteen_managed_teachercoop_sanitarypermit</vt:lpstr>
      <vt:lpstr>handling_school_canteen_managed_teachercoop_validity</vt:lpstr>
      <vt:lpstr>head_name</vt:lpstr>
      <vt:lpstr>head_pos_title</vt:lpstr>
      <vt:lpstr>I</vt:lpstr>
      <vt:lpstr>II</vt:lpstr>
      <vt:lpstr>III</vt:lpstr>
      <vt:lpstr>implesolidwm_composting</vt:lpstr>
      <vt:lpstr>implesolidwm_dtcp</vt:lpstr>
      <vt:lpstr>implesolidwm_pmsmcon</vt:lpstr>
      <vt:lpstr>implesolidwm_postsign</vt:lpstr>
      <vt:lpstr>implesolidwm_recyclingpr</vt:lpstr>
      <vt:lpstr>implesolidwm_urfc</vt:lpstr>
      <vt:lpstr>implesolidwm_usppcip</vt:lpstr>
      <vt:lpstr>implesolidwm_usrmtt</vt:lpstr>
      <vt:lpstr>implesolidwm_wasteseg</vt:lpstr>
      <vt:lpstr>implesolidwmes_schrbs</vt:lpstr>
      <vt:lpstr>implesolidwn_stakeholder_brgy</vt:lpstr>
      <vt:lpstr>implesolidwn_stakeholder_commulead</vt:lpstr>
      <vt:lpstr>implesolidwn_stakeholder_localbusp</vt:lpstr>
      <vt:lpstr>implesolidwn_stakeholder_mun_city</vt:lpstr>
      <vt:lpstr>implesolidwn_stakeholder_parents</vt:lpstr>
      <vt:lpstr>IVA</vt:lpstr>
      <vt:lpstr>IVB</vt:lpstr>
      <vt:lpstr>IX</vt:lpstr>
      <vt:lpstr>lac_session_current_sy</vt:lpstr>
      <vt:lpstr>lac_session_prev_sy</vt:lpstr>
      <vt:lpstr>lac_session_yes</vt:lpstr>
      <vt:lpstr>learners_participated_iec_codevelop_exclude_f</vt:lpstr>
      <vt:lpstr>learners_participated_iec_codevelop_exclude_m</vt:lpstr>
      <vt:lpstr>learners_participated_iec_codevelop_ip_f</vt:lpstr>
      <vt:lpstr>learners_participated_iec_codevelop_ip_m</vt:lpstr>
      <vt:lpstr>learners_participated_iec_codevelop_lwd_f</vt:lpstr>
      <vt:lpstr>learners_participated_iec_codevelop_lwd_m</vt:lpstr>
      <vt:lpstr>learners_participated_iec_codevelop_muslim_f</vt:lpstr>
      <vt:lpstr>learners_participated_iec_codevelop_muslim_m</vt:lpstr>
      <vt:lpstr>learners_participated_iec_consulted_exclude_f</vt:lpstr>
      <vt:lpstr>learners_participated_iec_consulted_exclude_m</vt:lpstr>
      <vt:lpstr>learners_participated_iec_consulted_ip_f</vt:lpstr>
      <vt:lpstr>learners_participated_iec_consulted_ip_m</vt:lpstr>
      <vt:lpstr>learners_participated_iec_consulted_lwd_f</vt:lpstr>
      <vt:lpstr>learners_participated_iec_consulted_lwd_m</vt:lpstr>
      <vt:lpstr>learners_participated_iec_consulted_muslim_f</vt:lpstr>
      <vt:lpstr>learners_participated_iec_consulted_muslim_m</vt:lpstr>
      <vt:lpstr>learners_participated_iec_effectiveness_exclude_f</vt:lpstr>
      <vt:lpstr>learners_participated_iec_effectiveness_exclude_m</vt:lpstr>
      <vt:lpstr>learners_participated_iec_effectiveness_ip_f</vt:lpstr>
      <vt:lpstr>learners_participated_iec_effectiveness_ip_m</vt:lpstr>
      <vt:lpstr>learners_participated_iec_effectiveness_lwd_f</vt:lpstr>
      <vt:lpstr>learners_participated_iec_effectiveness_lwd_m</vt:lpstr>
      <vt:lpstr>learners_participated_iec_effectiveness_muslim_f</vt:lpstr>
      <vt:lpstr>learners_participated_iec_effectiveness_muslim_m</vt:lpstr>
      <vt:lpstr>learners_participated_iec_initiated_exclude_f</vt:lpstr>
      <vt:lpstr>learners_participated_iec_initiated_exclude_m</vt:lpstr>
      <vt:lpstr>learners_participated_iec_initiated_ip_f</vt:lpstr>
      <vt:lpstr>learners_participated_iec_initiated_ip_m</vt:lpstr>
      <vt:lpstr>learners_participated_iec_initiated_lwd_f</vt:lpstr>
      <vt:lpstr>learners_participated_iec_initiated_lwd_m</vt:lpstr>
      <vt:lpstr>learners_participated_iec_initiated_muslim_f</vt:lpstr>
      <vt:lpstr>learners_participated_iec_initiated_muslim_m</vt:lpstr>
      <vt:lpstr>lwd_resources_apd</vt:lpstr>
      <vt:lpstr>lwd_resources_board_slates</vt:lpstr>
      <vt:lpstr>lwd_resources_bocce_ball</vt:lpstr>
      <vt:lpstr>lwd_resources_braile</vt:lpstr>
      <vt:lpstr>lwd_resources_cancer</vt:lpstr>
      <vt:lpstr>lwd_resources_cd</vt:lpstr>
      <vt:lpstr>lwd_resources_cp</vt:lpstr>
      <vt:lpstr>lwd_resources_drawing_kit</vt:lpstr>
      <vt:lpstr>lwd_resources_duralex</vt:lpstr>
      <vt:lpstr>lwd_resources_eapd</vt:lpstr>
      <vt:lpstr>lwd_resources_ebd</vt:lpstr>
      <vt:lpstr>lwd_resources_ebook</vt:lpstr>
      <vt:lpstr>lwd_resources_goal_ball</vt:lpstr>
      <vt:lpstr>lwd_resources_hi</vt:lpstr>
      <vt:lpstr>lwd_resources_id</vt:lpstr>
      <vt:lpstr>lwd_resources_ld</vt:lpstr>
      <vt:lpstr>lwd_resources_lpf_16</vt:lpstr>
      <vt:lpstr>lwd_resources_lpf_17</vt:lpstr>
      <vt:lpstr>lwd_resources_lpf_18</vt:lpstr>
      <vt:lpstr>lwd_resources_lpf_19</vt:lpstr>
      <vt:lpstr>lwd_resources_lpf_20</vt:lpstr>
      <vt:lpstr>lwd_resources_lpf_21</vt:lpstr>
      <vt:lpstr>lwd_resources_lpf_22</vt:lpstr>
      <vt:lpstr>lwd_resources_lpf_23</vt:lpstr>
      <vt:lpstr>lwd_resources_lpf_24</vt:lpstr>
      <vt:lpstr>lwd_resources_lpf_25</vt:lpstr>
      <vt:lpstr>lwd_resources_lpf_26</vt:lpstr>
      <vt:lpstr>lwd_resources_lpf_27</vt:lpstr>
      <vt:lpstr>lwd_resources_lpf_28</vt:lpstr>
      <vt:lpstr>lwd_resources_lpf_29</vt:lpstr>
      <vt:lpstr>lwd_resources_lpf_30</vt:lpstr>
      <vt:lpstr>lwd_resources_md</vt:lpstr>
      <vt:lpstr>lwd_resources_ph</vt:lpstr>
      <vt:lpstr>lwd_resources_sharpie</vt:lpstr>
      <vt:lpstr>lwd_resources_signlanguage_charts</vt:lpstr>
      <vt:lpstr>lwd_resources_signlanguage_dictionary</vt:lpstr>
      <vt:lpstr>lwd_resources_sld</vt:lpstr>
      <vt:lpstr>lwd_resources_tailor_slate</vt:lpstr>
      <vt:lpstr>lwd_resources_vi</vt:lpstr>
      <vt:lpstr>lwd_resourcs_pencil_large</vt:lpstr>
      <vt:lpstr>lwd_resourcs_pencil_medium</vt:lpstr>
      <vt:lpstr>lwd_resourcs_pencil_small</vt:lpstr>
      <vt:lpstr>mental_cases_attemptsuicide_learners_after_lastsy_aug</vt:lpstr>
      <vt:lpstr>mental_cases_attemptsuicide_learners_after_lastsy_jul</vt:lpstr>
      <vt:lpstr>mental_cases_attemptsuicide_learners_after_lastsy_jun</vt:lpstr>
      <vt:lpstr>mental_cases_attemptsuicide_learners_currsy_aug</vt:lpstr>
      <vt:lpstr>mental_cases_attemptsuicide_learners_currsy_nov</vt:lpstr>
      <vt:lpstr>mental_cases_attemptsuicide_learners_currsy_oct</vt:lpstr>
      <vt:lpstr>mental_cases_attemptsuicide_learners_currsy_sep</vt:lpstr>
      <vt:lpstr>mental_cases_attemptsuicide_learners_lastsy_apr</vt:lpstr>
      <vt:lpstr>mental_cases_attemptsuicide_learners_lastsy_dec</vt:lpstr>
      <vt:lpstr>mental_cases_attemptsuicide_learners_lastsy_feb</vt:lpstr>
      <vt:lpstr>mental_cases_attemptsuicide_learners_lastsy_jan</vt:lpstr>
      <vt:lpstr>mental_cases_attemptsuicide_learners_lastsy_jun</vt:lpstr>
      <vt:lpstr>mental_cases_attemptsuicide_learners_lastsy_mar</vt:lpstr>
      <vt:lpstr>mental_cases_attemptsuicide_learners_lastsy_may</vt:lpstr>
      <vt:lpstr>mental_cases_attemptsuicide_personnel_after_lastsy_aug</vt:lpstr>
      <vt:lpstr>mental_cases_attemptsuicide_personnel_after_lastsy_jul</vt:lpstr>
      <vt:lpstr>mental_cases_attemptsuicide_personnel_after_lastsy_jun</vt:lpstr>
      <vt:lpstr>mental_cases_attemptsuicide_personnel_currsy_aug</vt:lpstr>
      <vt:lpstr>mental_cases_attemptsuicide_personnel_currsy_nov</vt:lpstr>
      <vt:lpstr>mental_cases_attemptsuicide_personnel_currsy_oct</vt:lpstr>
      <vt:lpstr>mental_cases_attemptsuicide_personnel_currsy_sep</vt:lpstr>
      <vt:lpstr>mental_cases_attemptsuicide_personnel_lastsy_apr</vt:lpstr>
      <vt:lpstr>mental_cases_attemptsuicide_personnel_lastsy_dec</vt:lpstr>
      <vt:lpstr>mental_cases_attemptsuicide_personnel_lastsy_feb</vt:lpstr>
      <vt:lpstr>mental_cases_attemptsuicide_personnel_lastsy_jan</vt:lpstr>
      <vt:lpstr>mental_cases_attemptsuicide_personnel_lastsy_jun</vt:lpstr>
      <vt:lpstr>mental_cases_attemptsuicide_personnel_lastsy_mar</vt:lpstr>
      <vt:lpstr>mental_cases_attemptsuicide_personnel_lastsy_may</vt:lpstr>
      <vt:lpstr>mental_cases_suicide_learners_after_lastsy_aug</vt:lpstr>
      <vt:lpstr>mental_cases_suicide_learners_after_lastsy_jul</vt:lpstr>
      <vt:lpstr>mental_cases_suicide_learners_after_lastsy_jun</vt:lpstr>
      <vt:lpstr>mental_cases_suicide_learners_currsy_aug</vt:lpstr>
      <vt:lpstr>mental_cases_suicide_learners_currsy_nov</vt:lpstr>
      <vt:lpstr>mental_cases_suicide_learners_currsy_oct</vt:lpstr>
      <vt:lpstr>mental_cases_suicide_learners_currsy_sep</vt:lpstr>
      <vt:lpstr>mental_cases_suicide_learners_lastsy_apr</vt:lpstr>
      <vt:lpstr>mental_cases_suicide_learners_lastsy_dec</vt:lpstr>
      <vt:lpstr>mental_cases_suicide_learners_lastsy_feb</vt:lpstr>
      <vt:lpstr>mental_cases_suicide_learners_lastsy_jan</vt:lpstr>
      <vt:lpstr>mental_cases_suicide_learners_lastsy_jun</vt:lpstr>
      <vt:lpstr>mental_cases_suicide_learners_lastsy_mar</vt:lpstr>
      <vt:lpstr>mental_cases_suicide_learners_lastsy_may</vt:lpstr>
      <vt:lpstr>mental_cases_suicide_personnel_after_lastsy_aug</vt:lpstr>
      <vt:lpstr>mental_cases_suicide_personnel_after_lastsy_jul</vt:lpstr>
      <vt:lpstr>mental_cases_suicide_personnel_after_lastsy_jun</vt:lpstr>
      <vt:lpstr>mental_cases_suicide_personnel_currsy_aug</vt:lpstr>
      <vt:lpstr>mental_cases_suicide_personnel_currsy_nov</vt:lpstr>
      <vt:lpstr>mental_cases_suicide_personnel_currsy_oct</vt:lpstr>
      <vt:lpstr>mental_cases_suicide_personnel_currsy_sep</vt:lpstr>
      <vt:lpstr>mental_cases_suicide_personnel_lastsy_apr</vt:lpstr>
      <vt:lpstr>mental_cases_suicide_personnel_lastsy_dec</vt:lpstr>
      <vt:lpstr>mental_cases_suicide_personnel_lastsy_feb</vt:lpstr>
      <vt:lpstr>mental_cases_suicide_personnel_lastsy_jan</vt:lpstr>
      <vt:lpstr>mental_cases_suicide_personnel_lastsy_jun</vt:lpstr>
      <vt:lpstr>mental_cases_suicide_personnel_lastsy_mar</vt:lpstr>
      <vt:lpstr>mental_cases_suicide_personnel_lastsy_may</vt:lpstr>
      <vt:lpstr>mental_learners_guidance_g1</vt:lpstr>
      <vt:lpstr>mental_learners_guidance_g2</vt:lpstr>
      <vt:lpstr>mental_learners_guidance_g3</vt:lpstr>
      <vt:lpstr>mental_learners_guidance_g4</vt:lpstr>
      <vt:lpstr>mental_learners_guidance_g5</vt:lpstr>
      <vt:lpstr>mental_learners_guidance_g6</vt:lpstr>
      <vt:lpstr>mental_learners_guidance_k</vt:lpstr>
      <vt:lpstr>mestrualh_avail_sanpads_yes</vt:lpstr>
      <vt:lpstr>mestrualh_avail_sanpads_yes_guidoff</vt:lpstr>
      <vt:lpstr>mestrualh_avail_sanpads_yes_others</vt:lpstr>
      <vt:lpstr>mestrualh_avail_sanpads_yes_others_specify</vt:lpstr>
      <vt:lpstr>mestrualh_avail_sanpads_yeses_schcant</vt:lpstr>
      <vt:lpstr>mestrualh_avail_sanpads_yeses_schclinic</vt:lpstr>
      <vt:lpstr>mooe_alloc_jantodec_amount</vt:lpstr>
      <vt:lpstr>mooe_liqui_jantodec_amount</vt:lpstr>
      <vt:lpstr>mooe_utili_jantodec_amount</vt:lpstr>
      <vt:lpstr>NCR</vt:lpstr>
      <vt:lpstr>num_lrnrs_both_smokedtobacco_usedendsennds_g1</vt:lpstr>
      <vt:lpstr>num_lrnrs_both_smokedtobacco_usedendsennds_g2</vt:lpstr>
      <vt:lpstr>num_lrnrs_both_smokedtobacco_usedendsennds_g3</vt:lpstr>
      <vt:lpstr>num_lrnrs_both_smokedtobacco_usedendsennds_g4</vt:lpstr>
      <vt:lpstr>num_lrnrs_both_smokedtobacco_usedendsennds_g5</vt:lpstr>
      <vt:lpstr>num_lrnrs_both_smokedtobacco_usedendsennds_g6</vt:lpstr>
      <vt:lpstr>num_lrnrs_both_smokedtobacco_usedendsennds_k</vt:lpstr>
      <vt:lpstr>num_lrnrs_brainspinal_cancerpatients</vt:lpstr>
      <vt:lpstr>num_lrnrs_brainspinal_cancersurvivor</vt:lpstr>
      <vt:lpstr>num_lrnrs_brainspinal_diedtocancer</vt:lpstr>
      <vt:lpstr>num_lrnrs_brainspinal_livingwcancer</vt:lpstr>
      <vt:lpstr>num_lrnrs_catered_teenctr_g4</vt:lpstr>
      <vt:lpstr>num_lrnrs_catered_teenctr_g5</vt:lpstr>
      <vt:lpstr>num_lrnrs_catered_teenctr_g6</vt:lpstr>
      <vt:lpstr>num_lrnrs_impregnator_adm_g4</vt:lpstr>
      <vt:lpstr>num_lrnrs_impregnator_adm_g5</vt:lpstr>
      <vt:lpstr>num_lrnrs_impregnator_adm_g6</vt:lpstr>
      <vt:lpstr>num_lrnrs_impregnator_dropped_g4</vt:lpstr>
      <vt:lpstr>num_lrnrs_impregnator_dropped_g5</vt:lpstr>
      <vt:lpstr>num_lrnrs_impregnator_dropped_g6</vt:lpstr>
      <vt:lpstr>num_lrnrs_impregnator_insch_g4</vt:lpstr>
      <vt:lpstr>num_lrnrs_impregnator_insch_g5</vt:lpstr>
      <vt:lpstr>num_lrnrs_impregnator_insch_g6</vt:lpstr>
      <vt:lpstr>num_lrnrs_impregnator_transin_g4</vt:lpstr>
      <vt:lpstr>num_lrnrs_impregnator_transin_g5</vt:lpstr>
      <vt:lpstr>num_lrnrs_impregnator_transin_g6</vt:lpstr>
      <vt:lpstr>num_lrnrs_impregnator_transout_g4</vt:lpstr>
      <vt:lpstr>num_lrnrs_impregnator_transout_g5</vt:lpstr>
      <vt:lpstr>num_lrnrs_impregnator_transout_g6</vt:lpstr>
      <vt:lpstr>num_lrnrs_leukemia_cancerpatients</vt:lpstr>
      <vt:lpstr>num_lrnrs_leukemia_cancersurvivor</vt:lpstr>
      <vt:lpstr>num_lrnrs_leukemia_diedtocancer</vt:lpstr>
      <vt:lpstr>num_lrnrs_leukemia_livingwcancer</vt:lpstr>
      <vt:lpstr>num_lrnrs_others_cancerpatients</vt:lpstr>
      <vt:lpstr>num_lrnrs_others_cancersurvivor</vt:lpstr>
      <vt:lpstr>num_lrnrs_others_diedtocancer</vt:lpstr>
      <vt:lpstr>num_lrnrs_others_livingwcancer</vt:lpstr>
      <vt:lpstr>num_lrnrs_participate_hivtraining_g4</vt:lpstr>
      <vt:lpstr>num_lrnrs_participate_hivtraining_g5</vt:lpstr>
      <vt:lpstr>num_lrnrs_participate_hivtraining_g6</vt:lpstr>
      <vt:lpstr>num_lrnrs_participate_menttraining_bullying_g1</vt:lpstr>
      <vt:lpstr>num_lrnrs_participate_menttraining_bullying_g2</vt:lpstr>
      <vt:lpstr>num_lrnrs_participate_menttraining_bullying_g3</vt:lpstr>
      <vt:lpstr>num_lrnrs_participate_menttraining_bullying_g4</vt:lpstr>
      <vt:lpstr>num_lrnrs_participate_menttraining_bullying_g5</vt:lpstr>
      <vt:lpstr>num_lrnrs_participate_menttraining_bullying_g6</vt:lpstr>
      <vt:lpstr>num_lrnrs_participate_menttraining_bullying_k</vt:lpstr>
      <vt:lpstr>num_lrnrs_participate_menttraining_mhpicdepression_g1</vt:lpstr>
      <vt:lpstr>num_lrnrs_participate_menttraining_mhpicdepression_g2</vt:lpstr>
      <vt:lpstr>num_lrnrs_participate_menttraining_mhpicdepression_g3</vt:lpstr>
      <vt:lpstr>num_lrnrs_participate_menttraining_mhpicdepression_g4</vt:lpstr>
      <vt:lpstr>num_lrnrs_participate_menttraining_mhpicdepression_g5</vt:lpstr>
      <vt:lpstr>num_lrnrs_participate_menttraining_mhpicdepression_g6</vt:lpstr>
      <vt:lpstr>num_lrnrs_participate_menttraining_mhpicdepression_k</vt:lpstr>
      <vt:lpstr>num_lrnrs_participate_menttraining_othertopics_g1</vt:lpstr>
      <vt:lpstr>num_lrnrs_participate_menttraining_othertopics_g2</vt:lpstr>
      <vt:lpstr>num_lrnrs_participate_menttraining_othertopics_g3</vt:lpstr>
      <vt:lpstr>num_lrnrs_participate_menttraining_othertopics_g4</vt:lpstr>
      <vt:lpstr>num_lrnrs_participate_menttraining_othertopics_g5</vt:lpstr>
      <vt:lpstr>num_lrnrs_participate_menttraining_othertopics_g6</vt:lpstr>
      <vt:lpstr>num_lrnrs_participate_menttraining_othertopics_k</vt:lpstr>
      <vt:lpstr>num_lrnrs_participate_menttraining_psycfirstaid_g1</vt:lpstr>
      <vt:lpstr>num_lrnrs_participate_menttraining_psycfirstaid_g2</vt:lpstr>
      <vt:lpstr>num_lrnrs_participate_menttraining_psycfirstaid_g3</vt:lpstr>
      <vt:lpstr>num_lrnrs_participate_menttraining_psycfirstaid_g4</vt:lpstr>
      <vt:lpstr>num_lrnrs_participate_menttraining_psycfirstaid_g5</vt:lpstr>
      <vt:lpstr>num_lrnrs_participate_menttraining_psycfirstaid_g6</vt:lpstr>
      <vt:lpstr>num_lrnrs_participate_menttraining_psycfirstaid_k</vt:lpstr>
      <vt:lpstr>num_lrnrs_participate_menttraining_selfcare_g1</vt:lpstr>
      <vt:lpstr>num_lrnrs_participate_menttraining_selfcare_g2</vt:lpstr>
      <vt:lpstr>num_lrnrs_participate_menttraining_selfcare_g3</vt:lpstr>
      <vt:lpstr>num_lrnrs_participate_menttraining_selfcare_g4</vt:lpstr>
      <vt:lpstr>num_lrnrs_participate_menttraining_selfcare_g5</vt:lpstr>
      <vt:lpstr>num_lrnrs_participate_menttraining_selfcare_g6</vt:lpstr>
      <vt:lpstr>num_lrnrs_participate_menttraining_selfcare_k</vt:lpstr>
      <vt:lpstr>num_lrnrs_participate_menttraining_suicideprevention_g1</vt:lpstr>
      <vt:lpstr>num_lrnrs_participate_menttraining_suicideprevention_g2</vt:lpstr>
      <vt:lpstr>num_lrnrs_participate_menttraining_suicideprevention_g3</vt:lpstr>
      <vt:lpstr>num_lrnrs_participate_menttraining_suicideprevention_g4</vt:lpstr>
      <vt:lpstr>num_lrnrs_participate_menttraining_suicideprevention_g5</vt:lpstr>
      <vt:lpstr>num_lrnrs_participate_menttraining_suicideprevention_g6</vt:lpstr>
      <vt:lpstr>num_lrnrs_participate_menttraining_suicideprevention_k</vt:lpstr>
      <vt:lpstr>num_lrnrs_pregnant_adm_g4</vt:lpstr>
      <vt:lpstr>num_lrnrs_pregnant_adm_g5</vt:lpstr>
      <vt:lpstr>num_lrnrs_pregnant_adm_g6</vt:lpstr>
      <vt:lpstr>num_lrnrs_pregnant_dropped_g4</vt:lpstr>
      <vt:lpstr>num_lrnrs_pregnant_dropped_g5</vt:lpstr>
      <vt:lpstr>num_lrnrs_pregnant_dropped_g6</vt:lpstr>
      <vt:lpstr>num_lrnrs_pregnant_insch_g4</vt:lpstr>
      <vt:lpstr>num_lrnrs_pregnant_insch_g5</vt:lpstr>
      <vt:lpstr>num_lrnrs_pregnant_insch_g6</vt:lpstr>
      <vt:lpstr>num_lrnrs_pregnant_transin_g4</vt:lpstr>
      <vt:lpstr>num_lrnrs_pregnant_transin_g5</vt:lpstr>
      <vt:lpstr>num_lrnrs_pregnant_transin_g6</vt:lpstr>
      <vt:lpstr>num_lrnrs_pregnant_transout_g4</vt:lpstr>
      <vt:lpstr>num_lrnrs_pregnant_transout_g5</vt:lpstr>
      <vt:lpstr>num_lrnrs_pregnant_transout_g6</vt:lpstr>
      <vt:lpstr>num_lrnrs_redcrossyouth_g4</vt:lpstr>
      <vt:lpstr>num_lrnrs_redcrossyouth_g5</vt:lpstr>
      <vt:lpstr>num_lrnrs_redcrossyouth_g6</vt:lpstr>
      <vt:lpstr>num_lrnrs_screen_ashconcern_g4</vt:lpstr>
      <vt:lpstr>num_lrnrs_screen_ashconcern_g5</vt:lpstr>
      <vt:lpstr>num_lrnrs_screen_ashconcern_g6</vt:lpstr>
      <vt:lpstr>num_lrnrs_smokedtobacco_g1</vt:lpstr>
      <vt:lpstr>num_lrnrs_smokedtobacco_g2</vt:lpstr>
      <vt:lpstr>num_lrnrs_smokedtobacco_g3</vt:lpstr>
      <vt:lpstr>num_lrnrs_smokedtobacco_g4</vt:lpstr>
      <vt:lpstr>num_lrnrs_smokedtobacco_g5</vt:lpstr>
      <vt:lpstr>num_lrnrs_smokedtobacco_g6</vt:lpstr>
      <vt:lpstr>num_lrnrs_smokedtobacco_k</vt:lpstr>
      <vt:lpstr>num_lrnrs_trained_peered_asrh_g4</vt:lpstr>
      <vt:lpstr>num_lrnrs_trained_peered_asrh_g5</vt:lpstr>
      <vt:lpstr>num_lrnrs_trained_peered_asrh_g6</vt:lpstr>
      <vt:lpstr>num_lrnrs_usedendsennds_g1</vt:lpstr>
      <vt:lpstr>num_lrnrs_usedendsennds_g2</vt:lpstr>
      <vt:lpstr>num_lrnrs_usedendsennds_g3</vt:lpstr>
      <vt:lpstr>num_lrnrs_usedendsennds_g4</vt:lpstr>
      <vt:lpstr>num_lrnrs_usedendsennds_g5</vt:lpstr>
      <vt:lpstr>num_lrnrs_usedendsennds_g6</vt:lpstr>
      <vt:lpstr>num_lrnrs_usedendsennds_k</vt:lpstr>
      <vt:lpstr>num_schpersonnel_breast_cancerpatients</vt:lpstr>
      <vt:lpstr>num_schpersonnel_breast_cancersurvivor</vt:lpstr>
      <vt:lpstr>num_schpersonnel_breast_diedtocancer</vt:lpstr>
      <vt:lpstr>num_schpersonnel_breast_livingwcancer</vt:lpstr>
      <vt:lpstr>num_schpersonnel_lung_cancerpatients</vt:lpstr>
      <vt:lpstr>num_schpersonnel_lung_cancersurvivor</vt:lpstr>
      <vt:lpstr>num_schpersonnel_lung_diedtocancer</vt:lpstr>
      <vt:lpstr>num_schpersonnel_lung_livingwcancer</vt:lpstr>
      <vt:lpstr>num_schpersonnel_others_cancerpatients</vt:lpstr>
      <vt:lpstr>num_schpersonnel_others_cancersurvivor</vt:lpstr>
      <vt:lpstr>num_schpersonnel_others_diedtocancer</vt:lpstr>
      <vt:lpstr>num_schpersonnel_others_livingwcancer</vt:lpstr>
      <vt:lpstr>num_teacher_attended_iped_orientation_f</vt:lpstr>
      <vt:lpstr>num_teacher_attended_iped_orientation_m</vt:lpstr>
      <vt:lpstr>num_teacher_attended_iped_orientation_outside_deped_f</vt:lpstr>
      <vt:lpstr>num_teacher_attended_iped_orientation_outside_deped_m</vt:lpstr>
      <vt:lpstr>num_teachers_both_tobaccosmoker_endsennds_user_g1</vt:lpstr>
      <vt:lpstr>num_teachers_both_tobaccosmoker_endsennds_user_g2</vt:lpstr>
      <vt:lpstr>num_teachers_both_tobaccosmoker_endsennds_user_g3</vt:lpstr>
      <vt:lpstr>num_teachers_both_tobaccosmoker_endsennds_user_g4</vt:lpstr>
      <vt:lpstr>num_teachers_both_tobaccosmoker_endsennds_user_g5</vt:lpstr>
      <vt:lpstr>num_teachers_both_tobaccosmoker_endsennds_user_g6</vt:lpstr>
      <vt:lpstr>num_teachers_both_tobaccosmoker_endsennds_user_k</vt:lpstr>
      <vt:lpstr>num_teachers_endsennds_user_g1</vt:lpstr>
      <vt:lpstr>num_teachers_endsennds_user_g2</vt:lpstr>
      <vt:lpstr>num_teachers_endsennds_user_g3</vt:lpstr>
      <vt:lpstr>num_teachers_endsennds_user_g4</vt:lpstr>
      <vt:lpstr>num_teachers_endsennds_user_g5</vt:lpstr>
      <vt:lpstr>num_teachers_endsennds_user_g6</vt:lpstr>
      <vt:lpstr>num_teachers_endsennds_user_k</vt:lpstr>
      <vt:lpstr>num_teachers_hivtraining_g4</vt:lpstr>
      <vt:lpstr>num_teachers_hivtraining_g5</vt:lpstr>
      <vt:lpstr>num_teachers_hivtraining_g6</vt:lpstr>
      <vt:lpstr>num_teachers_ip_g1_f</vt:lpstr>
      <vt:lpstr>num_teachers_ip_g1_m</vt:lpstr>
      <vt:lpstr>num_teachers_ip_g2_f</vt:lpstr>
      <vt:lpstr>num_teachers_ip_g2_m</vt:lpstr>
      <vt:lpstr>num_teachers_ip_g3_f</vt:lpstr>
      <vt:lpstr>num_teachers_ip_g3_m</vt:lpstr>
      <vt:lpstr>num_teachers_ip_g4_f</vt:lpstr>
      <vt:lpstr>num_teachers_ip_g4_m</vt:lpstr>
      <vt:lpstr>num_teachers_ip_g5_f</vt:lpstr>
      <vt:lpstr>num_teachers_ip_g5_m</vt:lpstr>
      <vt:lpstr>num_teachers_ip_g6_f</vt:lpstr>
      <vt:lpstr>num_teachers_ip_g6_m</vt:lpstr>
      <vt:lpstr>num_teachers_ip_k_f</vt:lpstr>
      <vt:lpstr>num_teachers_ip_k_m</vt:lpstr>
      <vt:lpstr>num_teachers_participate_menttraining_bullying_g1</vt:lpstr>
      <vt:lpstr>num_teachers_participate_menttraining_bullying_g2</vt:lpstr>
      <vt:lpstr>num_teachers_participate_menttraining_bullying_g3</vt:lpstr>
      <vt:lpstr>num_teachers_participate_menttraining_bullying_g4</vt:lpstr>
      <vt:lpstr>num_teachers_participate_menttraining_bullying_g5</vt:lpstr>
      <vt:lpstr>num_teachers_participate_menttraining_bullying_g6</vt:lpstr>
      <vt:lpstr>num_teachers_participate_menttraining_bullying_k</vt:lpstr>
      <vt:lpstr>num_teachers_participate_menttraining_mhpicdepression_g1</vt:lpstr>
      <vt:lpstr>num_teachers_participate_menttraining_mhpicdepression_g2</vt:lpstr>
      <vt:lpstr>num_teachers_participate_menttraining_mhpicdepression_g3</vt:lpstr>
      <vt:lpstr>num_teachers_participate_menttraining_mhpicdepression_g4</vt:lpstr>
      <vt:lpstr>num_teachers_participate_menttraining_mhpicdepression_g5</vt:lpstr>
      <vt:lpstr>num_teachers_participate_menttraining_mhpicdepression_g6</vt:lpstr>
      <vt:lpstr>num_teachers_participate_menttraining_mhpicdepression_k</vt:lpstr>
      <vt:lpstr>num_teachers_participate_menttraining_othertopics_g1</vt:lpstr>
      <vt:lpstr>num_teachers_participate_menttraining_othertopics_g2</vt:lpstr>
      <vt:lpstr>num_teachers_participate_menttraining_othertopics_g3</vt:lpstr>
      <vt:lpstr>num_teachers_participate_menttraining_othertopics_g4</vt:lpstr>
      <vt:lpstr>num_teachers_participate_menttraining_othertopics_g5</vt:lpstr>
      <vt:lpstr>num_teachers_participate_menttraining_othertopics_g6</vt:lpstr>
      <vt:lpstr>num_teachers_participate_menttraining_othertopics_k</vt:lpstr>
      <vt:lpstr>num_teachers_participate_menttraining_psycfirstaid_g1</vt:lpstr>
      <vt:lpstr>num_teachers_participate_menttraining_psycfirstaid_g2</vt:lpstr>
      <vt:lpstr>num_teachers_participate_menttraining_psycfirstaid_g3</vt:lpstr>
      <vt:lpstr>num_teachers_participate_menttraining_psycfirstaid_g4</vt:lpstr>
      <vt:lpstr>num_teachers_participate_menttraining_psycfirstaid_g5</vt:lpstr>
      <vt:lpstr>num_teachers_participate_menttraining_psycfirstaid_g6</vt:lpstr>
      <vt:lpstr>num_teachers_participate_menttraining_psycfirstaid_k</vt:lpstr>
      <vt:lpstr>num_teachers_participate_menttraining_selfcare_g1</vt:lpstr>
      <vt:lpstr>num_teachers_participate_menttraining_selfcare_g2</vt:lpstr>
      <vt:lpstr>num_teachers_participate_menttraining_selfcare_g3</vt:lpstr>
      <vt:lpstr>num_teachers_participate_menttraining_selfcare_g4</vt:lpstr>
      <vt:lpstr>num_teachers_participate_menttraining_selfcare_g5</vt:lpstr>
      <vt:lpstr>num_teachers_participate_menttraining_selfcare_g6</vt:lpstr>
      <vt:lpstr>num_teachers_participate_menttraining_selfcare_k</vt:lpstr>
      <vt:lpstr>num_teachers_participate_menttraining_suicideprevention_g1</vt:lpstr>
      <vt:lpstr>num_teachers_participate_menttraining_suicideprevention_g2</vt:lpstr>
      <vt:lpstr>num_teachers_participate_menttraining_suicideprevention_g3</vt:lpstr>
      <vt:lpstr>num_teachers_participate_menttraining_suicideprevention_g4</vt:lpstr>
      <vt:lpstr>num_teachers_participate_menttraining_suicideprevention_g5</vt:lpstr>
      <vt:lpstr>num_teachers_participate_menttraining_suicideprevention_g6</vt:lpstr>
      <vt:lpstr>num_teachers_participate_menttraining_suicideprevention_k</vt:lpstr>
      <vt:lpstr>num_teachers_reside_outsideschmun_g1_f</vt:lpstr>
      <vt:lpstr>num_teachers_reside_outsideschmun_g1_m</vt:lpstr>
      <vt:lpstr>num_teachers_reside_outsideschmun_g2_f</vt:lpstr>
      <vt:lpstr>num_teachers_reside_outsideschmun_g2_m</vt:lpstr>
      <vt:lpstr>num_teachers_reside_outsideschmun_g3_f</vt:lpstr>
      <vt:lpstr>num_teachers_reside_outsideschmun_g3_m</vt:lpstr>
      <vt:lpstr>num_teachers_reside_outsideschmun_g4_f</vt:lpstr>
      <vt:lpstr>num_teachers_reside_outsideschmun_g4_m</vt:lpstr>
      <vt:lpstr>num_teachers_reside_outsideschmun_g5_f</vt:lpstr>
      <vt:lpstr>num_teachers_reside_outsideschmun_g5_m</vt:lpstr>
      <vt:lpstr>num_teachers_reside_outsideschmun_g6_f</vt:lpstr>
      <vt:lpstr>num_teachers_reside_outsideschmun_g6_m</vt:lpstr>
      <vt:lpstr>num_teachers_reside_outsideschmun_k_f</vt:lpstr>
      <vt:lpstr>num_teachers_reside_outsideschmun_k_m</vt:lpstr>
      <vt:lpstr>num_teachers_reside_withinschmun_g1_f</vt:lpstr>
      <vt:lpstr>num_teachers_reside_withinschmun_g1_m</vt:lpstr>
      <vt:lpstr>num_teachers_reside_withinschmun_g2_f</vt:lpstr>
      <vt:lpstr>num_teachers_reside_withinschmun_g2_m</vt:lpstr>
      <vt:lpstr>num_teachers_reside_withinschmun_g3_f</vt:lpstr>
      <vt:lpstr>num_teachers_reside_withinschmun_g3_m</vt:lpstr>
      <vt:lpstr>num_teachers_reside_withinschmun_g4_f</vt:lpstr>
      <vt:lpstr>num_teachers_reside_withinschmun_g4_m</vt:lpstr>
      <vt:lpstr>num_teachers_reside_withinschmun_g5_f</vt:lpstr>
      <vt:lpstr>num_teachers_reside_withinschmun_g5_m</vt:lpstr>
      <vt:lpstr>num_teachers_reside_withinschmun_g6_f</vt:lpstr>
      <vt:lpstr>num_teachers_reside_withinschmun_g6_m</vt:lpstr>
      <vt:lpstr>num_teachers_reside_withinschmun_k_f</vt:lpstr>
      <vt:lpstr>num_teachers_reside_withinschmun_k_m</vt:lpstr>
      <vt:lpstr>num_teachers_tobaccosmoker_g1</vt:lpstr>
      <vt:lpstr>num_teachers_tobaccosmoker_g2</vt:lpstr>
      <vt:lpstr>num_teachers_tobaccosmoker_g3</vt:lpstr>
      <vt:lpstr>num_teachers_tobaccosmoker_g4</vt:lpstr>
      <vt:lpstr>num_teachers_tobaccosmoker_g5</vt:lpstr>
      <vt:lpstr>num_teachers_tobaccosmoker_g6</vt:lpstr>
      <vt:lpstr>num_teachers_tobaccosmoker_k</vt:lpstr>
      <vt:lpstr>num_teachers_trained_adept_g4</vt:lpstr>
      <vt:lpstr>num_teachers_trained_adept_g5</vt:lpstr>
      <vt:lpstr>num_teachers_trained_adept_g6</vt:lpstr>
      <vt:lpstr>num_teachers_trained_aja_g4</vt:lpstr>
      <vt:lpstr>num_teachers_trained_aja_g5</vt:lpstr>
      <vt:lpstr>num_teachers_trained_aja_g6</vt:lpstr>
      <vt:lpstr>number_classroom_risk_instructional_safe</vt:lpstr>
      <vt:lpstr>number_classroom_risk_instructional_unsafe</vt:lpstr>
      <vt:lpstr>number_classroom_risk_noninstructional_safe</vt:lpstr>
      <vt:lpstr>number_classroom_risk_noninstructional_unsafe</vt:lpstr>
      <vt:lpstr>number_completed_trng_drrmccampbp_nonteaching_f</vt:lpstr>
      <vt:lpstr>number_completed_trng_drrmccampbp_nonteaching_m</vt:lpstr>
      <vt:lpstr>number_completed_trng_drrmccampbp_teaching_f</vt:lpstr>
      <vt:lpstr>number_completed_trng_drrmccampbp_teaching_m</vt:lpstr>
      <vt:lpstr>number_drrm_ccam_pbp_conducted_teaching_nonteaching</vt:lpstr>
      <vt:lpstr>number_drrm_ccam_pbpppa_imple_withpartners</vt:lpstr>
      <vt:lpstr>number_emergency_supplies_equip_cadaver_deped</vt:lpstr>
      <vt:lpstr>number_emergency_supplies_equip_cadaver_partner</vt:lpstr>
      <vt:lpstr>number_emergency_supplies_equip_ccollar_deped</vt:lpstr>
      <vt:lpstr>number_emergency_supplies_equip_ccollar_partner</vt:lpstr>
      <vt:lpstr>number_emergency_supplies_equip_cot_deped</vt:lpstr>
      <vt:lpstr>number_emergency_supplies_equip_cot_partner</vt:lpstr>
      <vt:lpstr>number_emergency_supplies_equip_cprboard_deped</vt:lpstr>
      <vt:lpstr>number_emergency_supplies_equip_cprboard_partner</vt:lpstr>
      <vt:lpstr>number_emergency_supplies_equip_fak_learner_deped</vt:lpstr>
      <vt:lpstr>number_emergency_supplies_equip_fak_learner_partner</vt:lpstr>
      <vt:lpstr>number_emergency_supplies_equip_fak_personnel_deped</vt:lpstr>
      <vt:lpstr>number_emergency_supplies_equip_fak_personnel_partner</vt:lpstr>
      <vt:lpstr>number_emergency_supplies_equip_fireextinguisher_deped</vt:lpstr>
      <vt:lpstr>number_emergency_supplies_equip_fireextinguisher_partner</vt:lpstr>
      <vt:lpstr>number_emergency_supplies_equip_foldstretch_deped</vt:lpstr>
      <vt:lpstr>number_emergency_supplies_equip_foldstretch_partner</vt:lpstr>
      <vt:lpstr>number_emergency_supplies_equip_gobag_learner_deped</vt:lpstr>
      <vt:lpstr>number_emergency_supplies_equip_gobag_learner_partner</vt:lpstr>
      <vt:lpstr>number_emergency_supplies_equip_gobag_personnel_deped</vt:lpstr>
      <vt:lpstr>number_emergency_supplies_equip_gobag_personnel_partner</vt:lpstr>
      <vt:lpstr>number_emergency_supplies_equip_headimmobilizer_deped</vt:lpstr>
      <vt:lpstr>number_emergency_supplies_equip_headimmobilizer_partner</vt:lpstr>
      <vt:lpstr>number_emergency_supplies_equip_headlamp_deped</vt:lpstr>
      <vt:lpstr>number_emergency_supplies_equip_headlamp_partner</vt:lpstr>
      <vt:lpstr>number_emergency_supplies_equip_ledflashlight_deped</vt:lpstr>
      <vt:lpstr>number_emergency_supplies_equip_ledflashlight_partner</vt:lpstr>
      <vt:lpstr>number_emergency_supplies_equip_ledsearchlight_deped</vt:lpstr>
      <vt:lpstr>number_emergency_supplies_equip_ledsearchlight_partner</vt:lpstr>
      <vt:lpstr>number_emergency_supplies_equip_lifevest_deped</vt:lpstr>
      <vt:lpstr>number_emergency_supplies_equip_lifevest_partner</vt:lpstr>
      <vt:lpstr>number_emergency_supplies_equip_mediccushion_deped</vt:lpstr>
      <vt:lpstr>number_emergency_supplies_equip_mediccushion_partner</vt:lpstr>
      <vt:lpstr>number_emergency_supplies_equip_pasystem_deped</vt:lpstr>
      <vt:lpstr>number_emergency_supplies_equip_pasystem_partner</vt:lpstr>
      <vt:lpstr>number_emergency_supplies_equip_radio_deped</vt:lpstr>
      <vt:lpstr>number_emergency_supplies_equip_radio_partner</vt:lpstr>
      <vt:lpstr>number_emergency_supplies_equip_safetycoat_deped</vt:lpstr>
      <vt:lpstr>number_emergency_supplies_equip_safetycoat_partner</vt:lpstr>
      <vt:lpstr>number_emergency_supplies_equip_safetyhelmet_deped</vt:lpstr>
      <vt:lpstr>number_emergency_supplies_equip_safetyhelmet_partner</vt:lpstr>
      <vt:lpstr>number_emergency_supplies_equip_safetyshoes_deped</vt:lpstr>
      <vt:lpstr>number_emergency_supplies_equip_safetyshoes_partner</vt:lpstr>
      <vt:lpstr>number_emergency_supplies_equip_spineboard_deped</vt:lpstr>
      <vt:lpstr>number_emergency_supplies_equip_spineboard_partner</vt:lpstr>
      <vt:lpstr>number_emergency_supplies_equip_splinter_deped</vt:lpstr>
      <vt:lpstr>number_emergency_supplies_equip_splinter_partner</vt:lpstr>
      <vt:lpstr>number_emergency_supplies_equip_steelbox_deped</vt:lpstr>
      <vt:lpstr>number_emergency_supplies_equip_steelbox_partner</vt:lpstr>
      <vt:lpstr>number_emergency_supplies_equip_steelcabinet_deped</vt:lpstr>
      <vt:lpstr>number_emergency_supplies_equip_steelcabinet_partner</vt:lpstr>
      <vt:lpstr>number_emergency_supplies_equip_trafficvest_deped</vt:lpstr>
      <vt:lpstr>number_emergency_supplies_equip_trafficvest_partner</vt:lpstr>
      <vt:lpstr>number_emergency_supplies_equip_transpobag_deped</vt:lpstr>
      <vt:lpstr>number_emergency_supplies_equip_transpobag_partner</vt:lpstr>
      <vt:lpstr>number_emergency_supplies_equip_traumabag_deped</vt:lpstr>
      <vt:lpstr>number_emergency_supplies_equip_traumabag_partner</vt:lpstr>
      <vt:lpstr>number_emergency_supplies_equip_whistle_deped</vt:lpstr>
      <vt:lpstr>number_emergency_supplies_equip_whistle_partner</vt:lpstr>
      <vt:lpstr>number_instruct_spaces_constructed_inclusive_resilient_design</vt:lpstr>
      <vt:lpstr>number_instruct_spaces_retrofitted</vt:lpstr>
      <vt:lpstr>number_learner_drrmccampbp_coled_ppa_exclude_f</vt:lpstr>
      <vt:lpstr>number_learner_drrmccampbp_coled_ppa_exclude_m</vt:lpstr>
      <vt:lpstr>number_learner_drrmccampbp_coled_ppa_ip_f</vt:lpstr>
      <vt:lpstr>number_learner_drrmccampbp_coled_ppa_ip_m</vt:lpstr>
      <vt:lpstr>number_learner_drrmccampbp_coled_ppa_lwd_f</vt:lpstr>
      <vt:lpstr>number_learner_drrmccampbp_coled_ppa_lwd_m</vt:lpstr>
      <vt:lpstr>number_learner_drrmccampbp_coled_ppa_muslim_f</vt:lpstr>
      <vt:lpstr>number_learner_drrmccampbp_coled_ppa_muslim_m</vt:lpstr>
      <vt:lpstr>number_learner_drrmccampbp_completed_exclude_f</vt:lpstr>
      <vt:lpstr>number_learner_drrmccampbp_completed_exclude_m</vt:lpstr>
      <vt:lpstr>number_learner_drrmccampbp_completed_ip_f</vt:lpstr>
      <vt:lpstr>number_learner_drrmccampbp_completed_ip_m</vt:lpstr>
      <vt:lpstr>number_learner_drrmccampbp_completed_lwd_f</vt:lpstr>
      <vt:lpstr>number_learner_drrmccampbp_completed_lwd_m</vt:lpstr>
      <vt:lpstr>number_learner_drrmccampbp_completed_muslim_f</vt:lpstr>
      <vt:lpstr>number_learner_drrmccampbp_completed_muslim_m</vt:lpstr>
      <vt:lpstr>number_learner_drrmccampbp_led_ppa_exclude_f</vt:lpstr>
      <vt:lpstr>number_learner_drrmccampbp_led_ppa_exclude_m</vt:lpstr>
      <vt:lpstr>number_learner_drrmccampbp_led_ppa_ip_f</vt:lpstr>
      <vt:lpstr>number_learner_drrmccampbp_led_ppa_ip_m</vt:lpstr>
      <vt:lpstr>number_learner_drrmccampbp_led_ppa_lwd_f</vt:lpstr>
      <vt:lpstr>number_learner_drrmccampbp_led_ppa_lwd_m</vt:lpstr>
      <vt:lpstr>number_learner_drrmccampbp_led_ppa_muslim_f</vt:lpstr>
      <vt:lpstr>number_learner_drrmccampbp_led_ppa_muslim_m</vt:lpstr>
      <vt:lpstr>number_learner_drrmccampbp_trained_exclude_f</vt:lpstr>
      <vt:lpstr>number_learner_drrmccampbp_trained_exclude_m</vt:lpstr>
      <vt:lpstr>number_learner_drrmccampbp_trained_ip_f</vt:lpstr>
      <vt:lpstr>number_learner_drrmccampbp_trained_ip_m</vt:lpstr>
      <vt:lpstr>number_learner_drrmccampbp_trained_lwd_f</vt:lpstr>
      <vt:lpstr>number_learner_drrmccampbp_trained_lwd_m</vt:lpstr>
      <vt:lpstr>number_learner_drrmccampbp_trained_muslim_f</vt:lpstr>
      <vt:lpstr>number_learner_drrmccampbp_trained_muslim_m</vt:lpstr>
      <vt:lpstr>number_learners_affect_learning_session_exclude_f</vt:lpstr>
      <vt:lpstr>number_learners_affect_learning_session_exclude_m</vt:lpstr>
      <vt:lpstr>number_learners_affect_learning_session_ip_f</vt:lpstr>
      <vt:lpstr>number_learners_affect_learning_session_ip_m</vt:lpstr>
      <vt:lpstr>number_learners_affect_learning_session_lwd_f</vt:lpstr>
      <vt:lpstr>number_learners_affect_learning_session_lwd_m</vt:lpstr>
      <vt:lpstr>number_learners_affect_learning_session_muslim_f</vt:lpstr>
      <vt:lpstr>number_learners_affect_learning_session_muslim_m</vt:lpstr>
      <vt:lpstr>number_learners_affect_mhpss_exclude_f</vt:lpstr>
      <vt:lpstr>number_learners_affect_mhpss_exclude_m</vt:lpstr>
      <vt:lpstr>number_learners_affect_mhpss_ip_f</vt:lpstr>
      <vt:lpstr>number_learners_affect_mhpss_ip_m</vt:lpstr>
      <vt:lpstr>number_learners_affect_mhpss_lwd_f</vt:lpstr>
      <vt:lpstr>number_learners_affect_mhpss_lwd_m</vt:lpstr>
      <vt:lpstr>number_learners_affect_mhpss_muslim_f</vt:lpstr>
      <vt:lpstr>number_learners_affect_mhpss_muslim_m</vt:lpstr>
      <vt:lpstr>number_learners_affect_need_pss_exclude_f</vt:lpstr>
      <vt:lpstr>number_learners_affect_need_pss_exclude_m</vt:lpstr>
      <vt:lpstr>number_learners_affect_need_pss_ip_f</vt:lpstr>
      <vt:lpstr>number_learners_affect_need_pss_ip_m</vt:lpstr>
      <vt:lpstr>number_learners_affect_need_pss_lwd_f</vt:lpstr>
      <vt:lpstr>number_learners_affect_need_pss_lwd_m</vt:lpstr>
      <vt:lpstr>number_learners_affect_need_pss_muslim_f</vt:lpstr>
      <vt:lpstr>number_learners_affect_need_pss_muslim_m</vt:lpstr>
      <vt:lpstr>number_learners_affect_ref_mechanism_exclude_f</vt:lpstr>
      <vt:lpstr>number_learners_affect_ref_mechanism_exclude_m</vt:lpstr>
      <vt:lpstr>number_learners_affect_ref_mechanism_ip_f</vt:lpstr>
      <vt:lpstr>number_learners_affect_ref_mechanism_ip_m</vt:lpstr>
      <vt:lpstr>number_learners_affect_ref_mechanism_lwd_f</vt:lpstr>
      <vt:lpstr>number_learners_affect_ref_mechanism_lwd_m</vt:lpstr>
      <vt:lpstr>number_learners_affect_ref_mechanism_muslim_f</vt:lpstr>
      <vt:lpstr>number_learners_affect_ref_mechanism_muslim_m</vt:lpstr>
      <vt:lpstr>number_led_bylearner_ccam</vt:lpstr>
      <vt:lpstr>number_led_bylearner_drrm</vt:lpstr>
      <vt:lpstr>number_led_bylearner_pbuilding</vt:lpstr>
      <vt:lpstr>number_localgroups_mobilized_for_response</vt:lpstr>
      <vt:lpstr>number_mhpss_intervention_learner_personnel_bypartners</vt:lpstr>
      <vt:lpstr>number_mhpss_training_ccam_learner</vt:lpstr>
      <vt:lpstr>number_mhpss_training_ccam_personnel</vt:lpstr>
      <vt:lpstr>number_mhpss_training_drrm_learner</vt:lpstr>
      <vt:lpstr>number_mhpss_training_drrm_personnel</vt:lpstr>
      <vt:lpstr>number_mhpss_training_pbp_learner</vt:lpstr>
      <vt:lpstr>number_mhpss_training_pbp_personnel</vt:lpstr>
      <vt:lpstr>number_noninstruct_spaces_constructed_inclusive_resilient_design</vt:lpstr>
      <vt:lpstr>number_noninstruct_spaces_retrofitted</vt:lpstr>
      <vt:lpstr>number_partners_support_drrm_ccamppa_activities</vt:lpstr>
      <vt:lpstr>number_partners_support_pbuilding_activities</vt:lpstr>
      <vt:lpstr>number_personnel_mhpss_psychfirstaid_nonteaching_f</vt:lpstr>
      <vt:lpstr>number_personnel_mhpss_psychfirstaid_nonteaching_m</vt:lpstr>
      <vt:lpstr>number_personnel_mhpss_psychfirstaid_teaching_f</vt:lpstr>
      <vt:lpstr>number_personnel_mhpss_psychfirstaid_teaching_m</vt:lpstr>
      <vt:lpstr>number_personnel_trained_adm_aftermath_teaching_f</vt:lpstr>
      <vt:lpstr>number_personnel_trained_adm_aftermath_teaching_m</vt:lpstr>
      <vt:lpstr>number_personnel_trained_adm_partofresponse_teaching_f</vt:lpstr>
      <vt:lpstr>number_personnel_trained_adm_partofresponse_teaching_m</vt:lpstr>
      <vt:lpstr>number_personnel_trained_drrmccampbp_bypartners_nonteaching_f</vt:lpstr>
      <vt:lpstr>number_personnel_trained_drrmccampbp_bypartners_nonteaching_m</vt:lpstr>
      <vt:lpstr>number_personnel_trained_drrmccampbp_bypartners_teaching_f</vt:lpstr>
      <vt:lpstr>number_personnel_trained_drrmccampbp_bypartners_teaching_m</vt:lpstr>
      <vt:lpstr>number_response_rescue_equip_bicycle_deped</vt:lpstr>
      <vt:lpstr>number_response_rescue_equip_bicycle_partner</vt:lpstr>
      <vt:lpstr>number_response_rescue_equip_firecabinet_deped</vt:lpstr>
      <vt:lpstr>number_response_rescue_equip_firecabinet_partner</vt:lpstr>
      <vt:lpstr>number_response_rescue_equip_fireextinguisher_deped</vt:lpstr>
      <vt:lpstr>number_response_rescue_equip_fireextinguisher_partner</vt:lpstr>
      <vt:lpstr>number_response_rescue_equip_firehose_deped</vt:lpstr>
      <vt:lpstr>number_response_rescue_equip_firehose_partner</vt:lpstr>
      <vt:lpstr>number_response_rescue_equip_lifevest_deped</vt:lpstr>
      <vt:lpstr>number_response_rescue_equip_lifevest_partner</vt:lpstr>
      <vt:lpstr>number_response_rescue_equip_motorbanca_deped</vt:lpstr>
      <vt:lpstr>number_response_rescue_equip_motorbanca_partner</vt:lpstr>
      <vt:lpstr>number_response_rescue_equip_powersprayer_deped</vt:lpstr>
      <vt:lpstr>number_response_rescue_equip_powersprayer_partner</vt:lpstr>
      <vt:lpstr>number_stakeholder_ccam_art_climatechange_nonteaching_f</vt:lpstr>
      <vt:lpstr>number_stakeholder_ccam_art_climatechange_nonteaching_m</vt:lpstr>
      <vt:lpstr>number_stakeholder_ccam_art_climatechange_teaching_f</vt:lpstr>
      <vt:lpstr>number_stakeholder_ccam_art_climatechange_teaching_m</vt:lpstr>
      <vt:lpstr>number_stakeholder_ccam_art_contests_exclude_f</vt:lpstr>
      <vt:lpstr>number_stakeholder_ccam_art_contests_exclude_m</vt:lpstr>
      <vt:lpstr>number_stakeholder_ccam_art_contests_ip_f</vt:lpstr>
      <vt:lpstr>number_stakeholder_ccam_art_contests_ip_m</vt:lpstr>
      <vt:lpstr>number_stakeholder_ccam_art_contests_lwd_f</vt:lpstr>
      <vt:lpstr>number_stakeholder_ccam_art_contests_lwd_m</vt:lpstr>
      <vt:lpstr>number_stakeholder_ccam_art_contests_muslim_f</vt:lpstr>
      <vt:lpstr>number_stakeholder_ccam_art_contests_muslim_m</vt:lpstr>
      <vt:lpstr>number_stakeholder_ccam_celebration_events_exclude_f</vt:lpstr>
      <vt:lpstr>number_stakeholder_ccam_celebration_events_exclude_m</vt:lpstr>
      <vt:lpstr>number_stakeholder_ccam_celebration_events_ip_f</vt:lpstr>
      <vt:lpstr>number_stakeholder_ccam_celebration_events_ip_m</vt:lpstr>
      <vt:lpstr>number_stakeholder_ccam_celebration_events_lwd_f</vt:lpstr>
      <vt:lpstr>number_stakeholder_ccam_celebration_events_lwd_m</vt:lpstr>
      <vt:lpstr>number_stakeholder_ccam_celebration_events_muslim_f</vt:lpstr>
      <vt:lpstr>number_stakeholder_ccam_celebration_events_muslim_m</vt:lpstr>
      <vt:lpstr>number_stakeholder_ccam_celebration_events_nonteaching_f</vt:lpstr>
      <vt:lpstr>number_stakeholder_ccam_celebration_events_nonteaching_m</vt:lpstr>
      <vt:lpstr>number_stakeholder_ccam_celebration_events_teaching_f</vt:lpstr>
      <vt:lpstr>number_stakeholder_ccam_celebration_events_teaching_m</vt:lpstr>
      <vt:lpstr>number_stakeholder_ccam_change_current_exclude_f</vt:lpstr>
      <vt:lpstr>number_stakeholder_ccam_change_current_exclude_m</vt:lpstr>
      <vt:lpstr>number_stakeholder_ccam_change_current_ip_f</vt:lpstr>
      <vt:lpstr>number_stakeholder_ccam_change_current_ip_m</vt:lpstr>
      <vt:lpstr>number_stakeholder_ccam_change_current_lwd_f</vt:lpstr>
      <vt:lpstr>number_stakeholder_ccam_change_current_lwd_m</vt:lpstr>
      <vt:lpstr>number_stakeholder_ccam_change_current_muslim_f</vt:lpstr>
      <vt:lpstr>number_stakeholder_ccam_change_current_muslim_m</vt:lpstr>
      <vt:lpstr>number_stakeholder_ccam_change_current_nonteaching_f</vt:lpstr>
      <vt:lpstr>number_stakeholder_ccam_change_current_nonteaching_m</vt:lpstr>
      <vt:lpstr>number_stakeholder_ccam_change_current_teaching_f</vt:lpstr>
      <vt:lpstr>number_stakeholder_ccam_change_current_teaching_m</vt:lpstr>
      <vt:lpstr>number_stakeholder_ccam_climate_adapt_exclude_f</vt:lpstr>
      <vt:lpstr>number_stakeholder_ccam_climate_adapt_exclude_m</vt:lpstr>
      <vt:lpstr>number_stakeholder_ccam_climate_adapt_ip_f</vt:lpstr>
      <vt:lpstr>number_stakeholder_ccam_climate_adapt_ip_m</vt:lpstr>
      <vt:lpstr>number_stakeholder_ccam_climate_adapt_lwd_f</vt:lpstr>
      <vt:lpstr>number_stakeholder_ccam_climate_adapt_lwd_m</vt:lpstr>
      <vt:lpstr>number_stakeholder_ccam_climate_adapt_muslim_f</vt:lpstr>
      <vt:lpstr>number_stakeholder_ccam_climate_adapt_muslim_m</vt:lpstr>
      <vt:lpstr>number_stakeholder_ccam_climate_adaptation_nonteaching_f</vt:lpstr>
      <vt:lpstr>number_stakeholder_ccam_climate_adaptation_nonteaching_m</vt:lpstr>
      <vt:lpstr>number_stakeholder_ccam_climate_adaptation_teaching_f</vt:lpstr>
      <vt:lpstr>number_stakeholder_ccam_climate_adaptation_teaching_m</vt:lpstr>
      <vt:lpstr>number_stakeholder_ccam_climate_changemaker_nonteaching_f</vt:lpstr>
      <vt:lpstr>number_stakeholder_ccam_climate_changemaker_nonteaching_m</vt:lpstr>
      <vt:lpstr>number_stakeholder_ccam_climate_changemaker_teaching_f</vt:lpstr>
      <vt:lpstr>number_stakeholder_ccam_climate_changemaker_teaching_m</vt:lpstr>
      <vt:lpstr>number_stakeholder_ccam_envi_journalism_exclude_f</vt:lpstr>
      <vt:lpstr>number_stakeholder_ccam_envi_journalism_exclude_m</vt:lpstr>
      <vt:lpstr>number_stakeholder_ccam_envi_journalism_ip_f</vt:lpstr>
      <vt:lpstr>number_stakeholder_ccam_envi_journalism_ip_m</vt:lpstr>
      <vt:lpstr>number_stakeholder_ccam_envi_journalism_lwd_f</vt:lpstr>
      <vt:lpstr>number_stakeholder_ccam_envi_journalism_lwd_m</vt:lpstr>
      <vt:lpstr>number_stakeholder_ccam_envi_journalism_muslim_f</vt:lpstr>
      <vt:lpstr>number_stakeholder_ccam_envi_journalism_muslim_m</vt:lpstr>
      <vt:lpstr>number_stakeholder_ccam_envi_journalism_nonteaching_f</vt:lpstr>
      <vt:lpstr>number_stakeholder_ccam_envi_journalism_nonteaching_m</vt:lpstr>
      <vt:lpstr>number_stakeholder_ccam_envi_journalism_teaching_f</vt:lpstr>
      <vt:lpstr>number_stakeholder_ccam_envi_journalism_teaching_m</vt:lpstr>
      <vt:lpstr>number_stakeholder_ccam_gulayan_paaralan_exclude_f</vt:lpstr>
      <vt:lpstr>number_stakeholder_ccam_gulayan_paaralan_exclude_m</vt:lpstr>
      <vt:lpstr>number_stakeholder_ccam_gulayan_paaralan_ip_f</vt:lpstr>
      <vt:lpstr>number_stakeholder_ccam_gulayan_paaralan_ip_m</vt:lpstr>
      <vt:lpstr>number_stakeholder_ccam_gulayan_paaralan_lwd_f</vt:lpstr>
      <vt:lpstr>number_stakeholder_ccam_gulayan_paaralan_lwd_m</vt:lpstr>
      <vt:lpstr>number_stakeholder_ccam_gulayan_paaralan_muslim_f</vt:lpstr>
      <vt:lpstr>number_stakeholder_ccam_gulayan_paaralan_muslim_m</vt:lpstr>
      <vt:lpstr>number_stakeholder_ccam_gulayan_paaralan_nonteaching_f</vt:lpstr>
      <vt:lpstr>number_stakeholder_ccam_gulayan_paaralan_nonteaching_m</vt:lpstr>
      <vt:lpstr>number_stakeholder_ccam_gulayan_paaralan_teaching_f</vt:lpstr>
      <vt:lpstr>number_stakeholder_ccam_gulayan_paaralan_teaching_m</vt:lpstr>
      <vt:lpstr>number_stakeholder_ccam_kalikhasan_exclude_f</vt:lpstr>
      <vt:lpstr>number_stakeholder_ccam_kalikhasan_exclude_m</vt:lpstr>
      <vt:lpstr>number_stakeholder_ccam_kalikhasan_ip_f</vt:lpstr>
      <vt:lpstr>number_stakeholder_ccam_kalikhasan_ip_m</vt:lpstr>
      <vt:lpstr>number_stakeholder_ccam_kalikhasan_lwd_f</vt:lpstr>
      <vt:lpstr>number_stakeholder_ccam_kalikhasan_lwd_m</vt:lpstr>
      <vt:lpstr>number_stakeholder_ccam_kalikhasan_muslim_f</vt:lpstr>
      <vt:lpstr>number_stakeholder_ccam_kalikhasan_muslim_m</vt:lpstr>
      <vt:lpstr>number_stakeholder_ccam_kalikhasan_nonteaching_f</vt:lpstr>
      <vt:lpstr>number_stakeholder_ccam_kalikhasan_nonteaching_m</vt:lpstr>
      <vt:lpstr>number_stakeholder_ccam_kalikhasan_teaching_f</vt:lpstr>
      <vt:lpstr>number_stakeholder_ccam_kalikhasan_teaching_m</vt:lpstr>
      <vt:lpstr>number_stakeholder_ccam_learner_others_specify</vt:lpstr>
      <vt:lpstr>number_stakeholder_ccam_material_recovery_nonteaching_f</vt:lpstr>
      <vt:lpstr>number_stakeholder_ccam_material_recovery_nonteaching_m</vt:lpstr>
      <vt:lpstr>number_stakeholder_ccam_material_recovery_teaching_f</vt:lpstr>
      <vt:lpstr>number_stakeholder_ccam_material_recovery_teaching_m</vt:lpstr>
      <vt:lpstr>number_stakeholder_ccam_others_exclude_f</vt:lpstr>
      <vt:lpstr>number_stakeholder_ccam_others_exclude_m</vt:lpstr>
      <vt:lpstr>number_stakeholder_ccam_others_ip_f</vt:lpstr>
      <vt:lpstr>number_stakeholder_ccam_others_ip_m</vt:lpstr>
      <vt:lpstr>number_stakeholder_ccam_others_lwd_f</vt:lpstr>
      <vt:lpstr>number_stakeholder_ccam_others_lwd_m</vt:lpstr>
      <vt:lpstr>number_stakeholder_ccam_others_muslim_f</vt:lpstr>
      <vt:lpstr>number_stakeholder_ccam_others_muslim_m</vt:lpstr>
      <vt:lpstr>number_stakeholder_ccam_others_nonteaching_f</vt:lpstr>
      <vt:lpstr>number_stakeholder_ccam_others_nonteaching_m</vt:lpstr>
      <vt:lpstr>number_stakeholder_ccam_others_specify</vt:lpstr>
      <vt:lpstr>number_stakeholder_ccam_others_teaching_f</vt:lpstr>
      <vt:lpstr>number_stakeholder_ccam_others_teaching_m</vt:lpstr>
      <vt:lpstr>number_stakeholder_ccam_recycling_exclude_f</vt:lpstr>
      <vt:lpstr>number_stakeholder_ccam_recycling_exclude_m</vt:lpstr>
      <vt:lpstr>number_stakeholder_ccam_recycling_ip_f</vt:lpstr>
      <vt:lpstr>number_stakeholder_ccam_recycling_ip_m</vt:lpstr>
      <vt:lpstr>number_stakeholder_ccam_recycling_lwd_f</vt:lpstr>
      <vt:lpstr>number_stakeholder_ccam_recycling_lwd_m</vt:lpstr>
      <vt:lpstr>number_stakeholder_ccam_recycling_muslim_f</vt:lpstr>
      <vt:lpstr>number_stakeholder_ccam_recycling_muslim_m</vt:lpstr>
      <vt:lpstr>number_stakeholder_ccam_recycling_nonteaching_f</vt:lpstr>
      <vt:lpstr>number_stakeholder_ccam_recycling_nonteaching_m</vt:lpstr>
      <vt:lpstr>number_stakeholder_ccam_recycling_teaching_f</vt:lpstr>
      <vt:lpstr>number_stakeholder_ccam_recycling_teaching_m</vt:lpstr>
      <vt:lpstr>number_stakeholder_ccam_solidwaste_mgmt_exclude_f</vt:lpstr>
      <vt:lpstr>number_stakeholder_ccam_solidwaste_mgmt_exclude_m</vt:lpstr>
      <vt:lpstr>number_stakeholder_ccam_solidwaste_mgmt_ip_f</vt:lpstr>
      <vt:lpstr>number_stakeholder_ccam_solidwaste_mgmt_ip_m</vt:lpstr>
      <vt:lpstr>number_stakeholder_ccam_solidwaste_mgmt_lwd_f</vt:lpstr>
      <vt:lpstr>number_stakeholder_ccam_solidwaste_mgmt_lwd_m</vt:lpstr>
      <vt:lpstr>number_stakeholder_ccam_solidwaste_mgmt_muslim_f</vt:lpstr>
      <vt:lpstr>number_stakeholder_ccam_solidwaste_mgmt_muslim_m</vt:lpstr>
      <vt:lpstr>number_stakeholder_ccam_solidwaste_mgmt_nonteaching_f</vt:lpstr>
      <vt:lpstr>number_stakeholder_ccam_solidwaste_mgmt_nonteaching_m</vt:lpstr>
      <vt:lpstr>number_stakeholder_ccam_solidwaste_mgmt_teaching_f</vt:lpstr>
      <vt:lpstr>number_stakeholder_ccam_solidwaste_mgmt_teaching_m</vt:lpstr>
      <vt:lpstr>number_stakeholder_ccam_tree_planting_exclude_f</vt:lpstr>
      <vt:lpstr>number_stakeholder_ccam_tree_planting_exclude_m</vt:lpstr>
      <vt:lpstr>number_stakeholder_ccam_tree_planting_ip_f</vt:lpstr>
      <vt:lpstr>number_stakeholder_ccam_tree_planting_ip_m</vt:lpstr>
      <vt:lpstr>number_stakeholder_ccam_tree_planting_lwd_f</vt:lpstr>
      <vt:lpstr>number_stakeholder_ccam_tree_planting_lwd_m</vt:lpstr>
      <vt:lpstr>number_stakeholder_ccam_tree_planting_muslim_f</vt:lpstr>
      <vt:lpstr>number_stakeholder_ccam_tree_planting_muslim_m</vt:lpstr>
      <vt:lpstr>number_stakeholder_ccam_tree_planting_nonteaching_f</vt:lpstr>
      <vt:lpstr>number_stakeholder_ccam_tree_planting_nonteaching_m</vt:lpstr>
      <vt:lpstr>number_stakeholder_ccam_tree_planting_teaching_f</vt:lpstr>
      <vt:lpstr>number_stakeholder_ccam_tree_planting_teaching_m</vt:lpstr>
      <vt:lpstr>number_stakeholder_ccam_youth_strike_exclude_f</vt:lpstr>
      <vt:lpstr>number_stakeholder_ccam_youth_strike_exclude_m</vt:lpstr>
      <vt:lpstr>number_stakeholder_ccam_youth_strike_ip_f</vt:lpstr>
      <vt:lpstr>number_stakeholder_ccam_youth_strike_ip_m</vt:lpstr>
      <vt:lpstr>number_stakeholder_ccam_youth_strike_lwd_f</vt:lpstr>
      <vt:lpstr>number_stakeholder_ccam_youth_strike_lwd_m</vt:lpstr>
      <vt:lpstr>number_stakeholder_ccam_youth_strike_muslim_f</vt:lpstr>
      <vt:lpstr>number_stakeholder_ccam_youth_strike_muslim_m</vt:lpstr>
      <vt:lpstr>number_stakeholder_ccam_youth_strike_nonteaching_f</vt:lpstr>
      <vt:lpstr>number_stakeholder_ccam_youth_strike_nonteaching_m</vt:lpstr>
      <vt:lpstr>number_stakeholder_ccam_youth_strike_teaching_f</vt:lpstr>
      <vt:lpstr>number_stakeholder_ccam_youth_strike_teaching_m</vt:lpstr>
      <vt:lpstr>number_stakeholder_drrm_campusjourn_exclude_f</vt:lpstr>
      <vt:lpstr>number_stakeholder_drrm_campusjourn_exclude_m</vt:lpstr>
      <vt:lpstr>number_stakeholder_drrm_campusjourn_ip_f</vt:lpstr>
      <vt:lpstr>number_stakeholder_drrm_campusjourn_ip_m</vt:lpstr>
      <vt:lpstr>number_stakeholder_drrm_campusjourn_lwd_f</vt:lpstr>
      <vt:lpstr>number_stakeholder_drrm_campusjourn_lwd_m</vt:lpstr>
      <vt:lpstr>number_stakeholder_drrm_campusjourn_muslim_f</vt:lpstr>
      <vt:lpstr>number_stakeholder_drrm_campusjourn_muslim_m</vt:lpstr>
      <vt:lpstr>number_stakeholder_drrm_campusjourn_nonteaching_f</vt:lpstr>
      <vt:lpstr>number_stakeholder_drrm_campusjourn_nonteaching_m</vt:lpstr>
      <vt:lpstr>number_stakeholder_drrm_campusjourn_teaching_f</vt:lpstr>
      <vt:lpstr>number_stakeholder_drrm_campusjourn_teaching_m</vt:lpstr>
      <vt:lpstr>number_stakeholder_drrm_celebration_events_exclude_f</vt:lpstr>
      <vt:lpstr>number_stakeholder_drrm_celebration_events_exclude_m</vt:lpstr>
      <vt:lpstr>number_stakeholder_drrm_celebration_events_ip_f</vt:lpstr>
      <vt:lpstr>number_stakeholder_drrm_celebration_events_ip_m</vt:lpstr>
      <vt:lpstr>number_stakeholder_drrm_celebration_events_lwd_f</vt:lpstr>
      <vt:lpstr>number_stakeholder_drrm_celebration_events_lwd_m</vt:lpstr>
      <vt:lpstr>number_stakeholder_drrm_celebration_events_muslim_f</vt:lpstr>
      <vt:lpstr>number_stakeholder_drrm_celebration_events_muslim_m</vt:lpstr>
      <vt:lpstr>number_stakeholder_drrm_celebration_events_nonteaching_f</vt:lpstr>
      <vt:lpstr>number_stakeholder_drrm_celebration_events_nonteaching_m</vt:lpstr>
      <vt:lpstr>number_stakeholder_drrm_celebration_events_teaching_f</vt:lpstr>
      <vt:lpstr>number_stakeholder_drrm_celebration_events_teaching_m</vt:lpstr>
      <vt:lpstr>number_stakeholder_drrm_drrmcamp_exclude_f</vt:lpstr>
      <vt:lpstr>number_stakeholder_drrm_drrmcamp_exclude_m</vt:lpstr>
      <vt:lpstr>number_stakeholder_drrm_drrmcamp_ip_f</vt:lpstr>
      <vt:lpstr>number_stakeholder_drrm_drrmcamp_ip_m</vt:lpstr>
      <vt:lpstr>number_stakeholder_drrm_drrmcamp_lwd_f</vt:lpstr>
      <vt:lpstr>number_stakeholder_drrm_drrmcamp_lwd_m</vt:lpstr>
      <vt:lpstr>number_stakeholder_drrm_drrmcamp_muslim_f</vt:lpstr>
      <vt:lpstr>number_stakeholder_drrm_drrmcamp_muslim_m</vt:lpstr>
      <vt:lpstr>number_stakeholder_drrm_drrmcamp_nonteaching_f</vt:lpstr>
      <vt:lpstr>number_stakeholder_drrm_drrmcamp_nonteaching_m</vt:lpstr>
      <vt:lpstr>number_stakeholder_drrm_drrmcamp_teaching_f</vt:lpstr>
      <vt:lpstr>number_stakeholder_drrm_drrmcamp_teaching_m</vt:lpstr>
      <vt:lpstr>number_stakeholder_drrm_earthquake_prepare_exclude_f</vt:lpstr>
      <vt:lpstr>number_stakeholder_drrm_earthquake_prepare_exclude_m</vt:lpstr>
      <vt:lpstr>number_stakeholder_drrm_earthquake_prepare_ip_f</vt:lpstr>
      <vt:lpstr>number_stakeholder_drrm_earthquake_prepare_ip_m</vt:lpstr>
      <vt:lpstr>number_stakeholder_drrm_earthquake_prepare_lwd_f</vt:lpstr>
      <vt:lpstr>number_stakeholder_drrm_earthquake_prepare_lwd_m</vt:lpstr>
      <vt:lpstr>number_stakeholder_drrm_earthquake_prepare_muslim_f</vt:lpstr>
      <vt:lpstr>number_stakeholder_drrm_earthquake_prepare_muslim_m</vt:lpstr>
      <vt:lpstr>number_stakeholder_drrm_earthquake_prepare_nonteaching_f</vt:lpstr>
      <vt:lpstr>number_stakeholder_drrm_earthquake_prepare_nonteaching_m</vt:lpstr>
      <vt:lpstr>number_stakeholder_drrm_earthquake_prepare_teaching_f</vt:lpstr>
      <vt:lpstr>number_stakeholder_drrm_earthquake_prepare_teaching_m</vt:lpstr>
      <vt:lpstr>number_stakeholder_drrm_firstaid_exclude_f</vt:lpstr>
      <vt:lpstr>number_stakeholder_drrm_firstaid_exclude_m</vt:lpstr>
      <vt:lpstr>number_stakeholder_drrm_firstaid_ip_f</vt:lpstr>
      <vt:lpstr>number_stakeholder_drrm_firstaid_ip_m</vt:lpstr>
      <vt:lpstr>number_stakeholder_drrm_firstaid_lwd_f</vt:lpstr>
      <vt:lpstr>number_stakeholder_drrm_firstaid_lwd_m</vt:lpstr>
      <vt:lpstr>number_stakeholder_drrm_firstaid_muslim_f</vt:lpstr>
      <vt:lpstr>number_stakeholder_drrm_firstaid_muslim_m</vt:lpstr>
      <vt:lpstr>number_stakeholder_drrm_firstaid_nonteaching_f</vt:lpstr>
      <vt:lpstr>number_stakeholder_drrm_firstaid_nonteaching_m</vt:lpstr>
      <vt:lpstr>number_stakeholder_drrm_firstaid_teaching_f</vt:lpstr>
      <vt:lpstr>number_stakeholder_drrm_firstaid_teaching_m</vt:lpstr>
      <vt:lpstr>number_stakeholder_drrm_learner_others_specify</vt:lpstr>
      <vt:lpstr>number_stakeholder_drrm_online_mhpss_exclude_f</vt:lpstr>
      <vt:lpstr>number_stakeholder_drrm_online_mhpss_exclude_m</vt:lpstr>
      <vt:lpstr>number_stakeholder_drrm_online_mhpss_ip_f</vt:lpstr>
      <vt:lpstr>number_stakeholder_drrm_online_mhpss_ip_m</vt:lpstr>
      <vt:lpstr>number_stakeholder_drrm_online_mhpss_lwd_f</vt:lpstr>
      <vt:lpstr>number_stakeholder_drrm_online_mhpss_lwd_m</vt:lpstr>
      <vt:lpstr>number_stakeholder_drrm_online_mhpss_muslim_f</vt:lpstr>
      <vt:lpstr>number_stakeholder_drrm_online_mhpss_muslim_m</vt:lpstr>
      <vt:lpstr>number_stakeholder_drrm_others_exclude_f</vt:lpstr>
      <vt:lpstr>number_stakeholder_drrm_others_exclude_m</vt:lpstr>
      <vt:lpstr>number_stakeholder_drrm_others_ip_f</vt:lpstr>
      <vt:lpstr>number_stakeholder_drrm_others_ip_m</vt:lpstr>
      <vt:lpstr>number_stakeholder_drrm_others_lwd_f</vt:lpstr>
      <vt:lpstr>number_stakeholder_drrm_others_lwd_m</vt:lpstr>
      <vt:lpstr>number_stakeholder_drrm_others_muslim_f</vt:lpstr>
      <vt:lpstr>number_stakeholder_drrm_others_muslim_m</vt:lpstr>
      <vt:lpstr>number_stakeholder_drrm_others_nonteaching_f</vt:lpstr>
      <vt:lpstr>number_stakeholder_drrm_others_nonteaching_m</vt:lpstr>
      <vt:lpstr>number_stakeholder_drrm_others_specify</vt:lpstr>
      <vt:lpstr>number_stakeholder_drrm_others_teaching_f</vt:lpstr>
      <vt:lpstr>number_stakeholder_drrm_others_teaching_m</vt:lpstr>
      <vt:lpstr>number_stakeholder_drrm_swhm_exclude_f</vt:lpstr>
      <vt:lpstr>number_stakeholder_drrm_swhm_exclude_m</vt:lpstr>
      <vt:lpstr>number_stakeholder_drrm_swhm_ip_f</vt:lpstr>
      <vt:lpstr>number_stakeholder_drrm_swhm_ip_m</vt:lpstr>
      <vt:lpstr>number_stakeholder_drrm_swhm_lwd_f</vt:lpstr>
      <vt:lpstr>number_stakeholder_drrm_swhm_lwd_m</vt:lpstr>
      <vt:lpstr>number_stakeholder_drrm_swhm_muslim_f</vt:lpstr>
      <vt:lpstr>number_stakeholder_drrm_swhm_muslim_m</vt:lpstr>
      <vt:lpstr>number_stakeholder_drrm_swhm_nonteaching_f</vt:lpstr>
      <vt:lpstr>number_stakeholder_drrm_swhm_nonteaching_m</vt:lpstr>
      <vt:lpstr>number_stakeholder_drrm_swhm_teaching_f</vt:lpstr>
      <vt:lpstr>number_stakeholder_drrm_swhm_teaching_m</vt:lpstr>
      <vt:lpstr>number_stakeholder_drrm_youth_action_exclude_f</vt:lpstr>
      <vt:lpstr>number_stakeholder_drrm_youth_action_exclude_m</vt:lpstr>
      <vt:lpstr>number_stakeholder_drrm_youth_action_ip_f</vt:lpstr>
      <vt:lpstr>number_stakeholder_drrm_youth_action_ip_m</vt:lpstr>
      <vt:lpstr>number_stakeholder_drrm_youth_action_lwd_f</vt:lpstr>
      <vt:lpstr>number_stakeholder_drrm_youth_action_lwd_m</vt:lpstr>
      <vt:lpstr>number_stakeholder_drrm_youth_action_muslim_f</vt:lpstr>
      <vt:lpstr>number_stakeholder_drrm_youth_action_muslim_m</vt:lpstr>
      <vt:lpstr>number_stakeholder_drrm_youth_action_nonteaching_f</vt:lpstr>
      <vt:lpstr>number_stakeholder_drrm_youth_action_nonteaching_m</vt:lpstr>
      <vt:lpstr>number_stakeholder_drrm_youth_action_teaching_f</vt:lpstr>
      <vt:lpstr>number_stakeholder_drrm_youth_action_teaching_m</vt:lpstr>
      <vt:lpstr>number_stakeholder_drrm_youth_council_exclude_f</vt:lpstr>
      <vt:lpstr>number_stakeholder_drrm_youth_council_exclude_m</vt:lpstr>
      <vt:lpstr>number_stakeholder_drrm_youth_council_ip_f</vt:lpstr>
      <vt:lpstr>number_stakeholder_drrm_youth_council_ip_m</vt:lpstr>
      <vt:lpstr>number_stakeholder_drrm_youth_council_lwd_f</vt:lpstr>
      <vt:lpstr>number_stakeholder_drrm_youth_council_lwd_m</vt:lpstr>
      <vt:lpstr>number_stakeholder_drrm_youth_council_muslim_f</vt:lpstr>
      <vt:lpstr>number_stakeholder_drrm_youth_council_muslim_m</vt:lpstr>
      <vt:lpstr>number_stakeholder_drrm_youth_council_nonteaching_f</vt:lpstr>
      <vt:lpstr>number_stakeholder_drrm_youth_council_nonteaching_m</vt:lpstr>
      <vt:lpstr>number_stakeholder_drrm_youth_council_teaching_f</vt:lpstr>
      <vt:lpstr>number_stakeholder_drrm_youth_council_teaching_m</vt:lpstr>
      <vt:lpstr>number_stakeholder_pbp_art_contests_exclude_f</vt:lpstr>
      <vt:lpstr>number_stakeholder_pbp_art_contests_exclude_m</vt:lpstr>
      <vt:lpstr>number_stakeholder_pbp_art_contests_ip_f</vt:lpstr>
      <vt:lpstr>number_stakeholder_pbp_art_contests_ip_m</vt:lpstr>
      <vt:lpstr>number_stakeholder_pbp_art_contests_lwd_f</vt:lpstr>
      <vt:lpstr>number_stakeholder_pbp_art_contests_lwd_m</vt:lpstr>
      <vt:lpstr>number_stakeholder_pbp_art_contests_muslim_f</vt:lpstr>
      <vt:lpstr>number_stakeholder_pbp_art_contests_muslim_m</vt:lpstr>
      <vt:lpstr>number_stakeholder_pbp_art_contests_nonteaching_f</vt:lpstr>
      <vt:lpstr>number_stakeholder_pbp_art_contests_nonteaching_m</vt:lpstr>
      <vt:lpstr>number_stakeholder_pbp_art_contests_teaching_f</vt:lpstr>
      <vt:lpstr>number_stakeholder_pbp_art_contests_teaching_m</vt:lpstr>
      <vt:lpstr>number_stakeholder_pbp_celebration_events_exclude_f</vt:lpstr>
      <vt:lpstr>number_stakeholder_pbp_celebration_events_exclude_m</vt:lpstr>
      <vt:lpstr>number_stakeholder_pbp_celebration_events_ip_f</vt:lpstr>
      <vt:lpstr>number_stakeholder_pbp_celebration_events_ip_m</vt:lpstr>
      <vt:lpstr>number_stakeholder_pbp_celebration_events_lwd_f</vt:lpstr>
      <vt:lpstr>number_stakeholder_pbp_celebration_events_lwd_m</vt:lpstr>
      <vt:lpstr>number_stakeholder_pbp_celebration_events_muslim_f</vt:lpstr>
      <vt:lpstr>number_stakeholder_pbp_celebration_events_muslim_m</vt:lpstr>
      <vt:lpstr>number_stakeholder_pbp_celebration_events_nonteaching_f</vt:lpstr>
      <vt:lpstr>number_stakeholder_pbp_celebration_events_nonteaching_m</vt:lpstr>
      <vt:lpstr>number_stakeholder_pbp_celebration_events_teaching_f</vt:lpstr>
      <vt:lpstr>number_stakeholder_pbp_celebration_events_teaching_m</vt:lpstr>
      <vt:lpstr>number_stakeholder_pbp_learner_others_specify</vt:lpstr>
      <vt:lpstr>number_stakeholder_pbp_others_exclude_f</vt:lpstr>
      <vt:lpstr>number_stakeholder_pbp_others_exclude_m</vt:lpstr>
      <vt:lpstr>number_stakeholder_pbp_others_ip_f</vt:lpstr>
      <vt:lpstr>number_stakeholder_pbp_others_ip_m</vt:lpstr>
      <vt:lpstr>number_stakeholder_pbp_others_lwd_f</vt:lpstr>
      <vt:lpstr>number_stakeholder_pbp_others_lwd_m</vt:lpstr>
      <vt:lpstr>number_stakeholder_pbp_others_muslim_f</vt:lpstr>
      <vt:lpstr>number_stakeholder_pbp_others_muslim_m</vt:lpstr>
      <vt:lpstr>number_stakeholder_pbp_others_nonteaching_f</vt:lpstr>
      <vt:lpstr>number_stakeholder_pbp_others_nonteaching_m</vt:lpstr>
      <vt:lpstr>number_stakeholder_pbp_others_specify</vt:lpstr>
      <vt:lpstr>number_stakeholder_pbp_others_teaching_f</vt:lpstr>
      <vt:lpstr>number_stakeholder_pbp_others_teaching_m</vt:lpstr>
      <vt:lpstr>number_stakeholder_pbp_peaceconfe_exclude_f</vt:lpstr>
      <vt:lpstr>number_stakeholder_pbp_peaceconfe_exclude_m</vt:lpstr>
      <vt:lpstr>number_stakeholder_pbp_peaceconfe_ip_f</vt:lpstr>
      <vt:lpstr>number_stakeholder_pbp_peaceconfe_ip_m</vt:lpstr>
      <vt:lpstr>number_stakeholder_pbp_peaceconfe_lwd_f</vt:lpstr>
      <vt:lpstr>number_stakeholder_pbp_peaceconfe_lwd_m</vt:lpstr>
      <vt:lpstr>number_stakeholder_pbp_peaceconfe_muslim_f</vt:lpstr>
      <vt:lpstr>number_stakeholder_pbp_peaceconfe_muslim_m</vt:lpstr>
      <vt:lpstr>number_stakeholder_pbp_peaceconfe_nonteaching_f</vt:lpstr>
      <vt:lpstr>number_stakeholder_pbp_peaceconfe_nonteaching_m</vt:lpstr>
      <vt:lpstr>number_stakeholder_pbp_peaceconfe_teaching_f</vt:lpstr>
      <vt:lpstr>number_stakeholder_pbp_peaceconfe_teaching_m</vt:lpstr>
      <vt:lpstr>number_stakeholder_pbp_youth_networks_exclude_f</vt:lpstr>
      <vt:lpstr>number_stakeholder_pbp_youth_networks_exclude_m</vt:lpstr>
      <vt:lpstr>number_stakeholder_pbp_youth_networks_ip_f</vt:lpstr>
      <vt:lpstr>number_stakeholder_pbp_youth_networks_ip_m</vt:lpstr>
      <vt:lpstr>number_stakeholder_pbp_youth_networks_lwd_f</vt:lpstr>
      <vt:lpstr>number_stakeholder_pbp_youth_networks_lwd_m</vt:lpstr>
      <vt:lpstr>number_stakeholder_pbp_youth_networks_muslim_f</vt:lpstr>
      <vt:lpstr>number_stakeholder_pbp_youth_networks_muslim_m</vt:lpstr>
      <vt:lpstr>number_stakeholder_pbp_youth_networks_nonteaching_f</vt:lpstr>
      <vt:lpstr>number_stakeholder_pbp_youth_networks_nonteaching_m</vt:lpstr>
      <vt:lpstr>number_stakeholder_pbp_youth_networks_teaching_f</vt:lpstr>
      <vt:lpstr>number_stakeholder_pbp_youth_networks_teaching_m</vt:lpstr>
      <vt:lpstr>number_stakeholders_participated_drrmccampbp_learner</vt:lpstr>
      <vt:lpstr>number_stakeholders_participated_drrmccampbp_lgu</vt:lpstr>
      <vt:lpstr>number_stakeholders_participated_drrmccampbp_ngo</vt:lpstr>
      <vt:lpstr>number_stakeholders_participated_drrmccampbp_parent</vt:lpstr>
      <vt:lpstr>number_stakeholders_participated_drrmccampbp_personnel</vt:lpstr>
      <vt:lpstr>number_teachers_trained_integ_drrmccampbp_daily_f</vt:lpstr>
      <vt:lpstr>number_teachers_trained_integ_drrmccampbp_daily_m</vt:lpstr>
      <vt:lpstr>number_trained_module_adm_nonteaching_f</vt:lpstr>
      <vt:lpstr>number_trained_module_adm_nonteaching_m</vt:lpstr>
      <vt:lpstr>number_trained_module_adm_teaching_f</vt:lpstr>
      <vt:lpstr>number_trained_module_adm_teaching_m</vt:lpstr>
      <vt:lpstr>number_trained_module_beie_nonteaching_f</vt:lpstr>
      <vt:lpstr>number_trained_module_beie_nonteaching_m</vt:lpstr>
      <vt:lpstr>number_trained_module_beie_teaching_f</vt:lpstr>
      <vt:lpstr>number_trained_module_beie_teaching_m</vt:lpstr>
      <vt:lpstr>number_trained_module_camp_mgmt_nonteaching_f</vt:lpstr>
      <vt:lpstr>number_trained_module_camp_mgmt_nonteaching_m</vt:lpstr>
      <vt:lpstr>number_trained_module_camp_mgmt_teaching_f</vt:lpstr>
      <vt:lpstr>number_trained_module_camp_mgmt_teaching_m</vt:lpstr>
      <vt:lpstr>number_trained_module_cchange_global_nonteaching_f</vt:lpstr>
      <vt:lpstr>number_trained_module_cchange_global_nonteaching_m</vt:lpstr>
      <vt:lpstr>number_trained_module_cchange_global_teaching_f</vt:lpstr>
      <vt:lpstr>number_trained_module_cchange_global_teaching_m</vt:lpstr>
      <vt:lpstr>number_trained_module_cdrrmef_nonteaching_f</vt:lpstr>
      <vt:lpstr>number_trained_module_cdrrmef_nonteaching_m</vt:lpstr>
      <vt:lpstr>number_trained_module_cdrrmef_teaching_f</vt:lpstr>
      <vt:lpstr>number_trained_module_cdrrmef_teaching_m</vt:lpstr>
      <vt:lpstr>number_trained_module_common_hazards_nonteaching_f</vt:lpstr>
      <vt:lpstr>number_trained_module_common_hazards_nonteaching_m</vt:lpstr>
      <vt:lpstr>number_trained_module_common_hazards_teaching_f</vt:lpstr>
      <vt:lpstr>number_trained_module_common_hazards_teaching_m</vt:lpstr>
      <vt:lpstr>number_trained_module_contingency_nonteaching_f</vt:lpstr>
      <vt:lpstr>number_trained_module_contingency_nonteaching_m</vt:lpstr>
      <vt:lpstr>number_trained_module_contingency_teaching_f</vt:lpstr>
      <vt:lpstr>number_trained_module_contingency_teaching_m</vt:lpstr>
      <vt:lpstr>number_trained_module_eie_nonteaching_f</vt:lpstr>
      <vt:lpstr>number_trained_module_eie_nonteaching_m</vt:lpstr>
      <vt:lpstr>number_trained_module_eie_teaching_f</vt:lpstr>
      <vt:lpstr>number_trained_module_eie_teaching_m</vt:lpstr>
      <vt:lpstr>number_trained_module_im_nonteaching_f</vt:lpstr>
      <vt:lpstr>number_trained_module_im_nonteaching_m</vt:lpstr>
      <vt:lpstr>number_trained_module_im_teaching_f</vt:lpstr>
      <vt:lpstr>number_trained_module_im_teaching_m</vt:lpstr>
      <vt:lpstr>number_trained_module_inclusive_childcenter_nonteaching_f</vt:lpstr>
      <vt:lpstr>number_trained_module_inclusive_childcenter_nonteaching_m</vt:lpstr>
      <vt:lpstr>number_trained_module_inclusive_childcenter_teaching_f</vt:lpstr>
      <vt:lpstr>number_trained_module_inclusive_childcenter_teaching_m</vt:lpstr>
      <vt:lpstr>number_trained_module_intl_ntl_foundations_nonteaching_f</vt:lpstr>
      <vt:lpstr>number_trained_module_intl_ntl_foundations_nonteaching_m</vt:lpstr>
      <vt:lpstr>number_trained_module_intl_ntl_foundations_teaching_f</vt:lpstr>
      <vt:lpstr>number_trained_module_intl_ntl_foundations_teaching_m</vt:lpstr>
      <vt:lpstr>number_trained_module_life_support_nonteaching_f</vt:lpstr>
      <vt:lpstr>number_trained_module_life_support_nonteaching_m</vt:lpstr>
      <vt:lpstr>number_trained_module_life_support_teaching_f</vt:lpstr>
      <vt:lpstr>number_trained_module_life_support_teaching_m</vt:lpstr>
      <vt:lpstr>number_trained_module_mainstream_planning_nonteaching_f</vt:lpstr>
      <vt:lpstr>number_trained_module_mainstream_planning_nonteaching_m</vt:lpstr>
      <vt:lpstr>number_trained_module_mainstream_planning_teaching_f</vt:lpstr>
      <vt:lpstr>number_trained_module_mainstream_planning_teaching_m</vt:lpstr>
      <vt:lpstr>number_trained_module_mhpss_nonteaching_f</vt:lpstr>
      <vt:lpstr>number_trained_module_mhpss_nonteaching_m</vt:lpstr>
      <vt:lpstr>number_trained_module_mhpss_teaching_f</vt:lpstr>
      <vt:lpstr>number_trained_module_mhpss_teaching_m</vt:lpstr>
      <vt:lpstr>number_trained_module_others_nonteaching_f</vt:lpstr>
      <vt:lpstr>number_trained_module_others_nonteaching_m</vt:lpstr>
      <vt:lpstr>number_trained_module_others_specify</vt:lpstr>
      <vt:lpstr>number_trained_module_others_teaching_f</vt:lpstr>
      <vt:lpstr>number_trained_module_others_teaching_m</vt:lpstr>
      <vt:lpstr>number_trained_module_peace_conflict_nonteaching_f</vt:lpstr>
      <vt:lpstr>number_trained_module_peace_conflict_nonteaching_m</vt:lpstr>
      <vt:lpstr>number_trained_module_peace_conflict_teaching_f</vt:lpstr>
      <vt:lpstr>number_trained_module_peace_conflict_teaching_m</vt:lpstr>
      <vt:lpstr>number_trained_module_resource_mobil_nonteaching_f</vt:lpstr>
      <vt:lpstr>number_trained_module_resource_mobil_nonteaching_m</vt:lpstr>
      <vt:lpstr>number_trained_module_resource_mobil_teaching_f</vt:lpstr>
      <vt:lpstr>number_trained_module_resource_mobil_teaching_m</vt:lpstr>
      <vt:lpstr>number_trained_module_schoolbased_nonteaching_f</vt:lpstr>
      <vt:lpstr>number_trained_module_schoolbased_nonteaching_m</vt:lpstr>
      <vt:lpstr>number_trained_module_schoolbased_teaching_f</vt:lpstr>
      <vt:lpstr>number_trained_module_schoolbased_teaching_m</vt:lpstr>
      <vt:lpstr>number_trained_module_sensitive_educ_nonteaching_f</vt:lpstr>
      <vt:lpstr>number_trained_module_sensitive_educ_nonteaching_m</vt:lpstr>
      <vt:lpstr>number_trained_module_sensitive_educ_teaching_f</vt:lpstr>
      <vt:lpstr>number_trained_module_sensitive_educ_teaching_m</vt:lpstr>
      <vt:lpstr>number_trained_module_staff_safety_nonteaching_f</vt:lpstr>
      <vt:lpstr>number_trained_module_staff_safety_nonteaching_m</vt:lpstr>
      <vt:lpstr>number_trained_module_staff_safety_teaching_f</vt:lpstr>
      <vt:lpstr>number_trained_module_staff_safety_teaching_m</vt:lpstr>
      <vt:lpstr>number_trained_module_terminologies_nonteaching_f</vt:lpstr>
      <vt:lpstr>number_trained_module_terminologies_nonteaching_m</vt:lpstr>
      <vt:lpstr>number_trained_module_terminologies_teaching_f</vt:lpstr>
      <vt:lpstr>number_trained_module_terminologies_teaching_m</vt:lpstr>
      <vt:lpstr>number_trained_module_tls_nonteaching_f</vt:lpstr>
      <vt:lpstr>number_trained_module_tls_nonteaching_m</vt:lpstr>
      <vt:lpstr>number_trained_module_tls_teaching_f</vt:lpstr>
      <vt:lpstr>number_trained_module_tls_teaching_m</vt:lpstr>
      <vt:lpstr>number_trained_module_understand_cchange_nonteaching_f</vt:lpstr>
      <vt:lpstr>number_trained_module_understand_cchange_nonteaching_m</vt:lpstr>
      <vt:lpstr>number_trained_module_understand_cchange_teaching_f</vt:lpstr>
      <vt:lpstr>number_trained_module_understand_cchange_teaching_m</vt:lpstr>
      <vt:lpstr>number_training_conducted_learner_ccam</vt:lpstr>
      <vt:lpstr>number_training_conducted_learner_drrm</vt:lpstr>
      <vt:lpstr>number_training_conducted_learner_pbuilding</vt:lpstr>
      <vt:lpstr>numteach_assign_ap_g4_f</vt:lpstr>
      <vt:lpstr>numteach_assign_ap_g4_m</vt:lpstr>
      <vt:lpstr>numteach_assign_ap_g5_f</vt:lpstr>
      <vt:lpstr>numteach_assign_ap_g5_m</vt:lpstr>
      <vt:lpstr>numteach_assign_ap_g6_f</vt:lpstr>
      <vt:lpstr>numteach_assign_ap_g6_m</vt:lpstr>
      <vt:lpstr>numteach_assign_eng_g4_f</vt:lpstr>
      <vt:lpstr>numteach_assign_eng_g4_m</vt:lpstr>
      <vt:lpstr>numteach_assign_eng_g5_f</vt:lpstr>
      <vt:lpstr>numteach_assign_eng_g5_m</vt:lpstr>
      <vt:lpstr>numteach_assign_eng_g6_f</vt:lpstr>
      <vt:lpstr>numteach_assign_eng_g6_m</vt:lpstr>
      <vt:lpstr>numteach_assign_epp_tle_g4_f</vt:lpstr>
      <vt:lpstr>numteach_assign_epp_tle_g4_m</vt:lpstr>
      <vt:lpstr>numteach_assign_epp_tle_g5_f</vt:lpstr>
      <vt:lpstr>numteach_assign_epp_tle_g5_m</vt:lpstr>
      <vt:lpstr>numteach_assign_epp_tle_g6_f</vt:lpstr>
      <vt:lpstr>numteach_assign_epp_tle_g6_m</vt:lpstr>
      <vt:lpstr>numteach_assign_esp_g4_f</vt:lpstr>
      <vt:lpstr>numteach_assign_esp_g4_m</vt:lpstr>
      <vt:lpstr>numteach_assign_esp_g5_f</vt:lpstr>
      <vt:lpstr>numteach_assign_esp_g5_m</vt:lpstr>
      <vt:lpstr>numteach_assign_esp_g6_f</vt:lpstr>
      <vt:lpstr>numteach_assign_esp_g6_m</vt:lpstr>
      <vt:lpstr>numteach_assign_fil_g4_f</vt:lpstr>
      <vt:lpstr>numteach_assign_fil_g4_m</vt:lpstr>
      <vt:lpstr>numteach_assign_fil_g5_f</vt:lpstr>
      <vt:lpstr>numteach_assign_fil_g5_m</vt:lpstr>
      <vt:lpstr>numteach_assign_fil_g6_f</vt:lpstr>
      <vt:lpstr>numteach_assign_fil_g6_m</vt:lpstr>
      <vt:lpstr>numteach_assign_mapeh_g4_f</vt:lpstr>
      <vt:lpstr>numteach_assign_mapeh_g4_m</vt:lpstr>
      <vt:lpstr>numteach_assign_mapeh_g5_f</vt:lpstr>
      <vt:lpstr>numteach_assign_mapeh_g5_m</vt:lpstr>
      <vt:lpstr>numteach_assign_mapeh_g6_f</vt:lpstr>
      <vt:lpstr>numteach_assign_mapeh_g6_m</vt:lpstr>
      <vt:lpstr>numteach_assign_math_g4_f</vt:lpstr>
      <vt:lpstr>numteach_assign_math_g4_m</vt:lpstr>
      <vt:lpstr>numteach_assign_math_g5_f</vt:lpstr>
      <vt:lpstr>numteach_assign_math_g5_m</vt:lpstr>
      <vt:lpstr>numteach_assign_math_g6_f</vt:lpstr>
      <vt:lpstr>numteach_assign_math_g6_m</vt:lpstr>
      <vt:lpstr>numteach_assign_sci_g4_f</vt:lpstr>
      <vt:lpstr>numteach_assign_sci_g4_m</vt:lpstr>
      <vt:lpstr>numteach_assign_sci_g5_f</vt:lpstr>
      <vt:lpstr>numteach_assign_sci_g5_m</vt:lpstr>
      <vt:lpstr>numteach_assign_sci_g6_f</vt:lpstr>
      <vt:lpstr>numteach_assign_sci_g6_m</vt:lpstr>
      <vt:lpstr>numteach_g1_F</vt:lpstr>
      <vt:lpstr>numteach_g1_m</vt:lpstr>
      <vt:lpstr>numteach_g2_f</vt:lpstr>
      <vt:lpstr>numteach_g2_m</vt:lpstr>
      <vt:lpstr>numteach_g3_f</vt:lpstr>
      <vt:lpstr>numteach_g3_m</vt:lpstr>
      <vt:lpstr>numteach_g4_f</vt:lpstr>
      <vt:lpstr>numteach_g4_m</vt:lpstr>
      <vt:lpstr>numteach_g5_f</vt:lpstr>
      <vt:lpstr>numteach_g5_m</vt:lpstr>
      <vt:lpstr>numteach_g6_f</vt:lpstr>
      <vt:lpstr>numteach_g6_m</vt:lpstr>
      <vt:lpstr>numteach_highest_educ_attainment_bachelor_f</vt:lpstr>
      <vt:lpstr>numteach_highest_educ_attainment_bachelor_m</vt:lpstr>
      <vt:lpstr>numteach_highest_educ_attainment_doctor_f</vt:lpstr>
      <vt:lpstr>numteach_highest_educ_attainment_doctor_m</vt:lpstr>
      <vt:lpstr>numteach_highest_educ_attainment_doctor_units_f</vt:lpstr>
      <vt:lpstr>numteach_highest_educ_attainment_doctor_units_m</vt:lpstr>
      <vt:lpstr>numteach_highest_educ_attainment_master_f</vt:lpstr>
      <vt:lpstr>numteach_highest_educ_attainment_master_m</vt:lpstr>
      <vt:lpstr>numteach_highest_educ_attainment_master_units_f</vt:lpstr>
      <vt:lpstr>numteach_highest_educ_attainment_master_units_m</vt:lpstr>
      <vt:lpstr>numteach_kinder_F</vt:lpstr>
      <vt:lpstr>numteach_kinder_m</vt:lpstr>
      <vt:lpstr>numteach_morethance_g1_f</vt:lpstr>
      <vt:lpstr>numteach_morethance_g1_m</vt:lpstr>
      <vt:lpstr>numteach_morethance_g2_f</vt:lpstr>
      <vt:lpstr>numteach_morethance_g2_m</vt:lpstr>
      <vt:lpstr>numteach_morethance_g3_f</vt:lpstr>
      <vt:lpstr>numteach_morethance_g3_m</vt:lpstr>
      <vt:lpstr>numteach_morethance_g4_f</vt:lpstr>
      <vt:lpstr>numteach_morethance_g4_m</vt:lpstr>
      <vt:lpstr>numteach_morethance_g5_f</vt:lpstr>
      <vt:lpstr>numteach_morethance_g5_m</vt:lpstr>
      <vt:lpstr>numteach_morethance_g6_f</vt:lpstr>
      <vt:lpstr>numteach_morethance_g6_m</vt:lpstr>
      <vt:lpstr>numteach_morethance_kinder_F</vt:lpstr>
      <vt:lpstr>numteach_morethance_kinder_m</vt:lpstr>
      <vt:lpstr>numteach_morethance_sped_f</vt:lpstr>
      <vt:lpstr>numteach_morethance_sped_m</vt:lpstr>
      <vt:lpstr>numteach_sped_f</vt:lpstr>
      <vt:lpstr>numteach_sped_m</vt:lpstr>
      <vt:lpstr>numteach_sped_mt1_asd_diff_pas</vt:lpstr>
      <vt:lpstr>numteach_sped_mt1_cd_diff_com</vt:lpstr>
      <vt:lpstr>numteach_sped_mt1_ebd_diff_dib</vt:lpstr>
      <vt:lpstr>numteach_sped_mt1_hi_diff_hearing</vt:lpstr>
      <vt:lpstr>numteach_sped_mt1_id_diff_rcpau</vt:lpstr>
      <vt:lpstr>numteach_sped_mt1_ld_diff_ak</vt:lpstr>
      <vt:lpstr>numteach_sped_mt1_md</vt:lpstr>
      <vt:lpstr>numteach_sped_mt1_md_combi_2mor_disabilities</vt:lpstr>
      <vt:lpstr>numteach_sped_mt1_oh_diff_mob</vt:lpstr>
      <vt:lpstr>numteach_sped_mt1_vi_diff_seeing</vt:lpstr>
      <vt:lpstr>numteach_sped_mt1_yrs_serv_0to3</vt:lpstr>
      <vt:lpstr>numteach_sped_mt1_yrs_serv_10to12</vt:lpstr>
      <vt:lpstr>numteach_sped_mt1_yrs_serv_13to15</vt:lpstr>
      <vt:lpstr>numteach_sped_mt1_yrs_serv_16nabove</vt:lpstr>
      <vt:lpstr>numteach_sped_mt1_yrs_serv_4to6</vt:lpstr>
      <vt:lpstr>numteach_sped_mt1_yrs_serv_7to9</vt:lpstr>
      <vt:lpstr>numteach_sped_mt1_yrs_teach_0to3</vt:lpstr>
      <vt:lpstr>numteach_sped_mt1_yrs_teach_10to12</vt:lpstr>
      <vt:lpstr>numteach_sped_mt1_yrs_teach_13nabove</vt:lpstr>
      <vt:lpstr>numteach_sped_mt1_yrs_teach_4to6</vt:lpstr>
      <vt:lpstr>numteach_sped_mt1_yrs_teach_7to9</vt:lpstr>
      <vt:lpstr>numteach_sped_mt2_asd_diff_pas</vt:lpstr>
      <vt:lpstr>numteach_sped_mt2_cd_diff_com</vt:lpstr>
      <vt:lpstr>numteach_sped_mt2_ebd_diff_dib</vt:lpstr>
      <vt:lpstr>numteach_sped_mt2_hi_diff_hearing</vt:lpstr>
      <vt:lpstr>numteach_sped_mt2_id_diff_rcpau</vt:lpstr>
      <vt:lpstr>numteach_sped_mt2_ld_diff_ak</vt:lpstr>
      <vt:lpstr>numteach_sped_mt2_md</vt:lpstr>
      <vt:lpstr>numteach_sped_mt2_md_combi_2mor_disabilities</vt:lpstr>
      <vt:lpstr>numteach_sped_mt2_oh_diff_mob</vt:lpstr>
      <vt:lpstr>numteach_sped_mt2_vi_diff_seeing</vt:lpstr>
      <vt:lpstr>numteach_sped_mt2_yrs_serv_0to3</vt:lpstr>
      <vt:lpstr>numteach_sped_mt2_yrs_serv_10to12</vt:lpstr>
      <vt:lpstr>numteach_sped_mt2_yrs_serv_13to15</vt:lpstr>
      <vt:lpstr>numteach_sped_mt2_yrs_serv_16nabove</vt:lpstr>
      <vt:lpstr>numteach_sped_mt2_yrs_serv_4to6</vt:lpstr>
      <vt:lpstr>numteach_sped_mt2_yrs_serv_7to9</vt:lpstr>
      <vt:lpstr>numteach_sped_mt2_yrs_teach_0to3</vt:lpstr>
      <vt:lpstr>numteach_sped_mt2_yrs_teach_10to12</vt:lpstr>
      <vt:lpstr>numteach_sped_mt2_yrs_teach_13nabove</vt:lpstr>
      <vt:lpstr>numteach_sped_mt2_yrs_teach_4to6</vt:lpstr>
      <vt:lpstr>numteach_sped_mt2_yrs_teach_7to9</vt:lpstr>
      <vt:lpstr>numteach_sped_mt3_asd_diff_pas</vt:lpstr>
      <vt:lpstr>numteach_sped_mt3_cd_diff_com</vt:lpstr>
      <vt:lpstr>numteach_sped_mt3_ebd_diff_dib</vt:lpstr>
      <vt:lpstr>numteach_sped_mt3_hi_diff_hearing</vt:lpstr>
      <vt:lpstr>numteach_sped_mt3_id_diff_rcpau</vt:lpstr>
      <vt:lpstr>numteach_sped_mt3_ld_diff_ak</vt:lpstr>
      <vt:lpstr>numteach_sped_mt3_md</vt:lpstr>
      <vt:lpstr>numteach_sped_mt3_md_combi_2mor_disabilities</vt:lpstr>
      <vt:lpstr>numteach_sped_mt3_oh_diff_mob</vt:lpstr>
      <vt:lpstr>numteach_sped_mt3_vi_diff_seeing</vt:lpstr>
      <vt:lpstr>numteach_sped_mt3_yrs_serv_0to3</vt:lpstr>
      <vt:lpstr>numteach_sped_mt3_yrs_serv_10to12</vt:lpstr>
      <vt:lpstr>numteach_sped_mt3_yrs_serv_13to15</vt:lpstr>
      <vt:lpstr>numteach_sped_mt3_yrs_serv_16nabove</vt:lpstr>
      <vt:lpstr>numteach_sped_mt3_yrs_serv_4to6</vt:lpstr>
      <vt:lpstr>numteach_sped_mt3_yrs_serv_7to9</vt:lpstr>
      <vt:lpstr>numteach_sped_mt3_yrs_teach_0to3</vt:lpstr>
      <vt:lpstr>numteach_sped_mt3_yrs_teach_10to12</vt:lpstr>
      <vt:lpstr>numteach_sped_mt3_yrs_teach_13nabove</vt:lpstr>
      <vt:lpstr>numteach_sped_mt3_yrs_teach_4to6</vt:lpstr>
      <vt:lpstr>numteach_sped_mt3_yrs_teach_7to9</vt:lpstr>
      <vt:lpstr>numteach_sped_mt4_asd_diff_pas</vt:lpstr>
      <vt:lpstr>numteach_sped_mt4_cd_diff_com</vt:lpstr>
      <vt:lpstr>numteach_sped_mt4_ebd_diff_dib</vt:lpstr>
      <vt:lpstr>numteach_sped_mt4_hi_diff_hearing</vt:lpstr>
      <vt:lpstr>numteach_sped_mt4_id_diff_rcpau</vt:lpstr>
      <vt:lpstr>numteach_sped_mt4_ld_diff_ak</vt:lpstr>
      <vt:lpstr>numteach_sped_mt4_md</vt:lpstr>
      <vt:lpstr>numteach_sped_mt4_md_combi_2mor_disabilities</vt:lpstr>
      <vt:lpstr>numteach_sped_mt4_oh_diff_mob</vt:lpstr>
      <vt:lpstr>numteach_sped_mt4_vi_diff_seeing</vt:lpstr>
      <vt:lpstr>numteach_sped_mt4_yrs_serv_0to3</vt:lpstr>
      <vt:lpstr>numteach_sped_mt4_yrs_serv_10to12</vt:lpstr>
      <vt:lpstr>numteach_sped_mt4_yrs_serv_13to15</vt:lpstr>
      <vt:lpstr>numteach_sped_mt4_yrs_serv_16nabove</vt:lpstr>
      <vt:lpstr>numteach_sped_mt4_yrs_serv_4to6</vt:lpstr>
      <vt:lpstr>numteach_sped_mt4_yrs_serv_7to9</vt:lpstr>
      <vt:lpstr>numteach_sped_mt4_yrs_teach_0to3</vt:lpstr>
      <vt:lpstr>numteach_sped_mt4_yrs_teach_10to12</vt:lpstr>
      <vt:lpstr>numteach_sped_mt4_yrs_teach_13nabove</vt:lpstr>
      <vt:lpstr>numteach_sped_mt4_yrs_teach_4to6</vt:lpstr>
      <vt:lpstr>numteach_sped_mt4_yrs_teach_7to9</vt:lpstr>
      <vt:lpstr>numteach_sped_t1_asd_diff_pas</vt:lpstr>
      <vt:lpstr>numteach_sped_t1_cd_diff_com</vt:lpstr>
      <vt:lpstr>numteach_sped_t1_ebd_diff_dib</vt:lpstr>
      <vt:lpstr>numteach_sped_t1_hi_diff_hearing</vt:lpstr>
      <vt:lpstr>numteach_sped_t1_id_diff_rcpau</vt:lpstr>
      <vt:lpstr>numteach_sped_t1_ld_diff_ak</vt:lpstr>
      <vt:lpstr>numteach_sped_t1_md</vt:lpstr>
      <vt:lpstr>numteach_sped_t1_md_combi_2mor_disabilities</vt:lpstr>
      <vt:lpstr>numteach_sped_t1_oh_diff_mob</vt:lpstr>
      <vt:lpstr>numteach_sped_t1_vi_diff_seeing</vt:lpstr>
      <vt:lpstr>numteach_sped_t1_yrs_serv_0to3</vt:lpstr>
      <vt:lpstr>numteach_sped_t1_yrs_serv_10to12</vt:lpstr>
      <vt:lpstr>numteach_sped_t1_yrs_serv_13to15</vt:lpstr>
      <vt:lpstr>numteach_sped_t1_yrs_serv_16nabove</vt:lpstr>
      <vt:lpstr>numteach_sped_t1_yrs_serv_4to6</vt:lpstr>
      <vt:lpstr>numteach_sped_t1_yrs_serv_7to9</vt:lpstr>
      <vt:lpstr>numteach_sped_t1_yrs_teach_0to3</vt:lpstr>
      <vt:lpstr>numteach_sped_t1_yrs_teach_10to12</vt:lpstr>
      <vt:lpstr>numteach_sped_t1_yrs_teach_13nabove</vt:lpstr>
      <vt:lpstr>numteach_sped_t1_yrs_teach_4to6</vt:lpstr>
      <vt:lpstr>numteach_sped_t1_yrs_teach_7to9</vt:lpstr>
      <vt:lpstr>numteach_sped_t2_asd_diff_pas</vt:lpstr>
      <vt:lpstr>numteach_sped_t2_cd_diff_com</vt:lpstr>
      <vt:lpstr>numteach_sped_t2_ebd_diff_dib</vt:lpstr>
      <vt:lpstr>numteach_sped_t2_hi_diff_hearing</vt:lpstr>
      <vt:lpstr>numteach_sped_t2_id_diff_rcpau</vt:lpstr>
      <vt:lpstr>numteach_sped_t2_ld_diff_ak</vt:lpstr>
      <vt:lpstr>numteach_sped_t2_md</vt:lpstr>
      <vt:lpstr>numteach_sped_t2_md_combi_2mor_disabilities</vt:lpstr>
      <vt:lpstr>numteach_sped_t2_oh_diff_mob</vt:lpstr>
      <vt:lpstr>numteach_sped_t2_vi_diff_seeing</vt:lpstr>
      <vt:lpstr>numteach_sped_t2_yrs_serv_0to3</vt:lpstr>
      <vt:lpstr>numteach_sped_t2_yrs_serv_10to12</vt:lpstr>
      <vt:lpstr>numteach_sped_t2_yrs_serv_13to15</vt:lpstr>
      <vt:lpstr>numteach_sped_t2_yrs_serv_16nabove</vt:lpstr>
      <vt:lpstr>numteach_sped_t2_yrs_serv_4to6</vt:lpstr>
      <vt:lpstr>numteach_sped_t2_yrs_serv_7to9</vt:lpstr>
      <vt:lpstr>numteach_sped_t2_yrs_teach_0to3</vt:lpstr>
      <vt:lpstr>numteach_sped_t2_yrs_teach_10to12</vt:lpstr>
      <vt:lpstr>numteach_sped_t2_yrs_teach_13nabove</vt:lpstr>
      <vt:lpstr>numteach_sped_t2_yrs_teach_4to6</vt:lpstr>
      <vt:lpstr>numteach_sped_t2_yrs_teach_7to9</vt:lpstr>
      <vt:lpstr>numteach_sped_t3_asd_diff_pas</vt:lpstr>
      <vt:lpstr>numteach_sped_t3_cd_diff_com</vt:lpstr>
      <vt:lpstr>numteach_sped_t3_ebd_diff_dib</vt:lpstr>
      <vt:lpstr>numteach_sped_t3_hi_diff_hearing</vt:lpstr>
      <vt:lpstr>numteach_sped_t3_id_diff_rcpau</vt:lpstr>
      <vt:lpstr>numteach_sped_t3_ld_diff_ak</vt:lpstr>
      <vt:lpstr>numteach_sped_t3_md</vt:lpstr>
      <vt:lpstr>numteach_sped_t3_md_combi_2mor_disabilities</vt:lpstr>
      <vt:lpstr>numteach_sped_t3_oh_diff_mob</vt:lpstr>
      <vt:lpstr>numteach_sped_t3_vi_diff_seeing</vt:lpstr>
      <vt:lpstr>numteach_sped_t3_yrs_serv_0to3</vt:lpstr>
      <vt:lpstr>numteach_sped_t3_yrs_serv_10to12</vt:lpstr>
      <vt:lpstr>numteach_sped_t3_yrs_serv_13to15</vt:lpstr>
      <vt:lpstr>numteach_sped_t3_yrs_serv_16nabove</vt:lpstr>
      <vt:lpstr>numteach_sped_t3_yrs_serv_4to6</vt:lpstr>
      <vt:lpstr>numteach_sped_t3_yrs_serv_7to9</vt:lpstr>
      <vt:lpstr>numteach_sped_t3_yrs_teach_0to3</vt:lpstr>
      <vt:lpstr>numteach_sped_t3_yrs_teach_10to12</vt:lpstr>
      <vt:lpstr>numteach_sped_t3_yrs_teach_13nabove</vt:lpstr>
      <vt:lpstr>numteach_sped_t3_yrs_teach_4to6</vt:lpstr>
      <vt:lpstr>numteach_sped_t3_yrs_teach_7to9</vt:lpstr>
      <vt:lpstr>oer_edited_remix_reuse_work_grade1_quarter1</vt:lpstr>
      <vt:lpstr>oer_edited_remix_reuse_work_grade1_quarter2</vt:lpstr>
      <vt:lpstr>oer_edited_remix_reuse_work_grade1_quarter3</vt:lpstr>
      <vt:lpstr>oer_edited_remix_reuse_work_grade1_quarter4</vt:lpstr>
      <vt:lpstr>oer_edited_remix_reuse_work_grade2_quarter1</vt:lpstr>
      <vt:lpstr>oer_edited_remix_reuse_work_grade2_quarter2</vt:lpstr>
      <vt:lpstr>oer_edited_remix_reuse_work_grade2_quarter3</vt:lpstr>
      <vt:lpstr>oer_edited_remix_reuse_work_grade2_quarter4</vt:lpstr>
      <vt:lpstr>oer_edited_remix_reuse_work_grade3_quarter1</vt:lpstr>
      <vt:lpstr>oer_edited_remix_reuse_work_grade3_quarter2</vt:lpstr>
      <vt:lpstr>oer_edited_remix_reuse_work_grade3_quarter3</vt:lpstr>
      <vt:lpstr>oer_edited_remix_reuse_work_grade3_quarter4</vt:lpstr>
      <vt:lpstr>oer_edited_remix_reuse_work_grade4_quarter1</vt:lpstr>
      <vt:lpstr>oer_edited_remix_reuse_work_grade4_quarter2</vt:lpstr>
      <vt:lpstr>oer_edited_remix_reuse_work_grade4_quarter3</vt:lpstr>
      <vt:lpstr>oer_edited_remix_reuse_work_grade4_quarter4</vt:lpstr>
      <vt:lpstr>oer_edited_remix_reuse_work_grade5_quarter1</vt:lpstr>
      <vt:lpstr>oer_edited_remix_reuse_work_grade5_quarter2</vt:lpstr>
      <vt:lpstr>oer_edited_remix_reuse_work_grade5_quarter3</vt:lpstr>
      <vt:lpstr>oer_edited_remix_reuse_work_grade5_quarter4</vt:lpstr>
      <vt:lpstr>oer_edited_remix_reuse_work_grade6_quarter1</vt:lpstr>
      <vt:lpstr>oer_edited_remix_reuse_work_grade6_quarter2</vt:lpstr>
      <vt:lpstr>oer_edited_remix_reuse_work_grade6_quarter3</vt:lpstr>
      <vt:lpstr>oer_edited_remix_reuse_work_grade6_quarter4</vt:lpstr>
      <vt:lpstr>oer_edited_remix_reuse_work_kinder_quarter1</vt:lpstr>
      <vt:lpstr>oer_edited_remix_reuse_work_kinder_quarter2</vt:lpstr>
      <vt:lpstr>oer_edited_remix_reuse_work_kinder_quarter3</vt:lpstr>
      <vt:lpstr>oer_edited_remix_reuse_work_kinder_quarter4</vt:lpstr>
      <vt:lpstr>oer_original_work_grade1_quarter1</vt:lpstr>
      <vt:lpstr>oer_original_work_grade1_quarter2</vt:lpstr>
      <vt:lpstr>oer_original_work_grade1_quarter3</vt:lpstr>
      <vt:lpstr>oer_original_work_grade1_quarter4</vt:lpstr>
      <vt:lpstr>oer_original_work_grade2_quarter1</vt:lpstr>
      <vt:lpstr>oer_original_work_grade2_quarter2</vt:lpstr>
      <vt:lpstr>oer_original_work_grade2_quarter3</vt:lpstr>
      <vt:lpstr>oer_original_work_grade2_quarter4</vt:lpstr>
      <vt:lpstr>oer_original_work_grade3_quarter1</vt:lpstr>
      <vt:lpstr>oer_original_work_grade3_quarter2</vt:lpstr>
      <vt:lpstr>oer_original_work_grade3_quarter3</vt:lpstr>
      <vt:lpstr>oer_original_work_grade3_quarter4</vt:lpstr>
      <vt:lpstr>oer_original_work_grade4_quarter1</vt:lpstr>
      <vt:lpstr>oer_original_work_grade4_quarter2</vt:lpstr>
      <vt:lpstr>oer_original_work_grade4_quarter3</vt:lpstr>
      <vt:lpstr>oer_original_work_grade4_quarter4</vt:lpstr>
      <vt:lpstr>oer_original_work_grade5_quarter1</vt:lpstr>
      <vt:lpstr>oer_original_work_grade5_quarter2</vt:lpstr>
      <vt:lpstr>oer_original_work_grade5_quarter3</vt:lpstr>
      <vt:lpstr>oer_original_work_grade5_quarter4</vt:lpstr>
      <vt:lpstr>oer_original_work_grade6_quarter1</vt:lpstr>
      <vt:lpstr>oer_original_work_grade6_quarter2</vt:lpstr>
      <vt:lpstr>oer_original_work_grade6_quarter3</vt:lpstr>
      <vt:lpstr>oer_original_work_grade6_quarter4</vt:lpstr>
      <vt:lpstr>oer_original_work_kinder_quarter1</vt:lpstr>
      <vt:lpstr>oer_original_work_kinder_quarter2</vt:lpstr>
      <vt:lpstr>oer_original_work_kinder_quarter3</vt:lpstr>
      <vt:lpstr>oer_original_work_kinder_quarter4</vt:lpstr>
      <vt:lpstr>opmainsanf_sanfclean_attwiceawk</vt:lpstr>
      <vt:lpstr>opmainsanf_sanfclean_avecos_monbm_amount</vt:lpstr>
      <vt:lpstr>opmainsanf_sanfclean_daily</vt:lpstr>
      <vt:lpstr>opmainsanf_sanfclean_lessonceawk</vt:lpstr>
      <vt:lpstr>opmainsanf_sanfclean_onceawk</vt:lpstr>
      <vt:lpstr>opmainsanf_sanfclean_payavecos_monbm_lgu</vt:lpstr>
      <vt:lpstr>opmainsanf_sanfclean_payavecos_monbm_other_specify</vt:lpstr>
      <vt:lpstr>opmainsanf_sanfclean_payavecos_monbm_others</vt:lpstr>
      <vt:lpstr>opmainsanf_sanfclean_payavecos_monbm_privinds</vt:lpstr>
      <vt:lpstr>opmainsanf_sanfclean_payavecos_monbm_pta</vt:lpstr>
      <vt:lpstr>opmainsanf_sanfclean_payavecos_monbmes_schcantf</vt:lpstr>
      <vt:lpstr>opmainsanf_sanfclean_payavecos_monbmes_schmooe</vt:lpstr>
      <vt:lpstr>personnel_affected_need_pss_nonteaching_f</vt:lpstr>
      <vt:lpstr>personnel_affected_need_pss_nonteaching_m</vt:lpstr>
      <vt:lpstr>personnel_affected_need_pss_teaching_f</vt:lpstr>
      <vt:lpstr>personnel_affected_need_pss_teaching_m</vt:lpstr>
      <vt:lpstr>personnel_affected_provided_mhpss_nonteaching_f</vt:lpstr>
      <vt:lpstr>personnel_affected_provided_mhpss_nonteaching_m</vt:lpstr>
      <vt:lpstr>personnel_affected_provided_mhpss_teaching_f</vt:lpstr>
      <vt:lpstr>personnel_affected_provided_mhpss_teaching_m</vt:lpstr>
      <vt:lpstr>personnel_affected_ref_mechanism_nonteaching_f</vt:lpstr>
      <vt:lpstr>personnel_affected_ref_mechanism_nonteaching_m</vt:lpstr>
      <vt:lpstr>personnel_affected_ref_mechanism_teaching_f</vt:lpstr>
      <vt:lpstr>personnel_affected_ref_mechanism_teaching_m</vt:lpstr>
      <vt:lpstr>personnel_deped_subsi_cont_serv_cos_f</vt:lpstr>
      <vt:lpstr>personnel_deped_subsi_cont_serv_cos_m</vt:lpstr>
      <vt:lpstr>personnel_elem_alive_qualified_f</vt:lpstr>
      <vt:lpstr>personnel_elem_alive_qualified_m</vt:lpstr>
      <vt:lpstr>personnel_elem_alive_trained_f</vt:lpstr>
      <vt:lpstr>personnel_elem_alive_trained_m</vt:lpstr>
      <vt:lpstr>personnel_elem_lgu</vt:lpstr>
      <vt:lpstr>personnel_elem_others</vt:lpstr>
      <vt:lpstr>personnel_elem_sef_mun_city</vt:lpstr>
      <vt:lpstr>personnel_elem_sef_prov</vt:lpstr>
      <vt:lpstr>personnel_kinder_lgu</vt:lpstr>
      <vt:lpstr>personnel_kinder_others</vt:lpstr>
      <vt:lpstr>personnel_kinder_qualified_f</vt:lpstr>
      <vt:lpstr>personnel_kinder_qualified_m</vt:lpstr>
      <vt:lpstr>personnel_kinder_sef_mun_city</vt:lpstr>
      <vt:lpstr>personnel_kinder_sef_prov</vt:lpstr>
      <vt:lpstr>personnel_kinder_trained_f</vt:lpstr>
      <vt:lpstr>personnel_kinder_trained_m</vt:lpstr>
      <vt:lpstr>personnel_nonteach_disbofficer_actual_f</vt:lpstr>
      <vt:lpstr>personnel_nonteach_disbofficer_actual_m</vt:lpstr>
      <vt:lpstr>personnel_nonteach_disbofficer_detailed_depedoffice</vt:lpstr>
      <vt:lpstr>personnel_nonteach_disbofficer_detailed_hs</vt:lpstr>
      <vt:lpstr>personnel_nonteach_disbofficer_detailed_othersch_f</vt:lpstr>
      <vt:lpstr>personnel_nonteach_disbofficer_detailed_othersch_m</vt:lpstr>
      <vt:lpstr>personnel_nonteach_disbofficer_detailed_outdiv</vt:lpstr>
      <vt:lpstr>personnel_nonteach_disbofficer_onleave</vt:lpstr>
      <vt:lpstr>personnel_nonteach_disbofficer_psipop</vt:lpstr>
      <vt:lpstr>personnel_nonteach_disbofficer_vacant</vt:lpstr>
      <vt:lpstr>personnel_nonteach_guidancecoor_I_actual_f</vt:lpstr>
      <vt:lpstr>personnel_nonteach_guidancecoor_I_actual_m</vt:lpstr>
      <vt:lpstr>personnel_nonteach_guidancecoor_I_detailed_depedoffice</vt:lpstr>
      <vt:lpstr>personnel_nonteach_guidancecoor_I_detailed_hs</vt:lpstr>
      <vt:lpstr>personnel_nonteach_guidancecoor_I_detailed_othersch_f</vt:lpstr>
      <vt:lpstr>personnel_nonteach_guidancecoor_I_detailed_othersch_m</vt:lpstr>
      <vt:lpstr>personnel_nonteach_guidancecoor_I_detailed_outdiv</vt:lpstr>
      <vt:lpstr>personnel_nonteach_guidancecoor_I_onleave</vt:lpstr>
      <vt:lpstr>personnel_nonteach_guidancecoor_I_psipop</vt:lpstr>
      <vt:lpstr>personnel_nonteach_guidancecoor_I_vacant</vt:lpstr>
      <vt:lpstr>personnel_nonteach_guidancecoor_II_actual_f</vt:lpstr>
      <vt:lpstr>personnel_nonteach_guidancecoor_II_actual_m</vt:lpstr>
      <vt:lpstr>personnel_nonteach_guidancecoor_II_detailed_depedoffice</vt:lpstr>
      <vt:lpstr>personnel_nonteach_guidancecoor_II_detailed_hs</vt:lpstr>
      <vt:lpstr>personnel_nonteach_guidancecoor_II_detailed_othersch_f</vt:lpstr>
      <vt:lpstr>personnel_nonteach_guidancecoor_II_detailed_othersch_m</vt:lpstr>
      <vt:lpstr>personnel_nonteach_guidancecoor_II_detailed_outdiv</vt:lpstr>
      <vt:lpstr>personnel_nonteach_guidancecoor_II_onleave</vt:lpstr>
      <vt:lpstr>personnel_nonteach_guidancecoor_II_psipop</vt:lpstr>
      <vt:lpstr>personnel_nonteach_guidancecoor_II_vacant</vt:lpstr>
      <vt:lpstr>personnel_nonteach_guidancecoor_III_actual_f</vt:lpstr>
      <vt:lpstr>personnel_nonteach_guidancecoor_III_actual_m</vt:lpstr>
      <vt:lpstr>personnel_nonteach_guidancecoor_III_detailed_depedoffice</vt:lpstr>
      <vt:lpstr>personnel_nonteach_guidancecoor_III_detailed_hs</vt:lpstr>
      <vt:lpstr>personnel_nonteach_guidancecoor_III_detailed_othersch_f</vt:lpstr>
      <vt:lpstr>personnel_nonteach_guidancecoor_III_detailed_othersch_m</vt:lpstr>
      <vt:lpstr>personnel_nonteach_guidancecoor_III_detailed_outdiv</vt:lpstr>
      <vt:lpstr>personnel_nonteach_guidancecoor_III_onleave</vt:lpstr>
      <vt:lpstr>personnel_nonteach_guidancecoor_III_psipop</vt:lpstr>
      <vt:lpstr>personnel_nonteach_guidancecoor_III_vacant</vt:lpstr>
      <vt:lpstr>personnel_nonteach_guidancecounsel_I_actual_f</vt:lpstr>
      <vt:lpstr>personnel_nonteach_guidancecounsel_I_actual_m</vt:lpstr>
      <vt:lpstr>personnel_nonteach_guidancecounsel_I_detailed_depedoffice</vt:lpstr>
      <vt:lpstr>personnel_nonteach_guidancecounsel_I_detailed_hs</vt:lpstr>
      <vt:lpstr>personnel_nonteach_guidancecounsel_I_detailed_othersch_F</vt:lpstr>
      <vt:lpstr>personnel_nonteach_guidancecounsel_I_detailed_othersch_m</vt:lpstr>
      <vt:lpstr>personnel_nonteach_guidancecounsel_I_detailed_outdiv</vt:lpstr>
      <vt:lpstr>personnel_nonteach_guidancecounsel_I_onleave</vt:lpstr>
      <vt:lpstr>personnel_nonteach_guidancecounsel_I_psipop</vt:lpstr>
      <vt:lpstr>personnel_nonteach_guidancecounsel_I_vacant</vt:lpstr>
      <vt:lpstr>personnel_nonteach_guidancecounsel_II_actual_f</vt:lpstr>
      <vt:lpstr>personnel_nonteach_guidancecounsel_II_actual_m</vt:lpstr>
      <vt:lpstr>personnel_nonteach_guidancecounsel_II_detailed_depedoffice</vt:lpstr>
      <vt:lpstr>personnel_nonteach_guidancecounsel_II_detailed_hs</vt:lpstr>
      <vt:lpstr>personnel_nonteach_guidancecounsel_II_detailed_othersch_f</vt:lpstr>
      <vt:lpstr>personnel_nonteach_guidancecounsel_II_detailed_othersch_m</vt:lpstr>
      <vt:lpstr>personnel_nonteach_guidancecounsel_II_detailed_outdiv</vt:lpstr>
      <vt:lpstr>personnel_nonteach_guidancecounsel_II_onleave</vt:lpstr>
      <vt:lpstr>personnel_nonteach_guidancecounsel_II_psipop</vt:lpstr>
      <vt:lpstr>personnel_nonteach_guidancecounsel_II_vacant</vt:lpstr>
      <vt:lpstr>personnel_nonteach_guidancecounsel_III_actual_f</vt:lpstr>
      <vt:lpstr>personnel_nonteach_guidancecounsel_III_actual_m</vt:lpstr>
      <vt:lpstr>personnel_nonteach_guidancecounsel_III_actual_m\</vt:lpstr>
      <vt:lpstr>personnel_nonteach_guidancecounsel_III_detailed_depedoffice</vt:lpstr>
      <vt:lpstr>personnel_nonteach_guidancecounsel_III_detailed_hs</vt:lpstr>
      <vt:lpstr>personnel_nonteach_guidancecounsel_III_detailed_othersch_f</vt:lpstr>
      <vt:lpstr>personnel_nonteach_guidancecounsel_III_detailed_othersch_m</vt:lpstr>
      <vt:lpstr>personnel_nonteach_guidancecounsel_III_detailed_outdiv</vt:lpstr>
      <vt:lpstr>personnel_nonteach_guidancecounsel_III_onleave</vt:lpstr>
      <vt:lpstr>personnel_nonteach_guidancecounsel_III_psipop</vt:lpstr>
      <vt:lpstr>personnel_nonteach_guidancecounsel_III_vacant</vt:lpstr>
      <vt:lpstr>personnel_nonteach_ht1_actual_f</vt:lpstr>
      <vt:lpstr>personnel_nonteach_ht1_actual_m</vt:lpstr>
      <vt:lpstr>personnel_nonteach_ht1_detailed_depedoffice</vt:lpstr>
      <vt:lpstr>personnel_nonteach_ht1_detailed_hs</vt:lpstr>
      <vt:lpstr>personnel_nonteach_ht1_detailed_othersch_f</vt:lpstr>
      <vt:lpstr>personnel_nonteach_ht1_detailed_othersch_m</vt:lpstr>
      <vt:lpstr>personnel_nonteach_ht1_detailed_outdiv</vt:lpstr>
      <vt:lpstr>personnel_nonteach_ht1_onleave</vt:lpstr>
      <vt:lpstr>personnel_nonteach_ht1_psipop</vt:lpstr>
      <vt:lpstr>personnel_nonteach_ht1_vacant</vt:lpstr>
      <vt:lpstr>personnel_nonteach_ht2_actual_f</vt:lpstr>
      <vt:lpstr>personnel_nonteach_ht2_actual_m</vt:lpstr>
      <vt:lpstr>personnel_nonteach_ht2_detailed_depedoffice</vt:lpstr>
      <vt:lpstr>personnel_nonteach_ht2_detailed_hs</vt:lpstr>
      <vt:lpstr>personnel_nonteach_ht2_detailed_othersch_f</vt:lpstr>
      <vt:lpstr>personnel_nonteach_ht2_detailed_othersch_m</vt:lpstr>
      <vt:lpstr>personnel_nonteach_ht2_detailed_outdiv</vt:lpstr>
      <vt:lpstr>personnel_nonteach_ht2_onleave</vt:lpstr>
      <vt:lpstr>personnel_nonteach_ht2_psipop</vt:lpstr>
      <vt:lpstr>personnel_nonteach_ht2_vacant</vt:lpstr>
      <vt:lpstr>personnel_nonteach_ht3_actual_f</vt:lpstr>
      <vt:lpstr>personnel_nonteach_ht3_actual_m</vt:lpstr>
      <vt:lpstr>personnel_nonteach_ht3_detailed_depedoffice</vt:lpstr>
      <vt:lpstr>personnel_nonteach_ht3_detailed_hs</vt:lpstr>
      <vt:lpstr>personnel_nonteach_ht3_detailed_othersch_f</vt:lpstr>
      <vt:lpstr>personnel_nonteach_ht3_detailed_othersch_m</vt:lpstr>
      <vt:lpstr>personnel_nonteach_ht3_detailed_outdiv</vt:lpstr>
      <vt:lpstr>personnel_nonteach_ht3_onleave</vt:lpstr>
      <vt:lpstr>personnel_nonteach_ht3_psipop</vt:lpstr>
      <vt:lpstr>personnel_nonteach_ht3_vacant</vt:lpstr>
      <vt:lpstr>personnel_nonteach_ht4_actual_f</vt:lpstr>
      <vt:lpstr>personnel_nonteach_ht4_actual_m</vt:lpstr>
      <vt:lpstr>personnel_nonteach_ht4_detailed_depedoffice</vt:lpstr>
      <vt:lpstr>personnel_nonteach_ht4_detailed_hs</vt:lpstr>
      <vt:lpstr>personnel_nonteach_ht4_detailed_othersch_f</vt:lpstr>
      <vt:lpstr>personnel_nonteach_ht4_detailed_othersch_m</vt:lpstr>
      <vt:lpstr>personnel_nonteach_ht4_detailed_outdiv</vt:lpstr>
      <vt:lpstr>personnel_nonteach_ht4_onleave</vt:lpstr>
      <vt:lpstr>personnel_nonteach_ht4_psipop</vt:lpstr>
      <vt:lpstr>personnel_nonteach_ht4_vacant</vt:lpstr>
      <vt:lpstr>personnel_nonteach_ht5_actual_f</vt:lpstr>
      <vt:lpstr>personnel_nonteach_ht5_actual_m</vt:lpstr>
      <vt:lpstr>personnel_nonteach_ht5_detailed_depedoffice</vt:lpstr>
      <vt:lpstr>personnel_nonteach_ht5_detailed_hs</vt:lpstr>
      <vt:lpstr>personnel_nonteach_ht5_detailed_othersch_f</vt:lpstr>
      <vt:lpstr>personnel_nonteach_ht5_detailed_othersch_m</vt:lpstr>
      <vt:lpstr>personnel_nonteach_ht5_detailed_outdiv</vt:lpstr>
      <vt:lpstr>personnel_nonteach_ht5_onleave</vt:lpstr>
      <vt:lpstr>personnel_nonteach_ht5_psipop</vt:lpstr>
      <vt:lpstr>personnel_nonteach_ht5_vacant</vt:lpstr>
      <vt:lpstr>personnel_nonteach_ht6_actual_f</vt:lpstr>
      <vt:lpstr>personnel_nonteach_ht6_actual_m</vt:lpstr>
      <vt:lpstr>personnel_nonteach_ht6_detailed_depedoffice</vt:lpstr>
      <vt:lpstr>personnel_nonteach_ht6_detailed_hs</vt:lpstr>
      <vt:lpstr>personnel_nonteach_ht6_detailed_othersch_f</vt:lpstr>
      <vt:lpstr>personnel_nonteach_ht6_detailed_othersch_m</vt:lpstr>
      <vt:lpstr>personnel_nonteach_ht6_detailed_outdiv</vt:lpstr>
      <vt:lpstr>personnel_nonteach_ht6_onleave</vt:lpstr>
      <vt:lpstr>personnel_nonteach_ht6_psipop</vt:lpstr>
      <vt:lpstr>personnel_nonteach_ht6_vacant</vt:lpstr>
      <vt:lpstr>personnel_nonteach_securityguard_actual_f</vt:lpstr>
      <vt:lpstr>personnel_nonteach_securityguard_actual_m</vt:lpstr>
      <vt:lpstr>personnel_nonteach_securityguard_detailed_depedoffice</vt:lpstr>
      <vt:lpstr>personnel_nonteach_securityguard_detailed_hs</vt:lpstr>
      <vt:lpstr>personnel_nonteach_securityguard_detailed_othersch_f</vt:lpstr>
      <vt:lpstr>personnel_nonteach_securityguard_detailed_othersch_m</vt:lpstr>
      <vt:lpstr>personnel_nonteach_securityguard_detailed_outdiv</vt:lpstr>
      <vt:lpstr>personnel_nonteach_securityguard_onleave</vt:lpstr>
      <vt:lpstr>personnel_nonteach_securityguard_psipop</vt:lpstr>
      <vt:lpstr>personnel_nonteach_securityguard_vacant</vt:lpstr>
      <vt:lpstr>personnel_nonteach_seniorbk_actual_f</vt:lpstr>
      <vt:lpstr>personnel_nonteach_seniorbk_actual_m</vt:lpstr>
      <vt:lpstr>personnel_nonteach_seniorbk_detailed_depedoffice</vt:lpstr>
      <vt:lpstr>personnel_nonteach_seniorbk_detailed_hs</vt:lpstr>
      <vt:lpstr>personnel_nonteach_seniorbk_detailed_othersch_f</vt:lpstr>
      <vt:lpstr>personnel_nonteach_seniorbk_detailed_othersch_m</vt:lpstr>
      <vt:lpstr>personnel_nonteach_seniorbk_detailed_outdiv</vt:lpstr>
      <vt:lpstr>personnel_nonteach_seniorbk_onleave</vt:lpstr>
      <vt:lpstr>personnel_nonteach_seniorbk_psipop</vt:lpstr>
      <vt:lpstr>personnel_nonteach_seniorbk_vacant</vt:lpstr>
      <vt:lpstr>personnel_nonteach_sp1_actual_f</vt:lpstr>
      <vt:lpstr>personnel_nonteach_sp1_actual_m</vt:lpstr>
      <vt:lpstr>personnel_nonteach_sp1_detailed_depedoffice</vt:lpstr>
      <vt:lpstr>personnel_nonteach_sp1_detailed_hs</vt:lpstr>
      <vt:lpstr>personnel_nonteach_sp1_detailed_othersch_f</vt:lpstr>
      <vt:lpstr>personnel_nonteach_sp1_detailed_othersch_m</vt:lpstr>
      <vt:lpstr>personnel_nonteach_sp1_detailed_outdiv</vt:lpstr>
      <vt:lpstr>personnel_nonteach_sp1_onleave</vt:lpstr>
      <vt:lpstr>personnel_nonteach_sp1_psipop</vt:lpstr>
      <vt:lpstr>personnel_nonteach_sp1_vacant</vt:lpstr>
      <vt:lpstr>personnel_nonteach_sp2_actual_f</vt:lpstr>
      <vt:lpstr>personnel_nonteach_sp2_actual_m</vt:lpstr>
      <vt:lpstr>personnel_nonteach_sp2_detailed_depedoffice</vt:lpstr>
      <vt:lpstr>personnel_nonteach_sp2_detailed_hs</vt:lpstr>
      <vt:lpstr>personnel_nonteach_sp2_detailed_othersch_f</vt:lpstr>
      <vt:lpstr>personnel_nonteach_sp2_detailed_othersch_m</vt:lpstr>
      <vt:lpstr>personnel_nonteach_sp2_detailed_outdiv</vt:lpstr>
      <vt:lpstr>personnel_nonteach_sp2_onleave</vt:lpstr>
      <vt:lpstr>personnel_nonteach_sp2_psipop</vt:lpstr>
      <vt:lpstr>personnel_nonteach_sp2_vacant</vt:lpstr>
      <vt:lpstr>personnel_nonteach_sp3_actual_f</vt:lpstr>
      <vt:lpstr>personnel_nonteach_sp3_actual_m</vt:lpstr>
      <vt:lpstr>personnel_nonteach_sp3_detailed_depedoffice</vt:lpstr>
      <vt:lpstr>personnel_nonteach_sp3_detailed_hs</vt:lpstr>
      <vt:lpstr>personnel_nonteach_sp3_detailed_othersch_f</vt:lpstr>
      <vt:lpstr>personnel_nonteach_sp3_detailed_othersch_m</vt:lpstr>
      <vt:lpstr>personnel_nonteach_sp3_detailed_outdiv</vt:lpstr>
      <vt:lpstr>personnel_nonteach_sp3_onleave</vt:lpstr>
      <vt:lpstr>personnel_nonteach_sp3_psipop</vt:lpstr>
      <vt:lpstr>personnel_nonteach_sp3_vacant</vt:lpstr>
      <vt:lpstr>personnel_nonteach_sp4_actual_f</vt:lpstr>
      <vt:lpstr>personnel_nonteach_sp4_actual_m</vt:lpstr>
      <vt:lpstr>personnel_nonteach_sp4_detailed_depedoffice</vt:lpstr>
      <vt:lpstr>personnel_nonteach_sp4_detailed_hs</vt:lpstr>
      <vt:lpstr>personnel_nonteach_sp4_detailed_othersch_f</vt:lpstr>
      <vt:lpstr>personnel_nonteach_sp4_detailed_othersch_m</vt:lpstr>
      <vt:lpstr>personnel_nonteach_sp4_detailed_outdiv</vt:lpstr>
      <vt:lpstr>personnel_nonteach_sp4_onleave</vt:lpstr>
      <vt:lpstr>personnel_nonteach_sp4_psipop</vt:lpstr>
      <vt:lpstr>personnel_nonteach_sp4_vacant</vt:lpstr>
      <vt:lpstr>personnel_nonteach_utilityworkerI_actual_f</vt:lpstr>
      <vt:lpstr>personnel_nonteach_utilityworkerI_actual_m</vt:lpstr>
      <vt:lpstr>personnel_nonteach_utilityworkerI_detailed_depedoffice</vt:lpstr>
      <vt:lpstr>personnel_nonteach_utilityworkerI_detailed_hs</vt:lpstr>
      <vt:lpstr>personnel_nonteach_utilityworkerI_detailed_othersch_f</vt:lpstr>
      <vt:lpstr>personnel_nonteach_utilityworkerI_detailed_othersch_m</vt:lpstr>
      <vt:lpstr>personnel_nonteach_utilityworkerI_detailed_outdiv</vt:lpstr>
      <vt:lpstr>personnel_nonteach_utilityworkerI_onleave</vt:lpstr>
      <vt:lpstr>personnel_nonteach_utilityworkerI_psipop</vt:lpstr>
      <vt:lpstr>personnel_nonteach_utilityworkerI_vacant</vt:lpstr>
      <vt:lpstr>personnel_participated_survey_iec_nonteaching_f</vt:lpstr>
      <vt:lpstr>personnel_participated_survey_iec_nonteaching_m</vt:lpstr>
      <vt:lpstr>personnel_participated_survey_iec_teaching_f</vt:lpstr>
      <vt:lpstr>personnel_participated_survey_iec_teaching_m</vt:lpstr>
      <vt:lpstr>personnel_teach_handling_alivecl_detailed_othersch_f</vt:lpstr>
      <vt:lpstr>personnel_teach_handling_alivecl_detailed_othersch_m</vt:lpstr>
      <vt:lpstr>personnel_teach_handling_alivecl_f</vt:lpstr>
      <vt:lpstr>personnel_teach_handling_alivecl_m</vt:lpstr>
      <vt:lpstr>personnel_teach_handling_alscl_detailed_othersch_f</vt:lpstr>
      <vt:lpstr>personnel_teach_handling_alscl_detailed_othersch_m</vt:lpstr>
      <vt:lpstr>personnel_teach_handling_alscl_f</vt:lpstr>
      <vt:lpstr>personnel_teach_handling_alscl_m</vt:lpstr>
      <vt:lpstr>personnel_teach_handling_ancilliary_detailed_othersch_f</vt:lpstr>
      <vt:lpstr>personnel_teach_handling_ancilliary_detailed_othersch_m</vt:lpstr>
      <vt:lpstr>personnel_teach_handling_ancilliary_f</vt:lpstr>
      <vt:lpstr>personnel_teach_handling_ancilliary_m</vt:lpstr>
      <vt:lpstr>personnel_teach_handling_dalsc_detailed_othersch_f</vt:lpstr>
      <vt:lpstr>personnel_teach_handling_dalsc_detailed_othersch_m</vt:lpstr>
      <vt:lpstr>personnel_teach_handling_dalsc_f</vt:lpstr>
      <vt:lpstr>personnel_teach_handling_dalsc_m</vt:lpstr>
      <vt:lpstr>personnel_teach_handling_g1to6_detailed_othersch_f</vt:lpstr>
      <vt:lpstr>personnel_teach_handling_g1to6_detailed_othersch_m</vt:lpstr>
      <vt:lpstr>personnel_teach_handling_g1to6_f</vt:lpstr>
      <vt:lpstr>personnel_teach_handling_g1to6_m</vt:lpstr>
      <vt:lpstr>personnel_teach_handling_kinder_detailed_othersch_f</vt:lpstr>
      <vt:lpstr>personnel_teach_handling_kinder_detailed_othersch_m</vt:lpstr>
      <vt:lpstr>personnel_teach_handling_kinder_f</vt:lpstr>
      <vt:lpstr>personnel_teach_handling_kinder_m</vt:lpstr>
      <vt:lpstr>personnel_teach_handling_sch_als_detailed_othersch_f</vt:lpstr>
      <vt:lpstr>personnel_teach_handling_sch_als_detailed_othersch_m</vt:lpstr>
      <vt:lpstr>personnel_teach_handling_sch_als_f</vt:lpstr>
      <vt:lpstr>personnel_teach_handling_sch_als_m</vt:lpstr>
      <vt:lpstr>personnel_teach_handling_spedcl_detailed_othersch_f</vt:lpstr>
      <vt:lpstr>personnel_teach_handling_spedcl_detailed_othersch_m</vt:lpstr>
      <vt:lpstr>personnel_teach_handling_spedcl_f</vt:lpstr>
      <vt:lpstr>personnel_teach_handling_spedcl_m</vt:lpstr>
      <vt:lpstr>personnel_teach_mt1_actual_f</vt:lpstr>
      <vt:lpstr>personnel_teach_mt1_actual_m</vt:lpstr>
      <vt:lpstr>personnel_teach_mt1_detailed_office_withind</vt:lpstr>
      <vt:lpstr>personnel_teach_mt1_detailed_othersch_f</vt:lpstr>
      <vt:lpstr>personnel_teach_mt1_detailed_othersch_m</vt:lpstr>
      <vt:lpstr>personnel_teach_mt1_detailed_outdiv</vt:lpstr>
      <vt:lpstr>personnel_teach_mt1_detailed_secsch_withind</vt:lpstr>
      <vt:lpstr>personnel_teach_mt1_onleave</vt:lpstr>
      <vt:lpstr>personnel_teach_mt1_psipop</vt:lpstr>
      <vt:lpstr>personnel_teach_mt1_vacant</vt:lpstr>
      <vt:lpstr>personnel_teach_mt2_actual_f</vt:lpstr>
      <vt:lpstr>personnel_teach_mt2_actual_m</vt:lpstr>
      <vt:lpstr>personnel_teach_mt2_detailed_office_withind</vt:lpstr>
      <vt:lpstr>personnel_teach_mt2_detailed_othersch_f</vt:lpstr>
      <vt:lpstr>personnel_teach_mt2_detailed_othersch_m</vt:lpstr>
      <vt:lpstr>personnel_teach_mt2_detailed_outdiv</vt:lpstr>
      <vt:lpstr>personnel_teach_mt2_detailed_secsch_withind</vt:lpstr>
      <vt:lpstr>personnel_teach_mt2_onleave</vt:lpstr>
      <vt:lpstr>personnel_teach_mt2_psipop</vt:lpstr>
      <vt:lpstr>personnel_teach_mt2_vacant</vt:lpstr>
      <vt:lpstr>personnel_teach_mt3_actual_f</vt:lpstr>
      <vt:lpstr>personnel_teach_mt3_actual_m</vt:lpstr>
      <vt:lpstr>personnel_teach_mt3_detailed_office_withind</vt:lpstr>
      <vt:lpstr>personnel_teach_mt3_detailed_othersch_f</vt:lpstr>
      <vt:lpstr>personnel_teach_mt3_detailed_othersch_m</vt:lpstr>
      <vt:lpstr>personnel_teach_mt3_detailed_outdiv</vt:lpstr>
      <vt:lpstr>personnel_teach_mt3_detailed_secsch_withind</vt:lpstr>
      <vt:lpstr>personnel_teach_mt3_onleave</vt:lpstr>
      <vt:lpstr>personnel_teach_mt3_psipop</vt:lpstr>
      <vt:lpstr>personnel_teach_mt3_vacant</vt:lpstr>
      <vt:lpstr>personnel_teach_mt4_actual_f</vt:lpstr>
      <vt:lpstr>personnel_teach_mt4_actual_m</vt:lpstr>
      <vt:lpstr>personnel_teach_mt4_detailed_office_withind</vt:lpstr>
      <vt:lpstr>personnel_teach_mt4_detailed_othersch_f</vt:lpstr>
      <vt:lpstr>personnel_teach_mt4_detailed_othersch_m</vt:lpstr>
      <vt:lpstr>personnel_teach_mt4_detailed_outdiv</vt:lpstr>
      <vt:lpstr>personnel_teach_mt4_detailed_secsch_withind</vt:lpstr>
      <vt:lpstr>personnel_teach_mt4_onleave</vt:lpstr>
      <vt:lpstr>personnel_teach_mt4_psipop</vt:lpstr>
      <vt:lpstr>personnel_teach_mt4_vacant</vt:lpstr>
      <vt:lpstr>personnel_teach_spedt1_actual_f</vt:lpstr>
      <vt:lpstr>personnel_teach_spedt1_actual_m</vt:lpstr>
      <vt:lpstr>personnel_teach_spedt1_detailed_office_withind</vt:lpstr>
      <vt:lpstr>personnel_teach_spedt1_detailed_othersch_f</vt:lpstr>
      <vt:lpstr>personnel_teach_spedt1_detailed_othersch_m</vt:lpstr>
      <vt:lpstr>personnel_teach_spedt1_detailed_outdiv</vt:lpstr>
      <vt:lpstr>personnel_teach_spedt1_detailed_secsch_withind</vt:lpstr>
      <vt:lpstr>personnel_teach_spedt1_onleave</vt:lpstr>
      <vt:lpstr>personnel_teach_spedt1_psipop</vt:lpstr>
      <vt:lpstr>personnel_teach_spedt1_vacant</vt:lpstr>
      <vt:lpstr>personnel_teach_spedt2_actual_f</vt:lpstr>
      <vt:lpstr>personnel_teach_spedt2_actual_m</vt:lpstr>
      <vt:lpstr>personnel_teach_spedt2_detailed_office_withind</vt:lpstr>
      <vt:lpstr>personnel_teach_spedt2_detailed_othersch_f</vt:lpstr>
      <vt:lpstr>personnel_teach_spedt2_detailed_othersch_m</vt:lpstr>
      <vt:lpstr>personnel_teach_spedt2_detailed_outdiv</vt:lpstr>
      <vt:lpstr>personnel_teach_spedt2_detailed_secsch_withind</vt:lpstr>
      <vt:lpstr>personnel_teach_spedt2_onleave</vt:lpstr>
      <vt:lpstr>personnel_teach_spedt2_psipop</vt:lpstr>
      <vt:lpstr>personnel_teach_spedt2_vacant</vt:lpstr>
      <vt:lpstr>personnel_teach_spedt3_actual_f</vt:lpstr>
      <vt:lpstr>personnel_teach_spedt3_actual_m</vt:lpstr>
      <vt:lpstr>personnel_teach_spedt3_detailed_office_withind</vt:lpstr>
      <vt:lpstr>personnel_teach_spedt3_detailed_othersch_f</vt:lpstr>
      <vt:lpstr>personnel_teach_spedt3_detailed_othersch_m</vt:lpstr>
      <vt:lpstr>personnel_teach_spedt3_detailed_outdiv</vt:lpstr>
      <vt:lpstr>personnel_teach_spedt3_detailed_secsch_withind</vt:lpstr>
      <vt:lpstr>personnel_teach_spedt3_onleave</vt:lpstr>
      <vt:lpstr>personnel_teach_spedt3_psipop</vt:lpstr>
      <vt:lpstr>personnel_teach_spedt3_vacant</vt:lpstr>
      <vt:lpstr>personnel_teach_spedt4_actual_f</vt:lpstr>
      <vt:lpstr>personnel_teach_spedt4_actual_m</vt:lpstr>
      <vt:lpstr>personnel_teach_spedt4_detailed_office_withind</vt:lpstr>
      <vt:lpstr>personnel_teach_spedt4_detailed_othersch_f</vt:lpstr>
      <vt:lpstr>personnel_teach_spedt4_detailed_othersch_m</vt:lpstr>
      <vt:lpstr>personnel_teach_spedt4_detailed_outdiv</vt:lpstr>
      <vt:lpstr>personnel_teach_spedt4_detailed_secsch_withind</vt:lpstr>
      <vt:lpstr>personnel_teach_spedt4_onleave</vt:lpstr>
      <vt:lpstr>personnel_teach_spedt4_psipop</vt:lpstr>
      <vt:lpstr>personnel_teach_spedt4_vacant</vt:lpstr>
      <vt:lpstr>personnel_teach_spedt5_actual_f</vt:lpstr>
      <vt:lpstr>personnel_teach_spedt5_actual_m</vt:lpstr>
      <vt:lpstr>personnel_teach_spedt5_detailed_office_withind</vt:lpstr>
      <vt:lpstr>personnel_teach_spedt5_detailed_othersch_f</vt:lpstr>
      <vt:lpstr>personnel_teach_spedt5_detailed_othersch_m</vt:lpstr>
      <vt:lpstr>personnel_teach_spedt5_detailed_outdiv</vt:lpstr>
      <vt:lpstr>personnel_teach_spedt5_detailed_secsch_withind</vt:lpstr>
      <vt:lpstr>personnel_teach_spedt5_onleave</vt:lpstr>
      <vt:lpstr>personnel_teach_spedt5_psipop</vt:lpstr>
      <vt:lpstr>personnel_teach_spedt5_vacant</vt:lpstr>
      <vt:lpstr>personnel_teach_t1_actual_f</vt:lpstr>
      <vt:lpstr>personnel_teach_t1_actual_m</vt:lpstr>
      <vt:lpstr>personnel_teach_t1_detailed_office_withind</vt:lpstr>
      <vt:lpstr>personnel_teach_t1_detailed_othersch_f</vt:lpstr>
      <vt:lpstr>personnel_teach_t1_detailed_othersch_m</vt:lpstr>
      <vt:lpstr>personnel_teach_t1_detailed_outdiv</vt:lpstr>
      <vt:lpstr>personnel_teach_t1_detailed_secsch_withind</vt:lpstr>
      <vt:lpstr>personnel_teach_t1_onleave</vt:lpstr>
      <vt:lpstr>personnel_teach_t1_psipop</vt:lpstr>
      <vt:lpstr>personnel_teach_t1_vacant</vt:lpstr>
      <vt:lpstr>personnel_teach_t2_actual_f</vt:lpstr>
      <vt:lpstr>personnel_teach_t2_actual_m</vt:lpstr>
      <vt:lpstr>personnel_teach_t2_detailed_office_withind</vt:lpstr>
      <vt:lpstr>personnel_teach_t2_detailed_othersch_f</vt:lpstr>
      <vt:lpstr>personnel_teach_t2_detailed_othersch_m</vt:lpstr>
      <vt:lpstr>personnel_teach_t2_detailed_outdiv</vt:lpstr>
      <vt:lpstr>personnel_teach_t2_detailed_secsch_withind</vt:lpstr>
      <vt:lpstr>personnel_teach_t2_onleave</vt:lpstr>
      <vt:lpstr>personnel_teach_t2_psipop</vt:lpstr>
      <vt:lpstr>personnel_teach_t2_vacant</vt:lpstr>
      <vt:lpstr>personnel_teach_t3_actual_f</vt:lpstr>
      <vt:lpstr>personnel_teach_t3_actual_m</vt:lpstr>
      <vt:lpstr>personnel_teach_t3_detailed_office_withind</vt:lpstr>
      <vt:lpstr>personnel_teach_t3_detailed_othersch_f</vt:lpstr>
      <vt:lpstr>personnel_teach_t3_detailed_othersch_m</vt:lpstr>
      <vt:lpstr>personnel_teach_t3_detailed_outdiv</vt:lpstr>
      <vt:lpstr>personnel_teach_t3_detailed_secsch_withind</vt:lpstr>
      <vt:lpstr>personnel_teach_t3_onleave</vt:lpstr>
      <vt:lpstr>personnel_teach_t3_psipop</vt:lpstr>
      <vt:lpstr>personnel_teach_t3_vacant</vt:lpstr>
      <vt:lpstr>phyfacoor_doengr_name</vt:lpstr>
      <vt:lpstr>phyfacoor_doengr_pos</vt:lpstr>
      <vt:lpstr>po_name</vt:lpstr>
      <vt:lpstr>printer_photocpy_avemonth_expense1</vt:lpstr>
      <vt:lpstr>printer_photocpy_avemonth_expense10</vt:lpstr>
      <vt:lpstr>printer_photocpy_avemonth_expense2</vt:lpstr>
      <vt:lpstr>printer_photocpy_avemonth_expense3</vt:lpstr>
      <vt:lpstr>printer_photocpy_avemonth_expense4</vt:lpstr>
      <vt:lpstr>printer_photocpy_avemonth_expense5</vt:lpstr>
      <vt:lpstr>printer_photocpy_avemonth_expense6</vt:lpstr>
      <vt:lpstr>printer_photocpy_avemonth_expense7</vt:lpstr>
      <vt:lpstr>printer_photocpy_avemonth_expense8</vt:lpstr>
      <vt:lpstr>printer_photocpy_avemonth_expense9</vt:lpstr>
      <vt:lpstr>printer_photocpy_brand1</vt:lpstr>
      <vt:lpstr>printer_photocpy_brand10</vt:lpstr>
      <vt:lpstr>printer_photocpy_brand2</vt:lpstr>
      <vt:lpstr>printer_photocpy_brand3</vt:lpstr>
      <vt:lpstr>printer_photocpy_brand4</vt:lpstr>
      <vt:lpstr>printer_photocpy_brand5</vt:lpstr>
      <vt:lpstr>printer_photocpy_brand6</vt:lpstr>
      <vt:lpstr>printer_photocpy_brand7</vt:lpstr>
      <vt:lpstr>printer_photocpy_brand8</vt:lpstr>
      <vt:lpstr>printer_photocpy_brand9</vt:lpstr>
      <vt:lpstr>printer_photocpy_funding_source1</vt:lpstr>
      <vt:lpstr>printer_photocpy_funding_source10</vt:lpstr>
      <vt:lpstr>printer_photocpy_funding_source2</vt:lpstr>
      <vt:lpstr>printer_photocpy_funding_source3</vt:lpstr>
      <vt:lpstr>printer_photocpy_funding_source4</vt:lpstr>
      <vt:lpstr>printer_photocpy_funding_source5</vt:lpstr>
      <vt:lpstr>printer_photocpy_funding_source6</vt:lpstr>
      <vt:lpstr>printer_photocpy_funding_source7</vt:lpstr>
      <vt:lpstr>printer_photocpy_funding_source8</vt:lpstr>
      <vt:lpstr>printer_photocpy_funding_source9</vt:lpstr>
      <vt:lpstr>printer_photocpy_purpose1</vt:lpstr>
      <vt:lpstr>printer_photocpy_purpose10</vt:lpstr>
      <vt:lpstr>printer_photocpy_purpose2</vt:lpstr>
      <vt:lpstr>printer_photocpy_purpose3</vt:lpstr>
      <vt:lpstr>printer_photocpy_purpose4</vt:lpstr>
      <vt:lpstr>printer_photocpy_purpose5</vt:lpstr>
      <vt:lpstr>printer_photocpy_purpose6</vt:lpstr>
      <vt:lpstr>printer_photocpy_purpose7</vt:lpstr>
      <vt:lpstr>printer_photocpy_purpose8</vt:lpstr>
      <vt:lpstr>printer_photocpy_purpose9</vt:lpstr>
      <vt:lpstr>printer_photocpy_type1</vt:lpstr>
      <vt:lpstr>printer_photocpy_type10</vt:lpstr>
      <vt:lpstr>printer_photocpy_type2</vt:lpstr>
      <vt:lpstr>printer_photocpy_type3</vt:lpstr>
      <vt:lpstr>printer_photocpy_type4</vt:lpstr>
      <vt:lpstr>printer_photocpy_type5</vt:lpstr>
      <vt:lpstr>printer_photocpy_type6</vt:lpstr>
      <vt:lpstr>printer_photocpy_type7</vt:lpstr>
      <vt:lpstr>printer_photocpy_type8</vt:lpstr>
      <vt:lpstr>printer_photocpy_type9</vt:lpstr>
      <vt:lpstr>radio_frequency1</vt:lpstr>
      <vt:lpstr>radio_frequency10</vt:lpstr>
      <vt:lpstr>radio_frequency2</vt:lpstr>
      <vt:lpstr>radio_frequency3</vt:lpstr>
      <vt:lpstr>radio_frequency4</vt:lpstr>
      <vt:lpstr>radio_frequency5</vt:lpstr>
      <vt:lpstr>radio_frequency6</vt:lpstr>
      <vt:lpstr>radio_frequency7</vt:lpstr>
      <vt:lpstr>radio_frequency8</vt:lpstr>
      <vt:lpstr>radio_frequency9</vt:lpstr>
      <vt:lpstr>radio_no_of_units1</vt:lpstr>
      <vt:lpstr>radio_no_of_units10</vt:lpstr>
      <vt:lpstr>radio_no_of_units2</vt:lpstr>
      <vt:lpstr>radio_no_of_units3</vt:lpstr>
      <vt:lpstr>radio_no_of_units4</vt:lpstr>
      <vt:lpstr>radio_no_of_units5</vt:lpstr>
      <vt:lpstr>radio_no_of_units6</vt:lpstr>
      <vt:lpstr>radio_no_of_units7</vt:lpstr>
      <vt:lpstr>radio_no_of_units8</vt:lpstr>
      <vt:lpstr>radio_no_of_units9</vt:lpstr>
      <vt:lpstr>radio_ntc_licensenum1</vt:lpstr>
      <vt:lpstr>radio_ntc_licensenum10</vt:lpstr>
      <vt:lpstr>radio_ntc_licensenum2</vt:lpstr>
      <vt:lpstr>radio_ntc_licensenum3</vt:lpstr>
      <vt:lpstr>radio_ntc_licensenum4</vt:lpstr>
      <vt:lpstr>radio_ntc_licensenum5</vt:lpstr>
      <vt:lpstr>radio_ntc_licensenum6</vt:lpstr>
      <vt:lpstr>radio_ntc_licensenum7</vt:lpstr>
      <vt:lpstr>radio_ntc_licensenum8</vt:lpstr>
      <vt:lpstr>radio_ntc_licensenum9</vt:lpstr>
      <vt:lpstr>radio_purpose1</vt:lpstr>
      <vt:lpstr>radio_purpose10</vt:lpstr>
      <vt:lpstr>radio_purpose2</vt:lpstr>
      <vt:lpstr>radio_purpose3</vt:lpstr>
      <vt:lpstr>radio_purpose4</vt:lpstr>
      <vt:lpstr>radio_purpose5</vt:lpstr>
      <vt:lpstr>radio_purpose6</vt:lpstr>
      <vt:lpstr>radio_purpose7</vt:lpstr>
      <vt:lpstr>radio_purpose8</vt:lpstr>
      <vt:lpstr>radio_purpose9</vt:lpstr>
      <vt:lpstr>radio_type1</vt:lpstr>
      <vt:lpstr>radio_type10</vt:lpstr>
      <vt:lpstr>radio_type2</vt:lpstr>
      <vt:lpstr>radio_type3</vt:lpstr>
      <vt:lpstr>radio_type4</vt:lpstr>
      <vt:lpstr>radio_type5</vt:lpstr>
      <vt:lpstr>radio_type6</vt:lpstr>
      <vt:lpstr>radio_type7</vt:lpstr>
      <vt:lpstr>radio_type8</vt:lpstr>
      <vt:lpstr>radio_type9</vt:lpstr>
      <vt:lpstr>response_interv_drrms_fundsupport_cleanup_date</vt:lpstr>
      <vt:lpstr>response_interv_drrms_fundsupport_cleanup_number</vt:lpstr>
      <vt:lpstr>response_interv_drrms_fundsupport_emerfeeding_date</vt:lpstr>
      <vt:lpstr>response_interv_drrms_fundsupport_emerfeeding_number</vt:lpstr>
      <vt:lpstr>response_interv_drrms_fundsupport_tempspace_date</vt:lpstr>
      <vt:lpstr>response_interv_drrms_fundsupport_tempspace_number</vt:lpstr>
      <vt:lpstr>response_interv_drrms_fundsupport_tempwash_date</vt:lpstr>
      <vt:lpstr>response_interv_drrms_fundsupport_tempwash_number</vt:lpstr>
      <vt:lpstr>response_interv_drrms_hygienekit_date</vt:lpstr>
      <vt:lpstr>response_interv_drrms_hygienekit_number</vt:lpstr>
      <vt:lpstr>response_interv_drrms_learnerkit_date</vt:lpstr>
      <vt:lpstr>response_interv_drrms_learnerkit_number</vt:lpstr>
      <vt:lpstr>response_interv_drrms_material_adm_date</vt:lpstr>
      <vt:lpstr>response_interv_drrms_material_adm_number</vt:lpstr>
      <vt:lpstr>response_interv_drrms_teacherkit_date</vt:lpstr>
      <vt:lpstr>response_interv_drrms_teacherkit_number</vt:lpstr>
      <vt:lpstr>response_interv_partner_donation_number</vt:lpstr>
      <vt:lpstr>response_interv_partner_emerfeeding_number</vt:lpstr>
      <vt:lpstr>response_interv_partner_hygienekit_number</vt:lpstr>
      <vt:lpstr>response_interv_partner_learnerkit_number</vt:lpstr>
      <vt:lpstr>response_interv_partner_material_adm_number</vt:lpstr>
      <vt:lpstr>response_interv_partner_material_mhpss_number</vt:lpstr>
      <vt:lpstr>response_interv_partner_teacherkit_number</vt:lpstr>
      <vt:lpstr>response_interv_partner_temp_learningspace_number</vt:lpstr>
      <vt:lpstr>response_interv_partner_temp_wash_number</vt:lpstr>
      <vt:lpstr>resump_strat_class_shift</vt:lpstr>
      <vt:lpstr>resump_strat_class_shift_number</vt:lpstr>
      <vt:lpstr>resump_strat_makeup_class</vt:lpstr>
      <vt:lpstr>resump_strat_makeup_class_number</vt:lpstr>
      <vt:lpstr>resump_strat_modular_learning</vt:lpstr>
      <vt:lpstr>resump_strat_modular_learning_number</vt:lpstr>
      <vt:lpstr>resump_strat_online_learning</vt:lpstr>
      <vt:lpstr>resump_strat_online_learning_number</vt:lpstr>
      <vt:lpstr>resump_strat_peer_learning</vt:lpstr>
      <vt:lpstr>resump_strat_peer_learning_number</vt:lpstr>
      <vt:lpstr>resump_strat_prog_teaching</vt:lpstr>
      <vt:lpstr>resump_strat_prog_teaching_number</vt:lpstr>
      <vt:lpstr>sch_add_brgy</vt:lpstr>
      <vt:lpstr>sch_add_mun_city</vt:lpstr>
      <vt:lpstr>sch_add_no</vt:lpstr>
      <vt:lpstr>sch_add_prov</vt:lpstr>
      <vt:lpstr>sch_add_street</vt:lpstr>
      <vt:lpstr>sch_add_zip</vt:lpstr>
      <vt:lpstr>sch_annex_extension_mother_sch_id</vt:lpstr>
      <vt:lpstr>sch_annex_extension_school</vt:lpstr>
      <vt:lpstr>sch_assess_drrmccampbp_competencies</vt:lpstr>
      <vt:lpstr>sch_avail_sp_sportsclub_aerogymn</vt:lpstr>
      <vt:lpstr>sch_avail_sp_sportsclub_arch</vt:lpstr>
      <vt:lpstr>sch_avail_sp_sportsclub_arnis</vt:lpstr>
      <vt:lpstr>sch_avail_sp_sportsclub_athlrun</vt:lpstr>
      <vt:lpstr>sch_avail_sp_sportsclub_athlthrow</vt:lpstr>
      <vt:lpstr>sch_avail_sp_sportsclub_badm</vt:lpstr>
      <vt:lpstr>sch_avail_sp_sportsclub_baseball</vt:lpstr>
      <vt:lpstr>sch_avail_sp_sportsclub_basket</vt:lpstr>
      <vt:lpstr>sch_avail_sp_sportsclub_billard</vt:lpstr>
      <vt:lpstr>sch_avail_sp_sportsclub_bocce</vt:lpstr>
      <vt:lpstr>sch_avail_sp_sportsclub_boxing</vt:lpstr>
      <vt:lpstr>sch_avail_sp_sportsclub_chess</vt:lpstr>
      <vt:lpstr>sch_avail_sp_sportsclub_dancesports</vt:lpstr>
      <vt:lpstr>sch_avail_sp_sportsclub_football</vt:lpstr>
      <vt:lpstr>sch_avail_sp_sportsclub_futsal</vt:lpstr>
      <vt:lpstr>sch_avail_sp_sportsclub_goalball</vt:lpstr>
      <vt:lpstr>sch_avail_sp_sportsclub_mag</vt:lpstr>
      <vt:lpstr>sch_avail_sp_sportsclub_pencak</vt:lpstr>
      <vt:lpstr>sch_avail_sp_sportsclub_rg</vt:lpstr>
      <vt:lpstr>sch_avail_sp_sportsclub_sepaktakraw</vt:lpstr>
      <vt:lpstr>sch_avail_sp_sportsclub_softball</vt:lpstr>
      <vt:lpstr>sch_avail_sp_sportsclub_swimming</vt:lpstr>
      <vt:lpstr>sch_avail_sp_sportsclub_tabletennis</vt:lpstr>
      <vt:lpstr>sch_avail_sp_sportsclub_taekwondo</vt:lpstr>
      <vt:lpstr>sch_avail_sp_sportsclub_tennis</vt:lpstr>
      <vt:lpstr>sch_avail_sp_sportsclub_volleyball</vt:lpstr>
      <vt:lpstr>sch_avail_sp_sportsclub_wag</vt:lpstr>
      <vt:lpstr>sch_avail_sp_sportsclub_wrestling</vt:lpstr>
      <vt:lpstr>sch_avail_sp_sportsclub_wushu</vt:lpstr>
      <vt:lpstr>sch_avail_sp_sportsevent_aerogymn</vt:lpstr>
      <vt:lpstr>sch_avail_sp_sportsevent_arch</vt:lpstr>
      <vt:lpstr>sch_avail_sp_sportsevent_arnis</vt:lpstr>
      <vt:lpstr>sch_avail_sp_sportsevent_athlrun</vt:lpstr>
      <vt:lpstr>sch_avail_sp_sportsevent_athlthrow</vt:lpstr>
      <vt:lpstr>sch_avail_sp_sportsevent_badm</vt:lpstr>
      <vt:lpstr>sch_avail_sp_sportsevent_baseball</vt:lpstr>
      <vt:lpstr>sch_avail_sp_sportsevent_basket</vt:lpstr>
      <vt:lpstr>sch_avail_sp_sportsevent_billard</vt:lpstr>
      <vt:lpstr>sch_avail_sp_sportsevent_bocce</vt:lpstr>
      <vt:lpstr>sch_avail_sp_sportsevent_boxing</vt:lpstr>
      <vt:lpstr>sch_avail_sp_sportsevent_chess</vt:lpstr>
      <vt:lpstr>sch_avail_sp_sportsevent_dancesports</vt:lpstr>
      <vt:lpstr>sch_avail_sp_sportsevent_football</vt:lpstr>
      <vt:lpstr>sch_avail_sp_sportsevent_futsal</vt:lpstr>
      <vt:lpstr>sch_avail_sp_sportsevent_goalball</vt:lpstr>
      <vt:lpstr>sch_avail_sp_sportsevent_mag</vt:lpstr>
      <vt:lpstr>sch_avail_sp_sportsevent_pencak</vt:lpstr>
      <vt:lpstr>sch_avail_sp_sportsevent_rg</vt:lpstr>
      <vt:lpstr>sch_avail_sp_sportsevent_sepaktakraw</vt:lpstr>
      <vt:lpstr>sch_avail_sp_sportsevent_softball</vt:lpstr>
      <vt:lpstr>sch_avail_sp_sportsevent_swimming</vt:lpstr>
      <vt:lpstr>sch_avail_sp_sportsevent_tabletennis</vt:lpstr>
      <vt:lpstr>sch_avail_sp_sportsevent_taekwondo</vt:lpstr>
      <vt:lpstr>sch_avail_sp_sportsevent_tennis</vt:lpstr>
      <vt:lpstr>sch_avail_sp_sportsevent_volleyball</vt:lpstr>
      <vt:lpstr>sch_avail_sp_sportsevent_wag</vt:lpstr>
      <vt:lpstr>sch_avail_sp_sportsevent_wrestling</vt:lpstr>
      <vt:lpstr>sch_avail_sp_sportsevent_wushu</vt:lpstr>
      <vt:lpstr>sch_avail_sp_sportssportsfac_aerogymn</vt:lpstr>
      <vt:lpstr>sch_avail_sp_sportssportsfac_arch</vt:lpstr>
      <vt:lpstr>sch_avail_sp_sportssportsfac_arnis</vt:lpstr>
      <vt:lpstr>sch_avail_sp_sportssportsfac_athlrun</vt:lpstr>
      <vt:lpstr>sch_avail_sp_sportssportsfac_athlthrow</vt:lpstr>
      <vt:lpstr>sch_avail_sp_sportssportsfac_badm</vt:lpstr>
      <vt:lpstr>sch_avail_sp_sportssportsfac_baseball</vt:lpstr>
      <vt:lpstr>sch_avail_sp_sportssportsfac_basket</vt:lpstr>
      <vt:lpstr>sch_avail_sp_sportssportsfac_billard</vt:lpstr>
      <vt:lpstr>sch_avail_sp_sportssportsfac_bocce</vt:lpstr>
      <vt:lpstr>sch_avail_sp_sportssportsfac_boxing</vt:lpstr>
      <vt:lpstr>sch_avail_sp_sportssportsfac_chess</vt:lpstr>
      <vt:lpstr>sch_avail_sp_sportssportsfac_dancesports</vt:lpstr>
      <vt:lpstr>sch_avail_sp_sportssportsfac_football</vt:lpstr>
      <vt:lpstr>sch_avail_sp_sportssportsfac_futsal</vt:lpstr>
      <vt:lpstr>sch_avail_sp_sportssportsfac_goalball</vt:lpstr>
      <vt:lpstr>sch_avail_sp_sportssportsfac_mag</vt:lpstr>
      <vt:lpstr>sch_avail_sp_sportssportsfac_pencak</vt:lpstr>
      <vt:lpstr>sch_avail_sp_sportssportsfac_rg</vt:lpstr>
      <vt:lpstr>sch_avail_sp_sportssportsfac_sepaktakraw</vt:lpstr>
      <vt:lpstr>sch_avail_sp_sportssportsfac_softball</vt:lpstr>
      <vt:lpstr>sch_avail_sp_sportssportsfac_swimming</vt:lpstr>
      <vt:lpstr>sch_avail_sp_sportssportsfac_tabletennis</vt:lpstr>
      <vt:lpstr>sch_avail_sp_sportssportsfac_taekwondo</vt:lpstr>
      <vt:lpstr>sch_avail_sp_sportssportsfac_tennis</vt:lpstr>
      <vt:lpstr>sch_avail_sp_sportssportsfac_volleyball</vt:lpstr>
      <vt:lpstr>sch_avail_sp_sportssportsfac_wag</vt:lpstr>
      <vt:lpstr>sch_avail_sp_sportssportsfac_wrestling</vt:lpstr>
      <vt:lpstr>sch_avail_sp_sportssportsfac_wushu</vt:lpstr>
      <vt:lpstr>sch_avemonthlyexpense_others1</vt:lpstr>
      <vt:lpstr>sch_avemonthlyexpense_others2</vt:lpstr>
      <vt:lpstr>sch_avemonthlyexpense_others3</vt:lpstr>
      <vt:lpstr>sch_avemonthlyexpense_others4</vt:lpstr>
      <vt:lpstr>sch_avemonthlyexpense_others5</vt:lpstr>
      <vt:lpstr>sch_celeb_natlmentalhealthwk_oct_ifyes</vt:lpstr>
      <vt:lpstr>sch_celebrate_ip_day</vt:lpstr>
      <vt:lpstr>sch_celebrate_ip_month</vt:lpstr>
      <vt:lpstr>sch_central_school</vt:lpstr>
      <vt:lpstr>sch_cgp_cond_careerguidact_yes</vt:lpstr>
      <vt:lpstr>sch_cgp_fcareerguidact_yes</vt:lpstr>
      <vt:lpstr>sch_cgp_guidadv_numyrs</vt:lpstr>
      <vt:lpstr>sch_cgp_guidadv_yes</vt:lpstr>
      <vt:lpstr>sch_cgp_guidancecounsel_numyrs_ass</vt:lpstr>
      <vt:lpstr>sch_cgp_guidancecounsel_yes</vt:lpstr>
      <vt:lpstr>sch_cgp_guidoffc_yes</vt:lpstr>
      <vt:lpstr>sch_coc_k1to6</vt:lpstr>
      <vt:lpstr>sch_coc_kinder</vt:lpstr>
      <vt:lpstr>sch_cond_cant_reach_regcars_regpuv</vt:lpstr>
      <vt:lpstr>sch_cond_occ_danger_geo_challenges</vt:lpstr>
      <vt:lpstr>sch_cond_peaceandordertensions_past5yrs</vt:lpstr>
      <vt:lpstr>sch_conduct_brigada_aftermath_disaster</vt:lpstr>
      <vt:lpstr>sch_conduct_menttraining_learners_ifyes</vt:lpstr>
      <vt:lpstr>sch_conduct_menttraining_teachers_ifyes</vt:lpstr>
      <vt:lpstr>sch_conducted_brigada_eskwela_ensure_school_safety</vt:lpstr>
      <vt:lpstr>sch_conducts_regular_inspect_instruct_noninstruct_spaces</vt:lpstr>
      <vt:lpstr>sch_cont_plan_conducted_with_learners</vt:lpstr>
      <vt:lpstr>sch_cont_plan_conducted_with_lgu</vt:lpstr>
      <vt:lpstr>sch_cont_plan_conducted_with_parents</vt:lpstr>
      <vt:lpstr>sch_cont_plan_conducted_with_partners</vt:lpstr>
      <vt:lpstr>sch_cont_plan_conducted_with_personnel</vt:lpstr>
      <vt:lpstr>sch_cont_plan_covid_avail_ppe</vt:lpstr>
      <vt:lpstr>sch_cont_plan_covid_health_safety_protocol</vt:lpstr>
      <vt:lpstr>sch_cont_plan_covid_mgmt_covid_cases</vt:lpstr>
      <vt:lpstr>sch_cont_plan_covid_space_quaratine_facility</vt:lpstr>
      <vt:lpstr>sch_cont_plan_standard_classresump_strat</vt:lpstr>
      <vt:lpstr>sch_cont_plan_standard_established_drrm_team</vt:lpstr>
      <vt:lpstr>sch_cont_plan_standard_evacplan</vt:lpstr>
      <vt:lpstr>sch_cont_plan_standard_hazard_vulne_assess</vt:lpstr>
      <vt:lpstr>sch_cont_plan_standard_list_emersupplies</vt:lpstr>
      <vt:lpstr>sch_cont_plan_standard_list_partners_event_disaster_emergency</vt:lpstr>
      <vt:lpstr>sch_cont_plan_standard_lockdown_protocol</vt:lpstr>
      <vt:lpstr>sch_cont_plan_standard_pre_evaccenter</vt:lpstr>
      <vt:lpstr>sch_cont_plan_standard_response_earlyrecov</vt:lpstr>
      <vt:lpstr>sch_cont_plan_standard_sfrp</vt:lpstr>
      <vt:lpstr>sch_cont_plan_standard_space_temp_evaccenter</vt:lpstr>
      <vt:lpstr>sch_cont_plan_standard_tls_wash</vt:lpstr>
      <vt:lpstr>sch_cont_plan_standard_tracksystem</vt:lpstr>
      <vt:lpstr>sch_cpc_fmeet_annually</vt:lpstr>
      <vt:lpstr>sch_cpc_fmeet_monthly</vt:lpstr>
      <vt:lpstr>sch_cpc_fmeet_others</vt:lpstr>
      <vt:lpstr>sch_cpc_fmeet_others_specify</vt:lpstr>
      <vt:lpstr>sch_cpc_fmeet_quarterly</vt:lpstr>
      <vt:lpstr>sch_cpc_yes</vt:lpstr>
      <vt:lpstr>sch_date_est</vt:lpstr>
      <vt:lpstr>sch_dcnh_dr_01</vt:lpstr>
      <vt:lpstr>sch_dcnh_dr_02</vt:lpstr>
      <vt:lpstr>sch_dcnh_dr_03</vt:lpstr>
      <vt:lpstr>sch_dcnh_dr_04</vt:lpstr>
      <vt:lpstr>sch_dcnh_dr_05</vt:lpstr>
      <vt:lpstr>sch_dcnh_dr_06</vt:lpstr>
      <vt:lpstr>sch_dcnh_dr_07</vt:lpstr>
      <vt:lpstr>sch_dcnh_dr_08</vt:lpstr>
      <vt:lpstr>sch_dcnh_dr_09</vt:lpstr>
      <vt:lpstr>sch_dcnh_dr_10</vt:lpstr>
      <vt:lpstr>sch_dcnh_dr_11</vt:lpstr>
      <vt:lpstr>sch_dcnh_dr_12</vt:lpstr>
      <vt:lpstr>sch_dcnh_ea_01</vt:lpstr>
      <vt:lpstr>sch_dcnh_ea_02</vt:lpstr>
      <vt:lpstr>sch_dcnh_ea_03</vt:lpstr>
      <vt:lpstr>sch_dcnh_ea_04</vt:lpstr>
      <vt:lpstr>sch_dcnh_ea_05</vt:lpstr>
      <vt:lpstr>sch_dcnh_ea_06</vt:lpstr>
      <vt:lpstr>sch_dcnh_ea_07</vt:lpstr>
      <vt:lpstr>sch_dcnh_ea_08</vt:lpstr>
      <vt:lpstr>sch_dcnh_ea_09</vt:lpstr>
      <vt:lpstr>sch_dcnh_ea_10</vt:lpstr>
      <vt:lpstr>sch_dcnh_ea_11</vt:lpstr>
      <vt:lpstr>sch_dcnh_ea_12</vt:lpstr>
      <vt:lpstr>sch_dcnh_fi_01</vt:lpstr>
      <vt:lpstr>sch_dcnh_fi_02</vt:lpstr>
      <vt:lpstr>sch_dcnh_fi_03</vt:lpstr>
      <vt:lpstr>sch_dcnh_fi_04</vt:lpstr>
      <vt:lpstr>sch_dcnh_fi_05</vt:lpstr>
      <vt:lpstr>sch_dcnh_fi_06</vt:lpstr>
      <vt:lpstr>sch_dcnh_fi_07</vt:lpstr>
      <vt:lpstr>sch_dcnh_fi_08</vt:lpstr>
      <vt:lpstr>sch_dcnh_fi_09</vt:lpstr>
      <vt:lpstr>sch_dcnh_fi_10</vt:lpstr>
      <vt:lpstr>sch_dcnh_fi_11</vt:lpstr>
      <vt:lpstr>sch_dcnh_fi_12</vt:lpstr>
      <vt:lpstr>sch_dcnh_fl_01</vt:lpstr>
      <vt:lpstr>sch_dcnh_fl_02</vt:lpstr>
      <vt:lpstr>sch_dcnh_fl_03</vt:lpstr>
      <vt:lpstr>sch_dcnh_fl_04</vt:lpstr>
      <vt:lpstr>sch_dcnh_fl_05</vt:lpstr>
      <vt:lpstr>sch_dcnh_fl_06</vt:lpstr>
      <vt:lpstr>sch_dcnh_fl_07</vt:lpstr>
      <vt:lpstr>sch_dcnh_fl_08</vt:lpstr>
      <vt:lpstr>sch_dcnh_fl_09</vt:lpstr>
      <vt:lpstr>sch_dcnh_fl_10</vt:lpstr>
      <vt:lpstr>sch_dcnh_fl_11</vt:lpstr>
      <vt:lpstr>sch_dcnh_fl_12</vt:lpstr>
      <vt:lpstr>sch_dcnh_ls_01</vt:lpstr>
      <vt:lpstr>sch_dcnh_ls_02</vt:lpstr>
      <vt:lpstr>sch_dcnh_ls_03</vt:lpstr>
      <vt:lpstr>sch_dcnh_ls_04</vt:lpstr>
      <vt:lpstr>sch_dcnh_ls_05</vt:lpstr>
      <vt:lpstr>sch_dcnh_ls_06</vt:lpstr>
      <vt:lpstr>sch_dcnh_ls_07</vt:lpstr>
      <vt:lpstr>sch_dcnh_ls_08</vt:lpstr>
      <vt:lpstr>sch_dcnh_ls_09</vt:lpstr>
      <vt:lpstr>sch_dcnh_ls_10</vt:lpstr>
      <vt:lpstr>sch_dcnh_ls_11</vt:lpstr>
      <vt:lpstr>sch_dcnh_ls_12</vt:lpstr>
      <vt:lpstr>sch_dcnh_ss_01</vt:lpstr>
      <vt:lpstr>sch_dcnh_ss_02</vt:lpstr>
      <vt:lpstr>sch_dcnh_ss_03</vt:lpstr>
      <vt:lpstr>sch_dcnh_ss_04</vt:lpstr>
      <vt:lpstr>sch_dcnh_ss_05</vt:lpstr>
      <vt:lpstr>sch_dcnh_ss_06</vt:lpstr>
      <vt:lpstr>sch_dcnh_ss_07</vt:lpstr>
      <vt:lpstr>sch_dcnh_ss_08</vt:lpstr>
      <vt:lpstr>sch_dcnh_ss_09</vt:lpstr>
      <vt:lpstr>sch_dcnh_ss_10</vt:lpstr>
      <vt:lpstr>sch_dcnh_ss_11</vt:lpstr>
      <vt:lpstr>sch_dcnh_ss_12</vt:lpstr>
      <vt:lpstr>sch_dcnh_tc_01</vt:lpstr>
      <vt:lpstr>sch_dcnh_tc_02</vt:lpstr>
      <vt:lpstr>sch_dcnh_tc_03</vt:lpstr>
      <vt:lpstr>sch_dcnh_tc_04</vt:lpstr>
      <vt:lpstr>sch_dcnh_tc_05</vt:lpstr>
      <vt:lpstr>sch_dcnh_tc_06</vt:lpstr>
      <vt:lpstr>sch_dcnh_tc_07</vt:lpstr>
      <vt:lpstr>sch_dcnh_tc_08</vt:lpstr>
      <vt:lpstr>sch_dcnh_tc_09</vt:lpstr>
      <vt:lpstr>sch_dcnh_tc_10</vt:lpstr>
      <vt:lpstr>sch_dcnh_tc_11</vt:lpstr>
      <vt:lpstr>sch_dcnh_tc_12</vt:lpstr>
      <vt:lpstr>sch_dcnh_ts_01</vt:lpstr>
      <vt:lpstr>sch_dcnh_ts_02</vt:lpstr>
      <vt:lpstr>sch_dcnh_ts_03</vt:lpstr>
      <vt:lpstr>sch_dcnh_ts_04</vt:lpstr>
      <vt:lpstr>sch_dcnh_ts_05</vt:lpstr>
      <vt:lpstr>sch_dcnh_ts_06</vt:lpstr>
      <vt:lpstr>sch_dcnh_ts_07</vt:lpstr>
      <vt:lpstr>sch_dcnh_ts_08</vt:lpstr>
      <vt:lpstr>sch_dcnh_ts_09</vt:lpstr>
      <vt:lpstr>sch_dcnh_ts_10</vt:lpstr>
      <vt:lpstr>sch_dcnh_ts_11</vt:lpstr>
      <vt:lpstr>sch_dcnh_ts_12</vt:lpstr>
      <vt:lpstr>sch_dcnh_ve_01</vt:lpstr>
      <vt:lpstr>sch_dcnh_ve_02</vt:lpstr>
      <vt:lpstr>sch_dcnh_ve_03</vt:lpstr>
      <vt:lpstr>sch_dcnh_ve_04</vt:lpstr>
      <vt:lpstr>sch_dcnh_ve_05</vt:lpstr>
      <vt:lpstr>sch_dcnh_ve_06</vt:lpstr>
      <vt:lpstr>sch_dcnh_ve_07</vt:lpstr>
      <vt:lpstr>sch_dcnh_ve_08</vt:lpstr>
      <vt:lpstr>sch_dcnh_ve_09</vt:lpstr>
      <vt:lpstr>sch_dcnh_ve_10</vt:lpstr>
      <vt:lpstr>sch_dcnh_ve_11</vt:lpstr>
      <vt:lpstr>sch_dcnh_ve_12</vt:lpstr>
      <vt:lpstr>sch_designated_OK_deped_focalperson_ifyes</vt:lpstr>
      <vt:lpstr>sch_develop_implement_drrm_commplan</vt:lpstr>
      <vt:lpstr>sch_dic_fast_date_tested</vt:lpstr>
      <vt:lpstr>sch_dic_fast_time_download</vt:lpstr>
      <vt:lpstr>sch_dic_fast_time_ping</vt:lpstr>
      <vt:lpstr>sch_dic_fast_time_tested</vt:lpstr>
      <vt:lpstr>sch_dic_fast_time_upload</vt:lpstr>
      <vt:lpstr>sch_dic_service_provider_bayantel</vt:lpstr>
      <vt:lpstr>sch_dic_service_provider_digitel</vt:lpstr>
      <vt:lpstr>sch_dic_service_provider_globe</vt:lpstr>
      <vt:lpstr>sch_dic_service_provider_others_specify</vt:lpstr>
      <vt:lpstr>sch_dic_service_provider_others_y</vt:lpstr>
      <vt:lpstr>sch_dic_service_provider_pldt</vt:lpstr>
      <vt:lpstr>sch_dic_service_provider_smart</vt:lpstr>
      <vt:lpstr>sch_dic_service_provider_sun</vt:lpstr>
      <vt:lpstr>sch_dic_service_provider_witglobal</vt:lpstr>
      <vt:lpstr>sch_dic_service_provider_y</vt:lpstr>
      <vt:lpstr>sch_dic_subscribe_administrative_y</vt:lpstr>
      <vt:lpstr>sch_dic_subscribe_classinst_y</vt:lpstr>
      <vt:lpstr>sch_dic_subscribe_y</vt:lpstr>
      <vt:lpstr>sch_disascal_hih_acnsa_apr_abu_sayyaf</vt:lpstr>
      <vt:lpstr>sch_disascal_hih_acnsa_apr_biff</vt:lpstr>
      <vt:lpstr>sch_disascal_hih_acnsa_apr_ccp_npa</vt:lpstr>
      <vt:lpstr>sch_disascal_hih_acnsa_apr_maute</vt:lpstr>
      <vt:lpstr>sch_disascal_hih_acnsa_apr_mnlf</vt:lpstr>
      <vt:lpstr>sch_disascal_hih_acnsa_apr_others_specify</vt:lpstr>
      <vt:lpstr>sch_disascal_hih_acnsa_aug_abu_sayyaf</vt:lpstr>
      <vt:lpstr>sch_disascal_hih_acnsa_aug_biff</vt:lpstr>
      <vt:lpstr>sch_disascal_hih_acnsa_aug_ccp_npa</vt:lpstr>
      <vt:lpstr>sch_disascal_hih_acnsa_aug_maute</vt:lpstr>
      <vt:lpstr>sch_disascal_hih_acnsa_aug_mnlf</vt:lpstr>
      <vt:lpstr>sch_disascal_hih_acnsa_aug_others_specify</vt:lpstr>
      <vt:lpstr>sch_disascal_hih_acnsa_dec_abu_sayyaf</vt:lpstr>
      <vt:lpstr>sch_disascal_hih_acnsa_dec_biff</vt:lpstr>
      <vt:lpstr>sch_disascal_hih_acnsa_dec_ccp_npa</vt:lpstr>
      <vt:lpstr>sch_disascal_hih_acnsa_dec_maute</vt:lpstr>
      <vt:lpstr>sch_disascal_hih_acnsa_dec_mnlf</vt:lpstr>
      <vt:lpstr>sch_disascal_hih_acnsa_dec_others_specify</vt:lpstr>
      <vt:lpstr>sch_disascal_hih_acnsa_feb_abu_sayyaf</vt:lpstr>
      <vt:lpstr>sch_disascal_hih_acnsa_feb_biff</vt:lpstr>
      <vt:lpstr>sch_disascal_hih_acnsa_feb_ccp_npa</vt:lpstr>
      <vt:lpstr>sch_disascal_hih_acnsa_feb_maute</vt:lpstr>
      <vt:lpstr>sch_disascal_hih_acnsa_feb_mnlf</vt:lpstr>
      <vt:lpstr>sch_disascal_hih_acnsa_feb_others_specify</vt:lpstr>
      <vt:lpstr>sch_disascal_hih_acnsa_jan_abu_sayyaf</vt:lpstr>
      <vt:lpstr>sch_disascal_hih_acnsa_jan_biff</vt:lpstr>
      <vt:lpstr>sch_disascal_hih_acnsa_jan_ccp_npa</vt:lpstr>
      <vt:lpstr>sch_disascal_hih_acnsa_jan_maute</vt:lpstr>
      <vt:lpstr>sch_disascal_hih_acnsa_jan_mnlf</vt:lpstr>
      <vt:lpstr>sch_disascal_hih_acnsa_jan_others_specify</vt:lpstr>
      <vt:lpstr>sch_disascal_hih_acnsa_jul_abu_sayyaf</vt:lpstr>
      <vt:lpstr>sch_disascal_hih_acnsa_jul_biff</vt:lpstr>
      <vt:lpstr>sch_disascal_hih_acnsa_jul_ccp_npa</vt:lpstr>
      <vt:lpstr>sch_disascal_hih_acnsa_jul_maute</vt:lpstr>
      <vt:lpstr>sch_disascal_hih_acnsa_jul_mnlf</vt:lpstr>
      <vt:lpstr>sch_disascal_hih_acnsa_jul_others_specify</vt:lpstr>
      <vt:lpstr>sch_disascal_hih_acnsa_jun_abu_sayyaf</vt:lpstr>
      <vt:lpstr>sch_disascal_hih_acnsa_jun_biff</vt:lpstr>
      <vt:lpstr>sch_disascal_hih_acnsa_jun_ccp_npa</vt:lpstr>
      <vt:lpstr>sch_disascal_hih_acnsa_jun_maute</vt:lpstr>
      <vt:lpstr>sch_disascal_hih_acnsa_jun_mnlf</vt:lpstr>
      <vt:lpstr>sch_disascal_hih_acnsa_jun_others_specify</vt:lpstr>
      <vt:lpstr>sch_disascal_hih_acnsa_mar_abu_sayyaf</vt:lpstr>
      <vt:lpstr>sch_disascal_hih_acnsa_mar_biff</vt:lpstr>
      <vt:lpstr>sch_disascal_hih_acnsa_mar_ccp_npa</vt:lpstr>
      <vt:lpstr>sch_disascal_hih_acnsa_mar_maute</vt:lpstr>
      <vt:lpstr>sch_disascal_hih_acnsa_mar_mnlf</vt:lpstr>
      <vt:lpstr>sch_disascal_hih_acnsa_mar_others_specify</vt:lpstr>
      <vt:lpstr>sch_disascal_hih_acnsa_may_abu_sayyaf</vt:lpstr>
      <vt:lpstr>sch_disascal_hih_acnsa_may_biff</vt:lpstr>
      <vt:lpstr>sch_disascal_hih_acnsa_may_ccp_npa</vt:lpstr>
      <vt:lpstr>sch_disascal_hih_acnsa_may_maute</vt:lpstr>
      <vt:lpstr>sch_disascal_hih_acnsa_may_mnlf</vt:lpstr>
      <vt:lpstr>sch_disascal_hih_acnsa_may_others_specify</vt:lpstr>
      <vt:lpstr>sch_disascal_hih_acnsa_nov_abu_sayyaf</vt:lpstr>
      <vt:lpstr>sch_disascal_hih_acnsa_nov_biff</vt:lpstr>
      <vt:lpstr>sch_disascal_hih_acnsa_nov_ccp_npa</vt:lpstr>
      <vt:lpstr>sch_disascal_hih_acnsa_nov_maute</vt:lpstr>
      <vt:lpstr>sch_disascal_hih_acnsa_nov_mnlf</vt:lpstr>
      <vt:lpstr>sch_disascal_hih_acnsa_nov_others_specify</vt:lpstr>
      <vt:lpstr>sch_disascal_hih_acnsa_oct_abu_sayyaf</vt:lpstr>
      <vt:lpstr>sch_disascal_hih_acnsa_oct_biff</vt:lpstr>
      <vt:lpstr>sch_disascal_hih_acnsa_oct_ccp_npa</vt:lpstr>
      <vt:lpstr>sch_disascal_hih_acnsa_oct_maute</vt:lpstr>
      <vt:lpstr>sch_disascal_hih_acnsa_oct_mnlf</vt:lpstr>
      <vt:lpstr>sch_disascal_hih_acnsa_oct_others_specify</vt:lpstr>
      <vt:lpstr>sch_disascal_hih_acnsa_others_specify</vt:lpstr>
      <vt:lpstr>sch_disascal_hih_acnsa_sep_abu_sayyaf</vt:lpstr>
      <vt:lpstr>sch_disascal_hih_acnsa_sep_biff</vt:lpstr>
      <vt:lpstr>sch_disascal_hih_acnsa_sep_ccp_npa</vt:lpstr>
      <vt:lpstr>sch_disascal_hih_acnsa_sep_maute</vt:lpstr>
      <vt:lpstr>sch_disascal_hih_acnsa_sep_mnlf</vt:lpstr>
      <vt:lpstr>sch_disascal_hih_acnsa_sep_others_specify</vt:lpstr>
      <vt:lpstr>sch_disascal_hih_acsa_apr_afp</vt:lpstr>
      <vt:lpstr>sch_disascal_hih_acsa_apr_others_specify</vt:lpstr>
      <vt:lpstr>sch_disascal_hih_acsa_apr_pnp</vt:lpstr>
      <vt:lpstr>sch_disascal_hih_acsa_armed_conflict_prevyr_april</vt:lpstr>
      <vt:lpstr>sch_disascal_hih_acsa_armed_conflict_prevyr_aug</vt:lpstr>
      <vt:lpstr>sch_disascal_hih_acsa_armed_conflict_prevyr_dec</vt:lpstr>
      <vt:lpstr>sch_disascal_hih_acsa_armed_conflict_prevyr_feb</vt:lpstr>
      <vt:lpstr>sch_disascal_hih_acsa_armed_conflict_prevyr_jan</vt:lpstr>
      <vt:lpstr>sch_disascal_hih_acsa_armed_conflict_prevyr_jul</vt:lpstr>
      <vt:lpstr>sch_disascal_hih_acsa_armed_conflict_prevyr_jun</vt:lpstr>
      <vt:lpstr>sch_disascal_hih_acsa_armed_conflict_prevyr_mar</vt:lpstr>
      <vt:lpstr>sch_disascal_hih_acsa_armed_conflict_prevyr_may</vt:lpstr>
      <vt:lpstr>sch_disascal_hih_acsa_armed_conflict_prevyr_nov</vt:lpstr>
      <vt:lpstr>sch_disascal_hih_acsa_armed_conflict_prevyr_oct</vt:lpstr>
      <vt:lpstr>sch_disascal_hih_acsa_armed_conflict_prevyr_sept</vt:lpstr>
      <vt:lpstr>sch_disascal_hih_acsa_aug_afp</vt:lpstr>
      <vt:lpstr>sch_disascal_hih_acsa_aug_others_specify</vt:lpstr>
      <vt:lpstr>sch_disascal_hih_acsa_aug_pnp</vt:lpstr>
      <vt:lpstr>sch_disascal_hih_acsa_dec_afp</vt:lpstr>
      <vt:lpstr>sch_disascal_hih_acsa_dec_others_specify</vt:lpstr>
      <vt:lpstr>sch_disascal_hih_acsa_dec_pnp</vt:lpstr>
      <vt:lpstr>sch_disascal_hih_acsa_feb_afp</vt:lpstr>
      <vt:lpstr>sch_disascal_hih_acsa_feb_others_specify</vt:lpstr>
      <vt:lpstr>sch_disascal_hih_acsa_feb_pnp</vt:lpstr>
      <vt:lpstr>sch_disascal_hih_acsa_jan_afp</vt:lpstr>
      <vt:lpstr>sch_disascal_hih_acsa_jan_others_specify</vt:lpstr>
      <vt:lpstr>sch_disascal_hih_acsa_jan_pnp</vt:lpstr>
      <vt:lpstr>sch_disascal_hih_acsa_jul_afp</vt:lpstr>
      <vt:lpstr>sch_disascal_hih_acsa_jul_others_specify</vt:lpstr>
      <vt:lpstr>sch_disascal_hih_acsa_jul_pnp</vt:lpstr>
      <vt:lpstr>sch_disascal_hih_acsa_jun_afp</vt:lpstr>
      <vt:lpstr>sch_disascal_hih_acsa_jun_others_specify</vt:lpstr>
      <vt:lpstr>sch_disascal_hih_acsa_jun_pnp</vt:lpstr>
      <vt:lpstr>sch_disascal_hih_acsa_mar_afp</vt:lpstr>
      <vt:lpstr>sch_disascal_hih_acsa_mar_others_specify</vt:lpstr>
      <vt:lpstr>sch_disascal_hih_acsa_mar_pnp</vt:lpstr>
      <vt:lpstr>sch_disascal_hih_acsa_may_afp</vt:lpstr>
      <vt:lpstr>sch_disascal_hih_acsa_may_others_specify</vt:lpstr>
      <vt:lpstr>sch_disascal_hih_acsa_may_pnp</vt:lpstr>
      <vt:lpstr>sch_disascal_hih_acsa_nov_afp</vt:lpstr>
      <vt:lpstr>sch_disascal_hih_acsa_nov_others_specify</vt:lpstr>
      <vt:lpstr>sch_disascal_hih_acsa_nov_pnp</vt:lpstr>
      <vt:lpstr>sch_disascal_hih_acsa_oct_afp</vt:lpstr>
      <vt:lpstr>sch_disascal_hih_acsa_oct_others_specify</vt:lpstr>
      <vt:lpstr>sch_disascal_hih_acsa_oct_pnp</vt:lpstr>
      <vt:lpstr>sch_disascal_hih_acsa_others_specify</vt:lpstr>
      <vt:lpstr>sch_disascal_hih_acsa_sep_afp</vt:lpstr>
      <vt:lpstr>sch_disascal_hih_acsa_sep_others_specify</vt:lpstr>
      <vt:lpstr>sch_disascal_hih_acsa_sep_pnp</vt:lpstr>
      <vt:lpstr>sch_disascal_hih_child_apr_abduction</vt:lpstr>
      <vt:lpstr>sch_disascal_hih_child_apr_attacks</vt:lpstr>
      <vt:lpstr>sch_disascal_hih_child_apr_denial</vt:lpstr>
      <vt:lpstr>sch_disascal_hih_child_apr_killing</vt:lpstr>
      <vt:lpstr>sch_disascal_hih_child_apr_recruit</vt:lpstr>
      <vt:lpstr>sch_disascal_hih_child_apr_sexual</vt:lpstr>
      <vt:lpstr>sch_disascal_hih_child_aug_abduction</vt:lpstr>
      <vt:lpstr>sch_disascal_hih_child_aug_attacks</vt:lpstr>
      <vt:lpstr>sch_disascal_hih_child_aug_denial</vt:lpstr>
      <vt:lpstr>sch_disascal_hih_child_aug_killing</vt:lpstr>
      <vt:lpstr>sch_disascal_hih_child_aug_recruit</vt:lpstr>
      <vt:lpstr>sch_disascal_hih_child_aug_sexual</vt:lpstr>
      <vt:lpstr>sch_disascal_hih_child_dec_abduction</vt:lpstr>
      <vt:lpstr>sch_disascal_hih_child_dec_attacks</vt:lpstr>
      <vt:lpstr>sch_disascal_hih_child_dec_denial</vt:lpstr>
      <vt:lpstr>sch_disascal_hih_child_dec_killing</vt:lpstr>
      <vt:lpstr>sch_disascal_hih_child_dec_recruit</vt:lpstr>
      <vt:lpstr>sch_disascal_hih_child_dec_sexual</vt:lpstr>
      <vt:lpstr>sch_disascal_hih_child_feb_abduction</vt:lpstr>
      <vt:lpstr>sch_disascal_hih_child_feb_attacks</vt:lpstr>
      <vt:lpstr>sch_disascal_hih_child_feb_denial</vt:lpstr>
      <vt:lpstr>sch_disascal_hih_child_feb_killing</vt:lpstr>
      <vt:lpstr>sch_disascal_hih_child_feb_recruit</vt:lpstr>
      <vt:lpstr>sch_disascal_hih_child_feb_sexual</vt:lpstr>
      <vt:lpstr>sch_disascal_hih_child_jan_abduction</vt:lpstr>
      <vt:lpstr>sch_disascal_hih_child_jan_attacks</vt:lpstr>
      <vt:lpstr>sch_disascal_hih_child_jan_denial</vt:lpstr>
      <vt:lpstr>sch_disascal_hih_child_jan_killing</vt:lpstr>
      <vt:lpstr>sch_disascal_hih_child_jan_recruit</vt:lpstr>
      <vt:lpstr>sch_disascal_hih_child_jan_sexual</vt:lpstr>
      <vt:lpstr>sch_disascal_hih_child_jul_abduction</vt:lpstr>
      <vt:lpstr>sch_disascal_hih_child_jul_attacks</vt:lpstr>
      <vt:lpstr>sch_disascal_hih_child_jul_denial</vt:lpstr>
      <vt:lpstr>sch_disascal_hih_child_jul_killing</vt:lpstr>
      <vt:lpstr>sch_disascal_hih_child_jul_recruit</vt:lpstr>
      <vt:lpstr>sch_disascal_hih_child_jul_sexual</vt:lpstr>
      <vt:lpstr>sch_disascal_hih_child_jun_abduction</vt:lpstr>
      <vt:lpstr>sch_disascal_hih_child_jun_attacks</vt:lpstr>
      <vt:lpstr>sch_disascal_hih_child_jun_denial</vt:lpstr>
      <vt:lpstr>sch_disascal_hih_child_jun_killing</vt:lpstr>
      <vt:lpstr>sch_disascal_hih_child_jun_recruit</vt:lpstr>
      <vt:lpstr>sch_disascal_hih_child_jun_sexual</vt:lpstr>
      <vt:lpstr>sch_disascal_hih_child_mar_abduction</vt:lpstr>
      <vt:lpstr>sch_disascal_hih_child_mar_attacks</vt:lpstr>
      <vt:lpstr>sch_disascal_hih_child_mar_denial</vt:lpstr>
      <vt:lpstr>sch_disascal_hih_child_mar_killing</vt:lpstr>
      <vt:lpstr>sch_disascal_hih_child_mar_recruit</vt:lpstr>
      <vt:lpstr>sch_disascal_hih_child_mar_sexual</vt:lpstr>
      <vt:lpstr>sch_disascal_hih_child_may_abduction</vt:lpstr>
      <vt:lpstr>sch_disascal_hih_child_may_attacks</vt:lpstr>
      <vt:lpstr>sch_disascal_hih_child_may_denial</vt:lpstr>
      <vt:lpstr>sch_disascal_hih_child_may_killing</vt:lpstr>
      <vt:lpstr>sch_disascal_hih_child_may_recruit</vt:lpstr>
      <vt:lpstr>sch_disascal_hih_child_may_sexual</vt:lpstr>
      <vt:lpstr>sch_disascal_hih_child_nov_abduction</vt:lpstr>
      <vt:lpstr>sch_disascal_hih_child_nov_attacks</vt:lpstr>
      <vt:lpstr>sch_disascal_hih_child_nov_denial</vt:lpstr>
      <vt:lpstr>sch_disascal_hih_child_nov_killing</vt:lpstr>
      <vt:lpstr>sch_disascal_hih_child_nov_recruit</vt:lpstr>
      <vt:lpstr>sch_disascal_hih_child_nov_sexual</vt:lpstr>
      <vt:lpstr>sch_disascal_hih_child_oct_abduction</vt:lpstr>
      <vt:lpstr>sch_disascal_hih_child_oct_attacks</vt:lpstr>
      <vt:lpstr>sch_disascal_hih_child_oct_denial</vt:lpstr>
      <vt:lpstr>sch_disascal_hih_child_oct_killing</vt:lpstr>
      <vt:lpstr>sch_disascal_hih_child_oct_recruit</vt:lpstr>
      <vt:lpstr>sch_disascal_hih_child_oct_sexual</vt:lpstr>
      <vt:lpstr>sch_disascal_hih_child_sep_abduction</vt:lpstr>
      <vt:lpstr>sch_disascal_hih_child_sep_attacks</vt:lpstr>
      <vt:lpstr>sch_disascal_hih_child_sep_denial</vt:lpstr>
      <vt:lpstr>sch_disascal_hih_child_sep_killing</vt:lpstr>
      <vt:lpstr>sch_disascal_hih_child_sep_recruit</vt:lpstr>
      <vt:lpstr>sch_disascal_hih_child_sep_sexual</vt:lpstr>
      <vt:lpstr>sch_dist</vt:lpstr>
      <vt:lpstr>sch_division</vt:lpstr>
      <vt:lpstr>sch_docu_mou_moa_ff_jmc2013_ra10821</vt:lpstr>
      <vt:lpstr>sch_docu_terms_cond_facilityforcovid_memo_osec_202002</vt:lpstr>
      <vt:lpstr>sch_email_add</vt:lpstr>
      <vt:lpstr>sch_equipment_dipping_can_functional</vt:lpstr>
      <vt:lpstr>sch_equipment_garden_hose_functional</vt:lpstr>
      <vt:lpstr>sch_equipment_tools_blender_machine_functional</vt:lpstr>
      <vt:lpstr>sch_equipment_tools_cake_turntable_functional</vt:lpstr>
      <vt:lpstr>sch_equipment_tools_claw_hammer_functional</vt:lpstr>
      <vt:lpstr>sch_equipment_tools_crosscut_saw_functional</vt:lpstr>
      <vt:lpstr>sch_equipment_tools_double_boiler_functional</vt:lpstr>
      <vt:lpstr>sch_equipment_tools_fire_extinguisher_functional</vt:lpstr>
      <vt:lpstr>sch_equipment_tools_fire_frying_pan_functional</vt:lpstr>
      <vt:lpstr>sch_equipment_tools_fire_pastry_tubes_functional</vt:lpstr>
      <vt:lpstr>sch_equipment_tools_fire_roasting_pan_functional</vt:lpstr>
      <vt:lpstr>sch_equipment_tools_fire_spatula_functional</vt:lpstr>
      <vt:lpstr>sch_equipment_tools_gas_range_functional</vt:lpstr>
      <vt:lpstr>sch_equipment_tools_gloves_functional</vt:lpstr>
      <vt:lpstr>sch_equipment_tools_kitchen_knife_functional</vt:lpstr>
      <vt:lpstr>sch_equipment_tools_measuring_cups_functional</vt:lpstr>
      <vt:lpstr>sch_equipment_tools_measuring_spoons_functional</vt:lpstr>
      <vt:lpstr>sch_equipment_tools_mixing_bowl_functional</vt:lpstr>
      <vt:lpstr>sch_equipment_tools_pastry_blender_functional</vt:lpstr>
      <vt:lpstr>sch_equipment_tools_pie_pan_functional</vt:lpstr>
      <vt:lpstr>sch_equipment_tools_portable_electric_drill_functional</vt:lpstr>
      <vt:lpstr>sch_equipment_tools_prunning_shear_functional</vt:lpstr>
      <vt:lpstr>sch_equipment_tools_refrigerator_functional</vt:lpstr>
      <vt:lpstr>sch_equipment_tools_seedling_tray_functional</vt:lpstr>
      <vt:lpstr>sch_equipment_tools_sheet_pan_functional</vt:lpstr>
      <vt:lpstr>sch_equipment_tools_spade_functional</vt:lpstr>
      <vt:lpstr>sch_equipment_tools_sprinkler_functional</vt:lpstr>
      <vt:lpstr>sch_equipment_tools_strainer_functional</vt:lpstr>
      <vt:lpstr>sch_equipment_tools_tong_functional</vt:lpstr>
      <vt:lpstr>sch_equipment_tools_wooden_spoons_functional</vt:lpstr>
      <vt:lpstr>sch_estab_feedback_toreport_recovery_intervention</vt:lpstr>
      <vt:lpstr>sch_fax_no</vt:lpstr>
      <vt:lpstr>sch_functional_early_warning_system</vt:lpstr>
      <vt:lpstr>sch_guidanceofc_ifyes</vt:lpstr>
      <vt:lpstr>sch_has_drrmccampbp_iec_materials_posted</vt:lpstr>
      <vt:lpstr>sch_head_both_tobaccosmoker_endsennds_user</vt:lpstr>
      <vt:lpstr>sch_head_budget_maintenance_instruct_noninstruct_spaces</vt:lpstr>
      <vt:lpstr>sch_head_endsennds_user</vt:lpstr>
      <vt:lpstr>sch_head_tobaccosmoker</vt:lpstr>
      <vt:lpstr>sch_head_tobaccosmoker_nor_endsennds_user</vt:lpstr>
      <vt:lpstr>sch_health_coor_name</vt:lpstr>
      <vt:lpstr>sch_health_coor_pos</vt:lpstr>
      <vt:lpstr>sch_health_ip_vacc_hpv_g4_f</vt:lpstr>
      <vt:lpstr>sch_health_ip_vacc_mcv_g1_f</vt:lpstr>
      <vt:lpstr>sch_health_ip_vacc_mcv_g1_m</vt:lpstr>
      <vt:lpstr>sch_health_ip_vacc_td_g1_f</vt:lpstr>
      <vt:lpstr>sch_health_ip_vacc_td_g1_m</vt:lpstr>
      <vt:lpstr>sch_health_learners_dewormed_g1_f</vt:lpstr>
      <vt:lpstr>sch_health_learners_dewormed_g1_m</vt:lpstr>
      <vt:lpstr>sch_health_learners_dewormed_g2_f</vt:lpstr>
      <vt:lpstr>sch_health_learners_dewormed_g2_m</vt:lpstr>
      <vt:lpstr>sch_health_learners_dewormed_g3_f</vt:lpstr>
      <vt:lpstr>sch_health_learners_dewormed_g3_m</vt:lpstr>
      <vt:lpstr>sch_health_learners_dewormed_g4_f</vt:lpstr>
      <vt:lpstr>sch_health_learners_dewormed_g4_m</vt:lpstr>
      <vt:lpstr>sch_health_learners_dewormed_g5_f</vt:lpstr>
      <vt:lpstr>sch_health_learners_dewormed_g5_m</vt:lpstr>
      <vt:lpstr>sch_health_learners_dewormed_g6_f</vt:lpstr>
      <vt:lpstr>sch_health_learners_dewormed_g6_m</vt:lpstr>
      <vt:lpstr>sch_health_learners_dewormed_k_f</vt:lpstr>
      <vt:lpstr>sch_health_learners_dewormed_k_m</vt:lpstr>
      <vt:lpstr>sch_health_learners_dewormed_ng_f</vt:lpstr>
      <vt:lpstr>sch_health_learners_dewormed_ng_m</vt:lpstr>
      <vt:lpstr>sch_health_nsh_normal_g1_f</vt:lpstr>
      <vt:lpstr>sch_health_nsh_normal_g1_m</vt:lpstr>
      <vt:lpstr>sch_health_nsh_normal_g2_f</vt:lpstr>
      <vt:lpstr>sch_health_nsh_normal_g2_m</vt:lpstr>
      <vt:lpstr>sch_health_nsh_normal_g3_f</vt:lpstr>
      <vt:lpstr>sch_health_nsh_normal_g3_m</vt:lpstr>
      <vt:lpstr>sch_health_nsh_normal_g4_f</vt:lpstr>
      <vt:lpstr>sch_health_nsh_normal_g4_m</vt:lpstr>
      <vt:lpstr>sch_health_nsh_normal_g5_f</vt:lpstr>
      <vt:lpstr>sch_health_nsh_normal_g5_m</vt:lpstr>
      <vt:lpstr>sch_health_nsh_normal_g6_f</vt:lpstr>
      <vt:lpstr>sch_health_nsh_normal_g6_m</vt:lpstr>
      <vt:lpstr>sch_health_nsh_normal_k_f</vt:lpstr>
      <vt:lpstr>sch_health_nsh_normal_k_m</vt:lpstr>
      <vt:lpstr>sch_health_nsh_normal_ng_f</vt:lpstr>
      <vt:lpstr>sch_health_nsh_normal_ng_m</vt:lpstr>
      <vt:lpstr>sch_health_nsh_severelystunted_g1_f</vt:lpstr>
      <vt:lpstr>sch_health_nsh_severelystunted_g1_m</vt:lpstr>
      <vt:lpstr>sch_health_nsh_severelystunted_g2_f</vt:lpstr>
      <vt:lpstr>sch_health_nsh_severelystunted_g2_m</vt:lpstr>
      <vt:lpstr>sch_health_nsh_severelystunted_g3_f</vt:lpstr>
      <vt:lpstr>sch_health_nsh_severelystunted_g3_m</vt:lpstr>
      <vt:lpstr>sch_health_nsh_severelystunted_g4_f</vt:lpstr>
      <vt:lpstr>sch_health_nsh_severelystunted_g4_m</vt:lpstr>
      <vt:lpstr>sch_health_nsh_severelystunted_g5_f</vt:lpstr>
      <vt:lpstr>sch_health_nsh_severelystunted_g5_m</vt:lpstr>
      <vt:lpstr>sch_health_nsh_severelystunted_g6_f</vt:lpstr>
      <vt:lpstr>sch_health_nsh_severelystunted_g6_m</vt:lpstr>
      <vt:lpstr>sch_health_nsh_severelystunted_k_f</vt:lpstr>
      <vt:lpstr>sch_health_nsh_severelystunted_k_m</vt:lpstr>
      <vt:lpstr>sch_health_nsh_severelystunted_ng_f</vt:lpstr>
      <vt:lpstr>sch_health_nsh_severelystunted_ng_m</vt:lpstr>
      <vt:lpstr>sch_health_nsh_stunted_g1_f</vt:lpstr>
      <vt:lpstr>sch_health_nsh_stunted_g1_m</vt:lpstr>
      <vt:lpstr>sch_health_nsh_stunted_g2_f</vt:lpstr>
      <vt:lpstr>sch_health_nsh_stunted_g2_m</vt:lpstr>
      <vt:lpstr>sch_health_nsh_stunted_g3_f</vt:lpstr>
      <vt:lpstr>sch_health_nsh_stunted_g3_m</vt:lpstr>
      <vt:lpstr>sch_health_nsh_stunted_g4_f</vt:lpstr>
      <vt:lpstr>sch_health_nsh_stunted_g4_m</vt:lpstr>
      <vt:lpstr>sch_health_nsh_stunted_g5_f</vt:lpstr>
      <vt:lpstr>sch_health_nsh_stunted_g5_m</vt:lpstr>
      <vt:lpstr>sch_health_nsh_stunted_g6_f</vt:lpstr>
      <vt:lpstr>sch_health_nsh_stunted_g6_m</vt:lpstr>
      <vt:lpstr>sch_health_nsh_stunted_k_f</vt:lpstr>
      <vt:lpstr>sch_health_nsh_stunted_k_m</vt:lpstr>
      <vt:lpstr>sch_health_nsh_stunted_ng_f</vt:lpstr>
      <vt:lpstr>sch_health_nsh_stunted_ng_m</vt:lpstr>
      <vt:lpstr>sch_health_nsh_tall_g1_f</vt:lpstr>
      <vt:lpstr>sch_health_nsh_tall_g1_m</vt:lpstr>
      <vt:lpstr>sch_health_nsh_tall_g2_f</vt:lpstr>
      <vt:lpstr>sch_health_nsh_tall_g2_m</vt:lpstr>
      <vt:lpstr>sch_health_nsh_tall_g3_f</vt:lpstr>
      <vt:lpstr>sch_health_nsh_tall_g3_m</vt:lpstr>
      <vt:lpstr>sch_health_nsh_tall_g4_f</vt:lpstr>
      <vt:lpstr>sch_health_nsh_tall_g4_m</vt:lpstr>
      <vt:lpstr>sch_health_nsh_tall_g5_f</vt:lpstr>
      <vt:lpstr>sch_health_nsh_tall_g5_m</vt:lpstr>
      <vt:lpstr>sch_health_nsh_tall_g6_f</vt:lpstr>
      <vt:lpstr>sch_health_nsh_tall_g6_m</vt:lpstr>
      <vt:lpstr>sch_health_nsh_tall_k_f</vt:lpstr>
      <vt:lpstr>sch_health_nsh_tall_k_m</vt:lpstr>
      <vt:lpstr>sch_health_nsh_tall_ng_f</vt:lpstr>
      <vt:lpstr>sch_health_nsh_tall_ng_m</vt:lpstr>
      <vt:lpstr>sch_health_nsw_normal_g1_f</vt:lpstr>
      <vt:lpstr>sch_health_nsw_normal_g1_m</vt:lpstr>
      <vt:lpstr>sch_health_nsw_normal_g2_f</vt:lpstr>
      <vt:lpstr>sch_health_nsw_normal_g2_m</vt:lpstr>
      <vt:lpstr>sch_health_nsw_normal_g3_f</vt:lpstr>
      <vt:lpstr>sch_health_nsw_normal_g3_m</vt:lpstr>
      <vt:lpstr>sch_health_nsw_normal_g4_f</vt:lpstr>
      <vt:lpstr>sch_health_nsw_normal_g4_m</vt:lpstr>
      <vt:lpstr>sch_health_nsw_normal_g5_f</vt:lpstr>
      <vt:lpstr>sch_health_nsw_normal_g5_m</vt:lpstr>
      <vt:lpstr>sch_health_nsw_normal_g6_f</vt:lpstr>
      <vt:lpstr>sch_health_nsw_normal_g6_m</vt:lpstr>
      <vt:lpstr>sch_health_nsw_normal_k_f</vt:lpstr>
      <vt:lpstr>sch_health_nsw_normal_k_m</vt:lpstr>
      <vt:lpstr>sch_health_nsw_normal_ng_f</vt:lpstr>
      <vt:lpstr>sch_health_nsw_normal_ng_m</vt:lpstr>
      <vt:lpstr>sch_health_nsw_obese_g1_f</vt:lpstr>
      <vt:lpstr>sch_health_nsw_obese_g1_m</vt:lpstr>
      <vt:lpstr>sch_health_nsw_obese_g2_f</vt:lpstr>
      <vt:lpstr>sch_health_nsw_obese_g2_m</vt:lpstr>
      <vt:lpstr>sch_health_nsw_obese_g3_f</vt:lpstr>
      <vt:lpstr>sch_health_nsw_obese_g3_m</vt:lpstr>
      <vt:lpstr>sch_health_nsw_obese_g4_f</vt:lpstr>
      <vt:lpstr>sch_health_nsw_obese_g4_m</vt:lpstr>
      <vt:lpstr>sch_health_nsw_obese_g5_f</vt:lpstr>
      <vt:lpstr>sch_health_nsw_obese_g5_m</vt:lpstr>
      <vt:lpstr>sch_health_nsw_obese_g6_f</vt:lpstr>
      <vt:lpstr>sch_health_nsw_obese_g6_m</vt:lpstr>
      <vt:lpstr>sch_health_nsw_obese_k_f</vt:lpstr>
      <vt:lpstr>sch_health_nsw_obese_k_m</vt:lpstr>
      <vt:lpstr>sch_health_nsw_obese_ng_f</vt:lpstr>
      <vt:lpstr>sch_health_nsw_obese_ng_m</vt:lpstr>
      <vt:lpstr>sch_health_nsw_overweight_g1_f</vt:lpstr>
      <vt:lpstr>sch_health_nsw_overweight_g1_m</vt:lpstr>
      <vt:lpstr>sch_health_nsw_overweight_g2_f</vt:lpstr>
      <vt:lpstr>sch_health_nsw_overweight_g2_m</vt:lpstr>
      <vt:lpstr>sch_health_nsw_overweight_g3_f</vt:lpstr>
      <vt:lpstr>sch_health_nsw_overweight_g3_m</vt:lpstr>
      <vt:lpstr>sch_health_nsw_overweight_g4_f</vt:lpstr>
      <vt:lpstr>sch_health_nsw_overweight_g4_m</vt:lpstr>
      <vt:lpstr>sch_health_nsw_overweight_g5_f</vt:lpstr>
      <vt:lpstr>sch_health_nsw_overweight_g5_m</vt:lpstr>
      <vt:lpstr>sch_health_nsw_overweight_g6_f</vt:lpstr>
      <vt:lpstr>sch_health_nsw_overweight_g6_m</vt:lpstr>
      <vt:lpstr>sch_health_nsw_overweight_k_f</vt:lpstr>
      <vt:lpstr>sch_health_nsw_overweight_k_m</vt:lpstr>
      <vt:lpstr>sch_health_nsw_overweight_ng_f</vt:lpstr>
      <vt:lpstr>sch_health_nsw_overweight_ng_m</vt:lpstr>
      <vt:lpstr>sch_health_nsw_severelywasted_g1_f</vt:lpstr>
      <vt:lpstr>sch_health_nsw_severelywasted_g1_m</vt:lpstr>
      <vt:lpstr>sch_health_nsw_severelywasted_g2_f</vt:lpstr>
      <vt:lpstr>sch_health_nsw_severelywasted_g2_m</vt:lpstr>
      <vt:lpstr>sch_health_nsw_severelywasted_g3_f</vt:lpstr>
      <vt:lpstr>sch_health_nsw_severelywasted_g3_m</vt:lpstr>
      <vt:lpstr>sch_health_nsw_severelywasted_g4_f</vt:lpstr>
      <vt:lpstr>sch_health_nsw_severelywasted_g4_m</vt:lpstr>
      <vt:lpstr>sch_health_nsw_severelywasted_g5_f</vt:lpstr>
      <vt:lpstr>sch_health_nsw_severelywasted_g5_m</vt:lpstr>
      <vt:lpstr>sch_health_nsw_severelywasted_g6_f</vt:lpstr>
      <vt:lpstr>sch_health_nsw_severelywasted_g6_m</vt:lpstr>
      <vt:lpstr>sch_health_nsw_severelywasted_k_f</vt:lpstr>
      <vt:lpstr>sch_health_nsw_severelywasted_k_m</vt:lpstr>
      <vt:lpstr>sch_health_nsw_severelywasted_ng_f</vt:lpstr>
      <vt:lpstr>sch_health_nsw_severelywasted_ng_m</vt:lpstr>
      <vt:lpstr>sch_health_nsw_wasted_g1_f</vt:lpstr>
      <vt:lpstr>sch_health_nsw_wasted_g1_m</vt:lpstr>
      <vt:lpstr>sch_health_nsw_wasted_g2_f</vt:lpstr>
      <vt:lpstr>sch_health_nsw_wasted_g2_m</vt:lpstr>
      <vt:lpstr>sch_health_nsw_wasted_g3_f</vt:lpstr>
      <vt:lpstr>sch_health_nsw_wasted_g3_m</vt:lpstr>
      <vt:lpstr>sch_health_nsw_wasted_g4_f</vt:lpstr>
      <vt:lpstr>sch_health_nsw_wasted_g4_m</vt:lpstr>
      <vt:lpstr>sch_health_nsw_wasted_g5_f</vt:lpstr>
      <vt:lpstr>sch_health_nsw_wasted_g5_m</vt:lpstr>
      <vt:lpstr>sch_health_nsw_wasted_g6_f</vt:lpstr>
      <vt:lpstr>sch_health_nsw_wasted_g6_m</vt:lpstr>
      <vt:lpstr>sch_health_nsw_wasted_k_f</vt:lpstr>
      <vt:lpstr>sch_health_nsw_wasted_k_m</vt:lpstr>
      <vt:lpstr>sch_health_nsw_wasted_ng_f</vt:lpstr>
      <vt:lpstr>sch_health_nsw_wasted_ng_m</vt:lpstr>
      <vt:lpstr>sch_health_vacc_hpv_g4_f</vt:lpstr>
      <vt:lpstr>sch_health_vacc_mcv_g1_f</vt:lpstr>
      <vt:lpstr>sch_health_vacc_mcv_g1_m</vt:lpstr>
      <vt:lpstr>sch_health_vacc_td_g1_f</vt:lpstr>
      <vt:lpstr>sch_health_vacc_td_g1_m</vt:lpstr>
      <vt:lpstr>sch_health_vs_fail_g1_f</vt:lpstr>
      <vt:lpstr>sch_health_vs_fail_g1_m</vt:lpstr>
      <vt:lpstr>sch_health_vs_fail_g2_f</vt:lpstr>
      <vt:lpstr>sch_health_vs_fail_g2_m</vt:lpstr>
      <vt:lpstr>sch_health_vs_fail_g3_f</vt:lpstr>
      <vt:lpstr>sch_health_vs_fail_g3_m</vt:lpstr>
      <vt:lpstr>sch_health_vs_fail_k_f</vt:lpstr>
      <vt:lpstr>sch_health_vs_fail_k_m</vt:lpstr>
      <vt:lpstr>sch_health_vs_pass_g1_f</vt:lpstr>
      <vt:lpstr>sch_health_vs_pass_g1_m</vt:lpstr>
      <vt:lpstr>sch_health_vs_pass_g2_f</vt:lpstr>
      <vt:lpstr>sch_health_vs_pass_g2_m</vt:lpstr>
      <vt:lpstr>sch_health_vs_pass_g3_f</vt:lpstr>
      <vt:lpstr>sch_health_vs_pass_g3_m</vt:lpstr>
      <vt:lpstr>sch_health_vs_pass_k_f</vt:lpstr>
      <vt:lpstr>sch_health_vs_pass_k_m</vt:lpstr>
      <vt:lpstr>sch_hih_bmsp_01</vt:lpstr>
      <vt:lpstr>sch_hih_bmsp_02</vt:lpstr>
      <vt:lpstr>sch_hih_bmsp_03</vt:lpstr>
      <vt:lpstr>sch_hih_bmsp_04</vt:lpstr>
      <vt:lpstr>sch_hih_bmsp_05</vt:lpstr>
      <vt:lpstr>sch_hih_bmsp_06</vt:lpstr>
      <vt:lpstr>sch_hih_bmsp_07</vt:lpstr>
      <vt:lpstr>sch_hih_bmsp_08</vt:lpstr>
      <vt:lpstr>sch_hih_bmsp_09</vt:lpstr>
      <vt:lpstr>sch_hih_bmsp_10</vt:lpstr>
      <vt:lpstr>sch_hih_bmsp_11</vt:lpstr>
      <vt:lpstr>sch_hih_bmsp_12</vt:lpstr>
      <vt:lpstr>sch_hih_bmth_01</vt:lpstr>
      <vt:lpstr>sch_hih_bmth_02</vt:lpstr>
      <vt:lpstr>sch_hih_bmth_03</vt:lpstr>
      <vt:lpstr>sch_hih_bmth_04</vt:lpstr>
      <vt:lpstr>sch_hih_bmth_05</vt:lpstr>
      <vt:lpstr>sch_hih_bmth_06</vt:lpstr>
      <vt:lpstr>sch_hih_bmth_07</vt:lpstr>
      <vt:lpstr>sch_hih_bmth_08</vt:lpstr>
      <vt:lpstr>sch_hih_bmth_09</vt:lpstr>
      <vt:lpstr>sch_hih_bmth_10</vt:lpstr>
      <vt:lpstr>sch_hih_bmth_11</vt:lpstr>
      <vt:lpstr>sch_hih_bmth_12</vt:lpstr>
      <vt:lpstr>sch_hih_crlrn_01</vt:lpstr>
      <vt:lpstr>sch_hih_crlrn_02</vt:lpstr>
      <vt:lpstr>sch_hih_crlrn_03</vt:lpstr>
      <vt:lpstr>sch_hih_crlrn_04</vt:lpstr>
      <vt:lpstr>sch_hih_crlrn_05</vt:lpstr>
      <vt:lpstr>sch_hih_crlrn_06</vt:lpstr>
      <vt:lpstr>sch_hih_crlrn_07</vt:lpstr>
      <vt:lpstr>sch_hih_crlrn_08</vt:lpstr>
      <vt:lpstr>sch_hih_crlrn_09</vt:lpstr>
      <vt:lpstr>sch_hih_crlrn_10</vt:lpstr>
      <vt:lpstr>sch_hih_crlrn_11</vt:lpstr>
      <vt:lpstr>sch_hih_crlrn_12</vt:lpstr>
      <vt:lpstr>sch_hih_crntch_01</vt:lpstr>
      <vt:lpstr>sch_hih_crntch_02</vt:lpstr>
      <vt:lpstr>sch_hih_crntch_03</vt:lpstr>
      <vt:lpstr>sch_hih_crntch_04</vt:lpstr>
      <vt:lpstr>sch_hih_crntch_05</vt:lpstr>
      <vt:lpstr>sch_hih_crntch_06</vt:lpstr>
      <vt:lpstr>sch_hih_crntch_07</vt:lpstr>
      <vt:lpstr>sch_hih_crntch_08</vt:lpstr>
      <vt:lpstr>sch_hih_crntch_09</vt:lpstr>
      <vt:lpstr>sch_hih_crntch_10</vt:lpstr>
      <vt:lpstr>sch_hih_crntch_11</vt:lpstr>
      <vt:lpstr>sch_hih_crntch_12</vt:lpstr>
      <vt:lpstr>sch_hih_crshe_01</vt:lpstr>
      <vt:lpstr>sch_hih_crshe_02</vt:lpstr>
      <vt:lpstr>sch_hih_crshe_03</vt:lpstr>
      <vt:lpstr>sch_hih_crshe_04</vt:lpstr>
      <vt:lpstr>sch_hih_crshe_05</vt:lpstr>
      <vt:lpstr>sch_hih_crshe_06</vt:lpstr>
      <vt:lpstr>sch_hih_crshe_07</vt:lpstr>
      <vt:lpstr>sch_hih_crshe_08</vt:lpstr>
      <vt:lpstr>sch_hih_crshe_09</vt:lpstr>
      <vt:lpstr>sch_hih_crshe_10</vt:lpstr>
      <vt:lpstr>sch_hih_crshe_11</vt:lpstr>
      <vt:lpstr>sch_hih_crshe_12</vt:lpstr>
      <vt:lpstr>sch_hih_crspr_01</vt:lpstr>
      <vt:lpstr>sch_hih_crspr_02</vt:lpstr>
      <vt:lpstr>sch_hih_crspr_03</vt:lpstr>
      <vt:lpstr>sch_hih_crspr_04</vt:lpstr>
      <vt:lpstr>sch_hih_crspr_05</vt:lpstr>
      <vt:lpstr>sch_hih_crspr_06</vt:lpstr>
      <vt:lpstr>sch_hih_crspr_07</vt:lpstr>
      <vt:lpstr>sch_hih_crspr_08</vt:lpstr>
      <vt:lpstr>sch_hih_crspr_09</vt:lpstr>
      <vt:lpstr>sch_hih_crspr_10</vt:lpstr>
      <vt:lpstr>sch_hih_crspr_11</vt:lpstr>
      <vt:lpstr>sch_hih_crspr_12</vt:lpstr>
      <vt:lpstr>sch_hih_crtch_01</vt:lpstr>
      <vt:lpstr>sch_hih_crtch_02</vt:lpstr>
      <vt:lpstr>sch_hih_crtch_03</vt:lpstr>
      <vt:lpstr>sch_hih_crtch_04</vt:lpstr>
      <vt:lpstr>sch_hih_crtch_05</vt:lpstr>
      <vt:lpstr>sch_hih_crtch_06</vt:lpstr>
      <vt:lpstr>sch_hih_crtch_07</vt:lpstr>
      <vt:lpstr>sch_hih_crtch_08</vt:lpstr>
      <vt:lpstr>sch_hih_crtch_09</vt:lpstr>
      <vt:lpstr>sch_hih_crtch_10</vt:lpstr>
      <vt:lpstr>sch_hih_crtch_11</vt:lpstr>
      <vt:lpstr>sch_hih_crtch_12</vt:lpstr>
      <vt:lpstr>sch_hih_fire_01</vt:lpstr>
      <vt:lpstr>sch_hih_fire_02</vt:lpstr>
      <vt:lpstr>sch_hih_fire_03</vt:lpstr>
      <vt:lpstr>sch_hih_fire_04</vt:lpstr>
      <vt:lpstr>sch_hih_fire_05</vt:lpstr>
      <vt:lpstr>sch_hih_fire_06</vt:lpstr>
      <vt:lpstr>sch_hih_fire_07</vt:lpstr>
      <vt:lpstr>sch_hih_fire_08</vt:lpstr>
      <vt:lpstr>sch_hih_fire_09</vt:lpstr>
      <vt:lpstr>sch_hih_fire_10</vt:lpstr>
      <vt:lpstr>sch_hih_fire_11</vt:lpstr>
      <vt:lpstr>sch_hih_fire_12</vt:lpstr>
      <vt:lpstr>sch_hih_helt_01</vt:lpstr>
      <vt:lpstr>sch_hih_helt_02</vt:lpstr>
      <vt:lpstr>sch_hih_helt_03</vt:lpstr>
      <vt:lpstr>sch_hih_helt_04</vt:lpstr>
      <vt:lpstr>sch_hih_helt_05</vt:lpstr>
      <vt:lpstr>sch_hih_helt_06</vt:lpstr>
      <vt:lpstr>sch_hih_helt_07</vt:lpstr>
      <vt:lpstr>sch_hih_helt_08</vt:lpstr>
      <vt:lpstr>sch_hih_helt_09</vt:lpstr>
      <vt:lpstr>sch_hih_helt_10</vt:lpstr>
      <vt:lpstr>sch_hih_helt_11</vt:lpstr>
      <vt:lpstr>sch_hih_helt_12</vt:lpstr>
      <vt:lpstr>sch_hih_hmti_01</vt:lpstr>
      <vt:lpstr>sch_hih_hmti_02</vt:lpstr>
      <vt:lpstr>sch_hih_hmti_03</vt:lpstr>
      <vt:lpstr>sch_hih_hmti_04</vt:lpstr>
      <vt:lpstr>sch_hih_hmti_05</vt:lpstr>
      <vt:lpstr>sch_hih_hmti_06</vt:lpstr>
      <vt:lpstr>sch_hih_hmti_07</vt:lpstr>
      <vt:lpstr>sch_hih_hmti_08</vt:lpstr>
      <vt:lpstr>sch_hih_hmti_09</vt:lpstr>
      <vt:lpstr>sch_hih_hmti_10</vt:lpstr>
      <vt:lpstr>sch_hih_hmti_11</vt:lpstr>
      <vt:lpstr>sch_hih_hmti_12</vt:lpstr>
      <vt:lpstr>sch_hih_htgt_01</vt:lpstr>
      <vt:lpstr>sch_hih_htgt_02</vt:lpstr>
      <vt:lpstr>sch_hih_htgt_03</vt:lpstr>
      <vt:lpstr>sch_hih_htgt_04</vt:lpstr>
      <vt:lpstr>sch_hih_htgt_05</vt:lpstr>
      <vt:lpstr>sch_hih_htgt_06</vt:lpstr>
      <vt:lpstr>sch_hih_htgt_07</vt:lpstr>
      <vt:lpstr>sch_hih_htgt_08</vt:lpstr>
      <vt:lpstr>sch_hih_htgt_09</vt:lpstr>
      <vt:lpstr>sch_hih_htgt_10</vt:lpstr>
      <vt:lpstr>sch_hih_htgt_11</vt:lpstr>
      <vt:lpstr>sch_hih_htgt_12</vt:lpstr>
      <vt:lpstr>sch_hih_othr_01</vt:lpstr>
      <vt:lpstr>sch_hih_othr_02</vt:lpstr>
      <vt:lpstr>sch_hih_othr_03</vt:lpstr>
      <vt:lpstr>sch_hih_othr_04</vt:lpstr>
      <vt:lpstr>sch_hih_othr_05</vt:lpstr>
      <vt:lpstr>sch_hih_othr_06</vt:lpstr>
      <vt:lpstr>sch_hih_othr_07</vt:lpstr>
      <vt:lpstr>sch_hih_othr_08</vt:lpstr>
      <vt:lpstr>sch_hih_othr_09</vt:lpstr>
      <vt:lpstr>sch_hih_othr_10</vt:lpstr>
      <vt:lpstr>sch_hih_othr_11</vt:lpstr>
      <vt:lpstr>sch_hih_othr_12</vt:lpstr>
      <vt:lpstr>sch_hih_sisv_01</vt:lpstr>
      <vt:lpstr>sch_hih_sisv_02</vt:lpstr>
      <vt:lpstr>sch_hih_sisv_03</vt:lpstr>
      <vt:lpstr>sch_hih_sisv_04</vt:lpstr>
      <vt:lpstr>sch_hih_sisv_05</vt:lpstr>
      <vt:lpstr>sch_hih_sisv_06</vt:lpstr>
      <vt:lpstr>sch_hih_sisv_07</vt:lpstr>
      <vt:lpstr>sch_hih_sisv_08</vt:lpstr>
      <vt:lpstr>sch_hih_sisv_09</vt:lpstr>
      <vt:lpstr>sch_hih_sisv_10</vt:lpstr>
      <vt:lpstr>sch_hih_sisv_11</vt:lpstr>
      <vt:lpstr>sch_hih_sisv_12</vt:lpstr>
      <vt:lpstr>sch_hih_stcl_01</vt:lpstr>
      <vt:lpstr>sch_hih_stcl_02</vt:lpstr>
      <vt:lpstr>sch_hih_stcl_03</vt:lpstr>
      <vt:lpstr>sch_hih_stcl_04</vt:lpstr>
      <vt:lpstr>sch_hih_stcl_05</vt:lpstr>
      <vt:lpstr>sch_hih_stcl_06</vt:lpstr>
      <vt:lpstr>sch_hih_stcl_07</vt:lpstr>
      <vt:lpstr>sch_hih_stcl_08</vt:lpstr>
      <vt:lpstr>sch_hih_stcl_09</vt:lpstr>
      <vt:lpstr>sch_hih_stcl_10</vt:lpstr>
      <vt:lpstr>sch_hih_stcl_11</vt:lpstr>
      <vt:lpstr>sch_hih_stcl_12</vt:lpstr>
      <vt:lpstr>sch_id</vt:lpstr>
      <vt:lpstr>sch_imple_strategy_adm_educcontinuity_disaster_armed</vt:lpstr>
      <vt:lpstr>sch_imple_strategy_adm_educcontinuity_disaster_nh</vt:lpstr>
      <vt:lpstr>sch_implement_drrmccampbp_withpartners</vt:lpstr>
      <vt:lpstr>sch_ip_located_ancestral_domain_affected_ac</vt:lpstr>
      <vt:lpstr>sch_learner_participated_drills_exclude_f</vt:lpstr>
      <vt:lpstr>sch_learner_participated_drills_exclude_m</vt:lpstr>
      <vt:lpstr>sch_learner_participated_drills_ip_f</vt:lpstr>
      <vt:lpstr>sch_learner_participated_drills_ip_m</vt:lpstr>
      <vt:lpstr>sch_learner_participated_drills_lwd_f</vt:lpstr>
      <vt:lpstr>sch_learner_participated_drills_lwd_m</vt:lpstr>
      <vt:lpstr>sch_learner_participated_drills_muslim_f</vt:lpstr>
      <vt:lpstr>sch_learner_participated_drills_muslim_m</vt:lpstr>
      <vt:lpstr>sch_leg_dist</vt:lpstr>
      <vt:lpstr>sch_loc_althighway</vt:lpstr>
      <vt:lpstr>sch_loc_bythillside</vt:lpstr>
      <vt:lpstr>sch_loc_nearcoast</vt:lpstr>
      <vt:lpstr>sch_loc_nearfaultl</vt:lpstr>
      <vt:lpstr>sch_loc_nearriverwway</vt:lpstr>
      <vt:lpstr>sch_loc_onsmllisland</vt:lpstr>
      <vt:lpstr>sch_loc_ontopmount</vt:lpstr>
      <vt:lpstr>sch_loc_otherspec</vt:lpstr>
      <vt:lpstr>sch_loc_specify</vt:lpstr>
      <vt:lpstr>sch_maintain_regular_repair_instruct_noninstruct_spaces</vt:lpstr>
      <vt:lpstr>sch_measureati_partner_may2017aug2018_num</vt:lpstr>
      <vt:lpstr>sch_measureati_partner_num_withdod</vt:lpstr>
      <vt:lpstr>sch_measureati_partner_num_withmoa</vt:lpstr>
      <vt:lpstr>sch_mednurservc_details_num_lexamined_g</vt:lpstr>
      <vt:lpstr>sch_mednurservc_details_num_lexamined_g1</vt:lpstr>
      <vt:lpstr>sch_mednurservc_details_num_lexamined_g2</vt:lpstr>
      <vt:lpstr>sch_mednurservc_details_num_lexamined_g3</vt:lpstr>
      <vt:lpstr>sch_mednurservc_details_num_lexamined_g4</vt:lpstr>
      <vt:lpstr>sch_mednurservc_details_num_lexamined_g5</vt:lpstr>
      <vt:lpstr>sch_mednurservc_details_num_lexamined_g6</vt:lpstr>
      <vt:lpstr>sch_mednurservc_details_num_lexamined_k</vt:lpstr>
      <vt:lpstr>sch_mednurservc_details_num_lgiclindepedhealthp_g1</vt:lpstr>
      <vt:lpstr>sch_mednurservc_details_num_lgiclindepedhealthp_g2</vt:lpstr>
      <vt:lpstr>sch_mednurservc_details_num_lgiclindepedhealthp_g3</vt:lpstr>
      <vt:lpstr>sch_mednurservc_details_num_lgiclindepedhealthp_g4</vt:lpstr>
      <vt:lpstr>sch_mednurservc_details_num_lgiclindepedhealthp_g5</vt:lpstr>
      <vt:lpstr>sch_mednurservc_details_num_lgiclindepedhealthp_g6</vt:lpstr>
      <vt:lpstr>sch_mednurservc_details_num_lgiclindepedhealthp_k</vt:lpstr>
      <vt:lpstr>sch_mednurservc_details_num_lrefercityrurauotherphp_g1</vt:lpstr>
      <vt:lpstr>sch_mednurservc_details_num_lrefercityrurauotherphp_g2</vt:lpstr>
      <vt:lpstr>sch_mednurservc_details_num_lrefercityrurauotherphp_g3</vt:lpstr>
      <vt:lpstr>sch_mednurservc_details_num_lrefercityrurauotherphp_g4</vt:lpstr>
      <vt:lpstr>sch_mednurservc_details_num_lrefercityrurauotherphp_g5</vt:lpstr>
      <vt:lpstr>sch_mednurservc_details_num_lrefercityrurauotherphp_g6</vt:lpstr>
      <vt:lpstr>sch_mednurservc_details_num_lrefercityrurauotherphp_k</vt:lpstr>
      <vt:lpstr>sch_mednurservc_details_num_lwfindings_g1</vt:lpstr>
      <vt:lpstr>sch_mednurservc_details_num_lwfindings_g2</vt:lpstr>
      <vt:lpstr>sch_mednurservc_details_num_lwfindings_g3</vt:lpstr>
      <vt:lpstr>sch_mednurservc_details_num_lwfindings_g4</vt:lpstr>
      <vt:lpstr>sch_mednurservc_details_num_lwfindings_g5</vt:lpstr>
      <vt:lpstr>sch_mednurservc_details_num_lwfindings_g6</vt:lpstr>
      <vt:lpstr>sch_mednurservc_details_num_lwfindings_k</vt:lpstr>
      <vt:lpstr>sch_mob_no</vt:lpstr>
      <vt:lpstr>sch_name</vt:lpstr>
      <vt:lpstr>sch_natpdruged_compart_curriculumin</vt:lpstr>
      <vt:lpstr>sch_natpdruged_compart_extrcurriact</vt:lpstr>
      <vt:lpstr>sch_natpdruged_compart_otherspec</vt:lpstr>
      <vt:lpstr>sch_natpdruged_compart_otherspec_specify</vt:lpstr>
      <vt:lpstr>sch_natpdruged_compart_partnwbadac</vt:lpstr>
      <vt:lpstr>sch_natpdruged_coord_yes</vt:lpstr>
      <vt:lpstr>sch_natpdruged_implement_yes</vt:lpstr>
      <vt:lpstr>sch_ndep_corners_classrooms</vt:lpstr>
      <vt:lpstr>sch_nonstruct_hazard_measure_ns_slopeprotect</vt:lpstr>
      <vt:lpstr>sch_nonstruct_hazard_measure_others</vt:lpstr>
      <vt:lpstr>sch_nonstruct_hazard_measure_others_specify</vt:lpstr>
      <vt:lpstr>sch_nonstruct_hazard_measure_porlandscaping</vt:lpstr>
      <vt:lpstr>sch_nonstruct_hazard_measure_pruning</vt:lpstr>
      <vt:lpstr>sch_nonstruct_hazard_measure_vegetation</vt:lpstr>
      <vt:lpstr>sch_nosmoking_postsch_chkgate_yes</vt:lpstr>
      <vt:lpstr>sch_nosmoking_sign_yes</vt:lpstr>
      <vt:lpstr>sch_num_adaptive_devices_ad_bigbubk_funct</vt:lpstr>
      <vt:lpstr>sch_num_adaptive_devices_ad_buzzer_funct</vt:lpstr>
      <vt:lpstr>sch_num_adaptive_devices_ad_fak_funct</vt:lpstr>
      <vt:lpstr>sch_num_adaptive_devices_ad_rubmat_funct</vt:lpstr>
      <vt:lpstr>sch_num_adaptive_devices_ad_sleepbag_funct</vt:lpstr>
      <vt:lpstr>sch_num_adaptive_devices_ad_speechsyn_funct</vt:lpstr>
      <vt:lpstr>sch_num_adaptive_devices_ad_stopwat_funct</vt:lpstr>
      <vt:lpstr>sch_num_adaptive_devices_ad_swm_funct</vt:lpstr>
      <vt:lpstr>sch_num_adaptive_devices_ad_tent_funct</vt:lpstr>
      <vt:lpstr>sch_num_adaptive_devices_ad_waterjug_funct</vt:lpstr>
      <vt:lpstr>sch_num_adaptive_devices_ad_whistle_funct</vt:lpstr>
      <vt:lpstr>sch_num_assistive_devices_atd_aacs_funct</vt:lpstr>
      <vt:lpstr>sch_num_assistive_devices_atd_aam_funct</vt:lpstr>
      <vt:lpstr>sch_num_assistive_devices_atd_agtc_funct</vt:lpstr>
      <vt:lpstr>sch_num_assistive_devices_atd_beds_funct</vt:lpstr>
      <vt:lpstr>sch_num_assistive_devices_atd_bess_funct</vt:lpstr>
      <vt:lpstr>sch_num_assistive_devices_atd_bha_funct</vt:lpstr>
      <vt:lpstr>sch_num_assistive_devices_atd_bkk_funct</vt:lpstr>
      <vt:lpstr>sch_num_assistive_devices_atd_bm_funct</vt:lpstr>
      <vt:lpstr>sch_num_assistive_devices_atd_bpe_funct</vt:lpstr>
      <vt:lpstr>sch_num_assistive_devices_atd_bts_funct</vt:lpstr>
      <vt:lpstr>sch_num_assistive_devices_atd_clericalc_funct</vt:lpstr>
      <vt:lpstr>sch_num_assistive_devices_atd_comprinter_funct</vt:lpstr>
      <vt:lpstr>sch_num_assistive_devices_atd_computer_funct</vt:lpstr>
      <vt:lpstr>sch_num_assistive_devices_atd_crut_funct</vt:lpstr>
      <vt:lpstr>sch_num_assistive_devices_atd_cwwb_funct</vt:lpstr>
      <vt:lpstr>sch_num_assistive_devices_atd_ergot_funct</vt:lpstr>
      <vt:lpstr>sch_num_assistive_devices_atd_footm_funct</vt:lpstr>
      <vt:lpstr>sch_num_assistive_devices_atd_ha_funct</vt:lpstr>
      <vt:lpstr>sch_num_assistive_devices_atd_hmet_funct</vt:lpstr>
      <vt:lpstr>sch_num_assistive_devices_atd_jaws_funct</vt:lpstr>
      <vt:lpstr>sch_num_assistive_devices_atd_lcdp_funct</vt:lpstr>
      <vt:lpstr>sch_num_assistive_devices_atd_mi_funct</vt:lpstr>
      <vt:lpstr>sch_num_assistive_devices_atd_msc_funct</vt:lpstr>
      <vt:lpstr>sch_num_assistive_devices_atd_otms_funct</vt:lpstr>
      <vt:lpstr>sch_num_assistive_devices_atd_rcweb_funct</vt:lpstr>
      <vt:lpstr>sch_num_assistive_devices_atd_sm_funct</vt:lpstr>
      <vt:lpstr>sch_num_assistive_devices_atd_sr_funct</vt:lpstr>
      <vt:lpstr>sch_num_assistive_devices_atd_talkd_funct</vt:lpstr>
      <vt:lpstr>sch_num_assistive_devices_atd_tc_funct</vt:lpstr>
      <vt:lpstr>sch_num_assistive_devices_atd_telamp_funct</vt:lpstr>
      <vt:lpstr>sch_num_assistive_devices_atd_telescope_funct</vt:lpstr>
      <vt:lpstr>sch_num_assistive_devices_atd_tr_funct</vt:lpstr>
      <vt:lpstr>sch_num_assistive_devices_atd_welchair_funct</vt:lpstr>
      <vt:lpstr>sch_num_cpcases_refer_apprauth</vt:lpstr>
      <vt:lpstr>sch_num_funct_computers_acad_desktop_depeddcp</vt:lpstr>
      <vt:lpstr>sch_num_funct_computers_acad_desktop_depednondcp</vt:lpstr>
      <vt:lpstr>sch_num_funct_computers_acad_desktop_lgusef</vt:lpstr>
      <vt:lpstr>sch_num_funct_computers_acad_desktop_othergov</vt:lpstr>
      <vt:lpstr>sch_num_funct_computers_acad_desktop_others</vt:lpstr>
      <vt:lpstr>sch_num_funct_computers_acad_desktop_privatedon</vt:lpstr>
      <vt:lpstr>sch_num_funct_computers_acad_desktop_pta</vt:lpstr>
      <vt:lpstr>sch_num_funct_computers_acad_dvt_depeddcp</vt:lpstr>
      <vt:lpstr>sch_num_funct_computers_acad_dvt_depednondcp</vt:lpstr>
      <vt:lpstr>sch_num_funct_computers_acad_dvt_lgusef</vt:lpstr>
      <vt:lpstr>sch_num_funct_computers_acad_dvt_othergov</vt:lpstr>
      <vt:lpstr>sch_num_funct_computers_acad_dvt_others</vt:lpstr>
      <vt:lpstr>sch_num_funct_computers_acad_dvt_privatedon</vt:lpstr>
      <vt:lpstr>sch_num_funct_computers_acad_dvt_pta</vt:lpstr>
      <vt:lpstr>sch_num_funct_computers_acad_lapel_depeddcp</vt:lpstr>
      <vt:lpstr>sch_num_funct_computers_acad_lapel_depednondcp</vt:lpstr>
      <vt:lpstr>sch_num_funct_computers_acad_lapel_lgusef</vt:lpstr>
      <vt:lpstr>sch_num_funct_computers_acad_lapel_othergov</vt:lpstr>
      <vt:lpstr>sch_num_funct_computers_acad_lapel_others</vt:lpstr>
      <vt:lpstr>sch_num_funct_computers_acad_lapel_privatedon</vt:lpstr>
      <vt:lpstr>sch_num_funct_computers_acad_lapel_pta</vt:lpstr>
      <vt:lpstr>sch_num_funct_computers_acad_ledtv_depeddcp</vt:lpstr>
      <vt:lpstr>sch_num_funct_computers_acad_ledtv_depednondcp</vt:lpstr>
      <vt:lpstr>sch_num_funct_computers_acad_ledtv_lgusef</vt:lpstr>
      <vt:lpstr>sch_num_funct_computers_acad_ledtv_othergov</vt:lpstr>
      <vt:lpstr>sch_num_funct_computers_acad_ledtv_others</vt:lpstr>
      <vt:lpstr>sch_num_funct_computers_acad_ledtv_privatedon</vt:lpstr>
      <vt:lpstr>sch_num_funct_computers_acad_ledtv_pta</vt:lpstr>
      <vt:lpstr>sch_num_funct_computers_acad_netswitch_depeddcp</vt:lpstr>
      <vt:lpstr>sch_num_funct_computers_acad_netswitch_depednondcp</vt:lpstr>
      <vt:lpstr>sch_num_funct_computers_acad_netswitch_lgusef</vt:lpstr>
      <vt:lpstr>sch_num_funct_computers_acad_netswitch_othergov</vt:lpstr>
      <vt:lpstr>sch_num_funct_computers_acad_netswitch_others</vt:lpstr>
      <vt:lpstr>sch_num_funct_computers_acad_netswitch_privatedon</vt:lpstr>
      <vt:lpstr>sch_num_funct_computers_acad_netswitch_pta</vt:lpstr>
      <vt:lpstr>sch_num_funct_computers_acad_notnetbook_depeddcp</vt:lpstr>
      <vt:lpstr>sch_num_funct_computers_acad_notnetbook_depednondcp</vt:lpstr>
      <vt:lpstr>sch_num_funct_computers_acad_notnetbook_lgusef</vt:lpstr>
      <vt:lpstr>sch_num_funct_computers_acad_notnetbook_othergov</vt:lpstr>
      <vt:lpstr>sch_num_funct_computers_acad_notnetbook_others</vt:lpstr>
      <vt:lpstr>sch_num_funct_computers_acad_notnetbook_privatedon</vt:lpstr>
      <vt:lpstr>sch_num_funct_computers_acad_notnetbook_pta</vt:lpstr>
      <vt:lpstr>sch_num_funct_computers_acad_printer_depeddcp</vt:lpstr>
      <vt:lpstr>sch_num_funct_computers_acad_printer_depednondcp</vt:lpstr>
      <vt:lpstr>sch_num_funct_computers_acad_printer_lgusef</vt:lpstr>
      <vt:lpstr>sch_num_funct_computers_acad_printer_othergov</vt:lpstr>
      <vt:lpstr>sch_num_funct_computers_acad_printer_others</vt:lpstr>
      <vt:lpstr>sch_num_funct_computers_acad_printer_privatedon</vt:lpstr>
      <vt:lpstr>sch_num_funct_computers_acad_printer_pta</vt:lpstr>
      <vt:lpstr>sch_num_funct_computers_acad_projector_depeddcp</vt:lpstr>
      <vt:lpstr>sch_num_funct_computers_acad_projector_depednondcp</vt:lpstr>
      <vt:lpstr>sch_num_funct_computers_acad_projector_lgusef</vt:lpstr>
      <vt:lpstr>sch_num_funct_computers_acad_projector_othergov</vt:lpstr>
      <vt:lpstr>sch_num_funct_computers_acad_projector_others</vt:lpstr>
      <vt:lpstr>sch_num_funct_computers_acad_projector_privatedon</vt:lpstr>
      <vt:lpstr>sch_num_funct_computers_acad_projector_pta</vt:lpstr>
      <vt:lpstr>sch_num_funct_computers_acad_router_depeddcp</vt:lpstr>
      <vt:lpstr>sch_num_funct_computers_acad_router_depednondcp</vt:lpstr>
      <vt:lpstr>sch_num_funct_computers_acad_router_lgusef</vt:lpstr>
      <vt:lpstr>sch_num_funct_computers_acad_router_othergov</vt:lpstr>
      <vt:lpstr>sch_num_funct_computers_acad_router_others</vt:lpstr>
      <vt:lpstr>sch_num_funct_computers_acad_router_privatedon</vt:lpstr>
      <vt:lpstr>sch_num_funct_computers_acad_router_pta</vt:lpstr>
      <vt:lpstr>sch_num_funct_computers_acad_tablet_depeddcp</vt:lpstr>
      <vt:lpstr>sch_num_funct_computers_acad_tablet_depednondcp</vt:lpstr>
      <vt:lpstr>sch_num_funct_computers_acad_tablet_lgusef</vt:lpstr>
      <vt:lpstr>sch_num_funct_computers_acad_tablet_othergov</vt:lpstr>
      <vt:lpstr>sch_num_funct_computers_acad_tablet_others</vt:lpstr>
      <vt:lpstr>sch_num_funct_computers_acad_tablet_privatedon</vt:lpstr>
      <vt:lpstr>sch_num_funct_computers_acad_tablet_pta</vt:lpstr>
      <vt:lpstr>sch_num_funct_computers_acad_tabletpc_depeddcp</vt:lpstr>
      <vt:lpstr>sch_num_funct_computers_acad_tabletpc_depednondcp</vt:lpstr>
      <vt:lpstr>sch_num_funct_computers_acad_tabletpc_lgusef</vt:lpstr>
      <vt:lpstr>sch_num_funct_computers_acad_tabletpc_othergov</vt:lpstr>
      <vt:lpstr>sch_num_funct_computers_acad_tabletpc_others</vt:lpstr>
      <vt:lpstr>sch_num_funct_computers_acad_tabletpc_privatedon</vt:lpstr>
      <vt:lpstr>sch_num_funct_computers_acad_tabletpc_pta</vt:lpstr>
      <vt:lpstr>sch_num_funct_computers_acad_ups_depeddcp</vt:lpstr>
      <vt:lpstr>sch_num_funct_computers_acad_ups_depednondcp</vt:lpstr>
      <vt:lpstr>sch_num_funct_computers_acad_ups_lgusef</vt:lpstr>
      <vt:lpstr>sch_num_funct_computers_acad_ups_othergov</vt:lpstr>
      <vt:lpstr>sch_num_funct_computers_acad_ups_others</vt:lpstr>
      <vt:lpstr>sch_num_funct_computers_acad_ups_privatedon</vt:lpstr>
      <vt:lpstr>sch_num_funct_computers_acad_ups_pta</vt:lpstr>
      <vt:lpstr>sch_num_funct_computers_admin_desktop_depeddcp</vt:lpstr>
      <vt:lpstr>sch_num_funct_computers_admin_desktop_depednondcp</vt:lpstr>
      <vt:lpstr>sch_num_funct_computers_admin_desktop_lgusef</vt:lpstr>
      <vt:lpstr>sch_num_funct_computers_admin_desktop_othergov</vt:lpstr>
      <vt:lpstr>sch_num_funct_computers_admin_desktop_others</vt:lpstr>
      <vt:lpstr>sch_num_funct_computers_admin_desktop_privatedon</vt:lpstr>
      <vt:lpstr>sch_num_funct_computers_admin_desktop_pta</vt:lpstr>
      <vt:lpstr>sch_num_funct_computers_admin_dvt_depeddcp</vt:lpstr>
      <vt:lpstr>sch_num_funct_computers_admin_dvt_depednondcp</vt:lpstr>
      <vt:lpstr>sch_num_funct_computers_admin_dvt_lgusef</vt:lpstr>
      <vt:lpstr>sch_num_funct_computers_admin_dvt_othergov</vt:lpstr>
      <vt:lpstr>sch_num_funct_computers_admin_dvt_others</vt:lpstr>
      <vt:lpstr>sch_num_funct_computers_admin_dvt_privatedon</vt:lpstr>
      <vt:lpstr>sch_num_funct_computers_admin_dvt_pta</vt:lpstr>
      <vt:lpstr>sch_num_funct_computers_admin_ledtv_depeddcp</vt:lpstr>
      <vt:lpstr>sch_num_funct_computers_admin_ledtv_depednondcp</vt:lpstr>
      <vt:lpstr>sch_num_funct_computers_admin_ledtv_lgusef</vt:lpstr>
      <vt:lpstr>sch_num_funct_computers_admin_ledtv_othergov</vt:lpstr>
      <vt:lpstr>sch_num_funct_computers_admin_ledtv_others</vt:lpstr>
      <vt:lpstr>sch_num_funct_computers_admin_ledtv_privatedon</vt:lpstr>
      <vt:lpstr>sch_num_funct_computers_admin_ledtv_pta</vt:lpstr>
      <vt:lpstr>sch_num_funct_computers_admin_netswitch_depeddcp</vt:lpstr>
      <vt:lpstr>sch_num_funct_computers_admin_netswitch_depednondcp</vt:lpstr>
      <vt:lpstr>sch_num_funct_computers_admin_netswitch_lgusef</vt:lpstr>
      <vt:lpstr>sch_num_funct_computers_admin_netswitch_othergov</vt:lpstr>
      <vt:lpstr>sch_num_funct_computers_admin_netswitch_others</vt:lpstr>
      <vt:lpstr>sch_num_funct_computers_admin_netswitch_privatedon</vt:lpstr>
      <vt:lpstr>sch_num_funct_computers_admin_netswitch_pta</vt:lpstr>
      <vt:lpstr>sch_num_funct_computers_admin_notnetbook_depeddcp</vt:lpstr>
      <vt:lpstr>sch_num_funct_computers_admin_notnetbook_depednondcp</vt:lpstr>
      <vt:lpstr>sch_num_funct_computers_admin_notnetbook_lgusef</vt:lpstr>
      <vt:lpstr>sch_num_funct_computers_admin_notnetbook_othergov</vt:lpstr>
      <vt:lpstr>sch_num_funct_computers_admin_notnetbook_others</vt:lpstr>
      <vt:lpstr>sch_num_funct_computers_admin_notnetbook_privatedon</vt:lpstr>
      <vt:lpstr>sch_num_funct_computers_admin_notnetbook_pta</vt:lpstr>
      <vt:lpstr>sch_num_funct_computers_admin_printer_depeddcp</vt:lpstr>
      <vt:lpstr>sch_num_funct_computers_admin_printer_depednondcp</vt:lpstr>
      <vt:lpstr>sch_num_funct_computers_admin_printer_lgusef</vt:lpstr>
      <vt:lpstr>sch_num_funct_computers_admin_printer_othergov</vt:lpstr>
      <vt:lpstr>sch_num_funct_computers_admin_printer_others</vt:lpstr>
      <vt:lpstr>sch_num_funct_computers_admin_printer_privatedon</vt:lpstr>
      <vt:lpstr>sch_num_funct_computers_admin_printer_pta</vt:lpstr>
      <vt:lpstr>sch_num_funct_computers_admin_projector_depeddcp</vt:lpstr>
      <vt:lpstr>sch_num_funct_computers_admin_projector_depednondcp</vt:lpstr>
      <vt:lpstr>sch_num_funct_computers_admin_projector_lgusef</vt:lpstr>
      <vt:lpstr>sch_num_funct_computers_admin_projector_othergov</vt:lpstr>
      <vt:lpstr>sch_num_funct_computers_admin_projector_others</vt:lpstr>
      <vt:lpstr>sch_num_funct_computers_admin_projector_privatedon</vt:lpstr>
      <vt:lpstr>sch_num_funct_computers_admin_projector_pta</vt:lpstr>
      <vt:lpstr>sch_num_funct_computers_admin_router_depeddcp</vt:lpstr>
      <vt:lpstr>sch_num_funct_computers_admin_router_depednondcp</vt:lpstr>
      <vt:lpstr>sch_num_funct_computers_admin_router_lgusef</vt:lpstr>
      <vt:lpstr>sch_num_funct_computers_admin_router_othergov</vt:lpstr>
      <vt:lpstr>sch_num_funct_computers_admin_router_others</vt:lpstr>
      <vt:lpstr>sch_num_funct_computers_admin_router_privatedon</vt:lpstr>
      <vt:lpstr>sch_num_funct_computers_admin_router_pta</vt:lpstr>
      <vt:lpstr>sch_num_funct_computers_admin_tablet_depeddcp</vt:lpstr>
      <vt:lpstr>sch_num_funct_computers_admin_tablet_depednondcp</vt:lpstr>
      <vt:lpstr>sch_num_funct_computers_admin_tablet_lgusef</vt:lpstr>
      <vt:lpstr>sch_num_funct_computers_admin_tablet_othergov</vt:lpstr>
      <vt:lpstr>sch_num_funct_computers_admin_tablet_others</vt:lpstr>
      <vt:lpstr>sch_num_funct_computers_admin_tablet_privatedon</vt:lpstr>
      <vt:lpstr>sch_num_funct_computers_admin_tablet_pta</vt:lpstr>
      <vt:lpstr>sch_num_funct_computers_admin_tabletpc_depeddcp</vt:lpstr>
      <vt:lpstr>sch_num_funct_computers_admin_tabletpc_depednondcp</vt:lpstr>
      <vt:lpstr>sch_num_funct_computers_admin_tabletpc_lgusef</vt:lpstr>
      <vt:lpstr>sch_num_funct_computers_admin_tabletpc_othergov</vt:lpstr>
      <vt:lpstr>sch_num_funct_computers_admin_tabletpc_others</vt:lpstr>
      <vt:lpstr>sch_num_funct_computers_admin_tabletpc_privatedon</vt:lpstr>
      <vt:lpstr>sch_num_funct_computers_admin_tabletpc_pta</vt:lpstr>
      <vt:lpstr>sch_num_funct_computers_admin_ups_depeddcp</vt:lpstr>
      <vt:lpstr>sch_num_funct_computers_admin_ups_depednondcp</vt:lpstr>
      <vt:lpstr>sch_num_funct_computers_admin_ups_lgusef</vt:lpstr>
      <vt:lpstr>sch_num_funct_computers_admin_ups_othergov</vt:lpstr>
      <vt:lpstr>sch_num_funct_computers_admin_ups_others</vt:lpstr>
      <vt:lpstr>sch_num_funct_computers_admin_ups_privatedon</vt:lpstr>
      <vt:lpstr>sch_num_funct_computers_admin_ups_pta</vt:lpstr>
      <vt:lpstr>sch_number_partners_support_pbuilding_after_armed</vt:lpstr>
      <vt:lpstr>sch_observe_onehealthwk_prevsy</vt:lpstr>
      <vt:lpstr>sch_officially_manage_FBpage_address</vt:lpstr>
      <vt:lpstr>sch_officially_manage_FBpage_ifyes</vt:lpstr>
      <vt:lpstr>sch_operational_teen_ctr_ifyes</vt:lpstr>
      <vt:lpstr>sch_oralh_details_num_dmftpermatet_g1</vt:lpstr>
      <vt:lpstr>sch_oralh_details_num_dmftpermatet_g2</vt:lpstr>
      <vt:lpstr>sch_oralh_details_num_dmftpermatet_g3</vt:lpstr>
      <vt:lpstr>sch_oralh_details_num_dmftpermatet_g4</vt:lpstr>
      <vt:lpstr>sch_oralh_details_num_dmftpermatet_g5</vt:lpstr>
      <vt:lpstr>sch_oralh_details_num_dmftpermatet_g6</vt:lpstr>
      <vt:lpstr>sch_oralh_details_num_dmftpermatet_k</vt:lpstr>
      <vt:lpstr>sch_oralh_details_num_dmfttempotet_g1</vt:lpstr>
      <vt:lpstr>sch_oralh_details_num_dmfttempotet_g2</vt:lpstr>
      <vt:lpstr>sch_oralh_details_num_dmfttempotet_g3</vt:lpstr>
      <vt:lpstr>sch_oralh_details_num_dmfttempotet_g4</vt:lpstr>
      <vt:lpstr>sch_oralh_details_num_dmfttempotet_g5</vt:lpstr>
      <vt:lpstr>sch_oralh_details_num_dmfttempotet_g6</vt:lpstr>
      <vt:lpstr>sch_oralh_details_num_dmfttempotet_k</vt:lpstr>
      <vt:lpstr>sch_oralh_details_num_learner_dmftpermatet_g1</vt:lpstr>
      <vt:lpstr>sch_oralh_details_num_learner_dmftpermatet_g2</vt:lpstr>
      <vt:lpstr>sch_oralh_details_num_learner_dmftpermatet_g3</vt:lpstr>
      <vt:lpstr>sch_oralh_details_num_learner_dmftpermatet_g4</vt:lpstr>
      <vt:lpstr>sch_oralh_details_num_learner_dmftpermatet_g5</vt:lpstr>
      <vt:lpstr>sch_oralh_details_num_learner_dmftpermatet_g6</vt:lpstr>
      <vt:lpstr>sch_oralh_details_num_learner_dmftpermatet_k</vt:lpstr>
      <vt:lpstr>sch_oralh_details_num_learner_dmfttempotet_g1</vt:lpstr>
      <vt:lpstr>sch_oralh_details_num_learner_dmfttempotet_g2</vt:lpstr>
      <vt:lpstr>sch_oralh_details_num_learner_dmfttempotet_g3</vt:lpstr>
      <vt:lpstr>sch_oralh_details_num_learner_dmfttempotet_g4</vt:lpstr>
      <vt:lpstr>sch_oralh_details_num_learner_dmfttempotet_g5</vt:lpstr>
      <vt:lpstr>sch_oralh_details_num_learner_dmfttempotet_g6</vt:lpstr>
      <vt:lpstr>sch_oralh_details_num_learner_dmfttempotet_k</vt:lpstr>
      <vt:lpstr>sch_oralh_details_num_learner_fthgumdisease_g1</vt:lpstr>
      <vt:lpstr>sch_oralh_details_num_learner_fthgumdisease_g2</vt:lpstr>
      <vt:lpstr>sch_oralh_details_num_learner_fthgumdisease_g3</vt:lpstr>
      <vt:lpstr>sch_oralh_details_num_learner_fthgumdisease_g4</vt:lpstr>
      <vt:lpstr>sch_oralh_details_num_learner_fthgumdisease_g5</vt:lpstr>
      <vt:lpstr>sch_oralh_details_num_learner_fthgumdisease_g6</vt:lpstr>
      <vt:lpstr>sch_oralh_details_num_learner_fthgumdisease_k</vt:lpstr>
      <vt:lpstr>sch_oralh_details_num_learner_underwflourid_g1</vt:lpstr>
      <vt:lpstr>sch_oralh_details_num_learner_underwflourid_g2</vt:lpstr>
      <vt:lpstr>sch_oralh_details_num_learner_underwflourid_g3</vt:lpstr>
      <vt:lpstr>sch_oralh_details_num_learner_underwflourid_k</vt:lpstr>
      <vt:lpstr>sch_oralh_details_num_learner_wosigdentalanom_g1</vt:lpstr>
      <vt:lpstr>sch_oralh_details_num_learner_wosigdentalanom_g2</vt:lpstr>
      <vt:lpstr>sch_oralh_details_num_learner_wosigdentalanom_g3</vt:lpstr>
      <vt:lpstr>sch_oralh_details_num_learner_wosigdentalanom_g4</vt:lpstr>
      <vt:lpstr>sch_oralh_details_num_learner_wosigdentalanom_g5</vt:lpstr>
      <vt:lpstr>sch_oralh_details_num_learner_wosigdentalanom_g6</vt:lpstr>
      <vt:lpstr>sch_oralh_details_num_learner_wosigdentalanom_k</vt:lpstr>
      <vt:lpstr>sch_oralh_details_num_lexamined_g1</vt:lpstr>
      <vt:lpstr>sch_oralh_details_num_lexamined_g2</vt:lpstr>
      <vt:lpstr>sch_oralh_details_num_lexamined_g3</vt:lpstr>
      <vt:lpstr>sch_oralh_details_num_lexamined_g4</vt:lpstr>
      <vt:lpstr>sch_oralh_details_num_lexamined_g5</vt:lpstr>
      <vt:lpstr>sch_oralh_details_num_lexamined_g6</vt:lpstr>
      <vt:lpstr>sch_oralh_details_num_lexamined_k</vt:lpstr>
      <vt:lpstr>sch_participated_drill_01_earthquake</vt:lpstr>
      <vt:lpstr>sch_participated_drill_01_fire</vt:lpstr>
      <vt:lpstr>sch_participated_drill_01_flood_evacuation</vt:lpstr>
      <vt:lpstr>sch_participated_drill_01_lockdown</vt:lpstr>
      <vt:lpstr>sch_participated_drill_01_stormsurge</vt:lpstr>
      <vt:lpstr>sch_participated_drill_01_tsunami</vt:lpstr>
      <vt:lpstr>sch_participated_drill_02_earthquake</vt:lpstr>
      <vt:lpstr>sch_participated_drill_02_fire</vt:lpstr>
      <vt:lpstr>sch_participated_drill_02_flood_evacuation</vt:lpstr>
      <vt:lpstr>sch_participated_drill_02_lockdown</vt:lpstr>
      <vt:lpstr>sch_participated_drill_02_stormsurge</vt:lpstr>
      <vt:lpstr>sch_participated_drill_02_tsunami</vt:lpstr>
      <vt:lpstr>sch_participated_drill_03_earthquake</vt:lpstr>
      <vt:lpstr>sch_participated_drill_03_fire</vt:lpstr>
      <vt:lpstr>sch_participated_drill_03_flood_evacuation</vt:lpstr>
      <vt:lpstr>sch_participated_drill_03_lockdown</vt:lpstr>
      <vt:lpstr>sch_participated_drill_03_stormsurge</vt:lpstr>
      <vt:lpstr>sch_participated_drill_03_tsunami</vt:lpstr>
      <vt:lpstr>sch_participated_drill_04_earthquake</vt:lpstr>
      <vt:lpstr>sch_participated_drill_04_fire</vt:lpstr>
      <vt:lpstr>sch_participated_drill_04_flood_evacuation</vt:lpstr>
      <vt:lpstr>sch_participated_drill_04_lockdown</vt:lpstr>
      <vt:lpstr>sch_participated_drill_04_stormsurge</vt:lpstr>
      <vt:lpstr>sch_participated_drill_04_tsunami</vt:lpstr>
      <vt:lpstr>sch_participated_drill_05_earthquake</vt:lpstr>
      <vt:lpstr>sch_participated_drill_05_fire</vt:lpstr>
      <vt:lpstr>sch_participated_drill_05_flood_evacuation</vt:lpstr>
      <vt:lpstr>sch_participated_drill_05_lockdown</vt:lpstr>
      <vt:lpstr>sch_participated_drill_05_stormsurge</vt:lpstr>
      <vt:lpstr>sch_participated_drill_05_tsunami</vt:lpstr>
      <vt:lpstr>sch_participated_drill_06_earthquake</vt:lpstr>
      <vt:lpstr>sch_participated_drill_06_fire</vt:lpstr>
      <vt:lpstr>sch_participated_drill_06_flood_evacuation</vt:lpstr>
      <vt:lpstr>sch_participated_drill_06_lockdown</vt:lpstr>
      <vt:lpstr>sch_participated_drill_06_stormsurge</vt:lpstr>
      <vt:lpstr>sch_participated_drill_06_tsunami</vt:lpstr>
      <vt:lpstr>sch_participated_drill_07_earthquake</vt:lpstr>
      <vt:lpstr>sch_participated_drill_07_fire</vt:lpstr>
      <vt:lpstr>sch_participated_drill_07_flood_evacuation</vt:lpstr>
      <vt:lpstr>sch_participated_drill_07_lockdown</vt:lpstr>
      <vt:lpstr>sch_participated_drill_07_stormsurge</vt:lpstr>
      <vt:lpstr>sch_participated_drill_07_tsunami</vt:lpstr>
      <vt:lpstr>sch_participated_drill_08_earthquake</vt:lpstr>
      <vt:lpstr>sch_participated_drill_08_fire</vt:lpstr>
      <vt:lpstr>sch_participated_drill_08_flood_evacuation</vt:lpstr>
      <vt:lpstr>sch_participated_drill_08_lockdown</vt:lpstr>
      <vt:lpstr>sch_participated_drill_08_stormsurge</vt:lpstr>
      <vt:lpstr>sch_participated_drill_08_tsunami</vt:lpstr>
      <vt:lpstr>sch_participated_drill_09_earthquake</vt:lpstr>
      <vt:lpstr>sch_participated_drill_09_fire</vt:lpstr>
      <vt:lpstr>sch_participated_drill_09_flood_evacuation</vt:lpstr>
      <vt:lpstr>sch_participated_drill_09_lockdown</vt:lpstr>
      <vt:lpstr>sch_participated_drill_09_stormsurge</vt:lpstr>
      <vt:lpstr>sch_participated_drill_09_tsunami</vt:lpstr>
      <vt:lpstr>sch_participated_drill_10_earthquake</vt:lpstr>
      <vt:lpstr>sch_participated_drill_10_fire</vt:lpstr>
      <vt:lpstr>sch_participated_drill_10_flood_evacuation</vt:lpstr>
      <vt:lpstr>sch_participated_drill_10_lockdown</vt:lpstr>
      <vt:lpstr>sch_participated_drill_10_stormsurge</vt:lpstr>
      <vt:lpstr>sch_participated_drill_10_tsunami</vt:lpstr>
      <vt:lpstr>sch_participated_drill_11_earthquake</vt:lpstr>
      <vt:lpstr>sch_participated_drill_11_fire</vt:lpstr>
      <vt:lpstr>sch_participated_drill_11_flood_evacuation</vt:lpstr>
      <vt:lpstr>sch_participated_drill_11_lockdown</vt:lpstr>
      <vt:lpstr>sch_participated_drill_11_stormsurge</vt:lpstr>
      <vt:lpstr>sch_participated_drill_11_tsunami</vt:lpstr>
      <vt:lpstr>sch_participated_drill_12_earthquake</vt:lpstr>
      <vt:lpstr>sch_participated_drill_12_fire</vt:lpstr>
      <vt:lpstr>sch_participated_drill_12_flood_evacuation</vt:lpstr>
      <vt:lpstr>sch_participated_drill_12_lockdown</vt:lpstr>
      <vt:lpstr>sch_participated_drill_12_stormsurge</vt:lpstr>
      <vt:lpstr>sch_participated_drill_12_tsunami</vt:lpstr>
      <vt:lpstr>sch_participated_drrmccampdp_activities_lgu_partners</vt:lpstr>
      <vt:lpstr>sch_personnel_participated_drills_nonteaching_f</vt:lpstr>
      <vt:lpstr>sch_personnel_participated_drills_nonteaching_m</vt:lpstr>
      <vt:lpstr>sch_personnel_participated_drills_teaching_f</vt:lpstr>
      <vt:lpstr>sch_personnel_participated_drills_teaching_m</vt:lpstr>
      <vt:lpstr>sch_pic_guidanceofc_regguidancecounselor_ifyes</vt:lpstr>
      <vt:lpstr>sch_present_result_fepp_pta_lgu</vt:lpstr>
      <vt:lpstr>sch_prev_name</vt:lpstr>
      <vt:lpstr>sch_provided_safety_emer_supplies_deped_partners</vt:lpstr>
      <vt:lpstr>sch_receive_replacement_damaged_dcp_disaster</vt:lpstr>
      <vt:lpstr>sch_receive_replacement_damaged_furniture_disaster</vt:lpstr>
      <vt:lpstr>sch_receive_replacement_damaged_learningresources_disaster</vt:lpstr>
      <vt:lpstr>sch_reconstruct_fs_instruct_beff</vt:lpstr>
      <vt:lpstr>sch_reconstruct_fs_instruct_ep</vt:lpstr>
      <vt:lpstr>sch_reconstruct_fs_instruct_ndrrmf</vt:lpstr>
      <vt:lpstr>sch_reconstruct_fs_instruct_qrf</vt:lpstr>
      <vt:lpstr>sch_reconstruct_fs_noninstruct_beff</vt:lpstr>
      <vt:lpstr>sch_reconstruct_fs_noninstruct_ep</vt:lpstr>
      <vt:lpstr>sch_reconstruct_fs_noninstruct_ndrrmf</vt:lpstr>
      <vt:lpstr>sch_reconstruct_fs_noninstruct_qrf</vt:lpstr>
      <vt:lpstr>sch_region</vt:lpstr>
      <vt:lpstr>sch_repaired_fs_instruct_beff</vt:lpstr>
      <vt:lpstr>sch_repaired_fs_instruct_ep</vt:lpstr>
      <vt:lpstr>sch_repaired_fs_instruct_ndrrmf</vt:lpstr>
      <vt:lpstr>sch_repaired_fs_instruct_qrf</vt:lpstr>
      <vt:lpstr>sch_repaired_fs_noninstruct_beff</vt:lpstr>
      <vt:lpstr>sch_repaired_fs_noninstruct_ep</vt:lpstr>
      <vt:lpstr>sch_repaired_fs_noninstruct_ndrrmf</vt:lpstr>
      <vt:lpstr>sch_repaired_fs_noninstruct_qrf</vt:lpstr>
      <vt:lpstr>sch_result_disasinci_apr_num_arm_conflict</vt:lpstr>
      <vt:lpstr>sch_result_disasinci_apr_num_cls</vt:lpstr>
      <vt:lpstr>sch_result_disasinci_apr_num_days</vt:lpstr>
      <vt:lpstr>sch_result_disasinci_apr_num_suspend</vt:lpstr>
      <vt:lpstr>sch_result_disasinci_apr_num_suspend_human_hazards</vt:lpstr>
      <vt:lpstr>sch_result_disasinci_aug_num_arm_conflict</vt:lpstr>
      <vt:lpstr>sch_result_disasinci_aug_num_cls</vt:lpstr>
      <vt:lpstr>sch_result_disasinci_aug_num_days</vt:lpstr>
      <vt:lpstr>sch_result_disasinci_aug_num_suspend</vt:lpstr>
      <vt:lpstr>sch_result_disasinci_aug_num_suspend_human_hazards</vt:lpstr>
      <vt:lpstr>sch_result_disasinci_dec_num_arm_conflict</vt:lpstr>
      <vt:lpstr>sch_result_disasinci_dec_num_cls</vt:lpstr>
      <vt:lpstr>sch_result_disasinci_dec_num_days</vt:lpstr>
      <vt:lpstr>sch_result_disasinci_dec_num_suspend</vt:lpstr>
      <vt:lpstr>sch_result_disasinci_dec_num_suspend_human_hazards</vt:lpstr>
      <vt:lpstr>sch_result_disasinci_feb_num_arm_conflict</vt:lpstr>
      <vt:lpstr>sch_result_disasinci_feb_num_cls</vt:lpstr>
      <vt:lpstr>sch_result_disasinci_feb_num_days</vt:lpstr>
      <vt:lpstr>sch_result_disasinci_feb_num_suspend</vt:lpstr>
      <vt:lpstr>sch_result_disasinci_feb_num_suspend_human_hazards</vt:lpstr>
      <vt:lpstr>sch_result_disasinci_jan_num_arm_conflict</vt:lpstr>
      <vt:lpstr>sch_result_disasinci_jan_num_cls</vt:lpstr>
      <vt:lpstr>sch_result_disasinci_jan_num_days</vt:lpstr>
      <vt:lpstr>sch_result_disasinci_jan_num_suspend</vt:lpstr>
      <vt:lpstr>sch_result_disasinci_jan_num_suspend_human_hazards</vt:lpstr>
      <vt:lpstr>sch_result_disasinci_jul_num_arm_conflict</vt:lpstr>
      <vt:lpstr>sch_result_disasinci_jul_num_cls</vt:lpstr>
      <vt:lpstr>sch_result_disasinci_jul_num_days</vt:lpstr>
      <vt:lpstr>sch_result_disasinci_jul_num_suspend</vt:lpstr>
      <vt:lpstr>sch_result_disasinci_jul_num_suspend_human_hazards</vt:lpstr>
      <vt:lpstr>sch_result_disasinci_jun_num_arm_conflict</vt:lpstr>
      <vt:lpstr>sch_result_disasinci_jun_num_cls</vt:lpstr>
      <vt:lpstr>sch_result_disasinci_jun_num_days</vt:lpstr>
      <vt:lpstr>sch_result_disasinci_jun_num_suspend</vt:lpstr>
      <vt:lpstr>sch_result_disasinci_jun_num_suspend_human_hazards</vt:lpstr>
      <vt:lpstr>sch_result_disasinci_mar_num_arm_conflict</vt:lpstr>
      <vt:lpstr>sch_result_disasinci_mar_num_cls</vt:lpstr>
      <vt:lpstr>sch_result_disasinci_mar_num_days</vt:lpstr>
      <vt:lpstr>sch_result_disasinci_mar_num_suspend</vt:lpstr>
      <vt:lpstr>sch_result_disasinci_mar_num_suspend_human_hazards</vt:lpstr>
      <vt:lpstr>sch_result_disasinci_may_num_arm_conflict</vt:lpstr>
      <vt:lpstr>sch_result_disasinci_may_num_cls</vt:lpstr>
      <vt:lpstr>sch_result_disasinci_may_num_days</vt:lpstr>
      <vt:lpstr>sch_result_disasinci_may_num_suspend</vt:lpstr>
      <vt:lpstr>sch_result_disasinci_may_num_suspend_human_hazards</vt:lpstr>
      <vt:lpstr>sch_result_disasinci_nov_num_arm_conflict</vt:lpstr>
      <vt:lpstr>sch_result_disasinci_nov_num_cls</vt:lpstr>
      <vt:lpstr>sch_result_disasinci_nov_num_days</vt:lpstr>
      <vt:lpstr>sch_result_disasinci_nov_num_suspend</vt:lpstr>
      <vt:lpstr>sch_result_disasinci_nov_num_suspend_human_hazards</vt:lpstr>
      <vt:lpstr>sch_result_disasinci_oct_num_arm_conflict</vt:lpstr>
      <vt:lpstr>sch_result_disasinci_oct_num_cls</vt:lpstr>
      <vt:lpstr>sch_result_disasinci_oct_num_days</vt:lpstr>
      <vt:lpstr>sch_result_disasinci_oct_num_suspend</vt:lpstr>
      <vt:lpstr>sch_result_disasinci_oct_num_suspend_human_hazards</vt:lpstr>
      <vt:lpstr>sch_result_disasinci_sep_num_arm_conflict</vt:lpstr>
      <vt:lpstr>sch_result_disasinci_sep_num_cls</vt:lpstr>
      <vt:lpstr>sch_result_disasinci_sep_num_days</vt:lpstr>
      <vt:lpstr>sch_result_disasinci_sep_num_suspend</vt:lpstr>
      <vt:lpstr>sch_result_disasinci_sep_num_suspend_human_hazards</vt:lpstr>
      <vt:lpstr>sch_safelearn_repair_y_apr</vt:lpstr>
      <vt:lpstr>sch_safelearn_repair_y_aug</vt:lpstr>
      <vt:lpstr>sch_safelearn_repair_y_dec</vt:lpstr>
      <vt:lpstr>sch_safelearn_repair_y_feb</vt:lpstr>
      <vt:lpstr>sch_safelearn_repair_y_jan</vt:lpstr>
      <vt:lpstr>sch_safelearn_repair_y_jul</vt:lpstr>
      <vt:lpstr>sch_safelearn_repair_y_jun</vt:lpstr>
      <vt:lpstr>sch_safelearn_repair_y_mar</vt:lpstr>
      <vt:lpstr>sch_safelearn_repair_y_may</vt:lpstr>
      <vt:lpstr>sch_safelearn_repair_y_nov</vt:lpstr>
      <vt:lpstr>sch_safelearn_repair_y_oct</vt:lpstr>
      <vt:lpstr>sch_safelearn_repair_y_sep</vt:lpstr>
      <vt:lpstr>sch_safety_precaution_newold_bldg_construct</vt:lpstr>
      <vt:lpstr>sch_schoolhead_attended_iped_orientation</vt:lpstr>
      <vt:lpstr>sch_schoolhead_ip</vt:lpstr>
      <vt:lpstr>sch_schoolhead_ip_specify</vt:lpstr>
      <vt:lpstr>sch_screentool_riskmentalcond_ifyes</vt:lpstr>
      <vt:lpstr>sch_sgp_spgadviser_yes</vt:lpstr>
      <vt:lpstr>sch_sgp_spgadviser_yes_num_advisers</vt:lpstr>
      <vt:lpstr>sch_sgp_spgcouncil_yes</vt:lpstr>
      <vt:lpstr>sch_site_31_specify</vt:lpstr>
      <vt:lpstr>sch_site_32_land_area</vt:lpstr>
      <vt:lpstr>sch_site_33_mode_specify</vt:lpstr>
      <vt:lpstr>sch_site_33_modeyr_cloa</vt:lpstr>
      <vt:lpstr>sch_site_33_modeyr_donation</vt:lpstr>
      <vt:lpstr>sch_site_33_modeyr_exchange_swapping</vt:lpstr>
      <vt:lpstr>sch_site_33_modeyr_expropriation</vt:lpstr>
      <vt:lpstr>sch_site_33_modeyr_others</vt:lpstr>
      <vt:lpstr>sch_site_33_modeyr_pres_proc</vt:lpstr>
      <vt:lpstr>sch_site_33_modeyr_purchase</vt:lpstr>
      <vt:lpstr>sch_site_33_modeyr_slup</vt:lpstr>
      <vt:lpstr>sch_site_33_modeyr_spl_patent</vt:lpstr>
      <vt:lpstr>sch_site_33_modeyr_usufruct_agree</vt:lpstr>
      <vt:lpstr>sch_site_60_leg_own_specify</vt:lpstr>
      <vt:lpstr>sch_site_chk31_deped</vt:lpstr>
      <vt:lpstr>sch_site_chk31_lgu</vt:lpstr>
      <vt:lpstr>sch_site_chk31_othergov</vt:lpstr>
      <vt:lpstr>sch_site_chk31_prvt_ind</vt:lpstr>
      <vt:lpstr>sch_site_chk31_yes</vt:lpstr>
      <vt:lpstr>sch_site_chk31_yes_cert_stew</vt:lpstr>
      <vt:lpstr>sch_site_chk31_yes_cloa</vt:lpstr>
      <vt:lpstr>sch_site_chk31_yes_deed_abso</vt:lpstr>
      <vt:lpstr>sch_site_chk31_yes_deed_donation</vt:lpstr>
      <vt:lpstr>sch_site_chk31_yes_lease</vt:lpstr>
      <vt:lpstr>sch_site_chk31_yes_moa</vt:lpstr>
      <vt:lpstr>sch_site_chk31_yes_oct</vt:lpstr>
      <vt:lpstr>sch_site_chk31_yes_others</vt:lpstr>
      <vt:lpstr>sch_site_chk31_yes_pres_proc</vt:lpstr>
      <vt:lpstr>sch_site_chk31_yes_sflag</vt:lpstr>
      <vt:lpstr>sch_site_chk31_yes_slup</vt:lpstr>
      <vt:lpstr>sch_site_chk31_yes_spl_patent</vt:lpstr>
      <vt:lpstr>sch_site_chk31_yes_tax_dec</vt:lpstr>
      <vt:lpstr>sch_site_chk31_yes_tct</vt:lpstr>
      <vt:lpstr>sch_site_chk31_yes_usufruct</vt:lpstr>
      <vt:lpstr>sch_site_chk33_mode_cloa</vt:lpstr>
      <vt:lpstr>sch_site_chk33_mode_donation</vt:lpstr>
      <vt:lpstr>sch_site_chk33_mode_exchange_swapping</vt:lpstr>
      <vt:lpstr>sch_site_chk33_mode_expropriation</vt:lpstr>
      <vt:lpstr>sch_site_chk33_mode_others</vt:lpstr>
      <vt:lpstr>sch_site_chk33_mode_pres_proc</vt:lpstr>
      <vt:lpstr>sch_site_chk33_mode_purchase</vt:lpstr>
      <vt:lpstr>sch_site_chk33_mode_slup</vt:lpstr>
      <vt:lpstr>sch_site_chk33_mode_spl_patent</vt:lpstr>
      <vt:lpstr>sch_site_chk33_mode_usufruct_agree</vt:lpstr>
      <vt:lpstr>sch_site_chk40w_ancesdom_cadtyes</vt:lpstr>
      <vt:lpstr>sch_site_chk40w_ancesdom_usuyes</vt:lpstr>
      <vt:lpstr>sch_site_chk50w_ancesland_caltyes</vt:lpstr>
      <vt:lpstr>sch_site_chk50w_ancesland_usuyes</vt:lpstr>
      <vt:lpstr>sch_site_chk60_leg_own_adverseclaim</vt:lpstr>
      <vt:lpstr>sch_site_chk60_leg_own_encroach</vt:lpstr>
      <vt:lpstr>sch_site_chk60_leg_own_others</vt:lpstr>
      <vt:lpstr>sch_site_chk60_leg_own_willegalsetler</vt:lpstr>
      <vt:lpstr>sch_site_chk70_schsite_protec_area</vt:lpstr>
      <vt:lpstr>sch_site_chk70_schsite_timber_forest</vt:lpstr>
      <vt:lpstr>sch_sp_se_num_coaches_aerogymn</vt:lpstr>
      <vt:lpstr>sch_sp_se_num_coaches_arch</vt:lpstr>
      <vt:lpstr>sch_sp_se_num_coaches_arnis</vt:lpstr>
      <vt:lpstr>sch_sp_se_num_coaches_athlthrow</vt:lpstr>
      <vt:lpstr>sch_sp_se_num_coaches_athltrun</vt:lpstr>
      <vt:lpstr>sch_sp_se_num_coaches_badm</vt:lpstr>
      <vt:lpstr>sch_sp_se_num_coaches_baseball</vt:lpstr>
      <vt:lpstr>sch_sp_se_num_coaches_basket</vt:lpstr>
      <vt:lpstr>sch_sp_se_num_coaches_billard</vt:lpstr>
      <vt:lpstr>sch_sp_se_num_coaches_bocce</vt:lpstr>
      <vt:lpstr>sch_sp_se_num_coaches_boxing</vt:lpstr>
      <vt:lpstr>sch_sp_se_num_coaches_chess</vt:lpstr>
      <vt:lpstr>sch_sp_se_num_coaches_dancesports</vt:lpstr>
      <vt:lpstr>sch_sp_se_num_coaches_football</vt:lpstr>
      <vt:lpstr>sch_sp_se_num_coaches_futsal</vt:lpstr>
      <vt:lpstr>sch_sp_se_num_coaches_goalball</vt:lpstr>
      <vt:lpstr>sch_sp_se_num_coaches_mag</vt:lpstr>
      <vt:lpstr>sch_sp_se_num_coaches_pencak</vt:lpstr>
      <vt:lpstr>sch_sp_se_num_coaches_rg</vt:lpstr>
      <vt:lpstr>sch_sp_se_num_coaches_sepaktakraw</vt:lpstr>
      <vt:lpstr>sch_sp_se_num_coaches_softball</vt:lpstr>
      <vt:lpstr>sch_sp_se_num_coaches_swimming</vt:lpstr>
      <vt:lpstr>sch_sp_se_num_coaches_tabletennis</vt:lpstr>
      <vt:lpstr>sch_sp_se_num_coaches_taekwondo</vt:lpstr>
      <vt:lpstr>sch_sp_se_num_coaches_tennis</vt:lpstr>
      <vt:lpstr>sch_sp_se_num_coaches_volleyball</vt:lpstr>
      <vt:lpstr>sch_sp_se_num_coaches_wag</vt:lpstr>
      <vt:lpstr>sch_sp_se_num_coaches_wrestling</vt:lpstr>
      <vt:lpstr>sch_sp_se_num_coaches_wushu</vt:lpstr>
      <vt:lpstr>sch_sp_se_num_nonpeteachss_aerogymn</vt:lpstr>
      <vt:lpstr>sch_sp_se_num_nonpeteachss_arch</vt:lpstr>
      <vt:lpstr>sch_sp_se_num_nonpeteachss_arnis</vt:lpstr>
      <vt:lpstr>sch_sp_se_num_nonpeteachss_athlthrow</vt:lpstr>
      <vt:lpstr>sch_sp_se_num_nonpeteachss_athltrun</vt:lpstr>
      <vt:lpstr>sch_sp_se_num_nonpeteachss_badm</vt:lpstr>
      <vt:lpstr>sch_sp_se_num_nonpeteachss_baseball</vt:lpstr>
      <vt:lpstr>sch_sp_se_num_nonpeteachss_basket</vt:lpstr>
      <vt:lpstr>sch_sp_se_num_nonpeteachss_billard</vt:lpstr>
      <vt:lpstr>sch_sp_se_num_nonpeteachss_bocce</vt:lpstr>
      <vt:lpstr>sch_sp_se_num_nonpeteachss_boxing</vt:lpstr>
      <vt:lpstr>sch_sp_se_num_nonpeteachss_chess</vt:lpstr>
      <vt:lpstr>sch_sp_se_num_nonpeteachss_dancesports</vt:lpstr>
      <vt:lpstr>sch_sp_se_num_nonpeteachss_football</vt:lpstr>
      <vt:lpstr>sch_sp_se_num_nonpeteachss_futsal</vt:lpstr>
      <vt:lpstr>sch_sp_se_num_nonpeteachss_goalball</vt:lpstr>
      <vt:lpstr>sch_sp_se_num_nonpeteachss_mag</vt:lpstr>
      <vt:lpstr>sch_sp_se_num_nonpeteachss_pencak</vt:lpstr>
      <vt:lpstr>sch_sp_se_num_nonpeteachss_rg</vt:lpstr>
      <vt:lpstr>sch_sp_se_num_nonpeteachss_sepaktakraw</vt:lpstr>
      <vt:lpstr>sch_sp_se_num_nonpeteachss_softball</vt:lpstr>
      <vt:lpstr>sch_sp_se_num_nonpeteachss_swimming</vt:lpstr>
      <vt:lpstr>sch_sp_se_num_nonpeteachss_tabletennis</vt:lpstr>
      <vt:lpstr>sch_sp_se_num_nonpeteachss_taekwondo</vt:lpstr>
      <vt:lpstr>sch_sp_se_num_nonpeteachss_tennis</vt:lpstr>
      <vt:lpstr>sch_sp_se_num_nonpeteachss_volleyball</vt:lpstr>
      <vt:lpstr>sch_sp_se_num_nonpeteachss_wag</vt:lpstr>
      <vt:lpstr>sch_sp_se_num_nonpeteachss_wrestling</vt:lpstr>
      <vt:lpstr>sch_sp_se_num_nonpeteachss_wushu</vt:lpstr>
      <vt:lpstr>sch_sp_se_num_nonteachpss_aerogymn</vt:lpstr>
      <vt:lpstr>sch_sp_se_num_nonteachpss_arch</vt:lpstr>
      <vt:lpstr>sch_sp_se_num_nonteachpss_arnis</vt:lpstr>
      <vt:lpstr>sch_sp_se_num_nonteachpss_athlthrow</vt:lpstr>
      <vt:lpstr>sch_sp_se_num_nonteachpss_athltrun</vt:lpstr>
      <vt:lpstr>sch_sp_se_num_nonteachpss_badm</vt:lpstr>
      <vt:lpstr>sch_sp_se_num_nonteachpss_baseball</vt:lpstr>
      <vt:lpstr>sch_sp_se_num_nonteachpss_basket</vt:lpstr>
      <vt:lpstr>sch_sp_se_num_nonteachpss_billard</vt:lpstr>
      <vt:lpstr>sch_sp_se_num_nonteachpss_bocce</vt:lpstr>
      <vt:lpstr>sch_sp_se_num_nonteachpss_boxing</vt:lpstr>
      <vt:lpstr>sch_sp_se_num_nonteachpss_chess</vt:lpstr>
      <vt:lpstr>sch_sp_se_num_nonteachpss_dancesports</vt:lpstr>
      <vt:lpstr>sch_sp_se_num_nonteachpss_football</vt:lpstr>
      <vt:lpstr>sch_sp_se_num_nonteachpss_futsal</vt:lpstr>
      <vt:lpstr>sch_sp_se_num_nonteachpss_goalball</vt:lpstr>
      <vt:lpstr>sch_sp_se_num_nonteachpss_mag</vt:lpstr>
      <vt:lpstr>sch_sp_se_num_nonteachpss_pencak</vt:lpstr>
      <vt:lpstr>sch_sp_se_num_nonteachpss_rg</vt:lpstr>
      <vt:lpstr>sch_sp_se_num_nonteachpss_sepaktakraw</vt:lpstr>
      <vt:lpstr>sch_sp_se_num_nonteachpss_softball</vt:lpstr>
      <vt:lpstr>sch_sp_se_num_nonteachpss_swimming</vt:lpstr>
      <vt:lpstr>sch_sp_se_num_nonteachpss_tabletennis</vt:lpstr>
      <vt:lpstr>sch_sp_se_num_nonteachpss_taekwondo</vt:lpstr>
      <vt:lpstr>sch_sp_se_num_nonteachpss_tennis</vt:lpstr>
      <vt:lpstr>sch_sp_se_num_nonteachpss_volleyball</vt:lpstr>
      <vt:lpstr>sch_sp_se_num_nonteachpss_wag</vt:lpstr>
      <vt:lpstr>sch_sp_se_num_nonteachpss_wrestling</vt:lpstr>
      <vt:lpstr>sch_sp_se_num_nonteachpss_wushu</vt:lpstr>
      <vt:lpstr>sch_sp_se_num_officials_aerogymn</vt:lpstr>
      <vt:lpstr>sch_sp_se_num_officials_arch</vt:lpstr>
      <vt:lpstr>sch_sp_se_num_officials_arnis</vt:lpstr>
      <vt:lpstr>sch_sp_se_num_officials_athlthrow</vt:lpstr>
      <vt:lpstr>sch_sp_se_num_officials_athltrun</vt:lpstr>
      <vt:lpstr>sch_sp_se_num_officials_badm</vt:lpstr>
      <vt:lpstr>sch_sp_se_num_officials_baseball</vt:lpstr>
      <vt:lpstr>sch_sp_se_num_officials_basket</vt:lpstr>
      <vt:lpstr>sch_sp_se_num_officials_billard</vt:lpstr>
      <vt:lpstr>sch_sp_se_num_officials_bocce</vt:lpstr>
      <vt:lpstr>sch_sp_se_num_officials_boxing</vt:lpstr>
      <vt:lpstr>sch_sp_se_num_officials_chess</vt:lpstr>
      <vt:lpstr>sch_sp_se_num_officials_dancesports</vt:lpstr>
      <vt:lpstr>sch_sp_se_num_officials_football</vt:lpstr>
      <vt:lpstr>sch_sp_se_num_officials_futsal</vt:lpstr>
      <vt:lpstr>sch_sp_se_num_officials_goalball</vt:lpstr>
      <vt:lpstr>sch_sp_se_num_officials_mag</vt:lpstr>
      <vt:lpstr>sch_sp_se_num_officials_pencak</vt:lpstr>
      <vt:lpstr>sch_sp_se_num_officials_rg</vt:lpstr>
      <vt:lpstr>sch_sp_se_num_officials_sepaktakraw</vt:lpstr>
      <vt:lpstr>sch_sp_se_num_officials_softball</vt:lpstr>
      <vt:lpstr>sch_sp_se_num_officials_swimming</vt:lpstr>
      <vt:lpstr>sch_sp_se_num_officials_tabletennis</vt:lpstr>
      <vt:lpstr>sch_sp_se_num_officials_taekwondo</vt:lpstr>
      <vt:lpstr>sch_sp_se_num_officials_tennis</vt:lpstr>
      <vt:lpstr>sch_sp_se_num_officials_volleyball</vt:lpstr>
      <vt:lpstr>sch_sp_se_num_officials_wag</vt:lpstr>
      <vt:lpstr>sch_sp_se_num_officials_wrestling</vt:lpstr>
      <vt:lpstr>sch_sp_se_num_officials_wushu</vt:lpstr>
      <vt:lpstr>sch_sp_se_num_peteachss_aerogymn</vt:lpstr>
      <vt:lpstr>sch_sp_se_num_peteachss_arch</vt:lpstr>
      <vt:lpstr>sch_sp_se_num_peteachss_arnis</vt:lpstr>
      <vt:lpstr>sch_sp_se_num_peteachss_athlthrow</vt:lpstr>
      <vt:lpstr>sch_sp_se_num_peteachss_athltrun</vt:lpstr>
      <vt:lpstr>sch_sp_se_num_peteachss_badm</vt:lpstr>
      <vt:lpstr>sch_sp_se_num_peteachss_baseball</vt:lpstr>
      <vt:lpstr>sch_sp_se_num_peteachss_basket</vt:lpstr>
      <vt:lpstr>sch_sp_se_num_peteachss_billard</vt:lpstr>
      <vt:lpstr>sch_sp_se_num_peteachss_bocce</vt:lpstr>
      <vt:lpstr>sch_sp_se_num_peteachss_boxing</vt:lpstr>
      <vt:lpstr>sch_sp_se_num_peteachss_chess</vt:lpstr>
      <vt:lpstr>sch_sp_se_num_peteachss_dancesports</vt:lpstr>
      <vt:lpstr>sch_sp_se_num_peteachss_football</vt:lpstr>
      <vt:lpstr>sch_sp_se_num_peteachss_futsal</vt:lpstr>
      <vt:lpstr>sch_sp_se_num_peteachss_goalball</vt:lpstr>
      <vt:lpstr>sch_sp_se_num_peteachss_mag</vt:lpstr>
      <vt:lpstr>sch_sp_se_num_peteachss_pencak</vt:lpstr>
      <vt:lpstr>sch_sp_se_num_peteachss_rg</vt:lpstr>
      <vt:lpstr>sch_sp_se_num_peteachss_sepaktakraw</vt:lpstr>
      <vt:lpstr>sch_sp_se_num_peteachss_softball</vt:lpstr>
      <vt:lpstr>sch_sp_se_num_peteachss_swimming</vt:lpstr>
      <vt:lpstr>sch_sp_se_num_peteachss_tabletennis</vt:lpstr>
      <vt:lpstr>sch_sp_se_num_peteachss_taekwondo</vt:lpstr>
      <vt:lpstr>sch_sp_se_num_peteachss_tennis</vt:lpstr>
      <vt:lpstr>sch_sp_se_num_peteachss_volleyball</vt:lpstr>
      <vt:lpstr>sch_sp_se_num_peteachss_wag</vt:lpstr>
      <vt:lpstr>sch_sp_se_num_peteachss_wrestling</vt:lpstr>
      <vt:lpstr>sch_sp_se_num_peteachss_wushu</vt:lpstr>
      <vt:lpstr>sch_specify_frequency</vt:lpstr>
      <vt:lpstr>sch_specify_fund</vt:lpstr>
      <vt:lpstr>sch_specify_mechanism</vt:lpstr>
      <vt:lpstr>sch_specify_watersupply</vt:lpstr>
      <vt:lpstr>sch_sped_center</vt:lpstr>
      <vt:lpstr>sch_sped_classes</vt:lpstr>
      <vt:lpstr>sch_spg_adaec_yes</vt:lpstr>
      <vt:lpstr>sch_spg_awareness_campaign_yes</vt:lpstr>
      <vt:lpstr>sch_spg_book_supplies_donation_yes</vt:lpstr>
      <vt:lpstr>sch_spg_curricular_org_activities_yes</vt:lpstr>
      <vt:lpstr>sch_spg_esc_rts_yes</vt:lpstr>
      <vt:lpstr>sch_spg_jdivsearch_yes</vt:lpstr>
      <vt:lpstr>sch_spg_lead_ngp_yes</vt:lpstr>
      <vt:lpstr>sch_spg_learner_brigada_eskwela_yes</vt:lpstr>
      <vt:lpstr>sch_spg_prevent_learner_dropout_yes</vt:lpstr>
      <vt:lpstr>sch_spg_smoke_tobacoo_free_yes</vt:lpstr>
      <vt:lpstr>sch_spg_tmcsep_wtdoct_yes</vt:lpstr>
      <vt:lpstr>sch_spga_cto_sat</vt:lpstr>
      <vt:lpstr>sch_spgactes_schfees_collect_yes</vt:lpstr>
      <vt:lpstr>sch_spgadviser_deload_yes</vt:lpstr>
      <vt:lpstr>sch_spgadviser_hacadegree_bachd</vt:lpstr>
      <vt:lpstr>sch_spgadviser_hacadegree_docd</vt:lpstr>
      <vt:lpstr>sch_spgadviser_hacadegree_docdu</vt:lpstr>
      <vt:lpstr>sch_spgadviser_hacadegree_masterd</vt:lpstr>
      <vt:lpstr>sch_spgadviser_hacadegree_masterdu</vt:lpstr>
      <vt:lpstr>sch_spgadviser_subjhandle_ap</vt:lpstr>
      <vt:lpstr>sch_spgadviser_subjhandle_fil</vt:lpstr>
      <vt:lpstr>sch_spgadviser_subjhandle_math</vt:lpstr>
      <vt:lpstr>sch_spgadviser_subjhandle_others</vt:lpstr>
      <vt:lpstr>sch_spgadviser_subjhandle_otherspec</vt:lpstr>
      <vt:lpstr>sch_spgadviser_subjhandle_sci</vt:lpstr>
      <vt:lpstr>sch_spgbudget_sipappinc_yes</vt:lpstr>
      <vt:lpstr>sch_spgroom_yes</vt:lpstr>
      <vt:lpstr>sch_spgwon_nationalaward_yes</vt:lpstr>
      <vt:lpstr>sch_struct_hazard_measure_firewall</vt:lpstr>
      <vt:lpstr>sch_struct_hazard_measure_floodwall</vt:lpstr>
      <vt:lpstr>sch_struct_hazard_measure_others</vt:lpstr>
      <vt:lpstr>sch_struct_hazard_measure_others_specify</vt:lpstr>
      <vt:lpstr>sch_struct_hazard_measure_seawall</vt:lpstr>
      <vt:lpstr>sch_struct_hazard_measure_slopeprotect</vt:lpstr>
      <vt:lpstr>sch_studcodeconduct_yes</vt:lpstr>
      <vt:lpstr>sch_submit_radar_to_drrmsco_after_hazard</vt:lpstr>
      <vt:lpstr>sch_taken_action_result_fepp</vt:lpstr>
      <vt:lpstr>sch_teachesccam_ap_g1</vt:lpstr>
      <vt:lpstr>sch_teachesccam_ap_g2</vt:lpstr>
      <vt:lpstr>sch_teachesccam_ap_g3</vt:lpstr>
      <vt:lpstr>sch_teachesccam_ap_g4</vt:lpstr>
      <vt:lpstr>sch_teachesccam_ap_g5</vt:lpstr>
      <vt:lpstr>sch_teachesccam_ap_g6</vt:lpstr>
      <vt:lpstr>sch_teachesccam_ap_k</vt:lpstr>
      <vt:lpstr>sch_teachesccam_epp_g1</vt:lpstr>
      <vt:lpstr>sch_teachesccam_epp_g2</vt:lpstr>
      <vt:lpstr>sch_teachesccam_epp_g3</vt:lpstr>
      <vt:lpstr>sch_teachesccam_epp_g4</vt:lpstr>
      <vt:lpstr>sch_teachesccam_epp_g5</vt:lpstr>
      <vt:lpstr>sch_teachesccam_epp_g6</vt:lpstr>
      <vt:lpstr>sch_teachesccam_epp_k</vt:lpstr>
      <vt:lpstr>sch_teachesccam_esp_g1</vt:lpstr>
      <vt:lpstr>sch_teachesccam_esp_g2</vt:lpstr>
      <vt:lpstr>sch_teachesccam_esp_g3</vt:lpstr>
      <vt:lpstr>sch_teachesccam_esp_g4</vt:lpstr>
      <vt:lpstr>sch_teachesccam_esp_g5</vt:lpstr>
      <vt:lpstr>sch_teachesccam_esp_g6</vt:lpstr>
      <vt:lpstr>sch_teachesccam_esp_k</vt:lpstr>
      <vt:lpstr>sch_teachesccam_health_g1</vt:lpstr>
      <vt:lpstr>sch_teachesccam_health_g2</vt:lpstr>
      <vt:lpstr>sch_teachesccam_health_g3</vt:lpstr>
      <vt:lpstr>sch_teachesccam_health_g4</vt:lpstr>
      <vt:lpstr>sch_teachesccam_health_g5</vt:lpstr>
      <vt:lpstr>sch_teachesccam_health_g6</vt:lpstr>
      <vt:lpstr>sch_teachesccam_health_k</vt:lpstr>
      <vt:lpstr>sch_teachesccam_others_g1</vt:lpstr>
      <vt:lpstr>sch_teachesccam_others_g2</vt:lpstr>
      <vt:lpstr>sch_teachesccam_others_g3</vt:lpstr>
      <vt:lpstr>sch_teachesccam_others_g4</vt:lpstr>
      <vt:lpstr>sch_teachesccam_others_g5</vt:lpstr>
      <vt:lpstr>sch_teachesccam_others_g6</vt:lpstr>
      <vt:lpstr>sch_teachesccam_others_k</vt:lpstr>
      <vt:lpstr>sch_teachesccam_pe_g1</vt:lpstr>
      <vt:lpstr>sch_teachesccam_pe_g2</vt:lpstr>
      <vt:lpstr>sch_teachesccam_pe_g3</vt:lpstr>
      <vt:lpstr>sch_teachesccam_pe_g4</vt:lpstr>
      <vt:lpstr>sch_teachesccam_pe_g5</vt:lpstr>
      <vt:lpstr>sch_teachesccam_pe_g6</vt:lpstr>
      <vt:lpstr>sch_teachesccam_pe_k</vt:lpstr>
      <vt:lpstr>sch_teachesccam_science_g1</vt:lpstr>
      <vt:lpstr>sch_teachesccam_science_g2</vt:lpstr>
      <vt:lpstr>sch_teachesccam_science_g3</vt:lpstr>
      <vt:lpstr>sch_teachesccam_science_g4</vt:lpstr>
      <vt:lpstr>sch_teachesccam_science_g5</vt:lpstr>
      <vt:lpstr>sch_teachesccam_science_g6</vt:lpstr>
      <vt:lpstr>sch_teachesccam_science_k</vt:lpstr>
      <vt:lpstr>sch_teachesdrrm_ap_g1</vt:lpstr>
      <vt:lpstr>sch_teachesdrrm_ap_g2</vt:lpstr>
      <vt:lpstr>sch_teachesdrrm_ap_g3</vt:lpstr>
      <vt:lpstr>sch_teachesdrrm_ap_g4</vt:lpstr>
      <vt:lpstr>sch_teachesdrrm_ap_g5</vt:lpstr>
      <vt:lpstr>sch_teachesdrrm_ap_g6</vt:lpstr>
      <vt:lpstr>sch_teachesdrrm_ap_k</vt:lpstr>
      <vt:lpstr>sch_teachesdrrm_epp_g1</vt:lpstr>
      <vt:lpstr>sch_teachesdrrm_epp_g2</vt:lpstr>
      <vt:lpstr>sch_teachesdrrm_epp_g3</vt:lpstr>
      <vt:lpstr>sch_teachesdrrm_epp_g4</vt:lpstr>
      <vt:lpstr>sch_teachesdrrm_epp_g5</vt:lpstr>
      <vt:lpstr>sch_teachesdrrm_epp_g6</vt:lpstr>
      <vt:lpstr>sch_teachesdrrm_epp_k</vt:lpstr>
      <vt:lpstr>sch_teachesdrrm_esp_g1</vt:lpstr>
      <vt:lpstr>sch_teachesdrrm_esp_g2</vt:lpstr>
      <vt:lpstr>sch_teachesdrrm_esp_g3</vt:lpstr>
      <vt:lpstr>sch_teachesdrrm_esp_g4</vt:lpstr>
      <vt:lpstr>sch_teachesdrrm_esp_g5</vt:lpstr>
      <vt:lpstr>sch_teachesdrrm_esp_g6</vt:lpstr>
      <vt:lpstr>sch_teachesdrrm_esp_k</vt:lpstr>
      <vt:lpstr>sch_teachesdrrm_health_g1</vt:lpstr>
      <vt:lpstr>sch_teachesdrrm_health_g2</vt:lpstr>
      <vt:lpstr>sch_teachesdrrm_health_g3</vt:lpstr>
      <vt:lpstr>sch_teachesdrrm_health_g4</vt:lpstr>
      <vt:lpstr>sch_teachesdrrm_health_g5</vt:lpstr>
      <vt:lpstr>sch_teachesdrrm_health_g6</vt:lpstr>
      <vt:lpstr>sch_teachesdrrm_health_k</vt:lpstr>
      <vt:lpstr>sch_teachesdrrm_others_g1</vt:lpstr>
      <vt:lpstr>sch_teachesdrrm_others_g2</vt:lpstr>
      <vt:lpstr>sch_teachesdrrm_others_g3</vt:lpstr>
      <vt:lpstr>sch_teachesdrrm_others_g4</vt:lpstr>
      <vt:lpstr>sch_teachesdrrm_others_g5</vt:lpstr>
      <vt:lpstr>sch_teachesdrrm_others_g6</vt:lpstr>
      <vt:lpstr>sch_teachesdrrm_others_k</vt:lpstr>
      <vt:lpstr>sch_teachesdrrm_pe_g1</vt:lpstr>
      <vt:lpstr>sch_teachesdrrm_pe_g2</vt:lpstr>
      <vt:lpstr>sch_teachesdrrm_pe_g3</vt:lpstr>
      <vt:lpstr>sch_teachesdrrm_pe_g4</vt:lpstr>
      <vt:lpstr>sch_teachesdrrm_pe_g5</vt:lpstr>
      <vt:lpstr>sch_teachesdrrm_pe_g6</vt:lpstr>
      <vt:lpstr>sch_teachesdrrm_pe_k</vt:lpstr>
      <vt:lpstr>sch_teachesdrrm_science_g1</vt:lpstr>
      <vt:lpstr>sch_teachesdrrm_science_g2</vt:lpstr>
      <vt:lpstr>sch_teachesdrrm_science_g3</vt:lpstr>
      <vt:lpstr>sch_teachesdrrm_science_g4</vt:lpstr>
      <vt:lpstr>sch_teachesdrrm_science_g5</vt:lpstr>
      <vt:lpstr>sch_teachesdrrm_science_g6</vt:lpstr>
      <vt:lpstr>sch_teachesdrrm_science_k</vt:lpstr>
      <vt:lpstr>sch_teachespeacebuilding_ap_g1</vt:lpstr>
      <vt:lpstr>sch_teachespeacebuilding_ap_g2</vt:lpstr>
      <vt:lpstr>sch_teachespeacebuilding_ap_g3</vt:lpstr>
      <vt:lpstr>sch_teachespeacebuilding_ap_g4</vt:lpstr>
      <vt:lpstr>sch_teachespeacebuilding_ap_g5</vt:lpstr>
      <vt:lpstr>sch_teachespeacebuilding_ap_g6</vt:lpstr>
      <vt:lpstr>sch_teachespeacebuilding_ap_k</vt:lpstr>
      <vt:lpstr>sch_teachespeacebuilding_epp_g1</vt:lpstr>
      <vt:lpstr>sch_teachespeacebuilding_epp_g2</vt:lpstr>
      <vt:lpstr>sch_teachespeacebuilding_epp_g3</vt:lpstr>
      <vt:lpstr>sch_teachespeacebuilding_epp_g4</vt:lpstr>
      <vt:lpstr>sch_teachespeacebuilding_epp_g5</vt:lpstr>
      <vt:lpstr>sch_teachespeacebuilding_epp_g6</vt:lpstr>
      <vt:lpstr>sch_teachespeacebuilding_epp_k</vt:lpstr>
      <vt:lpstr>sch_teachespeacebuilding_esp_g1</vt:lpstr>
      <vt:lpstr>sch_teachespeacebuilding_esp_g2</vt:lpstr>
      <vt:lpstr>sch_teachespeacebuilding_esp_g3</vt:lpstr>
      <vt:lpstr>sch_teachespeacebuilding_esp_g4</vt:lpstr>
      <vt:lpstr>sch_teachespeacebuilding_esp_g5</vt:lpstr>
      <vt:lpstr>sch_teachespeacebuilding_esp_g6</vt:lpstr>
      <vt:lpstr>sch_teachespeacebuilding_esp_k</vt:lpstr>
      <vt:lpstr>sch_teachespeacebuilding_health_g1</vt:lpstr>
      <vt:lpstr>sch_teachespeacebuilding_health_g2</vt:lpstr>
      <vt:lpstr>sch_teachespeacebuilding_health_g3</vt:lpstr>
      <vt:lpstr>sch_teachespeacebuilding_health_g4</vt:lpstr>
      <vt:lpstr>sch_teachespeacebuilding_health_g5</vt:lpstr>
      <vt:lpstr>sch_teachespeacebuilding_health_g6</vt:lpstr>
      <vt:lpstr>sch_teachespeacebuilding_health_k</vt:lpstr>
      <vt:lpstr>sch_teachespeacebuilding_others_g1</vt:lpstr>
      <vt:lpstr>sch_teachespeacebuilding_others_g2</vt:lpstr>
      <vt:lpstr>sch_teachespeacebuilding_others_g3</vt:lpstr>
      <vt:lpstr>sch_teachespeacebuilding_others_g4</vt:lpstr>
      <vt:lpstr>sch_teachespeacebuilding_others_g5</vt:lpstr>
      <vt:lpstr>sch_teachespeacebuilding_others_g6</vt:lpstr>
      <vt:lpstr>sch_teachespeacebuilding_others_k</vt:lpstr>
      <vt:lpstr>sch_teachespeacebuilding_pe_g1</vt:lpstr>
      <vt:lpstr>sch_teachespeacebuilding_pe_g2</vt:lpstr>
      <vt:lpstr>sch_teachespeacebuilding_pe_g3</vt:lpstr>
      <vt:lpstr>sch_teachespeacebuilding_pe_g4</vt:lpstr>
      <vt:lpstr>sch_teachespeacebuilding_pe_g5</vt:lpstr>
      <vt:lpstr>sch_teachespeacebuilding_pe_g6</vt:lpstr>
      <vt:lpstr>sch_teachespeacebuilding_pe_k</vt:lpstr>
      <vt:lpstr>sch_teachespeacebuilding_science_g1</vt:lpstr>
      <vt:lpstr>sch_teachespeacebuilding_science_g2</vt:lpstr>
      <vt:lpstr>sch_teachespeacebuilding_science_g3</vt:lpstr>
      <vt:lpstr>sch_teachespeacebuilding_science_g4</vt:lpstr>
      <vt:lpstr>sch_teachespeacebuilding_science_g5</vt:lpstr>
      <vt:lpstr>sch_teachespeacebuilding_science_g6</vt:lpstr>
      <vt:lpstr>sch_teachespeacebuilding_science_k</vt:lpstr>
      <vt:lpstr>sch_tel_no</vt:lpstr>
      <vt:lpstr>sch_use_deped_dev_lr_drrmccampbp</vt:lpstr>
      <vt:lpstr>sch_use_ip_mt_medium_instruction</vt:lpstr>
      <vt:lpstr>sch_use_ip_mt_mtb_mle_subjects</vt:lpstr>
      <vt:lpstr>sch_used_deped_dev_mhpss_standard_manual</vt:lpstr>
      <vt:lpstr>sch_used_deped_standard_training_manual_drrmccampbp</vt:lpstr>
      <vt:lpstr>sch_uses_drrm_dev_drrmccampbp_iec_materials</vt:lpstr>
      <vt:lpstr>sch_web_add</vt:lpstr>
      <vt:lpstr>sch_wf_group_hw_no_water_outlets</vt:lpstr>
      <vt:lpstr>sch_wf_group_hw_nonfunctional</vt:lpstr>
      <vt:lpstr>sch_wf_group_hw_wosoap</vt:lpstr>
      <vt:lpstr>sch_wf_group_hw_wsoap</vt:lpstr>
      <vt:lpstr>sch_wf_individual_hw_no_water_outlets</vt:lpstr>
      <vt:lpstr>sch_wf_individual_hw_nonfunctional</vt:lpstr>
      <vt:lpstr>sch_wf_individual_hw_wosoap</vt:lpstr>
      <vt:lpstr>sch_wf_individual_hw_wsoap</vt:lpstr>
      <vt:lpstr>sch_workexp_IPcomm_devtlessonplans_ifyes</vt:lpstr>
      <vt:lpstr>sch_ws_drinking_yes</vt:lpstr>
      <vt:lpstr>sch_ws_ifyes_cost_amount</vt:lpstr>
      <vt:lpstr>sch_ws_ifyes_fundsource_lgu</vt:lpstr>
      <vt:lpstr>sch_ws_ifyes_fundsource_others</vt:lpstr>
      <vt:lpstr>sch_ws_ifyes_fundsource_private</vt:lpstr>
      <vt:lpstr>sch_ws_ifyes_fundsource_pta</vt:lpstr>
      <vt:lpstr>sch_ws_ifyes_fundsource_schcanteen</vt:lpstr>
      <vt:lpstr>sch_ws_ifyes_fundsource_schmooe</vt:lpstr>
      <vt:lpstr>sch_ws_ifyes_mechanism_yes</vt:lpstr>
      <vt:lpstr>sch_ws_ifyes_others</vt:lpstr>
      <vt:lpstr>sch_ws_ifyes_pipe</vt:lpstr>
      <vt:lpstr>sch_ws_ifyes_rainwater</vt:lpstr>
      <vt:lpstr>sch_ws_ifyes_test_frequency_annually</vt:lpstr>
      <vt:lpstr>sch_ws_ifyes_test_frequency_monthly</vt:lpstr>
      <vt:lpstr>sch_ws_ifyes_test_frequency_quarterly</vt:lpstr>
      <vt:lpstr>sch_ws_ifyes_test_frequent_others</vt:lpstr>
      <vt:lpstr>sch_ws_ifyes_water_last_tested</vt:lpstr>
      <vt:lpstr>sch_ws_ifyes_water_unavailable_yes</vt:lpstr>
      <vt:lpstr>sch_ws_ifyes_well</vt:lpstr>
      <vt:lpstr>sch_ws_mechanism_ifyes_accessible_water</vt:lpstr>
      <vt:lpstr>sch_ws_mechanism_ifyes_bring_water</vt:lpstr>
      <vt:lpstr>sch_ws_mechanism_ifyes_others</vt:lpstr>
      <vt:lpstr>sch_ws_mechanism_ifyes_refillable_containers</vt:lpstr>
      <vt:lpstr>sch_ws_result_safe_yes</vt:lpstr>
      <vt:lpstr>sch_ws_water_safety_yes</vt:lpstr>
      <vt:lpstr>sch_ws_wsource_yes</vt:lpstr>
      <vt:lpstr>sch_yfcpdo_numvisit</vt:lpstr>
      <vt:lpstr>school_profile_type</vt:lpstr>
      <vt:lpstr>sdo_head_name</vt:lpstr>
      <vt:lpstr>sdo_pos_title</vt:lpstr>
      <vt:lpstr>seps_name</vt:lpstr>
      <vt:lpstr>seps_name_sgod</vt:lpstr>
      <vt:lpstr>slrapp_conduct_student_sch_watch_hazzard_mapping</vt:lpstr>
      <vt:lpstr>slrapp_incorp_studschwatch_hazmap_drrmccampbpsip</vt:lpstr>
      <vt:lpstr>slrapp_sch_planteam_link_swhm_educadata</vt:lpstr>
      <vt:lpstr>slrapp_sch_watchteam_coor_concern_agencies</vt:lpstr>
      <vt:lpstr>slrapp_sch_watchteam_submit_schplanteam</vt:lpstr>
      <vt:lpstr>solidwm_complieswma_yes</vt:lpstr>
      <vt:lpstr>spec_cont_plan_hih_armed_conflict</vt:lpstr>
      <vt:lpstr>spec_cont_plan_hih_bomb_threats</vt:lpstr>
      <vt:lpstr>spec_cont_plan_hih_civilian</vt:lpstr>
      <vt:lpstr>spec_cont_plan_hih_fire</vt:lpstr>
      <vt:lpstr>spec_cont_plan_hih_others</vt:lpstr>
      <vt:lpstr>spec_cont_plan_hih_others_specify</vt:lpstr>
      <vt:lpstr>spec_cont_plan_nh_drought</vt:lpstr>
      <vt:lpstr>spec_cont_plan_nh_earthquake</vt:lpstr>
      <vt:lpstr>spec_cont_plan_nh_fire</vt:lpstr>
      <vt:lpstr>spec_cont_plan_nh_flood</vt:lpstr>
      <vt:lpstr>spec_cont_plan_nh_landslide</vt:lpstr>
      <vt:lpstr>spec_cont_plan_nh_others</vt:lpstr>
      <vt:lpstr>spec_cont_plan_nh_others_specify</vt:lpstr>
      <vt:lpstr>spec_cont_plan_nh_stormsurge</vt:lpstr>
      <vt:lpstr>spec_cont_plan_nh_tropicalcyclone</vt:lpstr>
      <vt:lpstr>spec_cont_plan_nh_tsunami</vt:lpstr>
      <vt:lpstr>spec_cont_plan_nh_volcaniceruption</vt:lpstr>
      <vt:lpstr>sped_home_asd_age_11to15</vt:lpstr>
      <vt:lpstr>sped_home_asd_age_16to20</vt:lpstr>
      <vt:lpstr>sped_home_asd_age_21to25</vt:lpstr>
      <vt:lpstr>sped_home_asd_age_5to10</vt:lpstr>
      <vt:lpstr>sped_home_asd_gp_ktog6</vt:lpstr>
      <vt:lpstr>sped_home_asd_gp_tp</vt:lpstr>
      <vt:lpstr>sped_home_asd_ltp_age_11to15</vt:lpstr>
      <vt:lpstr>sped_home_asd_ltp_age_16to20</vt:lpstr>
      <vt:lpstr>sped_home_asd_ltp_age_21to25</vt:lpstr>
      <vt:lpstr>sped_home_asd_ltp_age_5to10</vt:lpstr>
      <vt:lpstr>sped_home_cancer_age_11to15</vt:lpstr>
      <vt:lpstr>sped_home_cancer_age_16to20</vt:lpstr>
      <vt:lpstr>sped_home_cancer_age_21to25</vt:lpstr>
      <vt:lpstr>sped_home_cancer_age_5to10</vt:lpstr>
      <vt:lpstr>sped_home_cancer_gp_ktog6</vt:lpstr>
      <vt:lpstr>sped_home_cancer_gp_tp</vt:lpstr>
      <vt:lpstr>sped_home_cancer_ltp_age_11to15</vt:lpstr>
      <vt:lpstr>sped_home_cancer_ltp_age_16to20</vt:lpstr>
      <vt:lpstr>sped_home_cancer_ltp_age_21to25</vt:lpstr>
      <vt:lpstr>sped_home_cancer_ltp_age_5to10</vt:lpstr>
      <vt:lpstr>sped_home_cd_age_11to15</vt:lpstr>
      <vt:lpstr>sped_home_cd_age_16to20</vt:lpstr>
      <vt:lpstr>sped_home_cd_age_21to25</vt:lpstr>
      <vt:lpstr>sped_home_cd_age_5to10</vt:lpstr>
      <vt:lpstr>sped_home_cd_gp_ktog6</vt:lpstr>
      <vt:lpstr>sped_home_cd_gp_tp</vt:lpstr>
      <vt:lpstr>sped_home_cd_ltp_age_11to15</vt:lpstr>
      <vt:lpstr>sped_home_cd_ltp_age_16to20</vt:lpstr>
      <vt:lpstr>sped_home_cd_ltp_age_21to25</vt:lpstr>
      <vt:lpstr>sped_home_cd_ltp_age_5to10</vt:lpstr>
      <vt:lpstr>sped_home_cp_age_11to15</vt:lpstr>
      <vt:lpstr>sped_home_cp_age_16to20</vt:lpstr>
      <vt:lpstr>sped_home_cp_age_21to25</vt:lpstr>
      <vt:lpstr>sped_home_cp_age_5to10</vt:lpstr>
      <vt:lpstr>sped_home_cp_gp_ktog6</vt:lpstr>
      <vt:lpstr>sped_home_cp_gp_tp</vt:lpstr>
      <vt:lpstr>sped_home_cp_ltp_age_11to15</vt:lpstr>
      <vt:lpstr>sped_home_cp_ltp_age_16to20</vt:lpstr>
      <vt:lpstr>sped_home_cp_ltp_age_21to25</vt:lpstr>
      <vt:lpstr>sped_home_cp_ltp_age_5to10</vt:lpstr>
      <vt:lpstr>sped_home_diffaas_age_11to15</vt:lpstr>
      <vt:lpstr>sped_home_diffaas_age_16to20</vt:lpstr>
      <vt:lpstr>sped_home_diffaas_age_21to25</vt:lpstr>
      <vt:lpstr>sped_home_diffaas_age_5to10</vt:lpstr>
      <vt:lpstr>sped_home_diffaas_gp_ktog6</vt:lpstr>
      <vt:lpstr>sped_home_diffaas_gp_tp</vt:lpstr>
      <vt:lpstr>sped_home_diffaas_ltp_age_11to15</vt:lpstr>
      <vt:lpstr>sped_home_diffaas_ltp_age_16to20</vt:lpstr>
      <vt:lpstr>sped_home_diffaas_ltp_age_21to25</vt:lpstr>
      <vt:lpstr>sped_home_diffaas_ltp_age_5to10</vt:lpstr>
      <vt:lpstr>sped_home_diffak_age_11to15</vt:lpstr>
      <vt:lpstr>sped_home_diffak_age_16to20</vt:lpstr>
      <vt:lpstr>sped_home_diffak_age_21to25</vt:lpstr>
      <vt:lpstr>sped_home_diffak_age_5to10</vt:lpstr>
      <vt:lpstr>sped_home_diffak_gp_ktog6</vt:lpstr>
      <vt:lpstr>sped_home_diffak_gp_tp</vt:lpstr>
      <vt:lpstr>sped_home_diffak_ltp_age_11to15</vt:lpstr>
      <vt:lpstr>sped_home_diffak_ltp_age_16to20</vt:lpstr>
      <vt:lpstr>sped_home_diffak_ltp_age_21to25</vt:lpstr>
      <vt:lpstr>sped_home_diffak_ltp_age_5to10</vt:lpstr>
      <vt:lpstr>sped_home_diffcomm_age_11to15</vt:lpstr>
      <vt:lpstr>sped_home_diffcomm_age_16to20</vt:lpstr>
      <vt:lpstr>sped_home_diffcomm_age_21to25</vt:lpstr>
      <vt:lpstr>sped_home_diffcomm_age_5to10</vt:lpstr>
      <vt:lpstr>sped_home_diffcomm_gp_ktog6</vt:lpstr>
      <vt:lpstr>sped_home_diffcomm_gp_tp</vt:lpstr>
      <vt:lpstr>sped_home_diffcomm_ltp_age_11to15</vt:lpstr>
      <vt:lpstr>sped_home_diffcomm_ltp_age_16to20</vt:lpstr>
      <vt:lpstr>sped_home_diffcomm_ltp_age_21to25</vt:lpstr>
      <vt:lpstr>sped_home_diffcomm_ltp_age_5to10</vt:lpstr>
      <vt:lpstr>sped_home_diffdipb_age_11to15</vt:lpstr>
      <vt:lpstr>sped_home_diffdipb_age_16to20</vt:lpstr>
      <vt:lpstr>sped_home_diffdipb_age_21to25</vt:lpstr>
      <vt:lpstr>sped_home_diffdipb_age_5to10</vt:lpstr>
      <vt:lpstr>sped_home_diffdipb_gp_ktog6</vt:lpstr>
      <vt:lpstr>sped_home_diffdipb_gp_tp</vt:lpstr>
      <vt:lpstr>sped_home_diffdipb_ltp_age_11to15</vt:lpstr>
      <vt:lpstr>sped_home_diffdipb_ltp_age_16to20</vt:lpstr>
      <vt:lpstr>sped_home_diffdipb_ltp_age_21to25</vt:lpstr>
      <vt:lpstr>sped_home_diffdipb_ltp_age_5to10</vt:lpstr>
      <vt:lpstr>sped_home_diffhearing_age_11to15</vt:lpstr>
      <vt:lpstr>sped_home_diffhearing_age_16to20</vt:lpstr>
      <vt:lpstr>sped_home_diffhearing_age_21to25</vt:lpstr>
      <vt:lpstr>sped_home_diffhearing_age_5to10</vt:lpstr>
      <vt:lpstr>sped_home_diffhearing_gp_ktog6</vt:lpstr>
      <vt:lpstr>sped_home_diffhearing_gp_tp</vt:lpstr>
      <vt:lpstr>sped_home_diffhearing_ltp_age_11to15</vt:lpstr>
      <vt:lpstr>sped_home_diffhearing_ltp_age_16to20</vt:lpstr>
      <vt:lpstr>sped_home_diffhearing_ltp_age_21to25</vt:lpstr>
      <vt:lpstr>sped_home_diffhearing_ltp_age_5to10</vt:lpstr>
      <vt:lpstr>sped_home_diffmob_age_11to15</vt:lpstr>
      <vt:lpstr>sped_home_diffmob_age_16to20</vt:lpstr>
      <vt:lpstr>sped_home_diffmob_age_21to25</vt:lpstr>
      <vt:lpstr>sped_home_diffmob_age_5to10</vt:lpstr>
      <vt:lpstr>sped_home_diffmob_gp_ktog6</vt:lpstr>
      <vt:lpstr>sped_home_diffmob_gp_tp</vt:lpstr>
      <vt:lpstr>sped_home_diffmob_ltp_age_11to15</vt:lpstr>
      <vt:lpstr>sped_home_diffmob_ltp_age_16to20</vt:lpstr>
      <vt:lpstr>sped_home_diffmob_ltp_age_21to25</vt:lpstr>
      <vt:lpstr>sped_home_diffmob_ltp_age_5to10</vt:lpstr>
      <vt:lpstr>sped_home_diffrcpu_age_11to15</vt:lpstr>
      <vt:lpstr>sped_home_diffrcpu_age_16to20</vt:lpstr>
      <vt:lpstr>sped_home_diffrcpu_age_21to25</vt:lpstr>
      <vt:lpstr>sped_home_diffrcpu_age_5to10</vt:lpstr>
      <vt:lpstr>sped_home_diffrcpu_gp_ktog6</vt:lpstr>
      <vt:lpstr>sped_home_diffrcpu_gp_tp</vt:lpstr>
      <vt:lpstr>sped_home_diffrcpu_ltp_age_11to15</vt:lpstr>
      <vt:lpstr>sped_home_diffrcpu_ltp_age_16to20</vt:lpstr>
      <vt:lpstr>sped_home_diffrcpu_ltp_age_21to25</vt:lpstr>
      <vt:lpstr>sped_home_diffrcpu_ltp_age_5to10</vt:lpstr>
      <vt:lpstr>sped_home_diffseeing_age_11to15</vt:lpstr>
      <vt:lpstr>sped_home_diffseeing_age_16to20</vt:lpstr>
      <vt:lpstr>sped_home_diffseeing_age_21to25</vt:lpstr>
      <vt:lpstr>sped_home_diffseeing_age_5to10</vt:lpstr>
      <vt:lpstr>sped_home_diffseeing_gp_ktog6</vt:lpstr>
      <vt:lpstr>sped_home_diffseeing_gp_tp</vt:lpstr>
      <vt:lpstr>sped_home_diffseeing_ltp_age_11to15</vt:lpstr>
      <vt:lpstr>sped_home_diffseeing_ltp_age_16to20</vt:lpstr>
      <vt:lpstr>sped_home_diffseeing_ltp_age_21to25</vt:lpstr>
      <vt:lpstr>sped_home_diffseeing_ltp_age_5to10</vt:lpstr>
      <vt:lpstr>sped_home_ebd_age_11to15</vt:lpstr>
      <vt:lpstr>sped_home_ebd_age_16to20</vt:lpstr>
      <vt:lpstr>sped_home_ebd_age_21to25</vt:lpstr>
      <vt:lpstr>sped_home_ebd_age_5to10</vt:lpstr>
      <vt:lpstr>sped_home_ebd_gp_ktog6</vt:lpstr>
      <vt:lpstr>sped_home_ebd_gp_tp</vt:lpstr>
      <vt:lpstr>sped_home_ebd_ltp_age_11to15</vt:lpstr>
      <vt:lpstr>sped_home_ebd_ltp_age_16to20</vt:lpstr>
      <vt:lpstr>sped_home_ebd_ltp_age_21to25</vt:lpstr>
      <vt:lpstr>sped_home_ebd_ltp_age_5to10</vt:lpstr>
      <vt:lpstr>sped_home_hi_age_11to15</vt:lpstr>
      <vt:lpstr>sped_home_hi_age_16to20</vt:lpstr>
      <vt:lpstr>sped_home_hi_age_21to25</vt:lpstr>
      <vt:lpstr>sped_home_hi_age_5to10</vt:lpstr>
      <vt:lpstr>sped_home_hi_gp_ktog6</vt:lpstr>
      <vt:lpstr>sped_home_hi_gp_tp</vt:lpstr>
      <vt:lpstr>sped_home_hi_ltp_age_11to15</vt:lpstr>
      <vt:lpstr>sped_home_hi_ltp_age_16to20</vt:lpstr>
      <vt:lpstr>sped_home_hi_ltp_age_21to25</vt:lpstr>
      <vt:lpstr>sped_home_hi_ltp_age_5to10</vt:lpstr>
      <vt:lpstr>sped_home_id_age_11to15</vt:lpstr>
      <vt:lpstr>sped_home_id_age_16to20</vt:lpstr>
      <vt:lpstr>sped_home_id_age_21to25</vt:lpstr>
      <vt:lpstr>sped_home_id_age_5to10</vt:lpstr>
      <vt:lpstr>sped_home_id_gp_ktog6</vt:lpstr>
      <vt:lpstr>sped_home_id_gp_tp</vt:lpstr>
      <vt:lpstr>sped_home_id_ltp_age_11to15</vt:lpstr>
      <vt:lpstr>sped_home_id_ltp_age_16to20</vt:lpstr>
      <vt:lpstr>sped_home_id_ltp_age_21to25</vt:lpstr>
      <vt:lpstr>sped_home_id_ltp_age_5to10</vt:lpstr>
      <vt:lpstr>sped_home_ld_age_11to15</vt:lpstr>
      <vt:lpstr>sped_home_ld_age_16to20</vt:lpstr>
      <vt:lpstr>sped_home_ld_age_21to25</vt:lpstr>
      <vt:lpstr>sped_home_ld_age_5to10</vt:lpstr>
      <vt:lpstr>sped_home_ld_gp_ktog6</vt:lpstr>
      <vt:lpstr>sped_home_ld_gp_tp</vt:lpstr>
      <vt:lpstr>sped_home_ld_ltp_age_11to15</vt:lpstr>
      <vt:lpstr>sped_home_ld_ltp_age_16to20</vt:lpstr>
      <vt:lpstr>sped_home_ld_ltp_age_21to25</vt:lpstr>
      <vt:lpstr>sped_home_ld_ltp_age_5to10</vt:lpstr>
      <vt:lpstr>sped_home_md_age_11to15</vt:lpstr>
      <vt:lpstr>sped_home_md_age_16to20</vt:lpstr>
      <vt:lpstr>sped_home_md_age_21to25</vt:lpstr>
      <vt:lpstr>sped_home_md_age_5to10</vt:lpstr>
      <vt:lpstr>sped_home_md_gp_ktog6</vt:lpstr>
      <vt:lpstr>sped_home_md_gp_tp</vt:lpstr>
      <vt:lpstr>sped_home_md_ltp_age_11to15</vt:lpstr>
      <vt:lpstr>sped_home_md_ltp_age_16to20</vt:lpstr>
      <vt:lpstr>sped_home_md_ltp_age_21to25</vt:lpstr>
      <vt:lpstr>sped_home_md_ltp_age_5to10</vt:lpstr>
      <vt:lpstr>sped_home_oph_age_11to15</vt:lpstr>
      <vt:lpstr>sped_home_oph_age_16to20</vt:lpstr>
      <vt:lpstr>sped_home_oph_age_21to25</vt:lpstr>
      <vt:lpstr>sped_home_oph_age_5to10</vt:lpstr>
      <vt:lpstr>sped_home_oph_gp_ktog6</vt:lpstr>
      <vt:lpstr>sped_home_oph_gp_tp</vt:lpstr>
      <vt:lpstr>sped_home_oph_ltp_age_11to15</vt:lpstr>
      <vt:lpstr>sped_home_oph_ltp_age_16to20</vt:lpstr>
      <vt:lpstr>sped_home_oph_ltp_age_21to25</vt:lpstr>
      <vt:lpstr>sped_home_oph_ltp_age_5to10</vt:lpstr>
      <vt:lpstr>sped_home_sld_age_11to15</vt:lpstr>
      <vt:lpstr>sped_home_sld_age_16to20</vt:lpstr>
      <vt:lpstr>sped_home_sld_age_21to25</vt:lpstr>
      <vt:lpstr>sped_home_sld_age_5to10</vt:lpstr>
      <vt:lpstr>sped_home_sld_gp_ktog6</vt:lpstr>
      <vt:lpstr>sped_home_sld_gp_tp</vt:lpstr>
      <vt:lpstr>sped_home_sld_ltp_age_11to15</vt:lpstr>
      <vt:lpstr>sped_home_sld_ltp_age_16to20</vt:lpstr>
      <vt:lpstr>sped_home_sld_ltp_age_21to25</vt:lpstr>
      <vt:lpstr>sped_home_sld_ltp_age_5to10</vt:lpstr>
      <vt:lpstr>sped_home_vi_age_11to15</vt:lpstr>
      <vt:lpstr>sped_home_vi_age_16to20</vt:lpstr>
      <vt:lpstr>sped_home_vi_age_21to25</vt:lpstr>
      <vt:lpstr>sped_home_vi_age_5to10</vt:lpstr>
      <vt:lpstr>sped_home_vi_gp_ktog6</vt:lpstr>
      <vt:lpstr>sped_home_vi_gp_tp</vt:lpstr>
      <vt:lpstr>sped_home_vi_ltp_age_11to15</vt:lpstr>
      <vt:lpstr>sped_home_vi_ltp_age_16to20</vt:lpstr>
      <vt:lpstr>sped_home_vi_ltp_age_21to25</vt:lpstr>
      <vt:lpstr>sped_home_vi_ltp_age_5to10</vt:lpstr>
      <vt:lpstr>sped_hosp_asd_age_11to15</vt:lpstr>
      <vt:lpstr>sped_hosp_asd_age_16to20</vt:lpstr>
      <vt:lpstr>sped_hosp_asd_age_21to25</vt:lpstr>
      <vt:lpstr>sped_hosp_asd_age_5to10</vt:lpstr>
      <vt:lpstr>sped_hosp_asd_gp_ktog6</vt:lpstr>
      <vt:lpstr>sped_hosp_asd_gp_tp</vt:lpstr>
      <vt:lpstr>sped_hosp_asd_ltp_age_11to15</vt:lpstr>
      <vt:lpstr>sped_hosp_asd_ltp_age_16to20</vt:lpstr>
      <vt:lpstr>sped_hosp_asd_ltp_age_21to25</vt:lpstr>
      <vt:lpstr>sped_hosp_asd_ltp_age_5to10</vt:lpstr>
      <vt:lpstr>sped_hosp_cancer_age_11to15</vt:lpstr>
      <vt:lpstr>sped_hosp_cancer_age_16to20</vt:lpstr>
      <vt:lpstr>sped_hosp_cancer_age_21to25</vt:lpstr>
      <vt:lpstr>sped_hosp_cancer_age_5to10</vt:lpstr>
      <vt:lpstr>sped_hosp_cancer_gp_ktog6</vt:lpstr>
      <vt:lpstr>sped_hosp_cancer_gp_tp</vt:lpstr>
      <vt:lpstr>sped_hosp_cancer_ltp_age_11to15</vt:lpstr>
      <vt:lpstr>sped_hosp_cancer_ltp_age_16to20</vt:lpstr>
      <vt:lpstr>sped_hosp_cancer_ltp_age_21to25</vt:lpstr>
      <vt:lpstr>sped_hosp_cancer_ltp_age_5to10</vt:lpstr>
      <vt:lpstr>sped_hosp_cd_age_11to15</vt:lpstr>
      <vt:lpstr>sped_hosp_cd_age_16to20</vt:lpstr>
      <vt:lpstr>sped_hosp_cd_age_21to25</vt:lpstr>
      <vt:lpstr>sped_hosp_cd_age_5to10</vt:lpstr>
      <vt:lpstr>sped_hosp_cd_gp_ktog6</vt:lpstr>
      <vt:lpstr>sped_hosp_cd_gp_tp</vt:lpstr>
      <vt:lpstr>sped_hosp_cd_ltp_age_11to15</vt:lpstr>
      <vt:lpstr>sped_hosp_cd_ltp_age_16to20</vt:lpstr>
      <vt:lpstr>sped_hosp_cd_ltp_age_21to25</vt:lpstr>
      <vt:lpstr>sped_hosp_cd_ltp_age_5to10</vt:lpstr>
      <vt:lpstr>sped_hosp_cp_age_11to15</vt:lpstr>
      <vt:lpstr>sped_hosp_cp_age_16to20</vt:lpstr>
      <vt:lpstr>sped_hosp_cp_age_21to25</vt:lpstr>
      <vt:lpstr>sped_hosp_cp_age_5to10</vt:lpstr>
      <vt:lpstr>sped_hosp_cp_gp_ktog6</vt:lpstr>
      <vt:lpstr>sped_hosp_cp_gp_tp</vt:lpstr>
      <vt:lpstr>sped_hosp_cp_ltp_age_11to15</vt:lpstr>
      <vt:lpstr>sped_hosp_cp_ltp_age_16to20</vt:lpstr>
      <vt:lpstr>sped_hosp_cp_ltp_age_21to25</vt:lpstr>
      <vt:lpstr>sped_hosp_cp_ltp_age_5to10</vt:lpstr>
      <vt:lpstr>sped_hosp_ebd_age_11to15</vt:lpstr>
      <vt:lpstr>sped_hosp_ebd_age_16to20</vt:lpstr>
      <vt:lpstr>sped_hosp_ebd_age_21to25</vt:lpstr>
      <vt:lpstr>sped_hosp_ebd_age_5to10</vt:lpstr>
      <vt:lpstr>sped_hosp_ebd_gp_ktog6</vt:lpstr>
      <vt:lpstr>sped_hosp_ebd_gp_tp</vt:lpstr>
      <vt:lpstr>sped_hosp_ebd_ltp_age_11to15</vt:lpstr>
      <vt:lpstr>sped_hosp_ebd_ltp_age_16to20</vt:lpstr>
      <vt:lpstr>sped_hosp_ebd_ltp_age_21to25</vt:lpstr>
      <vt:lpstr>sped_hosp_ebd_ltp_age_5to10</vt:lpstr>
      <vt:lpstr>sped_hosp_hi_age_11to15</vt:lpstr>
      <vt:lpstr>sped_hosp_hi_age_16to20</vt:lpstr>
      <vt:lpstr>sped_hosp_hi_age_21to25</vt:lpstr>
      <vt:lpstr>sped_hosp_hi_age_5to10</vt:lpstr>
      <vt:lpstr>sped_hosp_hi_gp_ktog6</vt:lpstr>
      <vt:lpstr>sped_hosp_hi_gp_tp</vt:lpstr>
      <vt:lpstr>sped_hosp_hi_ltp_age_11to15</vt:lpstr>
      <vt:lpstr>sped_hosp_hi_ltp_age_16to20</vt:lpstr>
      <vt:lpstr>sped_hosp_hi_ltp_age_21to25</vt:lpstr>
      <vt:lpstr>sped_hosp_hi_ltp_age_5to10</vt:lpstr>
      <vt:lpstr>sped_hosp_id_age_11to15</vt:lpstr>
      <vt:lpstr>sped_hosp_id_age_16to20</vt:lpstr>
      <vt:lpstr>sped_hosp_id_age_21to25</vt:lpstr>
      <vt:lpstr>sped_hosp_id_age_5to10</vt:lpstr>
      <vt:lpstr>sped_hosp_id_gp_ktog6</vt:lpstr>
      <vt:lpstr>sped_hosp_id_gp_tp</vt:lpstr>
      <vt:lpstr>sped_hosp_id_ltp_age_11to15</vt:lpstr>
      <vt:lpstr>sped_hosp_id_ltp_age_16to20</vt:lpstr>
      <vt:lpstr>sped_hosp_id_ltp_age_21to25</vt:lpstr>
      <vt:lpstr>sped_hosp_id_ltp_age_5to10</vt:lpstr>
      <vt:lpstr>sped_hosp_ld_age_11to15</vt:lpstr>
      <vt:lpstr>sped_hosp_ld_age_16to20</vt:lpstr>
      <vt:lpstr>sped_hosp_ld_age_21to25</vt:lpstr>
      <vt:lpstr>sped_hosp_ld_age_5to10</vt:lpstr>
      <vt:lpstr>sped_hosp_ld_gp_ktog6</vt:lpstr>
      <vt:lpstr>sped_hosp_ld_gp_tp</vt:lpstr>
      <vt:lpstr>sped_hosp_ld_ltp_age_11to15</vt:lpstr>
      <vt:lpstr>sped_hosp_ld_ltp_age_16to20</vt:lpstr>
      <vt:lpstr>sped_hosp_ld_ltp_age_21to25</vt:lpstr>
      <vt:lpstr>sped_hosp_ld_ltp_age_5to10</vt:lpstr>
      <vt:lpstr>sped_hosp_md_age_11to15</vt:lpstr>
      <vt:lpstr>sped_hosp_md_age_16to20</vt:lpstr>
      <vt:lpstr>sped_hosp_md_age_21to25</vt:lpstr>
      <vt:lpstr>sped_hosp_md_age_5to10</vt:lpstr>
      <vt:lpstr>sped_hosp_md_gp_ktog6</vt:lpstr>
      <vt:lpstr>sped_hosp_md_gp_tp</vt:lpstr>
      <vt:lpstr>sped_hosp_md_ltp_age_11to15</vt:lpstr>
      <vt:lpstr>sped_hosp_md_ltp_age_16to20</vt:lpstr>
      <vt:lpstr>sped_hosp_md_ltp_age_21to25</vt:lpstr>
      <vt:lpstr>sped_hosp_md_ltp_age_5to10</vt:lpstr>
      <vt:lpstr>sped_hosp_oph_age_11to15</vt:lpstr>
      <vt:lpstr>sped_hosp_oph_age_16to20</vt:lpstr>
      <vt:lpstr>sped_hosp_oph_age_21to25</vt:lpstr>
      <vt:lpstr>sped_hosp_oph_age_5to10</vt:lpstr>
      <vt:lpstr>sped_hosp_oph_gp_ktog6</vt:lpstr>
      <vt:lpstr>sped_hosp_oph_gp_tp</vt:lpstr>
      <vt:lpstr>sped_hosp_oph_ltp_age_11to15</vt:lpstr>
      <vt:lpstr>sped_hosp_oph_ltp_age_16to20</vt:lpstr>
      <vt:lpstr>sped_hosp_oph_ltp_age_21to25</vt:lpstr>
      <vt:lpstr>sped_hosp_oph_ltp_age_5to10</vt:lpstr>
      <vt:lpstr>sped_hosp_sld_age_11to15</vt:lpstr>
      <vt:lpstr>sped_hosp_sld_age_16to20</vt:lpstr>
      <vt:lpstr>sped_hosp_sld_age_21to25</vt:lpstr>
      <vt:lpstr>sped_hosp_sld_age_5to10</vt:lpstr>
      <vt:lpstr>sped_hosp_sld_gp_ktog6</vt:lpstr>
      <vt:lpstr>sped_hosp_sld_gp_tp</vt:lpstr>
      <vt:lpstr>sped_hosp_sld_ltp_age_11to15</vt:lpstr>
      <vt:lpstr>sped_hosp_sld_ltp_age_16to20</vt:lpstr>
      <vt:lpstr>sped_hosp_sld_ltp_age_21to25</vt:lpstr>
      <vt:lpstr>sped_hosp_sld_ltp_age_5to10</vt:lpstr>
      <vt:lpstr>sped_hosp_vi_age_11to15</vt:lpstr>
      <vt:lpstr>sped_hosp_vi_age_16to20</vt:lpstr>
      <vt:lpstr>sped_hosp_vi_age_21to25</vt:lpstr>
      <vt:lpstr>sped_hosp_vi_age_5to10</vt:lpstr>
      <vt:lpstr>sped_hosp_vi_gp_ktog6</vt:lpstr>
      <vt:lpstr>sped_hosp_vi_gp_tp</vt:lpstr>
      <vt:lpstr>sped_hosp_vi_ltp_age_11to15</vt:lpstr>
      <vt:lpstr>sped_hosp_vi_ltp_age_16to20</vt:lpstr>
      <vt:lpstr>sped_hosp_vi_ltp_age_21to25</vt:lpstr>
      <vt:lpstr>sped_hosp_vi_ltp_age_5to10</vt:lpstr>
      <vt:lpstr>sses_f_g1</vt:lpstr>
      <vt:lpstr>sses_f_g2</vt:lpstr>
      <vt:lpstr>sses_f_g3</vt:lpstr>
      <vt:lpstr>sses_f_g4</vt:lpstr>
      <vt:lpstr>sses_f_g5</vt:lpstr>
      <vt:lpstr>sses_f_g6</vt:lpstr>
      <vt:lpstr>sses_m_g1</vt:lpstr>
      <vt:lpstr>sses_m_g2</vt:lpstr>
      <vt:lpstr>sses_m_g3</vt:lpstr>
      <vt:lpstr>sses_m_g4</vt:lpstr>
      <vt:lpstr>sses_m_g5</vt:lpstr>
      <vt:lpstr>sses_m_g6</vt:lpstr>
      <vt:lpstr>store_win_100m_frsch_sell_tobacco</vt:lpstr>
      <vt:lpstr>store_win_100m_frsch_sell_vape_ecig</vt:lpstr>
      <vt:lpstr>teach_assign_mt1_fullt_ancilliary</vt:lpstr>
      <vt:lpstr>teach_assign_mt1_fullt_ancilliary_addload</vt:lpstr>
      <vt:lpstr>teach_assign_mt1_fullt_noancilliary</vt:lpstr>
      <vt:lpstr>teach_assign_mt1_part_ancilliary_200min</vt:lpstr>
      <vt:lpstr>teach_assign_mt1_part_ancilliary_less200min</vt:lpstr>
      <vt:lpstr>teach_assign_mt2_fullt_ancilliary</vt:lpstr>
      <vt:lpstr>teach_assign_mt2_fullt_ancilliary_addload</vt:lpstr>
      <vt:lpstr>teach_assign_mt2_fullt_noancilliary</vt:lpstr>
      <vt:lpstr>teach_assign_mt2_part_ancilliary_200min</vt:lpstr>
      <vt:lpstr>teach_assign_mt2_part_ancilliary_less200min</vt:lpstr>
      <vt:lpstr>teach_assign_mt3_fullt_ancilliary</vt:lpstr>
      <vt:lpstr>teach_assign_mt3_fullt_ancilliary_addload</vt:lpstr>
      <vt:lpstr>teach_assign_mt3_fullt_noancilliary</vt:lpstr>
      <vt:lpstr>teach_assign_mt3_part_ancilliary_200min</vt:lpstr>
      <vt:lpstr>teach_assign_mt3_part_ancilliary_less200min</vt:lpstr>
      <vt:lpstr>teach_assign_mt4_fullt_ancilliary</vt:lpstr>
      <vt:lpstr>teach_assign_mt4_fullt_ancilliary_addload</vt:lpstr>
      <vt:lpstr>teach_assign_mt4_fullt_noancilliary</vt:lpstr>
      <vt:lpstr>teach_assign_mt4_part_ancilliary_200min</vt:lpstr>
      <vt:lpstr>teach_assign_mt4_part_ancilliary_less200min</vt:lpstr>
      <vt:lpstr>teach_assign_spedt1_fullt_ancilliary</vt:lpstr>
      <vt:lpstr>teach_assign_spedt1_fullt_ancilliary_addload</vt:lpstr>
      <vt:lpstr>teach_assign_spedt1_fullt_noancilliary</vt:lpstr>
      <vt:lpstr>teach_assign_spedt1_part_ancilliary_200min</vt:lpstr>
      <vt:lpstr>teach_assign_spedt1_part_ancilliary_less200min</vt:lpstr>
      <vt:lpstr>teach_assign_spedt2_fullt_ancilliary</vt:lpstr>
      <vt:lpstr>teach_assign_spedt2_fullt_ancilliary_addload</vt:lpstr>
      <vt:lpstr>teach_assign_spedt2_fullt_noancilliary</vt:lpstr>
      <vt:lpstr>teach_assign_spedt2_part_ancilliary_200min</vt:lpstr>
      <vt:lpstr>teach_assign_spedt2_part_ancilliary_less200min</vt:lpstr>
      <vt:lpstr>teach_assign_spedt3_fullt_ancilliary</vt:lpstr>
      <vt:lpstr>teach_assign_spedt3_fullt_ancilliary_addload</vt:lpstr>
      <vt:lpstr>teach_assign_spedt3_fullt_noancilliary</vt:lpstr>
      <vt:lpstr>teach_assign_spedt3_part_ancilliary_200min</vt:lpstr>
      <vt:lpstr>teach_assign_spedt3_part_ancilliary_less200min</vt:lpstr>
      <vt:lpstr>teach_assign_spedt4_fullt_ancilliary</vt:lpstr>
      <vt:lpstr>teach_assign_spedt4_fullt_ancilliary_addload</vt:lpstr>
      <vt:lpstr>teach_assign_spedt4_fullt_noancilliary</vt:lpstr>
      <vt:lpstr>teach_assign_spedt4_part_ancilliary_200min</vt:lpstr>
      <vt:lpstr>teach_assign_spedt4_part_ancilliary_less200min</vt:lpstr>
      <vt:lpstr>teach_assign_spedt5_fullt_ancilliary</vt:lpstr>
      <vt:lpstr>teach_assign_spedt5_fullt_ancilliary_addload</vt:lpstr>
      <vt:lpstr>teach_assign_spedt5_fullt_noancilliary</vt:lpstr>
      <vt:lpstr>teach_assign_spedt5_part_ancilliary_200min</vt:lpstr>
      <vt:lpstr>teach_assign_spedt5_part_ancilliary_less200min</vt:lpstr>
      <vt:lpstr>teach_assign_t1_fullt_ancilliary</vt:lpstr>
      <vt:lpstr>teach_assign_t1_fullt_ancilliary_addload</vt:lpstr>
      <vt:lpstr>teach_assign_t1_fullt_noancilliary</vt:lpstr>
      <vt:lpstr>teach_assign_t1_part_ancilliary_200min</vt:lpstr>
      <vt:lpstr>teach_assign_t1_part_ancilliary_less200min</vt:lpstr>
      <vt:lpstr>teach_assign_t2_fullt_ancilliary</vt:lpstr>
      <vt:lpstr>teach_assign_t2_fullt_ancilliary_addload</vt:lpstr>
      <vt:lpstr>teach_assign_t2_fullt_noancilliary</vt:lpstr>
      <vt:lpstr>teach_assign_t2_part_ancilliary_200min</vt:lpstr>
      <vt:lpstr>teach_assign_t2_part_ancilliary_less200min</vt:lpstr>
      <vt:lpstr>teach_assign_t3_fullt_ancilliary</vt:lpstr>
      <vt:lpstr>teach_assign_t3_fullt_ancilliary_addload</vt:lpstr>
      <vt:lpstr>teach_assign_t3_fullt_noancilliary</vt:lpstr>
      <vt:lpstr>teach_assign_t3_part_ancilliary_200min</vt:lpstr>
      <vt:lpstr>teach_assign_t3_part_ancilliary_less200min</vt:lpstr>
      <vt:lpstr>teach_received_trainings_hardware_grade1to6_f</vt:lpstr>
      <vt:lpstr>teach_received_trainings_hardware_grade1to6_m</vt:lpstr>
      <vt:lpstr>teach_received_trainings_hardware_kinder_f</vt:lpstr>
      <vt:lpstr>teach_received_trainings_hardware_kinder_m</vt:lpstr>
      <vt:lpstr>teach_received_trainings_ictintegration_gr1to6_f</vt:lpstr>
      <vt:lpstr>teach_received_trainings_ictintegration_gr1to6_m</vt:lpstr>
      <vt:lpstr>teach_received_trainings_ictintegration_kinder_f</vt:lpstr>
      <vt:lpstr>teach_received_trainings_ictintegration_kinder_m</vt:lpstr>
      <vt:lpstr>teach_received_trainings_ictliteracy_gr1to6_f</vt:lpstr>
      <vt:lpstr>teach_received_trainings_ictliteracy_gr1to6_m</vt:lpstr>
      <vt:lpstr>teach_received_trainings_ictliteracy_kinder_f</vt:lpstr>
      <vt:lpstr>teach_received_trainings_ictliteracy_kinder_m</vt:lpstr>
      <vt:lpstr>teach_received_trainings_mtI_f</vt:lpstr>
      <vt:lpstr>teach_received_trainings_mtI_m</vt:lpstr>
      <vt:lpstr>teach_received_trainings_mtII_f</vt:lpstr>
      <vt:lpstr>teach_received_trainings_mtII_m</vt:lpstr>
      <vt:lpstr>teach_received_trainings_mtIII_f</vt:lpstr>
      <vt:lpstr>teach_received_trainings_mtIII_m</vt:lpstr>
      <vt:lpstr>teach_received_trainings_mtIV_f</vt:lpstr>
      <vt:lpstr>teach_received_trainings_mtIV_m</vt:lpstr>
      <vt:lpstr>teach_received_trainings_others_grade1to6_f</vt:lpstr>
      <vt:lpstr>teach_received_trainings_others_grade1to6_m</vt:lpstr>
      <vt:lpstr>teach_received_trainings_others_kinder_f</vt:lpstr>
      <vt:lpstr>teach_received_trainings_others_kinder_m</vt:lpstr>
      <vt:lpstr>teach_received_trainings_pedagogy_collaborative_gr1to6_f</vt:lpstr>
      <vt:lpstr>teach_received_trainings_pedagogy_collaborative_gr1to6_m</vt:lpstr>
      <vt:lpstr>teach_received_trainings_pedagogy_collaborative_k_f</vt:lpstr>
      <vt:lpstr>teach_received_trainings_pedagogy_collaborative_k_m</vt:lpstr>
      <vt:lpstr>teach_received_trainings_pedagogy_constructivist_gr1to6_f</vt:lpstr>
      <vt:lpstr>teach_received_trainings_pedagogy_constructivist_gr1to6_m</vt:lpstr>
      <vt:lpstr>teach_received_trainings_pedagogy_constructivist_k_f</vt:lpstr>
      <vt:lpstr>teach_received_trainings_pedagogy_constructivist_k_m</vt:lpstr>
      <vt:lpstr>teach_received_trainings_pedagogy_inclusiveeduc_gr1to6_f</vt:lpstr>
      <vt:lpstr>teach_received_trainings_pedagogy_inclusiveeduc_gr1to6_m</vt:lpstr>
      <vt:lpstr>teach_received_trainings_pedagogy_inclusiveeduc_k_f</vt:lpstr>
      <vt:lpstr>teach_received_trainings_pedagogy_inclusiveeduc_k_m</vt:lpstr>
      <vt:lpstr>teach_received_trainings_pedagogy_inquirybased_gr1to6_f</vt:lpstr>
      <vt:lpstr>teach_received_trainings_pedagogy_inquirybased_gr1to6_m</vt:lpstr>
      <vt:lpstr>teach_received_trainings_pedagogy_inquirybased_k_f</vt:lpstr>
      <vt:lpstr>teach_received_trainings_pedagogy_inquirybased_k_m</vt:lpstr>
      <vt:lpstr>teach_received_trainings_pedagogy_integrative_gr1to6_f</vt:lpstr>
      <vt:lpstr>teach_received_trainings_pedagogy_integrative_gr1to6_m</vt:lpstr>
      <vt:lpstr>teach_received_trainings_pedagogy_integrative_k_f</vt:lpstr>
      <vt:lpstr>teach_received_trainings_pedagogy_integrative_k_m</vt:lpstr>
      <vt:lpstr>teach_received_trainings_pedagogy_others_gr1to6_f</vt:lpstr>
      <vt:lpstr>teach_received_trainings_pedagogy_others_gr1to6_m</vt:lpstr>
      <vt:lpstr>teach_received_trainings_pedagogy_others_k_f</vt:lpstr>
      <vt:lpstr>teach_received_trainings_pedagogy_others_k_m</vt:lpstr>
      <vt:lpstr>teach_received_trainings_pedagogy_reflective_gr1to6_f</vt:lpstr>
      <vt:lpstr>teach_received_trainings_pedagogy_reflective_gr1to6_m</vt:lpstr>
      <vt:lpstr>teach_received_trainings_pedagogy_reflective_k_f</vt:lpstr>
      <vt:lpstr>teach_received_trainings_pedagogy_reflective_k_m</vt:lpstr>
      <vt:lpstr>teach_received_trainings_software_grade1to6_f</vt:lpstr>
      <vt:lpstr>teach_received_trainings_software_grade1to6_m</vt:lpstr>
      <vt:lpstr>teach_received_trainings_software_kinder_f</vt:lpstr>
      <vt:lpstr>teach_received_trainings_software_kinder_m</vt:lpstr>
      <vt:lpstr>teach_received_trainings_spedI_f</vt:lpstr>
      <vt:lpstr>teach_received_trainings_spedI_m</vt:lpstr>
      <vt:lpstr>teach_received_trainings_spedII_f</vt:lpstr>
      <vt:lpstr>teach_received_trainings_spedII_m</vt:lpstr>
      <vt:lpstr>teach_received_trainings_spedIII_f</vt:lpstr>
      <vt:lpstr>teach_received_trainings_spedIII_m</vt:lpstr>
      <vt:lpstr>teach_received_trainings_spedIV_f</vt:lpstr>
      <vt:lpstr>teach_received_trainings_spedIV_m</vt:lpstr>
      <vt:lpstr>teach_received_trainings_spedV_f</vt:lpstr>
      <vt:lpstr>teach_received_trainings_spedV_m</vt:lpstr>
      <vt:lpstr>teach_received_trainings_tI_f</vt:lpstr>
      <vt:lpstr>teach_received_trainings_tI_m</vt:lpstr>
      <vt:lpstr>teach_received_trainings_tII_f</vt:lpstr>
      <vt:lpstr>teach_received_trainings_tII_m</vt:lpstr>
      <vt:lpstr>teach_received_trainings_tIII_f</vt:lpstr>
      <vt:lpstr>teach_received_trainings_tIII_m</vt:lpstr>
      <vt:lpstr>teacher_identify_needs_more_resources_depedtv_ap</vt:lpstr>
      <vt:lpstr>teacher_identify_needs_more_resources_depedtv_english</vt:lpstr>
      <vt:lpstr>teacher_identify_needs_more_resources_depedtv_esp</vt:lpstr>
      <vt:lpstr>teacher_identify_needs_more_resources_depedtv_filipino</vt:lpstr>
      <vt:lpstr>teacher_identify_needs_more_resources_depedtv_mapeh</vt:lpstr>
      <vt:lpstr>teacher_identify_needs_more_resources_depedtv_math</vt:lpstr>
      <vt:lpstr>teacher_identify_needs_more_resources_depedtv_others</vt:lpstr>
      <vt:lpstr>teacher_identify_needs_more_resources_depedtv_others_specify</vt:lpstr>
      <vt:lpstr>teacher_identify_needs_more_resources_depedtv_science</vt:lpstr>
      <vt:lpstr>teacher_identify_needs_more_resources_depedtv_tle</vt:lpstr>
      <vt:lpstr>teacher_method_for_depedtv_broadcasttv</vt:lpstr>
      <vt:lpstr>teacher_method_for_depedtv_downloaded</vt:lpstr>
      <vt:lpstr>teacher_method_for_depedtv_facebook</vt:lpstr>
      <vt:lpstr>teacher_method_for_depedtv_youtube</vt:lpstr>
      <vt:lpstr>teachers_using_depedtv_frequent_f</vt:lpstr>
      <vt:lpstr>teachers_using_depedtv_frequent_m</vt:lpstr>
      <vt:lpstr>teachers_using_depedtv_never_f</vt:lpstr>
      <vt:lpstr>teachers_using_depedtv_never_m</vt:lpstr>
      <vt:lpstr>teachers_using_depedtv_seldom_f</vt:lpstr>
      <vt:lpstr>teachers_using_depedtv_seldom_m</vt:lpstr>
      <vt:lpstr>V</vt:lpstr>
      <vt:lpstr>VI</vt:lpstr>
      <vt:lpstr>VII</vt:lpstr>
      <vt:lpstr>VIII</vt:lpstr>
      <vt:lpstr>X</vt:lpstr>
      <vt:lpstr>XI</vt:lpstr>
      <vt:lpstr>XII</vt:lpstr>
    </vt:vector>
  </TitlesOfParts>
  <Company>RSD-OPS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Merz</dc:creator>
  <cp:lastModifiedBy>Admin</cp:lastModifiedBy>
  <cp:lastPrinted>2023-03-29T03:36:40Z</cp:lastPrinted>
  <dcterms:created xsi:type="dcterms:W3CDTF">2003-05-30T06:57:35Z</dcterms:created>
  <dcterms:modified xsi:type="dcterms:W3CDTF">2023-04-12T01:13:15Z</dcterms:modified>
</cp:coreProperties>
</file>